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GRAMAS" sheetId="1" r:id="rId4"/>
  </sheets>
  <definedNames>
    <definedName hidden="1" localSheetId="0" name="_xlnm._FilterDatabase">PROGRAMAS!$Y$1:$Y$1421</definedName>
  </definedNames>
  <calcPr/>
</workbook>
</file>

<file path=xl/sharedStrings.xml><?xml version="1.0" encoding="utf-8"?>
<sst xmlns="http://schemas.openxmlformats.org/spreadsheetml/2006/main" count="456" uniqueCount="456">
  <si>
    <t>LLAVE KEY</t>
  </si>
  <si>
    <t>EDICION</t>
  </si>
  <si>
    <t>LINEA</t>
  </si>
  <si>
    <t>CATEGORIA</t>
  </si>
  <si>
    <t>PROGRAMA</t>
  </si>
  <si>
    <t>INICIO6</t>
  </si>
  <si>
    <t>CURSO1</t>
  </si>
  <si>
    <t>INICIO1</t>
  </si>
  <si>
    <t>CURSO2</t>
  </si>
  <si>
    <t>INICIO2</t>
  </si>
  <si>
    <t>CURSO3</t>
  </si>
  <si>
    <t>INICIO3</t>
  </si>
  <si>
    <t>CURSO4</t>
  </si>
  <si>
    <t>INICIO4</t>
  </si>
  <si>
    <t>CURSO5</t>
  </si>
  <si>
    <t>INICIO5</t>
  </si>
  <si>
    <t>DOCENTE</t>
  </si>
  <si>
    <t>DIAS</t>
  </si>
  <si>
    <t>HORARIO</t>
  </si>
  <si>
    <t>INICIO</t>
  </si>
  <si>
    <t>FIN</t>
  </si>
  <si>
    <t>SESIONES</t>
  </si>
  <si>
    <t>BROCHURE</t>
  </si>
  <si>
    <t>BENEFICIOS</t>
  </si>
  <si>
    <t>POSTDOCEN</t>
  </si>
  <si>
    <t>AVALADO</t>
  </si>
  <si>
    <t>CURSO MES</t>
  </si>
  <si>
    <t>INV PRO T</t>
  </si>
  <si>
    <t>INV EST T</t>
  </si>
  <si>
    <t>INV PRO</t>
  </si>
  <si>
    <t>INV EST</t>
  </si>
  <si>
    <t>RESEST</t>
  </si>
  <si>
    <t>RESPRO</t>
  </si>
  <si>
    <t>VIDEO</t>
  </si>
  <si>
    <t>EXEST</t>
  </si>
  <si>
    <t>EXPRO</t>
  </si>
  <si>
    <t>PERSONALIZADO</t>
  </si>
  <si>
    <t>RES1</t>
  </si>
  <si>
    <t>RES2</t>
  </si>
  <si>
    <t>RES3</t>
  </si>
  <si>
    <t>RES4</t>
  </si>
  <si>
    <t>RES5</t>
  </si>
  <si>
    <t>ENLACE</t>
  </si>
  <si>
    <t>HABITILITADO</t>
  </si>
  <si>
    <t>PWE-001</t>
  </si>
  <si>
    <t>PWE-002</t>
  </si>
  <si>
    <t>PWE-003</t>
  </si>
  <si>
    <t>PWE-004</t>
  </si>
  <si>
    <t>PWE-005</t>
  </si>
  <si>
    <t>PWE-006</t>
  </si>
  <si>
    <t>PWE-007</t>
  </si>
  <si>
    <t>PWE-008</t>
  </si>
  <si>
    <t>PWE-009</t>
  </si>
  <si>
    <t>PWE-010</t>
  </si>
  <si>
    <t>PWE-011</t>
  </si>
  <si>
    <t>PWE-012</t>
  </si>
  <si>
    <t>PWE-013</t>
  </si>
  <si>
    <t>PWE-014</t>
  </si>
  <si>
    <t>PWE-015</t>
  </si>
  <si>
    <t>PWE-016</t>
  </si>
  <si>
    <t>PWE-017</t>
  </si>
  <si>
    <t>PWE-018</t>
  </si>
  <si>
    <t>PWE-019</t>
  </si>
  <si>
    <t>PWE-020</t>
  </si>
  <si>
    <t>PWE-021</t>
  </si>
  <si>
    <t>PWE-022</t>
  </si>
  <si>
    <t>PWE-023</t>
  </si>
  <si>
    <t>PWE-024</t>
  </si>
  <si>
    <t>PWE-025</t>
  </si>
  <si>
    <t>PWE-026</t>
  </si>
  <si>
    <t>PWE-027</t>
  </si>
  <si>
    <t>PWE-028</t>
  </si>
  <si>
    <t>PWE-029</t>
  </si>
  <si>
    <t>PWE-030</t>
  </si>
  <si>
    <t>PWE-031</t>
  </si>
  <si>
    <t>PWE-032</t>
  </si>
  <si>
    <t>PWE-033</t>
  </si>
  <si>
    <t>PWE-034</t>
  </si>
  <si>
    <t>PWE-035</t>
  </si>
  <si>
    <t>PWE-036</t>
  </si>
  <si>
    <t>PWE-037</t>
  </si>
  <si>
    <t>PWE-038</t>
  </si>
  <si>
    <t>PWE-039</t>
  </si>
  <si>
    <t>PWE-040</t>
  </si>
  <si>
    <t>PWE-041</t>
  </si>
  <si>
    <t>PWE-042</t>
  </si>
  <si>
    <t>PWE-043</t>
  </si>
  <si>
    <t>PWE-044</t>
  </si>
  <si>
    <t>PWE-045</t>
  </si>
  <si>
    <t>PWE-046</t>
  </si>
  <si>
    <t>PWE-047</t>
  </si>
  <si>
    <t>PWE-048</t>
  </si>
  <si>
    <t>PWE-049</t>
  </si>
  <si>
    <t>PWE-050</t>
  </si>
  <si>
    <t>PWE-051</t>
  </si>
  <si>
    <t>PWE-052</t>
  </si>
  <si>
    <t>PWE-053</t>
  </si>
  <si>
    <t>PWE-054</t>
  </si>
  <si>
    <t>PWE-055</t>
  </si>
  <si>
    <t>PWE-056</t>
  </si>
  <si>
    <t>PWE-057</t>
  </si>
  <si>
    <t>PWE-058</t>
  </si>
  <si>
    <t>PWE-059</t>
  </si>
  <si>
    <t>PWE-060</t>
  </si>
  <si>
    <t>PWE-061</t>
  </si>
  <si>
    <t>PWE-062</t>
  </si>
  <si>
    <t>PWE-063</t>
  </si>
  <si>
    <t>PWE-064</t>
  </si>
  <si>
    <t>PWE-065</t>
  </si>
  <si>
    <t>PWE-066</t>
  </si>
  <si>
    <t>PWE-067</t>
  </si>
  <si>
    <t>PWE-068</t>
  </si>
  <si>
    <t>PWE-069</t>
  </si>
  <si>
    <t>PWE-070</t>
  </si>
  <si>
    <t>PWE-071</t>
  </si>
  <si>
    <t>PWE-072</t>
  </si>
  <si>
    <t>PWE-073</t>
  </si>
  <si>
    <t>PWE-074</t>
  </si>
  <si>
    <t>PWE-075</t>
  </si>
  <si>
    <t>PWE-076</t>
  </si>
  <si>
    <t>PWE-077</t>
  </si>
  <si>
    <t>PWE-078</t>
  </si>
  <si>
    <t>PWE-079</t>
  </si>
  <si>
    <t>PWE-080</t>
  </si>
  <si>
    <t>PWE-081</t>
  </si>
  <si>
    <t>PWE-082</t>
  </si>
  <si>
    <t>PWE-083</t>
  </si>
  <si>
    <t>PWE-084</t>
  </si>
  <si>
    <t>PWE-085</t>
  </si>
  <si>
    <t>PWE-086</t>
  </si>
  <si>
    <t>PWE-087</t>
  </si>
  <si>
    <t>PWE-088</t>
  </si>
  <si>
    <t>PWE-089</t>
  </si>
  <si>
    <t>PWE-090</t>
  </si>
  <si>
    <t>PWE-091</t>
  </si>
  <si>
    <t>PWE-092</t>
  </si>
  <si>
    <t>PWE-093</t>
  </si>
  <si>
    <t>PWE-094</t>
  </si>
  <si>
    <t>PWE-095</t>
  </si>
  <si>
    <t>PWE-096</t>
  </si>
  <si>
    <t>PWE-097</t>
  </si>
  <si>
    <t>PWE-098</t>
  </si>
  <si>
    <t>PWE-099</t>
  </si>
  <si>
    <t>PWE-100</t>
  </si>
  <si>
    <t>PWE-101</t>
  </si>
  <si>
    <t>PWE-102</t>
  </si>
  <si>
    <t>PWE-103</t>
  </si>
  <si>
    <t>PWE-104</t>
  </si>
  <si>
    <t>PWE-105</t>
  </si>
  <si>
    <t>PWE-106</t>
  </si>
  <si>
    <t>PWE-107</t>
  </si>
  <si>
    <t>PWE-108</t>
  </si>
  <si>
    <t>PWE-109</t>
  </si>
  <si>
    <t>PWE-110</t>
  </si>
  <si>
    <t>PWE-111</t>
  </si>
  <si>
    <t>PWE-112</t>
  </si>
  <si>
    <t>PWE-113</t>
  </si>
  <si>
    <t>PWE-114</t>
  </si>
  <si>
    <t>PWE-115</t>
  </si>
  <si>
    <t>PWE-116</t>
  </si>
  <si>
    <t>PWE-117</t>
  </si>
  <si>
    <t>PWE-118</t>
  </si>
  <si>
    <t>PWE-119</t>
  </si>
  <si>
    <t>PWE-120</t>
  </si>
  <si>
    <t>PWE-121</t>
  </si>
  <si>
    <t>PWE-122</t>
  </si>
  <si>
    <t>PWE-123</t>
  </si>
  <si>
    <t>PWE-124</t>
  </si>
  <si>
    <t>PWE-125</t>
  </si>
  <si>
    <t>PWE-126</t>
  </si>
  <si>
    <t>PWE-127</t>
  </si>
  <si>
    <t>PWE-128</t>
  </si>
  <si>
    <t>PWE-129</t>
  </si>
  <si>
    <t>PWE-130</t>
  </si>
  <si>
    <t>PWE-131</t>
  </si>
  <si>
    <t>PWE-132</t>
  </si>
  <si>
    <t>PWE-133</t>
  </si>
  <si>
    <t>PWE-134</t>
  </si>
  <si>
    <t>PWE-135</t>
  </si>
  <si>
    <t>PWE-136</t>
  </si>
  <si>
    <t>PWE-137</t>
  </si>
  <si>
    <t>PWE-138</t>
  </si>
  <si>
    <t>PWE-139</t>
  </si>
  <si>
    <t>PWE-140</t>
  </si>
  <si>
    <t>PWE-141</t>
  </si>
  <si>
    <t>PWE-142</t>
  </si>
  <si>
    <t>PWE-143</t>
  </si>
  <si>
    <t>PWE-144</t>
  </si>
  <si>
    <t>PWE-145</t>
  </si>
  <si>
    <t>PWE-146</t>
  </si>
  <si>
    <t>PWE-147</t>
  </si>
  <si>
    <t>PWE-148</t>
  </si>
  <si>
    <t>PWE-149</t>
  </si>
  <si>
    <t>PWE-150</t>
  </si>
  <si>
    <t>PWE-151</t>
  </si>
  <si>
    <t>PWE-152</t>
  </si>
  <si>
    <t>PWE-153</t>
  </si>
  <si>
    <t>PWE-154</t>
  </si>
  <si>
    <t>PWE-155</t>
  </si>
  <si>
    <t>PWE-156</t>
  </si>
  <si>
    <t>PWE-157</t>
  </si>
  <si>
    <t>PWE-158</t>
  </si>
  <si>
    <t>PWE-159</t>
  </si>
  <si>
    <t>PWE-160</t>
  </si>
  <si>
    <t>PWE-161</t>
  </si>
  <si>
    <t>PWE-162</t>
  </si>
  <si>
    <t>PWE-163</t>
  </si>
  <si>
    <t>PWE-164</t>
  </si>
  <si>
    <t>PWE-165</t>
  </si>
  <si>
    <t>PWE-166</t>
  </si>
  <si>
    <t>PWE-167</t>
  </si>
  <si>
    <t>PWE-168</t>
  </si>
  <si>
    <t>PWE-169</t>
  </si>
  <si>
    <t>PWE-170</t>
  </si>
  <si>
    <t>PWE-171</t>
  </si>
  <si>
    <t>PWE-172</t>
  </si>
  <si>
    <t>PWE-173</t>
  </si>
  <si>
    <t>PWE-174</t>
  </si>
  <si>
    <t>PWE-175</t>
  </si>
  <si>
    <t>PWE-176</t>
  </si>
  <si>
    <t>PWE-177</t>
  </si>
  <si>
    <t>PWE-178</t>
  </si>
  <si>
    <t>PWE-179</t>
  </si>
  <si>
    <t>PWE-180</t>
  </si>
  <si>
    <t>PWE-181</t>
  </si>
  <si>
    <t>PWE-182</t>
  </si>
  <si>
    <t>PWE-183</t>
  </si>
  <si>
    <t>PWE-184</t>
  </si>
  <si>
    <t>PWE-185</t>
  </si>
  <si>
    <t>PWE-186</t>
  </si>
  <si>
    <t>PWE-187</t>
  </si>
  <si>
    <t>PWE-188</t>
  </si>
  <si>
    <t>PWE-189</t>
  </si>
  <si>
    <t>PWE-190</t>
  </si>
  <si>
    <t>PWE-191</t>
  </si>
  <si>
    <t>PWE-192</t>
  </si>
  <si>
    <t>PWE-193</t>
  </si>
  <si>
    <t>PWE-194</t>
  </si>
  <si>
    <t>PWE-195</t>
  </si>
  <si>
    <t>PWE-196</t>
  </si>
  <si>
    <t>PWE-197</t>
  </si>
  <si>
    <t>PWE-198</t>
  </si>
  <si>
    <t>PWE-199</t>
  </si>
  <si>
    <t>PWE-200</t>
  </si>
  <si>
    <t>PWE-201</t>
  </si>
  <si>
    <t>PWE-202</t>
  </si>
  <si>
    <t>PWE-203</t>
  </si>
  <si>
    <t>PWE-204</t>
  </si>
  <si>
    <t>PWE-205</t>
  </si>
  <si>
    <t>PWE-206</t>
  </si>
  <si>
    <t>PWE-207</t>
  </si>
  <si>
    <t>PWE-208</t>
  </si>
  <si>
    <t>PWE-209</t>
  </si>
  <si>
    <t>PWE-210</t>
  </si>
  <si>
    <t>PWE-211</t>
  </si>
  <si>
    <t>PWE-212</t>
  </si>
  <si>
    <t>PWE-213</t>
  </si>
  <si>
    <t>PWE-214</t>
  </si>
  <si>
    <t>PWE-215</t>
  </si>
  <si>
    <t>PWE-216</t>
  </si>
  <si>
    <t>PWE-217</t>
  </si>
  <si>
    <t>PWE-218</t>
  </si>
  <si>
    <t>PWE-219</t>
  </si>
  <si>
    <t>PWE-220</t>
  </si>
  <si>
    <t>PWE-221</t>
  </si>
  <si>
    <t>PWE-222</t>
  </si>
  <si>
    <t>PWE-223</t>
  </si>
  <si>
    <t>PWE-224</t>
  </si>
  <si>
    <t>PWE-225</t>
  </si>
  <si>
    <t>PWE-226</t>
  </si>
  <si>
    <t>PWE-227</t>
  </si>
  <si>
    <t>PWE-228</t>
  </si>
  <si>
    <t>PWE-229</t>
  </si>
  <si>
    <t>PWE-230</t>
  </si>
  <si>
    <t>PWE-231</t>
  </si>
  <si>
    <t>PWE-232</t>
  </si>
  <si>
    <t>PWE-233</t>
  </si>
  <si>
    <t>PWE-234</t>
  </si>
  <si>
    <t>PWE-235</t>
  </si>
  <si>
    <t>PWE-236</t>
  </si>
  <si>
    <t>PWE-237</t>
  </si>
  <si>
    <t>PWE-238</t>
  </si>
  <si>
    <t>PWE-239</t>
  </si>
  <si>
    <t>PWE-240</t>
  </si>
  <si>
    <t>PWE-241</t>
  </si>
  <si>
    <t>PWE-242</t>
  </si>
  <si>
    <t>PWE-243</t>
  </si>
  <si>
    <t>PWE-244</t>
  </si>
  <si>
    <t>PWE-245</t>
  </si>
  <si>
    <t>PWE-246</t>
  </si>
  <si>
    <t>PWE-247</t>
  </si>
  <si>
    <t>PWE-248</t>
  </si>
  <si>
    <t>PWE-249</t>
  </si>
  <si>
    <t>PWE-250</t>
  </si>
  <si>
    <t>PWE-251</t>
  </si>
  <si>
    <t>PWE-252</t>
  </si>
  <si>
    <t>PWE-253</t>
  </si>
  <si>
    <t>PWE-254</t>
  </si>
  <si>
    <t>PWE-255</t>
  </si>
  <si>
    <t>PWE-256</t>
  </si>
  <si>
    <t>PWE-257</t>
  </si>
  <si>
    <t>PWE-258</t>
  </si>
  <si>
    <t>PWE-259</t>
  </si>
  <si>
    <t>PWE-260</t>
  </si>
  <si>
    <t>PWE-261</t>
  </si>
  <si>
    <t>PWE-262</t>
  </si>
  <si>
    <t>PWE-263</t>
  </si>
  <si>
    <t>PWE-264</t>
  </si>
  <si>
    <t>PWE-265</t>
  </si>
  <si>
    <t>PWE-266</t>
  </si>
  <si>
    <t>PWE-267</t>
  </si>
  <si>
    <t>PWE-268</t>
  </si>
  <si>
    <t>PWE-269</t>
  </si>
  <si>
    <t>PWE-270</t>
  </si>
  <si>
    <t>PWE-271</t>
  </si>
  <si>
    <t>PWE-272</t>
  </si>
  <si>
    <t>PWE-273</t>
  </si>
  <si>
    <t>PWE-274</t>
  </si>
  <si>
    <t>PWE-275</t>
  </si>
  <si>
    <t>PWE-276</t>
  </si>
  <si>
    <t>PWE-277</t>
  </si>
  <si>
    <t>PWE-278</t>
  </si>
  <si>
    <t>PWE-279</t>
  </si>
  <si>
    <t>PWE-280</t>
  </si>
  <si>
    <t>PWE-281</t>
  </si>
  <si>
    <t>PWE-282</t>
  </si>
  <si>
    <t>PWE-283</t>
  </si>
  <si>
    <t>PWE-284</t>
  </si>
  <si>
    <t>PWE-285</t>
  </si>
  <si>
    <t>PWE-286</t>
  </si>
  <si>
    <t>PWE-287</t>
  </si>
  <si>
    <t>PWE-288</t>
  </si>
  <si>
    <t>PWE-289</t>
  </si>
  <si>
    <t>PWE-290</t>
  </si>
  <si>
    <t>PWE-291</t>
  </si>
  <si>
    <t>PWE-292</t>
  </si>
  <si>
    <t>PWE-293</t>
  </si>
  <si>
    <t>PWE-294</t>
  </si>
  <si>
    <t>PWE-295</t>
  </si>
  <si>
    <t>PWE-296</t>
  </si>
  <si>
    <t>PWE-297</t>
  </si>
  <si>
    <t>PWE-298</t>
  </si>
  <si>
    <t>PWE-299</t>
  </si>
  <si>
    <t>PWE-300</t>
  </si>
  <si>
    <t>PWE-301</t>
  </si>
  <si>
    <t>PWE-302</t>
  </si>
  <si>
    <t>PWE-303</t>
  </si>
  <si>
    <t>PWE-304</t>
  </si>
  <si>
    <t>PWE-305</t>
  </si>
  <si>
    <t>PWE-306</t>
  </si>
  <si>
    <t>PWE-307</t>
  </si>
  <si>
    <t>PWE-308</t>
  </si>
  <si>
    <t>PWE-309</t>
  </si>
  <si>
    <t>PWE-310</t>
  </si>
  <si>
    <t>PWE-311</t>
  </si>
  <si>
    <t>PWE-312</t>
  </si>
  <si>
    <t>PWE-313</t>
  </si>
  <si>
    <t>PWE-314</t>
  </si>
  <si>
    <t>PWE-315</t>
  </si>
  <si>
    <t>PWE-316</t>
  </si>
  <si>
    <t>PWE-317</t>
  </si>
  <si>
    <t>PWE-318</t>
  </si>
  <si>
    <t>PWE-319</t>
  </si>
  <si>
    <t>PWE-320</t>
  </si>
  <si>
    <t>PWE-321</t>
  </si>
  <si>
    <t>PWE-322</t>
  </si>
  <si>
    <t>PWE-323</t>
  </si>
  <si>
    <t>PWE-324</t>
  </si>
  <si>
    <t>PWE-325</t>
  </si>
  <si>
    <t>PWE-326</t>
  </si>
  <si>
    <t>PWE-327</t>
  </si>
  <si>
    <t>PWE-328</t>
  </si>
  <si>
    <t>PWE-329</t>
  </si>
  <si>
    <t>PWE-330</t>
  </si>
  <si>
    <t>PWE-331</t>
  </si>
  <si>
    <t>PWE-332</t>
  </si>
  <si>
    <t>PWE-333</t>
  </si>
  <si>
    <t>PWE-334</t>
  </si>
  <si>
    <t>PWE-335</t>
  </si>
  <si>
    <t>PWE-336</t>
  </si>
  <si>
    <t>PWE-337</t>
  </si>
  <si>
    <t>PWE-338</t>
  </si>
  <si>
    <t>PWE-339</t>
  </si>
  <si>
    <t>PWE-340</t>
  </si>
  <si>
    <t>PWE-341</t>
  </si>
  <si>
    <t>PWE-342</t>
  </si>
  <si>
    <t>PWE-343</t>
  </si>
  <si>
    <t>PWE-344</t>
  </si>
  <si>
    <t>PWE-345</t>
  </si>
  <si>
    <t>PWE-346</t>
  </si>
  <si>
    <t>PWE-347</t>
  </si>
  <si>
    <t>PWE-348</t>
  </si>
  <si>
    <t>PWE-349</t>
  </si>
  <si>
    <t>PWE-350</t>
  </si>
  <si>
    <t>PWE-351</t>
  </si>
  <si>
    <t>PWE-352</t>
  </si>
  <si>
    <t>PWE-353</t>
  </si>
  <si>
    <t>PWE-354</t>
  </si>
  <si>
    <t>PWE-355</t>
  </si>
  <si>
    <t>PWE-356</t>
  </si>
  <si>
    <t>PWE-357</t>
  </si>
  <si>
    <t>PWE-358</t>
  </si>
  <si>
    <t>PWE-359</t>
  </si>
  <si>
    <t>PWE-360</t>
  </si>
  <si>
    <t>PWE-361</t>
  </si>
  <si>
    <t>PWE-362</t>
  </si>
  <si>
    <t>PWE-363</t>
  </si>
  <si>
    <t>PWE-364</t>
  </si>
  <si>
    <t>PWE-365</t>
  </si>
  <si>
    <t>PWE-366</t>
  </si>
  <si>
    <t>PWE-367</t>
  </si>
  <si>
    <t>PWE-368</t>
  </si>
  <si>
    <t>PWE-369</t>
  </si>
  <si>
    <t>PWE-370</t>
  </si>
  <si>
    <t>PWE-371</t>
  </si>
  <si>
    <t>PWE-372</t>
  </si>
  <si>
    <t>PWE-373</t>
  </si>
  <si>
    <t>PWE-374</t>
  </si>
  <si>
    <t>PWE-375</t>
  </si>
  <si>
    <t>PWE-376</t>
  </si>
  <si>
    <t>PWE-377</t>
  </si>
  <si>
    <t>PWE-378</t>
  </si>
  <si>
    <t>PWE-379</t>
  </si>
  <si>
    <t>PWE-380</t>
  </si>
  <si>
    <t>PWE-381</t>
  </si>
  <si>
    <t>PWE-382</t>
  </si>
  <si>
    <t>PWE-383</t>
  </si>
  <si>
    <t>PWE-384</t>
  </si>
  <si>
    <t>PWE-385</t>
  </si>
  <si>
    <t>PWE-386</t>
  </si>
  <si>
    <t>PWE-387</t>
  </si>
  <si>
    <t>PWE-388</t>
  </si>
  <si>
    <t>PWE-389</t>
  </si>
  <si>
    <t>PWE-390</t>
  </si>
  <si>
    <t>PWE-391</t>
  </si>
  <si>
    <t>PWE-392</t>
  </si>
  <si>
    <t>PWE-393</t>
  </si>
  <si>
    <t>PWE-394</t>
  </si>
  <si>
    <t>PWE-395</t>
  </si>
  <si>
    <t>PWE-396</t>
  </si>
  <si>
    <t>PWE-397</t>
  </si>
  <si>
    <t>PWE-398</t>
  </si>
  <si>
    <t>PWE-399</t>
  </si>
  <si>
    <t>PWE-400</t>
  </si>
  <si>
    <t>PWE-401</t>
  </si>
  <si>
    <t>PWE-402</t>
  </si>
  <si>
    <t>PWE-403</t>
  </si>
  <si>
    <t>PWE-404</t>
  </si>
  <si>
    <t>PWE-405</t>
  </si>
  <si>
    <t>PWE-406</t>
  </si>
  <si>
    <t>PWE-407</t>
  </si>
  <si>
    <t>PWE-408</t>
  </si>
  <si>
    <t>PWE-409</t>
  </si>
  <si>
    <t>PWE-410</t>
  </si>
  <si>
    <t>PWE-411</t>
  </si>
  <si>
    <t>PWE-412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</si>
</sst>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5">
    <font>
      <sz val="10.0"/>
      <color rgb="FF000000"/>
      <name val="Arial"/>
      <scheme val="minor"/>
    </font>
    <font>
      <sz val="9.0"/>
      <color rgb="FFFFFFFF"/>
      <name val="Nunito"/>
    </font>
    <font>
      <sz val="9.0"/>
      <color theme="1"/>
      <name val="Nunito"/>
    </font>
    <font>
      <u/>
      <sz val="9.0"/>
      <color rgb="FF0000FF"/>
      <name val="Nunito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20124D"/>
        <bgColor rgb="FF20124D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0"/>
    </xf>
    <xf borderId="0" fillId="2" fontId="1" numFmtId="0" xfId="0" applyAlignment="1" applyFont="1">
      <alignment horizontal="left" readingOrder="0" shrinkToFit="0" wrapText="0"/>
    </xf>
    <xf borderId="0" fillId="2" fontId="1" numFmtId="164" xfId="0" applyAlignment="1" applyFont="1" applyNumberFormat="1">
      <alignment readingOrder="0" shrinkToFit="0" wrapText="0"/>
    </xf>
    <xf borderId="0" fillId="2" fontId="1" numFmtId="0" xfId="0" applyAlignment="1" applyFont="1">
      <alignment readingOrder="0" shrinkToFit="0" vertical="bottom" wrapText="0"/>
    </xf>
    <xf borderId="0" fillId="0" fontId="2" numFmtId="0" xfId="0" applyAlignment="1" applyFont="1">
      <alignment horizontal="left" readingOrder="0" shrinkToFit="0" wrapText="0"/>
    </xf>
    <xf borderId="0" fillId="0" fontId="2" numFmtId="0" xfId="0" applyAlignment="1" applyFont="1">
      <alignment horizontal="left" shrinkToFit="0" wrapText="0"/>
    </xf>
    <xf borderId="0" fillId="0" fontId="2" numFmtId="164" xfId="0" applyAlignment="1" applyFont="1" applyNumberFormat="1">
      <alignment horizontal="left" shrinkToFit="0" wrapText="0"/>
    </xf>
    <xf borderId="0" fillId="0" fontId="2" numFmtId="1" xfId="0" applyAlignment="1" applyFont="1" applyNumberFormat="1">
      <alignment horizontal="left" shrinkToFit="0" wrapText="0"/>
    </xf>
    <xf borderId="0" fillId="0" fontId="3" numFmtId="0" xfId="0" applyAlignment="1" applyFont="1">
      <alignment horizontal="left" readingOrder="0" shrinkToFit="0" wrapText="0"/>
    </xf>
    <xf borderId="0" fillId="0" fontId="4" numFmtId="0" xfId="0" applyFont="1"/>
    <xf borderId="0" fillId="0" fontId="4" numFmtId="164" xfId="0" applyAlignment="1" applyFont="1" applyNumberFormat="1">
      <alignment horizontal="left"/>
    </xf>
    <xf borderId="0" fillId="0" fontId="4" numFmtId="164" xfId="0" applyFont="1" applyNumberFormat="1"/>
    <xf borderId="0" fillId="0" fontId="2" numFmtId="1" xfId="0" applyAlignment="1" applyFont="1" applyNumberFormat="1">
      <alignment horizontal="left" readingOrder="0" shrinkToFit="0" wrapText="0"/>
    </xf>
    <xf borderId="0" fillId="0" fontId="2" numFmtId="0" xfId="0" applyFont="1"/>
    <xf borderId="0" fillId="0" fontId="2" numFmtId="164" xfId="0" applyAlignment="1" applyFont="1" applyNumberFormat="1">
      <alignment horizontal="left"/>
    </xf>
    <xf borderId="0" fillId="0" fontId="2" numFmtId="164" xfId="0" applyFont="1" applyNumberFormat="1"/>
    <xf borderId="0" fillId="0" fontId="2" numFmtId="1" xfId="0" applyAlignment="1" applyFont="1" applyNumberFormat="1">
      <alignment horizontal="left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e-educacion.com/slides/especializacion-en-microsoft-excel-77" TargetMode="External"/><Relationship Id="rId194" Type="http://schemas.openxmlformats.org/officeDocument/2006/relationships/hyperlink" Target="https://we-educacion.com/slides/pee-analista-de-datos-96" TargetMode="External"/><Relationship Id="rId193" Type="http://schemas.openxmlformats.org/officeDocument/2006/relationships/hyperlink" Target="https://we-educacion.com/slides/ms-project-basico-intermedio-95" TargetMode="External"/><Relationship Id="rId192" Type="http://schemas.openxmlformats.org/officeDocument/2006/relationships/hyperlink" Target="https://we-educacion.com/slides/sap-s-4-hana-in-mm-fi-pp-sd-51" TargetMode="External"/><Relationship Id="rId191" Type="http://schemas.openxmlformats.org/officeDocument/2006/relationships/hyperlink" Target="https://we-educacion.com/slides/microsoft-excel-basico-221" TargetMode="External"/><Relationship Id="rId187" Type="http://schemas.openxmlformats.org/officeDocument/2006/relationships/hyperlink" Target="https://we-educacion.com/slides/especializacion-en-vba-macros-en-excel-160" TargetMode="External"/><Relationship Id="rId186" Type="http://schemas.openxmlformats.org/officeDocument/2006/relationships/hyperlink" Target="https://we-educacion.com/slides/power-bi-46" TargetMode="External"/><Relationship Id="rId185" Type="http://schemas.openxmlformats.org/officeDocument/2006/relationships/hyperlink" Target="https://we-educacion.com/slides/especializacion-en-power-bi-106" TargetMode="External"/><Relationship Id="rId184" Type="http://schemas.openxmlformats.org/officeDocument/2006/relationships/hyperlink" Target="https://we-educacion.com/slides/power-apps-automate-1073" TargetMode="External"/><Relationship Id="rId189" Type="http://schemas.openxmlformats.org/officeDocument/2006/relationships/hyperlink" Target="https://we-educacion.com/slides/especializacion-en-microsoft-excel-expert-272" TargetMode="External"/><Relationship Id="rId188" Type="http://schemas.openxmlformats.org/officeDocument/2006/relationships/hyperlink" Target="https://we-educacion.com/slides/microsoft-excel-avanzado-59" TargetMode="External"/><Relationship Id="rId183" Type="http://schemas.openxmlformats.org/officeDocument/2006/relationships/hyperlink" Target="https://we-educacion.com/slides/especializacion-en-power-apps-automate-1113" TargetMode="External"/><Relationship Id="rId182" Type="http://schemas.openxmlformats.org/officeDocument/2006/relationships/hyperlink" Target="https://we-educacion.com/slides/contabilidad-financiera-1129" TargetMode="External"/><Relationship Id="rId181" Type="http://schemas.openxmlformats.org/officeDocument/2006/relationships/hyperlink" Target="https://we-educacion.com/slides/especializacion-en-finanzas-aplicadas-1130" TargetMode="External"/><Relationship Id="rId180" Type="http://schemas.openxmlformats.org/officeDocument/2006/relationships/hyperlink" Target="https://we-educacion.com/slides/modelamiento-de-procesos-con-bizagi-118" TargetMode="External"/><Relationship Id="rId176" Type="http://schemas.openxmlformats.org/officeDocument/2006/relationships/hyperlink" Target="https://we-educacion.com/slides/pee-analista-de-procesos-187" TargetMode="External"/><Relationship Id="rId297" Type="http://schemas.openxmlformats.org/officeDocument/2006/relationships/hyperlink" Target="https://we-educacion.com/slides/sap-s-4-hana-mm-45" TargetMode="External"/><Relationship Id="rId175" Type="http://schemas.openxmlformats.org/officeDocument/2006/relationships/hyperlink" Target="https://we-educacion.com/slides/diplomado-de-procesos-y-mejora-continua-205" TargetMode="External"/><Relationship Id="rId296" Type="http://schemas.openxmlformats.org/officeDocument/2006/relationships/hyperlink" Target="https://we-educacion.com/slides/especializacion-en-sap-s-4-hana-gestion-financiera-466" TargetMode="External"/><Relationship Id="rId174" Type="http://schemas.openxmlformats.org/officeDocument/2006/relationships/hyperlink" Target="https://we-educacion.com/slides/data-analytics-262" TargetMode="External"/><Relationship Id="rId295" Type="http://schemas.openxmlformats.org/officeDocument/2006/relationships/hyperlink" Target="https://we-educacion.com/slides/especializacion-en-sap-s-4-hana-compras-y-almacenes-358" TargetMode="External"/><Relationship Id="rId173" Type="http://schemas.openxmlformats.org/officeDocument/2006/relationships/hyperlink" Target="https://we-educacion.com/slides/diplomado-en-inteligencia-y-analisis-de-datos-261" TargetMode="External"/><Relationship Id="rId294" Type="http://schemas.openxmlformats.org/officeDocument/2006/relationships/hyperlink" Target="https://we-educacion.com/slides/especializacion-en-sap-s-4-hana-logistica-integral-108" TargetMode="External"/><Relationship Id="rId179" Type="http://schemas.openxmlformats.org/officeDocument/2006/relationships/hyperlink" Target="https://we-educacion.com/slides/microsoft-excel-intermedio-82" TargetMode="External"/><Relationship Id="rId178" Type="http://schemas.openxmlformats.org/officeDocument/2006/relationships/hyperlink" Target="https://we-educacion.com/slides/programacion-javascript-web-1106" TargetMode="External"/><Relationship Id="rId299" Type="http://schemas.openxmlformats.org/officeDocument/2006/relationships/hyperlink" Target="https://we-educacion.com/slides/python-avanzado-machine-learning-275" TargetMode="External"/><Relationship Id="rId177" Type="http://schemas.openxmlformats.org/officeDocument/2006/relationships/hyperlink" Target="https://we-educacion.com/slides/gestion-de-procesos-188" TargetMode="External"/><Relationship Id="rId298" Type="http://schemas.openxmlformats.org/officeDocument/2006/relationships/hyperlink" Target="https://we-educacion.com/slides/distribucion-y-almacenes-68" TargetMode="External"/><Relationship Id="rId198" Type="http://schemas.openxmlformats.org/officeDocument/2006/relationships/hyperlink" Target="https://we-educacion.com/slides/microsoft-excel-avanzado-59" TargetMode="External"/><Relationship Id="rId197" Type="http://schemas.openxmlformats.org/officeDocument/2006/relationships/hyperlink" Target="https://we-educacion.com/slides/ia-deep-learning-1071" TargetMode="External"/><Relationship Id="rId196" Type="http://schemas.openxmlformats.org/officeDocument/2006/relationships/hyperlink" Target="https://we-educacion.com/slides/gestion-financiera-de-proyectos-637" TargetMode="External"/><Relationship Id="rId195" Type="http://schemas.openxmlformats.org/officeDocument/2006/relationships/hyperlink" Target="https://we-educacion.com/slides/sql-server-for-analytics-52" TargetMode="External"/><Relationship Id="rId199" Type="http://schemas.openxmlformats.org/officeDocument/2006/relationships/hyperlink" Target="https://we-educacion.com/slides/pee-planeamiento-de-la-demanda-110" TargetMode="External"/><Relationship Id="rId150" Type="http://schemas.openxmlformats.org/officeDocument/2006/relationships/hyperlink" Target="https://we-educacion.com/slides/distribucion-y-almacenes-68" TargetMode="External"/><Relationship Id="rId271" Type="http://schemas.openxmlformats.org/officeDocument/2006/relationships/hyperlink" Target="https://we-educacion.com/slides/planeamiento-pronostico-de-la-demanda-78" TargetMode="External"/><Relationship Id="rId392" Type="http://schemas.openxmlformats.org/officeDocument/2006/relationships/hyperlink" Target="https://we-educacion.com/slides/robotizacion-de-procesos-con-uipath-274" TargetMode="External"/><Relationship Id="rId270" Type="http://schemas.openxmlformats.org/officeDocument/2006/relationships/hyperlink" Target="https://we-educacion.com/slides/diplomado-en-supply-chain-management-49" TargetMode="External"/><Relationship Id="rId391" Type="http://schemas.openxmlformats.org/officeDocument/2006/relationships/hyperlink" Target="https://we-educacion.com/slides/python-avanzado-machine-learning-275" TargetMode="External"/><Relationship Id="rId390" Type="http://schemas.openxmlformats.org/officeDocument/2006/relationships/hyperlink" Target="https://we-educacion.com/slides/lean-logistics-67" TargetMode="External"/><Relationship Id="rId1" Type="http://schemas.openxmlformats.org/officeDocument/2006/relationships/hyperlink" Target="https://we-educacion.com/slides/power-bi-46" TargetMode="External"/><Relationship Id="rId2" Type="http://schemas.openxmlformats.org/officeDocument/2006/relationships/hyperlink" Target="https://we-educacion.com/slides/python-analisis-de-datos-259" TargetMode="External"/><Relationship Id="rId3" Type="http://schemas.openxmlformats.org/officeDocument/2006/relationships/hyperlink" Target="https://we-educacion.com/slides/pee-planeamiento-de-la-demanda-110" TargetMode="External"/><Relationship Id="rId149" Type="http://schemas.openxmlformats.org/officeDocument/2006/relationships/hyperlink" Target="https://we-educacion.com/slides/programacion-con-vba-macros-en-excel-159" TargetMode="External"/><Relationship Id="rId4" Type="http://schemas.openxmlformats.org/officeDocument/2006/relationships/hyperlink" Target="https://we-educacion.com/slides/kpi-s-logisticos-con-power-bi-271" TargetMode="External"/><Relationship Id="rId148" Type="http://schemas.openxmlformats.org/officeDocument/2006/relationships/hyperlink" Target="https://we-educacion.com/slides/planeamiento-pronostico-de-la-demanda-78" TargetMode="External"/><Relationship Id="rId269" Type="http://schemas.openxmlformats.org/officeDocument/2006/relationships/hyperlink" Target="https://we-educacion.com/slides/azure-data-fundamentals-1225" TargetMode="External"/><Relationship Id="rId9" Type="http://schemas.openxmlformats.org/officeDocument/2006/relationships/hyperlink" Target="https://we-educacion.com/slides/diplomado-en-gestion-de-proyectos-209" TargetMode="External"/><Relationship Id="rId143" Type="http://schemas.openxmlformats.org/officeDocument/2006/relationships/hyperlink" Target="https://we-educacion.com/slides/python-analisis-de-datos-259" TargetMode="External"/><Relationship Id="rId264" Type="http://schemas.openxmlformats.org/officeDocument/2006/relationships/hyperlink" Target="https://we-educacion.com/slides/microsoft-excel-avanzado-59" TargetMode="External"/><Relationship Id="rId385" Type="http://schemas.openxmlformats.org/officeDocument/2006/relationships/hyperlink" Target="https://we-educacion.com/slides/gestion-financiera-de-proyectos-637" TargetMode="External"/><Relationship Id="rId142" Type="http://schemas.openxmlformats.org/officeDocument/2006/relationships/hyperlink" Target="https://we-educacion.com/slides/sap-s-4-hana-sd-194" TargetMode="External"/><Relationship Id="rId263" Type="http://schemas.openxmlformats.org/officeDocument/2006/relationships/hyperlink" Target="https://we-educacion.com/slides/especializacion-en-vba-macros-en-excel-160" TargetMode="External"/><Relationship Id="rId384" Type="http://schemas.openxmlformats.org/officeDocument/2006/relationships/hyperlink" Target="https://we-educacion.com/slides/gestion-de-transportes-73" TargetMode="External"/><Relationship Id="rId141" Type="http://schemas.openxmlformats.org/officeDocument/2006/relationships/hyperlink" Target="https://we-educacion.com/slides/sap-s-4-hana-in-mm-fi-pp-sd-51" TargetMode="External"/><Relationship Id="rId262" Type="http://schemas.openxmlformats.org/officeDocument/2006/relationships/hyperlink" Target="https://we-educacion.com/slides/react-js-react-native-1107" TargetMode="External"/><Relationship Id="rId383" Type="http://schemas.openxmlformats.org/officeDocument/2006/relationships/hyperlink" Target="https://we-educacion.com/slides/robotizacion-de-procesos-con-uipath-274" TargetMode="External"/><Relationship Id="rId140" Type="http://schemas.openxmlformats.org/officeDocument/2006/relationships/hyperlink" Target="https://we-educacion.com/slides/sql-server-avanzado-93" TargetMode="External"/><Relationship Id="rId261" Type="http://schemas.openxmlformats.org/officeDocument/2006/relationships/hyperlink" Target="https://we-educacion.com/slides/power-apps-automate-1073" TargetMode="External"/><Relationship Id="rId382" Type="http://schemas.openxmlformats.org/officeDocument/2006/relationships/hyperlink" Target="https://we-educacion.com/slides/programacion-con-vba-macros-en-excel-159" TargetMode="External"/><Relationship Id="rId5" Type="http://schemas.openxmlformats.org/officeDocument/2006/relationships/hyperlink" Target="https://we-educacion.com/slides/sap-s-4-hana-fi-54" TargetMode="External"/><Relationship Id="rId147" Type="http://schemas.openxmlformats.org/officeDocument/2006/relationships/hyperlink" Target="https://we-educacion.com/slides/power-bi-presencial-463" TargetMode="External"/><Relationship Id="rId268" Type="http://schemas.openxmlformats.org/officeDocument/2006/relationships/hyperlink" Target="https://we-educacion.com/slides/sap-s-4-hana-fi-54" TargetMode="External"/><Relationship Id="rId389" Type="http://schemas.openxmlformats.org/officeDocument/2006/relationships/hyperlink" Target="https://we-educacion.com/slides/robotizacion-de-procesos-con-uipath-274" TargetMode="External"/><Relationship Id="rId6" Type="http://schemas.openxmlformats.org/officeDocument/2006/relationships/hyperlink" Target="https://we-educacion.com/slides/gestion-de-transportes-73" TargetMode="External"/><Relationship Id="rId146" Type="http://schemas.openxmlformats.org/officeDocument/2006/relationships/hyperlink" Target="https://we-educacion.com/slides/microsoft-excel-basico-221" TargetMode="External"/><Relationship Id="rId267" Type="http://schemas.openxmlformats.org/officeDocument/2006/relationships/hyperlink" Target="https://we-educacion.com/slides/power-bi-avanzado-90" TargetMode="External"/><Relationship Id="rId388" Type="http://schemas.openxmlformats.org/officeDocument/2006/relationships/hyperlink" Target="https://we-educacion.com/slides/kpi-s-y-okr-s-203" TargetMode="External"/><Relationship Id="rId7" Type="http://schemas.openxmlformats.org/officeDocument/2006/relationships/hyperlink" Target="https://we-educacion.com/slides/gestion-agil-de-proyectos-515" TargetMode="External"/><Relationship Id="rId145" Type="http://schemas.openxmlformats.org/officeDocument/2006/relationships/hyperlink" Target="https://we-educacion.com/slides/especializacion-en-microsoft-excel-77" TargetMode="External"/><Relationship Id="rId266" Type="http://schemas.openxmlformats.org/officeDocument/2006/relationships/hyperlink" Target="https://we-educacion.com/slides/lean-six-sigma-yellow-belt-119" TargetMode="External"/><Relationship Id="rId387" Type="http://schemas.openxmlformats.org/officeDocument/2006/relationships/hyperlink" Target="https://we-educacion.com/slides/gestion-financiera-de-proyectos-637" TargetMode="External"/><Relationship Id="rId8" Type="http://schemas.openxmlformats.org/officeDocument/2006/relationships/hyperlink" Target="https://we-educacion.com/slides/python-avanzado-machine-learning-275" TargetMode="External"/><Relationship Id="rId144" Type="http://schemas.openxmlformats.org/officeDocument/2006/relationships/hyperlink" Target="https://we-educacion.com/slides/especializacion-en-microsoft-excel-expert-272" TargetMode="External"/><Relationship Id="rId265" Type="http://schemas.openxmlformats.org/officeDocument/2006/relationships/hyperlink" Target="https://we-educacion.com/slides/microsoft-excel-intermedio-82" TargetMode="External"/><Relationship Id="rId386" Type="http://schemas.openxmlformats.org/officeDocument/2006/relationships/hyperlink" Target="https://we-educacion.com/slides/python-analisis-de-datos-259" TargetMode="External"/><Relationship Id="rId260" Type="http://schemas.openxmlformats.org/officeDocument/2006/relationships/hyperlink" Target="https://we-educacion.com/slides/especializacion-en-power-apps-automate-1113" TargetMode="External"/><Relationship Id="rId381" Type="http://schemas.openxmlformats.org/officeDocument/2006/relationships/hyperlink" Target="https://we-educacion.com/slides/kpi-s-y-okr-s-203" TargetMode="External"/><Relationship Id="rId380" Type="http://schemas.openxmlformats.org/officeDocument/2006/relationships/hyperlink" Target="https://we-educacion.com/slides/lean-six-sigma-yellow-belt-119" TargetMode="External"/><Relationship Id="rId139" Type="http://schemas.openxmlformats.org/officeDocument/2006/relationships/hyperlink" Target="https://we-educacion.com/slides/lean-six-sigma-yellow-belt-119" TargetMode="External"/><Relationship Id="rId138" Type="http://schemas.openxmlformats.org/officeDocument/2006/relationships/hyperlink" Target="https://we-educacion.com/slides/sap-hana-integral-presencial-392" TargetMode="External"/><Relationship Id="rId259" Type="http://schemas.openxmlformats.org/officeDocument/2006/relationships/hyperlink" Target="https://we-educacion.com/slides/power-apps-automate-avanzado-1112" TargetMode="External"/><Relationship Id="rId137" Type="http://schemas.openxmlformats.org/officeDocument/2006/relationships/hyperlink" Target="https://we-educacion.com/slides/python-analisis-de-datos-259" TargetMode="External"/><Relationship Id="rId258" Type="http://schemas.openxmlformats.org/officeDocument/2006/relationships/hyperlink" Target="https://we-educacion.com/slides/gestion-de-compras-y-proveedores-74" TargetMode="External"/><Relationship Id="rId379" Type="http://schemas.openxmlformats.org/officeDocument/2006/relationships/hyperlink" Target="https://we-educacion.com/slides/lean-logistics-67" TargetMode="External"/><Relationship Id="rId132" Type="http://schemas.openxmlformats.org/officeDocument/2006/relationships/hyperlink" Target="https://we-educacion.com/slides/sap-s-4-hana-pp-66" TargetMode="External"/><Relationship Id="rId253" Type="http://schemas.openxmlformats.org/officeDocument/2006/relationships/hyperlink" Target="https://we-educacion.com/slides/especializacion-en-sap-s-4-hana-mineria-1128" TargetMode="External"/><Relationship Id="rId374" Type="http://schemas.openxmlformats.org/officeDocument/2006/relationships/hyperlink" Target="https://we-educacion.com/slides/distribucion-y-almacenes-68" TargetMode="External"/><Relationship Id="rId131" Type="http://schemas.openxmlformats.org/officeDocument/2006/relationships/hyperlink" Target="https://we-educacion.com/slides/gestion-agil-de-proyectos-515" TargetMode="External"/><Relationship Id="rId252" Type="http://schemas.openxmlformats.org/officeDocument/2006/relationships/hyperlink" Target="https://we-educacion.com/slides/especializacion-en-sap-s-4-hana-501" TargetMode="External"/><Relationship Id="rId373" Type="http://schemas.openxmlformats.org/officeDocument/2006/relationships/hyperlink" Target="https://we-educacion.com/slides/kpi-s-y-okr-s-203" TargetMode="External"/><Relationship Id="rId130" Type="http://schemas.openxmlformats.org/officeDocument/2006/relationships/hyperlink" Target="https://we-educacion.com/slides/kpi-s-y-okr-s-203" TargetMode="External"/><Relationship Id="rId251" Type="http://schemas.openxmlformats.org/officeDocument/2006/relationships/hyperlink" Target="https://we-educacion.com/slides/sql-server-for-analytics-52" TargetMode="External"/><Relationship Id="rId372" Type="http://schemas.openxmlformats.org/officeDocument/2006/relationships/hyperlink" Target="https://we-educacion.com/slides/python-analisis-de-datos-259" TargetMode="External"/><Relationship Id="rId250" Type="http://schemas.openxmlformats.org/officeDocument/2006/relationships/hyperlink" Target="https://we-educacion.com/slides/especializacion-en-sql-server-107" TargetMode="External"/><Relationship Id="rId371" Type="http://schemas.openxmlformats.org/officeDocument/2006/relationships/hyperlink" Target="https://we-educacion.com/slides/robotizacion-de-procesos-con-uipath-274" TargetMode="External"/><Relationship Id="rId136" Type="http://schemas.openxmlformats.org/officeDocument/2006/relationships/hyperlink" Target="https://we-educacion.com/slides/especializacion-en-python-data-science-507" TargetMode="External"/><Relationship Id="rId257" Type="http://schemas.openxmlformats.org/officeDocument/2006/relationships/hyperlink" Target="https://we-educacion.com/slides/distribucion-y-almacenes-68" TargetMode="External"/><Relationship Id="rId378" Type="http://schemas.openxmlformats.org/officeDocument/2006/relationships/hyperlink" Target="https://we-educacion.com/slides/python-avanzado-machine-learning-275" TargetMode="External"/><Relationship Id="rId135" Type="http://schemas.openxmlformats.org/officeDocument/2006/relationships/hyperlink" Target="https://we-educacion.com/slides/power-bi-46" TargetMode="External"/><Relationship Id="rId256" Type="http://schemas.openxmlformats.org/officeDocument/2006/relationships/hyperlink" Target="https://we-educacion.com/slides/sap-s-4-hana-sd-194" TargetMode="External"/><Relationship Id="rId377" Type="http://schemas.openxmlformats.org/officeDocument/2006/relationships/hyperlink" Target="https://we-educacion.com/slides/sap-s-4-hana-fi-54" TargetMode="External"/><Relationship Id="rId134" Type="http://schemas.openxmlformats.org/officeDocument/2006/relationships/hyperlink" Target="https://we-educacion.com/slides/especializacion-en-power-bi-106" TargetMode="External"/><Relationship Id="rId255" Type="http://schemas.openxmlformats.org/officeDocument/2006/relationships/hyperlink" Target="https://we-educacion.com/slides/gestion-agil-de-proyectos-515" TargetMode="External"/><Relationship Id="rId376" Type="http://schemas.openxmlformats.org/officeDocument/2006/relationships/hyperlink" Target="https://we-educacion.com/slides/programacion-con-vba-macros-en-excel-159" TargetMode="External"/><Relationship Id="rId133" Type="http://schemas.openxmlformats.org/officeDocument/2006/relationships/hyperlink" Target="https://we-educacion.com/slides/power-bi-avanzado-90" TargetMode="External"/><Relationship Id="rId254" Type="http://schemas.openxmlformats.org/officeDocument/2006/relationships/hyperlink" Target="https://we-educacion.com/slides/sap-s-4-hana-mm-45" TargetMode="External"/><Relationship Id="rId375" Type="http://schemas.openxmlformats.org/officeDocument/2006/relationships/hyperlink" Target="https://we-educacion.com/slides/programacion-con-vba-macros-en-excel-159" TargetMode="External"/><Relationship Id="rId172" Type="http://schemas.openxmlformats.org/officeDocument/2006/relationships/hyperlink" Target="https://we-educacion.com/slides/gestion-de-compras-y-proveedores-74" TargetMode="External"/><Relationship Id="rId293" Type="http://schemas.openxmlformats.org/officeDocument/2006/relationships/hyperlink" Target="https://we-educacion.com/slides/data-analytics-262" TargetMode="External"/><Relationship Id="rId171" Type="http://schemas.openxmlformats.org/officeDocument/2006/relationships/hyperlink" Target="https://we-educacion.com/slides/power-apps-automate-avanzado-1112" TargetMode="External"/><Relationship Id="rId292" Type="http://schemas.openxmlformats.org/officeDocument/2006/relationships/hyperlink" Target="https://we-educacion.com/slides/diplomado-en-inteligencia-y-analisis-de-datos-261" TargetMode="External"/><Relationship Id="rId170" Type="http://schemas.openxmlformats.org/officeDocument/2006/relationships/hyperlink" Target="https://we-educacion.com/slides/lean-logistics-67" TargetMode="External"/><Relationship Id="rId291" Type="http://schemas.openxmlformats.org/officeDocument/2006/relationships/hyperlink" Target="https://we-educacion.com/slides/python-analisis-de-datos-259" TargetMode="External"/><Relationship Id="rId290" Type="http://schemas.openxmlformats.org/officeDocument/2006/relationships/hyperlink" Target="https://we-educacion.com/slides/lean-logistics-67" TargetMode="External"/><Relationship Id="rId165" Type="http://schemas.openxmlformats.org/officeDocument/2006/relationships/hyperlink" Target="https://we-educacion.com/slides/sql-server-for-analytics-52" TargetMode="External"/><Relationship Id="rId286" Type="http://schemas.openxmlformats.org/officeDocument/2006/relationships/hyperlink" Target="https://we-educacion.com/slides/especializacion-en-sql-server-107" TargetMode="External"/><Relationship Id="rId164" Type="http://schemas.openxmlformats.org/officeDocument/2006/relationships/hyperlink" Target="https://we-educacion.com/slides/especializacion-en-sql-server-107" TargetMode="External"/><Relationship Id="rId285" Type="http://schemas.openxmlformats.org/officeDocument/2006/relationships/hyperlink" Target="https://we-educacion.com/slides/power-bi-46" TargetMode="External"/><Relationship Id="rId163" Type="http://schemas.openxmlformats.org/officeDocument/2006/relationships/hyperlink" Target="https://we-educacion.com/slides/pee-analista-de-datos-96" TargetMode="External"/><Relationship Id="rId284" Type="http://schemas.openxmlformats.org/officeDocument/2006/relationships/hyperlink" Target="https://we-educacion.com/slides/especializacion-en-power-bi-106" TargetMode="External"/><Relationship Id="rId162" Type="http://schemas.openxmlformats.org/officeDocument/2006/relationships/hyperlink" Target="https://we-educacion.com/slides/microsoft-excel-intermedio-82" TargetMode="External"/><Relationship Id="rId283" Type="http://schemas.openxmlformats.org/officeDocument/2006/relationships/hyperlink" Target="https://we-educacion.com/slides/sap-s-4-hana-hcm-1134" TargetMode="External"/><Relationship Id="rId169" Type="http://schemas.openxmlformats.org/officeDocument/2006/relationships/hyperlink" Target="https://we-educacion.com/slides/sap-s-4-hana-mm-45" TargetMode="External"/><Relationship Id="rId168" Type="http://schemas.openxmlformats.org/officeDocument/2006/relationships/hyperlink" Target="https://we-educacion.com/slides/especializacion-en-sap-s-4-hana-planificacion-de-la-produccion-357" TargetMode="External"/><Relationship Id="rId289" Type="http://schemas.openxmlformats.org/officeDocument/2006/relationships/hyperlink" Target="https://we-educacion.com/slides/contabilidad-financiera-1129" TargetMode="External"/><Relationship Id="rId167" Type="http://schemas.openxmlformats.org/officeDocument/2006/relationships/hyperlink" Target="https://we-educacion.com/slides/especializacion-en-sap-s-4-hana-compras-y-almacenes-358" TargetMode="External"/><Relationship Id="rId288" Type="http://schemas.openxmlformats.org/officeDocument/2006/relationships/hyperlink" Target="https://we-educacion.com/slides/especializacion-en-finanzas-aplicadas-1130" TargetMode="External"/><Relationship Id="rId166" Type="http://schemas.openxmlformats.org/officeDocument/2006/relationships/hyperlink" Target="https://we-educacion.com/slides/especializacion-en-sap-s-4-hana-logistica-integral-108" TargetMode="External"/><Relationship Id="rId287" Type="http://schemas.openxmlformats.org/officeDocument/2006/relationships/hyperlink" Target="https://we-educacion.com/slides/sql-server-for-analytics-52" TargetMode="External"/><Relationship Id="rId161" Type="http://schemas.openxmlformats.org/officeDocument/2006/relationships/hyperlink" Target="https://we-educacion.com/slides/gestion-de-proyectos-162" TargetMode="External"/><Relationship Id="rId282" Type="http://schemas.openxmlformats.org/officeDocument/2006/relationships/hyperlink" Target="https://we-educacion.com/slides/gestion-agil-de-proyectos-515" TargetMode="External"/><Relationship Id="rId160" Type="http://schemas.openxmlformats.org/officeDocument/2006/relationships/hyperlink" Target="https://we-educacion.com/slides/especializacion-en-gestion-de-proyectos-350" TargetMode="External"/><Relationship Id="rId281" Type="http://schemas.openxmlformats.org/officeDocument/2006/relationships/hyperlink" Target="https://we-educacion.com/slides/python-analisis-de-datos-259" TargetMode="External"/><Relationship Id="rId280" Type="http://schemas.openxmlformats.org/officeDocument/2006/relationships/hyperlink" Target="https://we-educacion.com/slides/especializacion-en-python-data-science-507" TargetMode="External"/><Relationship Id="rId159" Type="http://schemas.openxmlformats.org/officeDocument/2006/relationships/hyperlink" Target="https://we-educacion.com/slides/pee-analista-de-proyectos-163" TargetMode="External"/><Relationship Id="rId154" Type="http://schemas.openxmlformats.org/officeDocument/2006/relationships/hyperlink" Target="https://we-educacion.com/slides/ms-project-basico-intermedio-95" TargetMode="External"/><Relationship Id="rId275" Type="http://schemas.openxmlformats.org/officeDocument/2006/relationships/hyperlink" Target="https://we-educacion.com/slides/pmo-gestion-de-portafolio-y-oficina-de-proyectos-1213" TargetMode="External"/><Relationship Id="rId153" Type="http://schemas.openxmlformats.org/officeDocument/2006/relationships/hyperlink" Target="https://we-educacion.com/slides/power-apps-automate-1073" TargetMode="External"/><Relationship Id="rId274" Type="http://schemas.openxmlformats.org/officeDocument/2006/relationships/hyperlink" Target="https://we-educacion.com/slides/modelamiento-de-procesos-con-bizagi-118" TargetMode="External"/><Relationship Id="rId152" Type="http://schemas.openxmlformats.org/officeDocument/2006/relationships/hyperlink" Target="https://we-educacion.com/slides/especializacion-en-power-apps-automate-1113" TargetMode="External"/><Relationship Id="rId273" Type="http://schemas.openxmlformats.org/officeDocument/2006/relationships/hyperlink" Target="https://we-educacion.com/slides/microsoft-excel-intermedio-82" TargetMode="External"/><Relationship Id="rId151" Type="http://schemas.openxmlformats.org/officeDocument/2006/relationships/hyperlink" Target="https://we-educacion.com/slides/diplomado-en-supply-chain-management-49" TargetMode="External"/><Relationship Id="rId272" Type="http://schemas.openxmlformats.org/officeDocument/2006/relationships/hyperlink" Target="https://we-educacion.com/slides/programacion-con-vba-macros-en-excel-159" TargetMode="External"/><Relationship Id="rId393" Type="http://schemas.openxmlformats.org/officeDocument/2006/relationships/drawing" Target="../drawings/drawing1.xml"/><Relationship Id="rId158" Type="http://schemas.openxmlformats.org/officeDocument/2006/relationships/hyperlink" Target="https://we-educacion.com/slides/diplomado-en-gestion-de-proyectos-209" TargetMode="External"/><Relationship Id="rId279" Type="http://schemas.openxmlformats.org/officeDocument/2006/relationships/hyperlink" Target="https://we-educacion.com/slides/sap-s-4-hana-in-mm-fi-pp-sd-51" TargetMode="External"/><Relationship Id="rId157" Type="http://schemas.openxmlformats.org/officeDocument/2006/relationships/hyperlink" Target="https://we-educacion.com/slides/sap-s-4-hana-fi-54" TargetMode="External"/><Relationship Id="rId278" Type="http://schemas.openxmlformats.org/officeDocument/2006/relationships/hyperlink" Target="https://we-educacion.com/slides/microsoft-excel-basico-221" TargetMode="External"/><Relationship Id="rId156" Type="http://schemas.openxmlformats.org/officeDocument/2006/relationships/hyperlink" Target="https://we-educacion.com/slides/sap-s-4-hana-hcm-1134" TargetMode="External"/><Relationship Id="rId277" Type="http://schemas.openxmlformats.org/officeDocument/2006/relationships/hyperlink" Target="https://we-educacion.com/slides/especializacion-en-microsoft-excel-77" TargetMode="External"/><Relationship Id="rId155" Type="http://schemas.openxmlformats.org/officeDocument/2006/relationships/hyperlink" Target="https://we-educacion.com/slides/azure-data-fundamentals-1225" TargetMode="External"/><Relationship Id="rId276" Type="http://schemas.openxmlformats.org/officeDocument/2006/relationships/hyperlink" Target="https://we-educacion.com/slides/especializacion-en-microsoft-excel-expert-272" TargetMode="External"/><Relationship Id="rId40" Type="http://schemas.openxmlformats.org/officeDocument/2006/relationships/hyperlink" Target="https://we-educacion.com/slides/distribucion-y-almacenes-68" TargetMode="External"/><Relationship Id="rId42" Type="http://schemas.openxmlformats.org/officeDocument/2006/relationships/hyperlink" Target="https://we-educacion.com/slides/especializacion-en-sap-s-4-hana-501" TargetMode="External"/><Relationship Id="rId41" Type="http://schemas.openxmlformats.org/officeDocument/2006/relationships/hyperlink" Target="https://we-educacion.com/slides/python-analisis-de-datos-259" TargetMode="External"/><Relationship Id="rId44" Type="http://schemas.openxmlformats.org/officeDocument/2006/relationships/hyperlink" Target="https://we-educacion.com/slides/programacion-con-vba-macros-en-excel-159" TargetMode="External"/><Relationship Id="rId43" Type="http://schemas.openxmlformats.org/officeDocument/2006/relationships/hyperlink" Target="https://we-educacion.com/slides/sap-s-4-hana-mm-45" TargetMode="External"/><Relationship Id="rId46" Type="http://schemas.openxmlformats.org/officeDocument/2006/relationships/hyperlink" Target="https://we-educacion.com/slides/especializacion-en-python-data-science-507" TargetMode="External"/><Relationship Id="rId45" Type="http://schemas.openxmlformats.org/officeDocument/2006/relationships/hyperlink" Target="https://we-educacion.com/slides/gestion-de-transportes-73" TargetMode="External"/><Relationship Id="rId48" Type="http://schemas.openxmlformats.org/officeDocument/2006/relationships/hyperlink" Target="https://we-educacion.com/slides/sap-s-4-hana-pm-1127" TargetMode="External"/><Relationship Id="rId47" Type="http://schemas.openxmlformats.org/officeDocument/2006/relationships/hyperlink" Target="https://we-educacion.com/slides/python-analisis-de-datos-259" TargetMode="External"/><Relationship Id="rId49" Type="http://schemas.openxmlformats.org/officeDocument/2006/relationships/hyperlink" Target="https://we-educacion.com/slides/microsoft-excel-intermedio-82" TargetMode="External"/><Relationship Id="rId31" Type="http://schemas.openxmlformats.org/officeDocument/2006/relationships/hyperlink" Target="https://we-educacion.com/slides/microsoft-excel-intermedio-82" TargetMode="External"/><Relationship Id="rId30" Type="http://schemas.openxmlformats.org/officeDocument/2006/relationships/hyperlink" Target="https://we-educacion.com/slides/planeamiento-pronostico-de-la-demanda-78" TargetMode="External"/><Relationship Id="rId33" Type="http://schemas.openxmlformats.org/officeDocument/2006/relationships/hyperlink" Target="https://we-educacion.com/slides/power-apps-automate-1073" TargetMode="External"/><Relationship Id="rId32" Type="http://schemas.openxmlformats.org/officeDocument/2006/relationships/hyperlink" Target="https://we-educacion.com/slides/especializacion-en-power-apps-automate-1113" TargetMode="External"/><Relationship Id="rId35" Type="http://schemas.openxmlformats.org/officeDocument/2006/relationships/hyperlink" Target="https://we-educacion.com/slides/sap-s-4-hana-sd-194" TargetMode="External"/><Relationship Id="rId34" Type="http://schemas.openxmlformats.org/officeDocument/2006/relationships/hyperlink" Target="https://we-educacion.com/slides/python-avanzado-machine-learning-275" TargetMode="External"/><Relationship Id="rId37" Type="http://schemas.openxmlformats.org/officeDocument/2006/relationships/hyperlink" Target="https://we-educacion.com/slides/robotizacion-de-procesos-con-uipath-274" TargetMode="External"/><Relationship Id="rId36" Type="http://schemas.openxmlformats.org/officeDocument/2006/relationships/hyperlink" Target="https://we-educacion.com/slides/azure-data-fundamentals-1225" TargetMode="External"/><Relationship Id="rId39" Type="http://schemas.openxmlformats.org/officeDocument/2006/relationships/hyperlink" Target="https://we-educacion.com/slides/power-bi-presencial-463" TargetMode="External"/><Relationship Id="rId38" Type="http://schemas.openxmlformats.org/officeDocument/2006/relationships/hyperlink" Target="https://we-educacion.com/slides/kpi-s-y-okr-s-203" TargetMode="External"/><Relationship Id="rId20" Type="http://schemas.openxmlformats.org/officeDocument/2006/relationships/hyperlink" Target="https://we-educacion.com/slides/sql-server-for-analytics-52" TargetMode="External"/><Relationship Id="rId22" Type="http://schemas.openxmlformats.org/officeDocument/2006/relationships/hyperlink" Target="https://we-educacion.com/slides/especializacion-en-microsoft-excel-77" TargetMode="External"/><Relationship Id="rId21" Type="http://schemas.openxmlformats.org/officeDocument/2006/relationships/hyperlink" Target="https://we-educacion.com/slides/especializacion-en-microsoft-excel-expert-272" TargetMode="External"/><Relationship Id="rId24" Type="http://schemas.openxmlformats.org/officeDocument/2006/relationships/hyperlink" Target="https://we-educacion.com/slides/programacion-con-vba-macros-en-excel-159" TargetMode="External"/><Relationship Id="rId23" Type="http://schemas.openxmlformats.org/officeDocument/2006/relationships/hyperlink" Target="https://we-educacion.com/slides/microsoft-excel-basico-221" TargetMode="External"/><Relationship Id="rId26" Type="http://schemas.openxmlformats.org/officeDocument/2006/relationships/hyperlink" Target="https://we-educacion.com/slides/sap-s-4-hana-in-mm-fi-pp-sd-51" TargetMode="External"/><Relationship Id="rId25" Type="http://schemas.openxmlformats.org/officeDocument/2006/relationships/hyperlink" Target="https://we-educacion.com/slides/robotizacion-de-procesos-con-uipath-274" TargetMode="External"/><Relationship Id="rId28" Type="http://schemas.openxmlformats.org/officeDocument/2006/relationships/hyperlink" Target="https://we-educacion.com/slides/python-analisis-de-datos-259" TargetMode="External"/><Relationship Id="rId27" Type="http://schemas.openxmlformats.org/officeDocument/2006/relationships/hyperlink" Target="https://we-educacion.com/slides/power-bi-avanzado-90" TargetMode="External"/><Relationship Id="rId29" Type="http://schemas.openxmlformats.org/officeDocument/2006/relationships/hyperlink" Target="https://we-educacion.com/slides/diplomado-en-supply-chain-management-49" TargetMode="External"/><Relationship Id="rId11" Type="http://schemas.openxmlformats.org/officeDocument/2006/relationships/hyperlink" Target="https://we-educacion.com/slides/especializacion-en-gestion-de-proyectos-350" TargetMode="External"/><Relationship Id="rId10" Type="http://schemas.openxmlformats.org/officeDocument/2006/relationships/hyperlink" Target="https://we-educacion.com/slides/pee-analista-de-proyectos-163" TargetMode="External"/><Relationship Id="rId13" Type="http://schemas.openxmlformats.org/officeDocument/2006/relationships/hyperlink" Target="https://we-educacion.com/slides/sap-s-4-hana-ewm-361" TargetMode="External"/><Relationship Id="rId12" Type="http://schemas.openxmlformats.org/officeDocument/2006/relationships/hyperlink" Target="https://we-educacion.com/slides/gestion-de-proyectos-162" TargetMode="External"/><Relationship Id="rId15" Type="http://schemas.openxmlformats.org/officeDocument/2006/relationships/hyperlink" Target="https://we-educacion.com/slides/data-analytics-262" TargetMode="External"/><Relationship Id="rId14" Type="http://schemas.openxmlformats.org/officeDocument/2006/relationships/hyperlink" Target="https://we-educacion.com/slides/diplomado-en-inteligencia-y-analisis-de-datos-261" TargetMode="External"/><Relationship Id="rId17" Type="http://schemas.openxmlformats.org/officeDocument/2006/relationships/hyperlink" Target="https://we-educacion.com/slides/gestion-financiera-de-proyectos-637" TargetMode="External"/><Relationship Id="rId16" Type="http://schemas.openxmlformats.org/officeDocument/2006/relationships/hyperlink" Target="https://we-educacion.com/slides/modelamiento-de-procesos-con-bizagi-118" TargetMode="External"/><Relationship Id="rId19" Type="http://schemas.openxmlformats.org/officeDocument/2006/relationships/hyperlink" Target="https://we-educacion.com/slides/especializacion-en-sql-server-107" TargetMode="External"/><Relationship Id="rId18" Type="http://schemas.openxmlformats.org/officeDocument/2006/relationships/hyperlink" Target="https://we-educacion.com/slides/ms-project-basico-intermedio-95" TargetMode="External"/><Relationship Id="rId84" Type="http://schemas.openxmlformats.org/officeDocument/2006/relationships/hyperlink" Target="https://we-educacion.com/slides/especializacion-en-sap-s-4-hana-planificacion-de-la-produccion-357" TargetMode="External"/><Relationship Id="rId83" Type="http://schemas.openxmlformats.org/officeDocument/2006/relationships/hyperlink" Target="https://we-educacion.com/slides/power-bi-46" TargetMode="External"/><Relationship Id="rId86" Type="http://schemas.openxmlformats.org/officeDocument/2006/relationships/hyperlink" Target="https://we-educacion.com/slides/microsoft-excel-avanzado-59" TargetMode="External"/><Relationship Id="rId85" Type="http://schemas.openxmlformats.org/officeDocument/2006/relationships/hyperlink" Target="https://we-educacion.com/slides/sap-s-4-hana-mm-45" TargetMode="External"/><Relationship Id="rId88" Type="http://schemas.openxmlformats.org/officeDocument/2006/relationships/hyperlink" Target="https://we-educacion.com/slides/sap-s-4-hana-pp-66" TargetMode="External"/><Relationship Id="rId87" Type="http://schemas.openxmlformats.org/officeDocument/2006/relationships/hyperlink" Target="https://we-educacion.com/slides/gestion-agil-de-proyectos-515" TargetMode="External"/><Relationship Id="rId89" Type="http://schemas.openxmlformats.org/officeDocument/2006/relationships/hyperlink" Target="https://we-educacion.com/slides/diplomado-en-supply-chain-management-49" TargetMode="External"/><Relationship Id="rId80" Type="http://schemas.openxmlformats.org/officeDocument/2006/relationships/hyperlink" Target="https://we-educacion.com/slides/gestion-financiera-de-proyectos-637" TargetMode="External"/><Relationship Id="rId82" Type="http://schemas.openxmlformats.org/officeDocument/2006/relationships/hyperlink" Target="https://we-educacion.com/slides/especializacion-en-power-bi-106" TargetMode="External"/><Relationship Id="rId81" Type="http://schemas.openxmlformats.org/officeDocument/2006/relationships/hyperlink" Target="https://we-educacion.com/slides/sql-server-avanzado-93" TargetMode="External"/><Relationship Id="rId73" Type="http://schemas.openxmlformats.org/officeDocument/2006/relationships/hyperlink" Target="https://we-educacion.com/slides/data-analytics-262" TargetMode="External"/><Relationship Id="rId72" Type="http://schemas.openxmlformats.org/officeDocument/2006/relationships/hyperlink" Target="https://we-educacion.com/slides/diplomado-en-inteligencia-y-analisis-de-datos-261" TargetMode="External"/><Relationship Id="rId75" Type="http://schemas.openxmlformats.org/officeDocument/2006/relationships/hyperlink" Target="https://we-educacion.com/slides/especializacion-en-power-apps-automate-1113" TargetMode="External"/><Relationship Id="rId74" Type="http://schemas.openxmlformats.org/officeDocument/2006/relationships/hyperlink" Target="https://we-educacion.com/slides/power-apps-automate-avanzado-1112" TargetMode="External"/><Relationship Id="rId77" Type="http://schemas.openxmlformats.org/officeDocument/2006/relationships/hyperlink" Target="https://we-educacion.com/slides/lean-six-sigma-yellow-belt-119" TargetMode="External"/><Relationship Id="rId76" Type="http://schemas.openxmlformats.org/officeDocument/2006/relationships/hyperlink" Target="https://we-educacion.com/slides/power-apps-automate-1073" TargetMode="External"/><Relationship Id="rId79" Type="http://schemas.openxmlformats.org/officeDocument/2006/relationships/hyperlink" Target="https://we-educacion.com/slides/gestion-agil-de-proyectos-515" TargetMode="External"/><Relationship Id="rId78" Type="http://schemas.openxmlformats.org/officeDocument/2006/relationships/hyperlink" Target="https://we-educacion.com/slides/ia-deep-learning-1071" TargetMode="External"/><Relationship Id="rId71" Type="http://schemas.openxmlformats.org/officeDocument/2006/relationships/hyperlink" Target="https://we-educacion.com/slides/sql-server-for-analytics-presencial-1105" TargetMode="External"/><Relationship Id="rId70" Type="http://schemas.openxmlformats.org/officeDocument/2006/relationships/hyperlink" Target="https://we-educacion.com/slides/gestion-de-proyectos-162" TargetMode="External"/><Relationship Id="rId62" Type="http://schemas.openxmlformats.org/officeDocument/2006/relationships/hyperlink" Target="https://we-educacion.com/slides/modelamiento-de-procesos-con-bizagi-118" TargetMode="External"/><Relationship Id="rId61" Type="http://schemas.openxmlformats.org/officeDocument/2006/relationships/hyperlink" Target="https://we-educacion.com/slides/sap-s-4-hana-fi-54" TargetMode="External"/><Relationship Id="rId64" Type="http://schemas.openxmlformats.org/officeDocument/2006/relationships/hyperlink" Target="https://we-educacion.com/slides/sap-s-4-hana-hcm-1134" TargetMode="External"/><Relationship Id="rId63" Type="http://schemas.openxmlformats.org/officeDocument/2006/relationships/hyperlink" Target="https://we-educacion.com/slides/sap-s-4-hana-in-mm-fi-pp-sd-51" TargetMode="External"/><Relationship Id="rId66" Type="http://schemas.openxmlformats.org/officeDocument/2006/relationships/hyperlink" Target="https://we-educacion.com/slides/lean-logistics-67" TargetMode="External"/><Relationship Id="rId65" Type="http://schemas.openxmlformats.org/officeDocument/2006/relationships/hyperlink" Target="https://we-educacion.com/slides/react-js-react-native-1107" TargetMode="External"/><Relationship Id="rId68" Type="http://schemas.openxmlformats.org/officeDocument/2006/relationships/hyperlink" Target="https://we-educacion.com/slides/pee-analista-de-proyectos-163" TargetMode="External"/><Relationship Id="rId67" Type="http://schemas.openxmlformats.org/officeDocument/2006/relationships/hyperlink" Target="https://we-educacion.com/slides/diplomado-en-gestion-de-proyectos-209" TargetMode="External"/><Relationship Id="rId60" Type="http://schemas.openxmlformats.org/officeDocument/2006/relationships/hyperlink" Target="https://we-educacion.com/slides/costos-presupuestos-465" TargetMode="External"/><Relationship Id="rId69" Type="http://schemas.openxmlformats.org/officeDocument/2006/relationships/hyperlink" Target="https://we-educacion.com/slides/especializacion-en-gestion-de-proyectos-350" TargetMode="External"/><Relationship Id="rId51" Type="http://schemas.openxmlformats.org/officeDocument/2006/relationships/hyperlink" Target="https://we-educacion.com/slides/sql-server-for-analytics-52" TargetMode="External"/><Relationship Id="rId50" Type="http://schemas.openxmlformats.org/officeDocument/2006/relationships/hyperlink" Target="https://we-educacion.com/slides/pee-analista-de-datos-96" TargetMode="External"/><Relationship Id="rId53" Type="http://schemas.openxmlformats.org/officeDocument/2006/relationships/hyperlink" Target="https://we-educacion.com/slides/especializacion-en-microsoft-excel-expert-272" TargetMode="External"/><Relationship Id="rId52" Type="http://schemas.openxmlformats.org/officeDocument/2006/relationships/hyperlink" Target="https://we-educacion.com/slides/databricks-analisis-de-datos-1231" TargetMode="External"/><Relationship Id="rId55" Type="http://schemas.openxmlformats.org/officeDocument/2006/relationships/hyperlink" Target="https://we-educacion.com/slides/microsoft-excel-basico-221" TargetMode="External"/><Relationship Id="rId54" Type="http://schemas.openxmlformats.org/officeDocument/2006/relationships/hyperlink" Target="https://we-educacion.com/slides/especializacion-en-microsoft-excel-77" TargetMode="External"/><Relationship Id="rId57" Type="http://schemas.openxmlformats.org/officeDocument/2006/relationships/hyperlink" Target="https://we-educacion.com/slides/power-apps-automate-avanzado-1112" TargetMode="External"/><Relationship Id="rId56" Type="http://schemas.openxmlformats.org/officeDocument/2006/relationships/hyperlink" Target="https://we-educacion.com/slides/gestion-agil-de-proyectos-515" TargetMode="External"/><Relationship Id="rId59" Type="http://schemas.openxmlformats.org/officeDocument/2006/relationships/hyperlink" Target="https://we-educacion.com/slides/ms-project-basico-intermedio-95" TargetMode="External"/><Relationship Id="rId58" Type="http://schemas.openxmlformats.org/officeDocument/2006/relationships/hyperlink" Target="https://we-educacion.com/slides/sap-hana-integral-presencial-392" TargetMode="External"/><Relationship Id="rId107" Type="http://schemas.openxmlformats.org/officeDocument/2006/relationships/hyperlink" Target="https://we-educacion.com/slides/programacion-web-516" TargetMode="External"/><Relationship Id="rId228" Type="http://schemas.openxmlformats.org/officeDocument/2006/relationships/hyperlink" Target="https://we-educacion.com/slides/power-bi-46" TargetMode="External"/><Relationship Id="rId349" Type="http://schemas.openxmlformats.org/officeDocument/2006/relationships/hyperlink" Target="https://we-educacion.com/slides/power-bi-46" TargetMode="External"/><Relationship Id="rId106" Type="http://schemas.openxmlformats.org/officeDocument/2006/relationships/hyperlink" Target="https://we-educacion.com/slides/especializacion-front-end-desarrollo-web-1102" TargetMode="External"/><Relationship Id="rId227" Type="http://schemas.openxmlformats.org/officeDocument/2006/relationships/hyperlink" Target="https://we-educacion.com/slides/especializacion-en-power-bi-106" TargetMode="External"/><Relationship Id="rId348" Type="http://schemas.openxmlformats.org/officeDocument/2006/relationships/hyperlink" Target="https://we-educacion.com/slides/costos-presupuestos-465" TargetMode="External"/><Relationship Id="rId105" Type="http://schemas.openxmlformats.org/officeDocument/2006/relationships/hyperlink" Target="https://we-educacion.com/slides/sql-server-for-analytics-52" TargetMode="External"/><Relationship Id="rId226" Type="http://schemas.openxmlformats.org/officeDocument/2006/relationships/hyperlink" Target="https://we-educacion.com/slides/microsoft-excel-basico-221" TargetMode="External"/><Relationship Id="rId347" Type="http://schemas.openxmlformats.org/officeDocument/2006/relationships/hyperlink" Target="https://we-educacion.com/slides/sql-server-avanzado-93" TargetMode="External"/><Relationship Id="rId104" Type="http://schemas.openxmlformats.org/officeDocument/2006/relationships/hyperlink" Target="https://we-educacion.com/slides/especializacion-en-sql-server-107" TargetMode="External"/><Relationship Id="rId225" Type="http://schemas.openxmlformats.org/officeDocument/2006/relationships/hyperlink" Target="https://we-educacion.com/slides/especializacion-en-microsoft-excel-expert-272" TargetMode="External"/><Relationship Id="rId346" Type="http://schemas.openxmlformats.org/officeDocument/2006/relationships/hyperlink" Target="https://we-educacion.com/slides/power-apps-automate-avanzado-1112" TargetMode="External"/><Relationship Id="rId109" Type="http://schemas.openxmlformats.org/officeDocument/2006/relationships/hyperlink" Target="https://we-educacion.com/slides/especializacion-en-microsoft-excel-77" TargetMode="External"/><Relationship Id="rId108" Type="http://schemas.openxmlformats.org/officeDocument/2006/relationships/hyperlink" Target="https://we-educacion.com/slides/especializacion-en-microsoft-excel-expert-272" TargetMode="External"/><Relationship Id="rId229" Type="http://schemas.openxmlformats.org/officeDocument/2006/relationships/hyperlink" Target="https://we-educacion.com/slides/sap-s-4-hana-fi-54" TargetMode="External"/><Relationship Id="rId220" Type="http://schemas.openxmlformats.org/officeDocument/2006/relationships/hyperlink" Target="https://we-educacion.com/slides/power-bi-avanzado-90" TargetMode="External"/><Relationship Id="rId341" Type="http://schemas.openxmlformats.org/officeDocument/2006/relationships/hyperlink" Target="https://we-educacion.com/slides/lean-six-sigma-yellow-belt-119" TargetMode="External"/><Relationship Id="rId340" Type="http://schemas.openxmlformats.org/officeDocument/2006/relationships/hyperlink" Target="https://we-educacion.com/slides/pmo-gestion-de-portafolio-y-oficina-de-proyectos-1213" TargetMode="External"/><Relationship Id="rId103" Type="http://schemas.openxmlformats.org/officeDocument/2006/relationships/hyperlink" Target="https://we-educacion.com/slides/robotizacion-de-procesos-con-uipath-274" TargetMode="External"/><Relationship Id="rId224" Type="http://schemas.openxmlformats.org/officeDocument/2006/relationships/hyperlink" Target="https://we-educacion.com/slides/especializacion-en-microsoft-excel-77" TargetMode="External"/><Relationship Id="rId345" Type="http://schemas.openxmlformats.org/officeDocument/2006/relationships/hyperlink" Target="https://we-educacion.com/slides/microsoft-excel-intermedio-82" TargetMode="External"/><Relationship Id="rId102" Type="http://schemas.openxmlformats.org/officeDocument/2006/relationships/hyperlink" Target="https://we-educacion.com/slides/lean-logistics-67" TargetMode="External"/><Relationship Id="rId223" Type="http://schemas.openxmlformats.org/officeDocument/2006/relationships/hyperlink" Target="https://we-educacion.com/slides/programacion-con-vba-macros-en-excel-159" TargetMode="External"/><Relationship Id="rId344" Type="http://schemas.openxmlformats.org/officeDocument/2006/relationships/hyperlink" Target="https://we-educacion.com/slides/microsoft-excel-avanzado-59" TargetMode="External"/><Relationship Id="rId101" Type="http://schemas.openxmlformats.org/officeDocument/2006/relationships/hyperlink" Target="https://we-educacion.com/slides/planeamiento-financiero-1207" TargetMode="External"/><Relationship Id="rId222" Type="http://schemas.openxmlformats.org/officeDocument/2006/relationships/hyperlink" Target="https://we-educacion.com/slides/kpi-s-y-okr-s-203" TargetMode="External"/><Relationship Id="rId343" Type="http://schemas.openxmlformats.org/officeDocument/2006/relationships/hyperlink" Target="https://we-educacion.com/slides/gestion-de-compras-y-proveedores-74" TargetMode="External"/><Relationship Id="rId100" Type="http://schemas.openxmlformats.org/officeDocument/2006/relationships/hyperlink" Target="https://we-educacion.com/slides/diplomado-en-gestion-financiera-1209" TargetMode="External"/><Relationship Id="rId221" Type="http://schemas.openxmlformats.org/officeDocument/2006/relationships/hyperlink" Target="https://we-educacion.com/slides/python-avanzado-machine-learning-275" TargetMode="External"/><Relationship Id="rId342" Type="http://schemas.openxmlformats.org/officeDocument/2006/relationships/hyperlink" Target="https://we-educacion.com/slides/gestion-financiera-de-proyectos-637" TargetMode="External"/><Relationship Id="rId217" Type="http://schemas.openxmlformats.org/officeDocument/2006/relationships/hyperlink" Target="https://we-educacion.com/slides/power-bi-avanzado-90" TargetMode="External"/><Relationship Id="rId338" Type="http://schemas.openxmlformats.org/officeDocument/2006/relationships/hyperlink" Target="https://we-educacion.com/slides/sql-server-for-analytics-52" TargetMode="External"/><Relationship Id="rId216" Type="http://schemas.openxmlformats.org/officeDocument/2006/relationships/hyperlink" Target="https://we-educacion.com/slides/sap-s-4-hana-in-mm-fi-pp-sd-51" TargetMode="External"/><Relationship Id="rId337" Type="http://schemas.openxmlformats.org/officeDocument/2006/relationships/hyperlink" Target="https://we-educacion.com/slides/sap-s-4-hana-fi-54" TargetMode="External"/><Relationship Id="rId215" Type="http://schemas.openxmlformats.org/officeDocument/2006/relationships/hyperlink" Target="https://we-educacion.com/slides/power-apps-automate-1073" TargetMode="External"/><Relationship Id="rId336" Type="http://schemas.openxmlformats.org/officeDocument/2006/relationships/hyperlink" Target="https://we-educacion.com/slides/sap-s-4-hana-ewm-361" TargetMode="External"/><Relationship Id="rId214" Type="http://schemas.openxmlformats.org/officeDocument/2006/relationships/hyperlink" Target="https://we-educacion.com/slides/especializacion-en-power-apps-automate-1113" TargetMode="External"/><Relationship Id="rId335" Type="http://schemas.openxmlformats.org/officeDocument/2006/relationships/hyperlink" Target="https://we-educacion.com/slides/especializacion-en-sql-server-107" TargetMode="External"/><Relationship Id="rId219" Type="http://schemas.openxmlformats.org/officeDocument/2006/relationships/hyperlink" Target="https://we-educacion.com/slides/gestion-de-transportes-73" TargetMode="External"/><Relationship Id="rId218" Type="http://schemas.openxmlformats.org/officeDocument/2006/relationships/hyperlink" Target="https://we-educacion.com/slides/robotizacion-de-procesos-con-uipath-274" TargetMode="External"/><Relationship Id="rId339" Type="http://schemas.openxmlformats.org/officeDocument/2006/relationships/hyperlink" Target="https://we-educacion.com/slides/programacion-con-vba-macros-en-excel-159" TargetMode="External"/><Relationship Id="rId330" Type="http://schemas.openxmlformats.org/officeDocument/2006/relationships/hyperlink" Target="https://we-educacion.com/slides/kpi-s-y-okr-s-203" TargetMode="External"/><Relationship Id="rId213" Type="http://schemas.openxmlformats.org/officeDocument/2006/relationships/hyperlink" Target="https://we-educacion.com/slides/planeamiento-pronostico-de-la-demanda-78" TargetMode="External"/><Relationship Id="rId334" Type="http://schemas.openxmlformats.org/officeDocument/2006/relationships/hyperlink" Target="https://we-educacion.com/slides/gestion-de-transportes-73" TargetMode="External"/><Relationship Id="rId212" Type="http://schemas.openxmlformats.org/officeDocument/2006/relationships/hyperlink" Target="https://we-educacion.com/slides/diplomado-en-supply-chain-management-49" TargetMode="External"/><Relationship Id="rId333" Type="http://schemas.openxmlformats.org/officeDocument/2006/relationships/hyperlink" Target="https://we-educacion.com/slides/python-analisis-de-datos-259" TargetMode="External"/><Relationship Id="rId211" Type="http://schemas.openxmlformats.org/officeDocument/2006/relationships/hyperlink" Target="https://we-educacion.com/slides/sap-s-4-hana-ewm-361" TargetMode="External"/><Relationship Id="rId332" Type="http://schemas.openxmlformats.org/officeDocument/2006/relationships/hyperlink" Target="https://we-educacion.com/slides/power-bi-avanzado-90" TargetMode="External"/><Relationship Id="rId210" Type="http://schemas.openxmlformats.org/officeDocument/2006/relationships/hyperlink" Target="https://we-educacion.com/slides/sql-server-avanzado-93" TargetMode="External"/><Relationship Id="rId331" Type="http://schemas.openxmlformats.org/officeDocument/2006/relationships/hyperlink" Target="https://we-educacion.com/slides/planeamiento-pronostico-de-la-demanda-78" TargetMode="External"/><Relationship Id="rId370" Type="http://schemas.openxmlformats.org/officeDocument/2006/relationships/hyperlink" Target="https://we-educacion.com/slides/sql-server-avanzado-93" TargetMode="External"/><Relationship Id="rId129" Type="http://schemas.openxmlformats.org/officeDocument/2006/relationships/hyperlink" Target="https://we-educacion.com/slides/power-apps-automate-avanzado-1112" TargetMode="External"/><Relationship Id="rId128" Type="http://schemas.openxmlformats.org/officeDocument/2006/relationships/hyperlink" Target="https://we-educacion.com/slides/sql-server-for-analytics-52" TargetMode="External"/><Relationship Id="rId249" Type="http://schemas.openxmlformats.org/officeDocument/2006/relationships/hyperlink" Target="https://we-educacion.com/slides/power-bi-presencial-463" TargetMode="External"/><Relationship Id="rId127" Type="http://schemas.openxmlformats.org/officeDocument/2006/relationships/hyperlink" Target="https://we-educacion.com/slides/pee-analista-de-datos-96" TargetMode="External"/><Relationship Id="rId248" Type="http://schemas.openxmlformats.org/officeDocument/2006/relationships/hyperlink" Target="https://we-educacion.com/slides/sap-s-4-hana-in-mm-fi-pp-sd-51" TargetMode="External"/><Relationship Id="rId369" Type="http://schemas.openxmlformats.org/officeDocument/2006/relationships/hyperlink" Target="https://we-educacion.com/slides/power-bi-46" TargetMode="External"/><Relationship Id="rId126" Type="http://schemas.openxmlformats.org/officeDocument/2006/relationships/hyperlink" Target="https://we-educacion.com/slides/gestion-agil-de-proyectos-515" TargetMode="External"/><Relationship Id="rId247" Type="http://schemas.openxmlformats.org/officeDocument/2006/relationships/hyperlink" Target="https://we-educacion.com/slides/gestion-de-procesos-188" TargetMode="External"/><Relationship Id="rId368" Type="http://schemas.openxmlformats.org/officeDocument/2006/relationships/hyperlink" Target="https://we-educacion.com/slides/pmo-gestion-de-portafolio-y-oficina-de-proyectos-1213" TargetMode="External"/><Relationship Id="rId121" Type="http://schemas.openxmlformats.org/officeDocument/2006/relationships/hyperlink" Target="https://we-educacion.com/slides/especializacion-en-sap-s-4-hana-501" TargetMode="External"/><Relationship Id="rId242" Type="http://schemas.openxmlformats.org/officeDocument/2006/relationships/hyperlink" Target="https://we-educacion.com/slides/gestion-de-proyectos-162" TargetMode="External"/><Relationship Id="rId363" Type="http://schemas.openxmlformats.org/officeDocument/2006/relationships/hyperlink" Target="https://we-educacion.com/slides/microsoft-excel-avanzado-59" TargetMode="External"/><Relationship Id="rId120" Type="http://schemas.openxmlformats.org/officeDocument/2006/relationships/hyperlink" Target="https://we-educacion.com/slides/microsoft-excel-intermedio-82" TargetMode="External"/><Relationship Id="rId241" Type="http://schemas.openxmlformats.org/officeDocument/2006/relationships/hyperlink" Target="https://we-educacion.com/slides/especializacion-en-gestion-de-proyectos-350" TargetMode="External"/><Relationship Id="rId362" Type="http://schemas.openxmlformats.org/officeDocument/2006/relationships/hyperlink" Target="https://we-educacion.com/slides/lean-six-sigma-yellow-belt-119" TargetMode="External"/><Relationship Id="rId240" Type="http://schemas.openxmlformats.org/officeDocument/2006/relationships/hyperlink" Target="https://we-educacion.com/slides/pee-analista-de-proyectos-163" TargetMode="External"/><Relationship Id="rId361" Type="http://schemas.openxmlformats.org/officeDocument/2006/relationships/hyperlink" Target="https://we-educacion.com/slides/gestion-de-transportes-73" TargetMode="External"/><Relationship Id="rId360" Type="http://schemas.openxmlformats.org/officeDocument/2006/relationships/hyperlink" Target="https://we-educacion.com/slides/python-avanzado-machine-learning-275" TargetMode="External"/><Relationship Id="rId125" Type="http://schemas.openxmlformats.org/officeDocument/2006/relationships/hyperlink" Target="https://we-educacion.com/slides/pmo-gestion-de-portafolio-y-oficina-de-proyectos-1213" TargetMode="External"/><Relationship Id="rId246" Type="http://schemas.openxmlformats.org/officeDocument/2006/relationships/hyperlink" Target="https://we-educacion.com/slides/pee-analista-de-procesos-187" TargetMode="External"/><Relationship Id="rId367" Type="http://schemas.openxmlformats.org/officeDocument/2006/relationships/hyperlink" Target="https://we-educacion.com/slides/microsoft-excel-avanzado-59" TargetMode="External"/><Relationship Id="rId124" Type="http://schemas.openxmlformats.org/officeDocument/2006/relationships/hyperlink" Target="https://we-educacion.com/slides/sap-s-4-hana-fi-54" TargetMode="External"/><Relationship Id="rId245" Type="http://schemas.openxmlformats.org/officeDocument/2006/relationships/hyperlink" Target="https://we-educacion.com/slides/diplomado-de-procesos-y-mejora-continua-205" TargetMode="External"/><Relationship Id="rId366" Type="http://schemas.openxmlformats.org/officeDocument/2006/relationships/hyperlink" Target="https://we-educacion.com/slides/especializacion-en-vba-macros-en-excel-160" TargetMode="External"/><Relationship Id="rId123" Type="http://schemas.openxmlformats.org/officeDocument/2006/relationships/hyperlink" Target="https://we-educacion.com/slides/sap-s-4-hana-mm-45" TargetMode="External"/><Relationship Id="rId244" Type="http://schemas.openxmlformats.org/officeDocument/2006/relationships/hyperlink" Target="https://we-educacion.com/slides/ms-project-basico-intermedio-95" TargetMode="External"/><Relationship Id="rId365" Type="http://schemas.openxmlformats.org/officeDocument/2006/relationships/hyperlink" Target="https://we-educacion.com/slides/sap-s-4-hana-pm-1127" TargetMode="External"/><Relationship Id="rId122" Type="http://schemas.openxmlformats.org/officeDocument/2006/relationships/hyperlink" Target="https://we-educacion.com/slides/especializacion-en-sap-s-4-hana-mineria-1128" TargetMode="External"/><Relationship Id="rId243" Type="http://schemas.openxmlformats.org/officeDocument/2006/relationships/hyperlink" Target="https://we-educacion.com/slides/pmo-gestion-de-portafolio-y-oficina-de-proyectos-1213" TargetMode="External"/><Relationship Id="rId364" Type="http://schemas.openxmlformats.org/officeDocument/2006/relationships/hyperlink" Target="https://we-educacion.com/slides/sap-s-4-hana-fi-54" TargetMode="External"/><Relationship Id="rId95" Type="http://schemas.openxmlformats.org/officeDocument/2006/relationships/hyperlink" Target="https://we-educacion.com/slides/diplomado-de-procesos-y-mejora-continua-205" TargetMode="External"/><Relationship Id="rId94" Type="http://schemas.openxmlformats.org/officeDocument/2006/relationships/hyperlink" Target="https://we-educacion.com/slides/power-bi-presencial-463" TargetMode="External"/><Relationship Id="rId97" Type="http://schemas.openxmlformats.org/officeDocument/2006/relationships/hyperlink" Target="https://we-educacion.com/slides/gestion-de-procesos-188" TargetMode="External"/><Relationship Id="rId96" Type="http://schemas.openxmlformats.org/officeDocument/2006/relationships/hyperlink" Target="https://we-educacion.com/slides/pee-analista-de-procesos-187" TargetMode="External"/><Relationship Id="rId99" Type="http://schemas.openxmlformats.org/officeDocument/2006/relationships/hyperlink" Target="https://we-educacion.com/slides/power-bi-46" TargetMode="External"/><Relationship Id="rId98" Type="http://schemas.openxmlformats.org/officeDocument/2006/relationships/hyperlink" Target="https://we-educacion.com/slides/gestion-de-transportes-73" TargetMode="External"/><Relationship Id="rId91" Type="http://schemas.openxmlformats.org/officeDocument/2006/relationships/hyperlink" Target="https://we-educacion.com/slides/gestion-de-compras-y-proveedores-74" TargetMode="External"/><Relationship Id="rId90" Type="http://schemas.openxmlformats.org/officeDocument/2006/relationships/hyperlink" Target="https://we-educacion.com/slides/planeamiento-pronostico-de-la-demanda-78" TargetMode="External"/><Relationship Id="rId93" Type="http://schemas.openxmlformats.org/officeDocument/2006/relationships/hyperlink" Target="https://we-educacion.com/slides/microsoft-excel-avanzado-59" TargetMode="External"/><Relationship Id="rId92" Type="http://schemas.openxmlformats.org/officeDocument/2006/relationships/hyperlink" Target="https://we-educacion.com/slides/especializacion-en-vba-macros-en-excel-160" TargetMode="External"/><Relationship Id="rId118" Type="http://schemas.openxmlformats.org/officeDocument/2006/relationships/hyperlink" Target="https://we-educacion.com/slides/especializacion-en-power-apps-automate-1113" TargetMode="External"/><Relationship Id="rId239" Type="http://schemas.openxmlformats.org/officeDocument/2006/relationships/hyperlink" Target="https://we-educacion.com/slides/diplomado-en-gestion-de-proyectos-209" TargetMode="External"/><Relationship Id="rId117" Type="http://schemas.openxmlformats.org/officeDocument/2006/relationships/hyperlink" Target="https://we-educacion.com/slides/kpi-s-logisticos-con-power-bi-271" TargetMode="External"/><Relationship Id="rId238" Type="http://schemas.openxmlformats.org/officeDocument/2006/relationships/hyperlink" Target="https://we-educacion.com/slides/power-apps-automate-avanzado-1112" TargetMode="External"/><Relationship Id="rId359" Type="http://schemas.openxmlformats.org/officeDocument/2006/relationships/hyperlink" Target="https://we-educacion.com/slides/lean-logistics-67" TargetMode="External"/><Relationship Id="rId116" Type="http://schemas.openxmlformats.org/officeDocument/2006/relationships/hyperlink" Target="https://we-educacion.com/slides/pee-planeamiento-de-la-demanda-110" TargetMode="External"/><Relationship Id="rId237" Type="http://schemas.openxmlformats.org/officeDocument/2006/relationships/hyperlink" Target="https://we-educacion.com/slides/data-analytics-262" TargetMode="External"/><Relationship Id="rId358" Type="http://schemas.openxmlformats.org/officeDocument/2006/relationships/hyperlink" Target="https://we-educacion.com/slides/gestion-financiera-de-proyectos-637" TargetMode="External"/><Relationship Id="rId115" Type="http://schemas.openxmlformats.org/officeDocument/2006/relationships/hyperlink" Target="https://we-educacion.com/slides/data-analytics-262" TargetMode="External"/><Relationship Id="rId236" Type="http://schemas.openxmlformats.org/officeDocument/2006/relationships/hyperlink" Target="https://we-educacion.com/slides/diplomado-en-inteligencia-y-analisis-de-datos-261" TargetMode="External"/><Relationship Id="rId357" Type="http://schemas.openxmlformats.org/officeDocument/2006/relationships/hyperlink" Target="https://we-educacion.com/slides/python-avanzado-machine-learning-275" TargetMode="External"/><Relationship Id="rId119" Type="http://schemas.openxmlformats.org/officeDocument/2006/relationships/hyperlink" Target="https://we-educacion.com/slides/power-apps-automate-1073" TargetMode="External"/><Relationship Id="rId110" Type="http://schemas.openxmlformats.org/officeDocument/2006/relationships/hyperlink" Target="https://we-educacion.com/slides/microsoft-excel-basico-221" TargetMode="External"/><Relationship Id="rId231" Type="http://schemas.openxmlformats.org/officeDocument/2006/relationships/hyperlink" Target="https://we-educacion.com/slides/pee-analista-de-datos-96" TargetMode="External"/><Relationship Id="rId352" Type="http://schemas.openxmlformats.org/officeDocument/2006/relationships/hyperlink" Target="https://we-educacion.com/slides/sap-s-4-hana-sd-194" TargetMode="External"/><Relationship Id="rId230" Type="http://schemas.openxmlformats.org/officeDocument/2006/relationships/hyperlink" Target="https://we-educacion.com/slides/costos-presupuestos-465" TargetMode="External"/><Relationship Id="rId351" Type="http://schemas.openxmlformats.org/officeDocument/2006/relationships/hyperlink" Target="https://we-educacion.com/slides/sql-server-avanzado-93" TargetMode="External"/><Relationship Id="rId350" Type="http://schemas.openxmlformats.org/officeDocument/2006/relationships/hyperlink" Target="https://we-educacion.com/slides/lean-logistics-67" TargetMode="External"/><Relationship Id="rId114" Type="http://schemas.openxmlformats.org/officeDocument/2006/relationships/hyperlink" Target="https://we-educacion.com/slides/diplomado-en-inteligencia-y-analisis-de-datos-261" TargetMode="External"/><Relationship Id="rId235" Type="http://schemas.openxmlformats.org/officeDocument/2006/relationships/hyperlink" Target="https://we-educacion.com/slides/gestion-de-compras-y-proveedores-74" TargetMode="External"/><Relationship Id="rId356" Type="http://schemas.openxmlformats.org/officeDocument/2006/relationships/hyperlink" Target="https://we-educacion.com/slides/modelamiento-de-procesos-con-bizagi-118" TargetMode="External"/><Relationship Id="rId113" Type="http://schemas.openxmlformats.org/officeDocument/2006/relationships/hyperlink" Target="https://we-educacion.com/slides/programacion-con-vba-macros-en-excel-159" TargetMode="External"/><Relationship Id="rId234" Type="http://schemas.openxmlformats.org/officeDocument/2006/relationships/hyperlink" Target="https://we-educacion.com/slides/sap-hana-integral-presencial-392" TargetMode="External"/><Relationship Id="rId355" Type="http://schemas.openxmlformats.org/officeDocument/2006/relationships/hyperlink" Target="https://we-educacion.com/slides/power-apps-automate-avanzado-1112" TargetMode="External"/><Relationship Id="rId112" Type="http://schemas.openxmlformats.org/officeDocument/2006/relationships/hyperlink" Target="https://we-educacion.com/slides/sap-s-4-hana-in-mm-fi-pp-sd-51" TargetMode="External"/><Relationship Id="rId233" Type="http://schemas.openxmlformats.org/officeDocument/2006/relationships/hyperlink" Target="https://we-educacion.com/slides/sap-s-4-hana-pp-66" TargetMode="External"/><Relationship Id="rId354" Type="http://schemas.openxmlformats.org/officeDocument/2006/relationships/hyperlink" Target="https://we-educacion.com/slides/ia-deep-learning-1071" TargetMode="External"/><Relationship Id="rId111" Type="http://schemas.openxmlformats.org/officeDocument/2006/relationships/hyperlink" Target="https://we-educacion.com/slides/python-avanzado-machine-learning-275" TargetMode="External"/><Relationship Id="rId232" Type="http://schemas.openxmlformats.org/officeDocument/2006/relationships/hyperlink" Target="https://we-educacion.com/slides/sql-server-for-analytics-52" TargetMode="External"/><Relationship Id="rId353" Type="http://schemas.openxmlformats.org/officeDocument/2006/relationships/hyperlink" Target="https://we-educacion.com/slides/react-js-react-native-1107" TargetMode="External"/><Relationship Id="rId305" Type="http://schemas.openxmlformats.org/officeDocument/2006/relationships/hyperlink" Target="https://we-educacion.com/slides/gestion-de-procesos-188" TargetMode="External"/><Relationship Id="rId304" Type="http://schemas.openxmlformats.org/officeDocument/2006/relationships/hyperlink" Target="https://we-educacion.com/slides/pee-analista-de-procesos-187" TargetMode="External"/><Relationship Id="rId303" Type="http://schemas.openxmlformats.org/officeDocument/2006/relationships/hyperlink" Target="https://we-educacion.com/slides/diplomado-de-procesos-y-mejora-continua-205" TargetMode="External"/><Relationship Id="rId302" Type="http://schemas.openxmlformats.org/officeDocument/2006/relationships/hyperlink" Target="https://we-educacion.com/slides/programacion-javascript-web-1106" TargetMode="External"/><Relationship Id="rId309" Type="http://schemas.openxmlformats.org/officeDocument/2006/relationships/hyperlink" Target="https://we-educacion.com/slides/microsoft-excel-avanzado-59" TargetMode="External"/><Relationship Id="rId308" Type="http://schemas.openxmlformats.org/officeDocument/2006/relationships/hyperlink" Target="https://we-educacion.com/slides/robotizacion-de-procesos-con-uipath-274" TargetMode="External"/><Relationship Id="rId307" Type="http://schemas.openxmlformats.org/officeDocument/2006/relationships/hyperlink" Target="https://we-educacion.com/slides/power-bi-presencial-463" TargetMode="External"/><Relationship Id="rId306" Type="http://schemas.openxmlformats.org/officeDocument/2006/relationships/hyperlink" Target="https://we-educacion.com/slides/ia-deep-learning-1071" TargetMode="External"/><Relationship Id="rId301" Type="http://schemas.openxmlformats.org/officeDocument/2006/relationships/hyperlink" Target="https://we-educacion.com/slides/power-apps-automate-1073" TargetMode="External"/><Relationship Id="rId300" Type="http://schemas.openxmlformats.org/officeDocument/2006/relationships/hyperlink" Target="https://we-educacion.com/slides/especializacion-en-power-apps-automate-1113" TargetMode="External"/><Relationship Id="rId206" Type="http://schemas.openxmlformats.org/officeDocument/2006/relationships/hyperlink" Target="https://we-educacion.com/slides/programacion-web-516" TargetMode="External"/><Relationship Id="rId327" Type="http://schemas.openxmlformats.org/officeDocument/2006/relationships/hyperlink" Target="https://we-educacion.com/slides/microsoft-excel-intermedio-82" TargetMode="External"/><Relationship Id="rId205" Type="http://schemas.openxmlformats.org/officeDocument/2006/relationships/hyperlink" Target="https://we-educacion.com/slides/especializacion-front-end-desarrollo-web-1102" TargetMode="External"/><Relationship Id="rId326" Type="http://schemas.openxmlformats.org/officeDocument/2006/relationships/hyperlink" Target="https://we-educacion.com/slides/sap-s-4-hana-pp-66" TargetMode="External"/><Relationship Id="rId204" Type="http://schemas.openxmlformats.org/officeDocument/2006/relationships/hyperlink" Target="https://we-educacion.com/slides/python-analisis-de-datos-259" TargetMode="External"/><Relationship Id="rId325" Type="http://schemas.openxmlformats.org/officeDocument/2006/relationships/hyperlink" Target="https://we-educacion.com/slides/sql-server-avanzado-93" TargetMode="External"/><Relationship Id="rId203" Type="http://schemas.openxmlformats.org/officeDocument/2006/relationships/hyperlink" Target="https://we-educacion.com/slides/especializacion-en-python-data-science-507" TargetMode="External"/><Relationship Id="rId324" Type="http://schemas.openxmlformats.org/officeDocument/2006/relationships/hyperlink" Target="https://we-educacion.com/slides/microsoft-excel-basico-221" TargetMode="External"/><Relationship Id="rId209" Type="http://schemas.openxmlformats.org/officeDocument/2006/relationships/hyperlink" Target="https://we-educacion.com/slides/power-bi-46" TargetMode="External"/><Relationship Id="rId208" Type="http://schemas.openxmlformats.org/officeDocument/2006/relationships/hyperlink" Target="https://we-educacion.com/slides/planeamiento-financiero-1207" TargetMode="External"/><Relationship Id="rId329" Type="http://schemas.openxmlformats.org/officeDocument/2006/relationships/hyperlink" Target="https://we-educacion.com/slides/programacion-con-vba-macros-en-excel-159" TargetMode="External"/><Relationship Id="rId207" Type="http://schemas.openxmlformats.org/officeDocument/2006/relationships/hyperlink" Target="https://we-educacion.com/slides/diplomado-en-gestion-financiera-1209" TargetMode="External"/><Relationship Id="rId328" Type="http://schemas.openxmlformats.org/officeDocument/2006/relationships/hyperlink" Target="https://we-educacion.com/slides/distribucion-y-almacenes-68" TargetMode="External"/><Relationship Id="rId202" Type="http://schemas.openxmlformats.org/officeDocument/2006/relationships/hyperlink" Target="https://we-educacion.com/slides/sap-s-4-hana-pm-1127" TargetMode="External"/><Relationship Id="rId323" Type="http://schemas.openxmlformats.org/officeDocument/2006/relationships/hyperlink" Target="https://we-educacion.com/slides/especializacion-en-microsoft-excel-77" TargetMode="External"/><Relationship Id="rId201" Type="http://schemas.openxmlformats.org/officeDocument/2006/relationships/hyperlink" Target="https://we-educacion.com/slides/python-avanzado-machine-learning-275" TargetMode="External"/><Relationship Id="rId322" Type="http://schemas.openxmlformats.org/officeDocument/2006/relationships/hyperlink" Target="https://we-educacion.com/slides/especializacion-en-microsoft-excel-expert-272" TargetMode="External"/><Relationship Id="rId200" Type="http://schemas.openxmlformats.org/officeDocument/2006/relationships/hyperlink" Target="https://we-educacion.com/slides/kpi-s-logisticos-con-power-bi-271" TargetMode="External"/><Relationship Id="rId321" Type="http://schemas.openxmlformats.org/officeDocument/2006/relationships/hyperlink" Target="https://we-educacion.com/slides/modelamiento-de-procesos-con-bizagi-118" TargetMode="External"/><Relationship Id="rId320" Type="http://schemas.openxmlformats.org/officeDocument/2006/relationships/hyperlink" Target="https://we-educacion.com/slides/gestion-de-transportes-73" TargetMode="External"/><Relationship Id="rId316" Type="http://schemas.openxmlformats.org/officeDocument/2006/relationships/hyperlink" Target="https://we-educacion.com/slides/ms-project-basico-intermedio-95" TargetMode="External"/><Relationship Id="rId315" Type="http://schemas.openxmlformats.org/officeDocument/2006/relationships/hyperlink" Target="https://we-educacion.com/slides/gestion-financiera-de-proyectos-637" TargetMode="External"/><Relationship Id="rId314" Type="http://schemas.openxmlformats.org/officeDocument/2006/relationships/hyperlink" Target="https://we-educacion.com/slides/ms-project-basico-intermedio-95" TargetMode="External"/><Relationship Id="rId313" Type="http://schemas.openxmlformats.org/officeDocument/2006/relationships/hyperlink" Target="https://we-educacion.com/slides/gestion-financiera-de-proyectos-637" TargetMode="External"/><Relationship Id="rId319" Type="http://schemas.openxmlformats.org/officeDocument/2006/relationships/hyperlink" Target="https://we-educacion.com/slides/python-avanzado-machine-learning-275" TargetMode="External"/><Relationship Id="rId318" Type="http://schemas.openxmlformats.org/officeDocument/2006/relationships/hyperlink" Target="https://we-educacion.com/slides/especializacion-en-sql-server-107" TargetMode="External"/><Relationship Id="rId317" Type="http://schemas.openxmlformats.org/officeDocument/2006/relationships/hyperlink" Target="https://we-educacion.com/slides/sql-server-for-analytics-52" TargetMode="External"/><Relationship Id="rId312" Type="http://schemas.openxmlformats.org/officeDocument/2006/relationships/hyperlink" Target="https://we-educacion.com/slides/sap-s-4-hana-pm-1127" TargetMode="External"/><Relationship Id="rId311" Type="http://schemas.openxmlformats.org/officeDocument/2006/relationships/hyperlink" Target="https://we-educacion.com/slides/sap-s-4-hana-fi-54" TargetMode="External"/><Relationship Id="rId310" Type="http://schemas.openxmlformats.org/officeDocument/2006/relationships/hyperlink" Target="https://we-educacion.com/slides/especializacion-en-vba-macros-en-excel-1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 outlineLevelCol="1"/>
  <cols>
    <col customWidth="1" min="1" max="1" width="11.63"/>
    <col customWidth="1" min="2" max="2" width="13.13"/>
    <col customWidth="1" min="3" max="3" width="6.38"/>
    <col customWidth="1" min="4" max="4" width="11.13"/>
    <col customWidth="1" min="5" max="5" width="32.75"/>
    <col collapsed="1" customWidth="1" min="6" max="6" width="10.38"/>
    <col hidden="1" min="7" max="16" width="12.63" outlineLevel="1"/>
    <col customWidth="1" min="17" max="17" width="7.75"/>
    <col customWidth="1" min="20" max="20" width="22.13"/>
    <col customWidth="1" min="22" max="22" width="8.38"/>
    <col customWidth="1" min="23" max="23" width="17.13"/>
    <col customWidth="1" min="24" max="24" width="19.5"/>
    <col customWidth="1" min="25" max="25" width="18.5"/>
    <col customWidth="1" min="26" max="26" width="13.88"/>
    <col customWidth="1" min="27" max="27" width="5.25"/>
    <col customWidth="1" min="44" max="65" width="3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1" t="s">
        <v>8</v>
      </c>
      <c r="J1" s="3" t="s">
        <v>9</v>
      </c>
      <c r="K1" s="1" t="s">
        <v>10</v>
      </c>
      <c r="L1" s="3" t="s">
        <v>11</v>
      </c>
      <c r="M1" s="1" t="s">
        <v>12</v>
      </c>
      <c r="N1" s="3" t="s">
        <v>13</v>
      </c>
      <c r="O1" s="1" t="s">
        <v>14</v>
      </c>
      <c r="P1" s="3" t="s">
        <v>15</v>
      </c>
      <c r="Q1" s="1" t="s">
        <v>16</v>
      </c>
      <c r="R1" s="1" t="s">
        <v>17</v>
      </c>
      <c r="S1" s="1" t="s">
        <v>18</v>
      </c>
      <c r="T1" s="3" t="s">
        <v>19</v>
      </c>
      <c r="U1" s="1" t="s">
        <v>20</v>
      </c>
      <c r="V1" s="2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1" t="s">
        <v>43</v>
      </c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</row>
    <row r="2" ht="15.75" customHeight="1">
      <c r="A2" s="5" t="s">
        <v>44</v>
      </c>
      <c r="B2" s="5" t="str">
        <f t="shared" ref="B2:B413" si="1">UPPER(TEXT(F2,"mmm")&amp;". "&amp;ROMAN(COUNTIFS($E$2:E2,E2,$F$2:F2,"&gt;="&amp;DATE(YEAR(F2),MONTH(F2),1),$F$2:F2,"&lt;="&amp;EOMONTH(F2,0))))&amp;" - ED"&amp;RIGHT(YEAR(F2),2)</f>
        <v>OCT. I - ED25</v>
      </c>
      <c r="C2" s="6" t="str">
        <f>IFERROR(__xludf.DUMMYFUNCTION("QUERY(IMPORTRANGE(""https://docs.google.com/spreadsheets/d/17d9GoMsabNEPrsOEz-4EhYzctOiJ_U6jEV0MtAIs2S0/edit?gid=0#gid=0"",""PROGRAMAS!A2:AR""),""Select Col2,Col3,Col4,Col18,Col5,Col6,Col7,Col8,Col9,Col10,Col11,Col12,Col13,Col14,Col15,Col16,Col17,Col26,Co"&amp;"l27,Col20,Col21,Col22,Col23,Col24,Col25,Col29,Col30,Col31,Col32,Col33,Col34,Col35,Col36,Col37,Col38,Col39,Col40,Col41,Col42,Col43,Col44"",0)"),"BI")</f>
        <v>BI</v>
      </c>
      <c r="D2" s="6" t="str">
        <f>IFERROR(__xludf.DUMMYFUNCTION("""COMPUTED_VALUE"""),"CURSO")</f>
        <v>CURSO</v>
      </c>
      <c r="E2" s="6" t="str">
        <f>IFERROR(__xludf.DUMMYFUNCTION("""COMPUTED_VALUE"""),"POWER BI")</f>
        <v>POWER BI</v>
      </c>
      <c r="F2" s="7">
        <f>IFERROR(__xludf.DUMMYFUNCTION("""COMPUTED_VALUE"""),45932.0)</f>
        <v>45932</v>
      </c>
      <c r="G2" s="6"/>
      <c r="H2" s="7"/>
      <c r="I2" s="6"/>
      <c r="J2" s="7"/>
      <c r="K2" s="6"/>
      <c r="L2" s="7"/>
      <c r="M2" s="6"/>
      <c r="N2" s="7"/>
      <c r="O2" s="6"/>
      <c r="P2" s="7"/>
      <c r="Q2" s="6" t="str">
        <f>IFERROR(__xludf.DUMMYFUNCTION("""COMPUTED_VALUE"""),"Jessica De La Cruz")</f>
        <v>Jessica De La Cruz</v>
      </c>
      <c r="R2" s="5" t="str">
        <f>IFERROR(__xludf.DUMMYFUNCTION("""COMPUTED_VALUE"""),"Mar-Jue")</f>
        <v>Mar-Jue</v>
      </c>
      <c r="S2" s="6" t="str">
        <f>IFERROR(__xludf.DUMMYFUNCTION("""COMPUTED_VALUE"""),"7PM - 10PM")</f>
        <v>7PM - 10PM</v>
      </c>
      <c r="T2" s="7" t="str">
        <f>IFERROR(__xludf.DUMMYFUNCTION("""COMPUTED_VALUE"""),"Jueves 2 Octubre")</f>
        <v>Jueves 2 Octubre</v>
      </c>
      <c r="U2" s="7" t="str">
        <f>IFERROR(__xludf.DUMMYFUNCTION("""COMPUTED_VALUE"""),"Martes 21 Octubre")</f>
        <v>Martes 21 Octubre</v>
      </c>
      <c r="V2" s="8">
        <f>IFERROR(__xludf.DUMMYFUNCTION("""COMPUTED_VALUE"""),6.0)</f>
        <v>6</v>
      </c>
      <c r="W2" s="6" t="str">
        <f>IFERROR(__xludf.DUMMYFUNCTION("""COMPUTED_VALUE"""),"pdfs/BROCHURE POWER BI.pdf")</f>
        <v>pdfs/BROCHURE POWER BI.pdf</v>
      </c>
      <c r="X2" s="6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2" s="5" t="str">
        <f>IFERROR(__xludf.DUMMYFUNCTION("""COMPUTED_VALUE"""),"images/powerbi.jpg")</f>
        <v>images/powerbi.jpg</v>
      </c>
      <c r="Z2" s="5"/>
      <c r="AA2" s="5"/>
      <c r="AB2" s="6">
        <f>IFERROR(__xludf.DUMMYFUNCTION("""COMPUTED_VALUE"""),830.0)</f>
        <v>830</v>
      </c>
      <c r="AC2" s="6">
        <f>IFERROR(__xludf.DUMMYFUNCTION("""COMPUTED_VALUE"""),740.0)</f>
        <v>740</v>
      </c>
      <c r="AD2" s="6">
        <f>IFERROR(__xludf.DUMMYFUNCTION("""COMPUTED_VALUE"""),415.0)</f>
        <v>415</v>
      </c>
      <c r="AE2" s="6">
        <f>IFERROR(__xludf.DUMMYFUNCTION("""COMPUTED_VALUE"""),370.0)</f>
        <v>370</v>
      </c>
      <c r="AF2" s="6">
        <f>IFERROR(__xludf.DUMMYFUNCTION("""COMPUTED_VALUE"""),150.0)</f>
        <v>150</v>
      </c>
      <c r="AG2" s="6">
        <f>IFERROR(__xludf.DUMMYFUNCTION("""COMPUTED_VALUE"""),150.0)</f>
        <v>150</v>
      </c>
      <c r="AH2" s="6"/>
      <c r="AI2" s="5">
        <f>IFERROR(__xludf.DUMMYFUNCTION("""COMPUTED_VALUE"""),333.0)</f>
        <v>333</v>
      </c>
      <c r="AJ2" s="5">
        <f>IFERROR(__xludf.DUMMYFUNCTION("""COMPUTED_VALUE"""),373.5)</f>
        <v>373.5</v>
      </c>
      <c r="AK2" s="5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2" s="5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2" s="5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2" s="5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2" s="5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2" s="5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2" s="9" t="str">
        <f>IFERROR(__xludf.DUMMYFUNCTION("""COMPUTED_VALUE"""),"https://we-educacion.com/slides/power-bi-46")</f>
        <v>https://we-educacion.com/slides/power-bi-46</v>
      </c>
      <c r="AR2" s="5">
        <v>1.0</v>
      </c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</row>
    <row r="3" ht="15.75" customHeight="1">
      <c r="A3" s="5" t="s">
        <v>45</v>
      </c>
      <c r="B3" s="5" t="str">
        <f t="shared" si="1"/>
        <v>OCT. I - ED25</v>
      </c>
      <c r="C3" s="6" t="str">
        <f>IFERROR(__xludf.DUMMYFUNCTION("""COMPUTED_VALUE"""),"BI")</f>
        <v>BI</v>
      </c>
      <c r="D3" s="6" t="str">
        <f>IFERROR(__xludf.DUMMYFUNCTION("""COMPUTED_VALUE"""),"CURSO")</f>
        <v>CURSO</v>
      </c>
      <c r="E3" s="6" t="str">
        <f>IFERROR(__xludf.DUMMYFUNCTION("""COMPUTED_VALUE"""),"PYTHON. DATOS")</f>
        <v>PYTHON. DATOS</v>
      </c>
      <c r="F3" s="7">
        <f>IFERROR(__xludf.DUMMYFUNCTION("""COMPUTED_VALUE"""),45932.0)</f>
        <v>45932</v>
      </c>
      <c r="G3" s="6"/>
      <c r="H3" s="7"/>
      <c r="I3" s="6"/>
      <c r="J3" s="7"/>
      <c r="K3" s="6"/>
      <c r="L3" s="7"/>
      <c r="M3" s="6"/>
      <c r="N3" s="7"/>
      <c r="O3" s="6"/>
      <c r="P3" s="7"/>
      <c r="Q3" s="6" t="str">
        <f>IFERROR(__xludf.DUMMYFUNCTION("""COMPUTED_VALUE"""),"Jhair Prado")</f>
        <v>Jhair Prado</v>
      </c>
      <c r="R3" s="5" t="str">
        <f>IFERROR(__xludf.DUMMYFUNCTION("""COMPUTED_VALUE"""),"Mar-Jue")</f>
        <v>Mar-Jue</v>
      </c>
      <c r="S3" s="6" t="str">
        <f>IFERROR(__xludf.DUMMYFUNCTION("""COMPUTED_VALUE"""),"7PM - 10PM")</f>
        <v>7PM - 10PM</v>
      </c>
      <c r="T3" s="7" t="str">
        <f>IFERROR(__xludf.DUMMYFUNCTION("""COMPUTED_VALUE"""),"Jueves 2 Octubre")</f>
        <v>Jueves 2 Octubre</v>
      </c>
      <c r="U3" s="7" t="str">
        <f>IFERROR(__xludf.DUMMYFUNCTION("""COMPUTED_VALUE"""),"Martes 21 Octubre")</f>
        <v>Martes 21 Octubre</v>
      </c>
      <c r="V3" s="8">
        <f>IFERROR(__xludf.DUMMYFUNCTION("""COMPUTED_VALUE"""),6.0)</f>
        <v>6</v>
      </c>
      <c r="W3" s="5" t="str">
        <f>IFERROR(__xludf.DUMMYFUNCTION("""COMPUTED_VALUE"""),"pdfs/BROCHURE PYTHON ANALISIS DE DATOS.pdf")</f>
        <v>pdfs/BROCHURE PYTHON ANALISIS DE DATOS.pdf</v>
      </c>
      <c r="X3" s="5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" s="5" t="str">
        <f>IFERROR(__xludf.DUMMYFUNCTION("""COMPUTED_VALUE"""),"images/python.jpg")</f>
        <v>images/python.jpg</v>
      </c>
      <c r="Z3" s="5" t="str">
        <f>IFERROR(__xludf.DUMMYFUNCTION("""COMPUTED_VALUE"""),"Avalado por IBM® Partner World")</f>
        <v>Avalado por IBM® Partner World</v>
      </c>
      <c r="AA3" s="5" t="str">
        <f>IFERROR(__xludf.DUMMYFUNCTION("""COMPUTED_VALUE"""),"SI")</f>
        <v>SI</v>
      </c>
      <c r="AB3" s="6">
        <f>IFERROR(__xludf.DUMMYFUNCTION("""COMPUTED_VALUE"""),730.0)</f>
        <v>730</v>
      </c>
      <c r="AC3" s="6">
        <f>IFERROR(__xludf.DUMMYFUNCTION("""COMPUTED_VALUE"""),650.0)</f>
        <v>650</v>
      </c>
      <c r="AD3" s="6">
        <f>IFERROR(__xludf.DUMMYFUNCTION("""COMPUTED_VALUE"""),365.0)</f>
        <v>365</v>
      </c>
      <c r="AE3" s="6">
        <f>IFERROR(__xludf.DUMMYFUNCTION("""COMPUTED_VALUE"""),325.0)</f>
        <v>325</v>
      </c>
      <c r="AF3" s="6">
        <f>IFERROR(__xludf.DUMMYFUNCTION("""COMPUTED_VALUE"""),150.0)</f>
        <v>150</v>
      </c>
      <c r="AG3" s="5">
        <f>IFERROR(__xludf.DUMMYFUNCTION("""COMPUTED_VALUE"""),150.0)</f>
        <v>150</v>
      </c>
      <c r="AH3" s="5"/>
      <c r="AI3" s="5">
        <f>IFERROR(__xludf.DUMMYFUNCTION("""COMPUTED_VALUE"""),292.5)</f>
        <v>292.5</v>
      </c>
      <c r="AJ3" s="5">
        <f>IFERROR(__xludf.DUMMYFUNCTION("""COMPUTED_VALUE"""),328.5)</f>
        <v>328.5</v>
      </c>
      <c r="AK3" s="5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3" s="5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3" s="5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3" s="5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3" s="5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3" s="5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3" s="9" t="str">
        <f>IFERROR(__xludf.DUMMYFUNCTION("""COMPUTED_VALUE"""),"https://we-educacion.com/slides/python-analisis-de-datos-259")</f>
        <v>https://we-educacion.com/slides/python-analisis-de-datos-259</v>
      </c>
      <c r="AR3" s="5">
        <v>1.0</v>
      </c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</row>
    <row r="4" ht="15.75" customHeight="1">
      <c r="A4" s="5" t="s">
        <v>46</v>
      </c>
      <c r="B4" s="5" t="str">
        <f t="shared" si="1"/>
        <v>OCT. I - ED25</v>
      </c>
      <c r="C4" s="6" t="str">
        <f>IFERROR(__xludf.DUMMYFUNCTION("""COMPUTED_VALUE"""),"LOGÍSTICA")</f>
        <v>LOGÍSTICA</v>
      </c>
      <c r="D4" s="6" t="str">
        <f>IFERROR(__xludf.DUMMYFUNCTION("""COMPUTED_VALUE"""),"PEE")</f>
        <v>PEE</v>
      </c>
      <c r="E4" s="6" t="str">
        <f>IFERROR(__xludf.DUMMYFUNCTION("""COMPUTED_VALUE"""),"PEE PLAN. DEMAN.")</f>
        <v>PEE PLAN. DEMAN.</v>
      </c>
      <c r="F4" s="7">
        <f>IFERROR(__xludf.DUMMYFUNCTION("""COMPUTED_VALUE"""),45932.0)</f>
        <v>45932</v>
      </c>
      <c r="G4" s="6" t="str">
        <f>IFERROR(__xludf.DUMMYFUNCTION("""COMPUTED_VALUE"""),"KPIS LOGÍSTICOS POWER BI")</f>
        <v>KPIS LOGÍSTICOS POWER BI</v>
      </c>
      <c r="H4" s="7">
        <f>IFERROR(__xludf.DUMMYFUNCTION("""COMPUTED_VALUE"""),45932.0)</f>
        <v>45932</v>
      </c>
      <c r="I4" s="6" t="str">
        <f>IFERROR(__xludf.DUMMYFUNCTION("""COMPUTED_VALUE"""),"SAP HANA MM")</f>
        <v>SAP HANA MM</v>
      </c>
      <c r="J4" s="7">
        <f>IFERROR(__xludf.DUMMYFUNCTION("""COMPUTED_VALUE"""),45960.0)</f>
        <v>45960</v>
      </c>
      <c r="K4" s="6" t="str">
        <f>IFERROR(__xludf.DUMMYFUNCTION("""COMPUTED_VALUE"""),"PLAN. Y PRONOSTICO V2")</f>
        <v>PLAN. Y PRONOSTICO V2</v>
      </c>
      <c r="L4" s="7">
        <f>IFERROR(__xludf.DUMMYFUNCTION("""COMPUTED_VALUE"""),45988.0)</f>
        <v>45988</v>
      </c>
      <c r="M4" s="6"/>
      <c r="N4" s="7"/>
      <c r="O4" s="6"/>
      <c r="P4" s="7"/>
      <c r="Q4" s="6" t="str">
        <f>IFERROR(__xludf.DUMMYFUNCTION("""COMPUTED_VALUE"""),"Franz Valdivia
David Gonzales
Hugo Vasquez")</f>
        <v>Franz Valdivia
David Gonzales
Hugo Vasquez</v>
      </c>
      <c r="R4" s="5" t="str">
        <f>IFERROR(__xludf.DUMMYFUNCTION("""COMPUTED_VALUE"""),"Mar-Jue")</f>
        <v>Mar-Jue</v>
      </c>
      <c r="S4" s="6" t="str">
        <f>IFERROR(__xludf.DUMMYFUNCTION("""COMPUTED_VALUE"""),"7PM - 10PM")</f>
        <v>7PM - 10PM</v>
      </c>
      <c r="T4" s="7" t="str">
        <f>IFERROR(__xludf.DUMMYFUNCTION("""COMPUTED_VALUE"""),"Jueves 2 Octubre")</f>
        <v>Jueves 2 Octubre</v>
      </c>
      <c r="U4" s="7" t="str">
        <f>IFERROR(__xludf.DUMMYFUNCTION("""COMPUTED_VALUE"""),"Jueves 15 Enero")</f>
        <v>Jueves 15 Enero</v>
      </c>
      <c r="V4" s="8">
        <f>IFERROR(__xludf.DUMMYFUNCTION("""COMPUTED_VALUE"""),17.0)</f>
        <v>17</v>
      </c>
      <c r="W4" s="5" t="str">
        <f>IFERROR(__xludf.DUMMYFUNCTION("""COMPUTED_VALUE"""),"pdfs/BROCHURE PEE PLANEAMIENTO DE LA DEMANDA.pdf")</f>
        <v>pdfs/BROCHURE PEE PLANEAMIENTO DE LA DEMANDA.pdf</v>
      </c>
      <c r="X4" s="5" t="str">
        <f>IFERROR(__xludf.DUMMYFUNCTION("""COMPUTED_VALUE"""),"🔵 Conoce TODOS los BENEFICIOS a los que accedes 
🔹 Acceso a Campus Virtual WE 👩🏻‍🏫
🔹 Material digital y grabación de clases 
🔹 Certificado por cada módulo &amp; Especialización
🔹 05 Cursos Online de regalo con acceso ilimitado 📚
🔹 Desarrollo y segu"&amp;"imiento de tu proyecto (Evaluado)
🔹 Garantía de Aprendizaje 100% 
🔹 Utilizarán SAP HANA y POWER BI 👩🏻‍💻
👉🏼 Incluye tutorial y manual de instalación
👉🏼 12 Meses de Servidor SAP
💻 Importante: Para la instalación se necesita una Laptop Windows
🚨"&amp;" Revisa el BROCHURE ")</f>
        <v>🔵 Conoce TODOS los BENEFICIOS a los que accedes 
🔹 Acceso a Campus Virtual WE 👩🏻‍🏫
🔹 Material digital y grabación de clases 
🔹 Certificado por cada módulo &amp; Especialización
🔹 05 Cursos Online de regalo con acceso ilimitado 📚
🔹 Desarrollo y seguimiento de tu proyecto (Evaluado)
🔹 Garantía de Aprendizaje 100% 
🔹 Utilizarán SAP HANA y POWER BI 👩🏻‍💻
👉🏼 Incluye tutorial y manual de instalación
👉🏼 12 Meses de Servidor SAP
💻 Importante: Para la instalación se necesita una Laptop Windows
🚨 Revisa el BROCHURE </v>
      </c>
      <c r="Y4" s="5"/>
      <c r="Z4" s="5"/>
      <c r="AA4" s="5"/>
      <c r="AB4" s="6">
        <f>IFERROR(__xludf.DUMMYFUNCTION("""COMPUTED_VALUE"""),2420.0)</f>
        <v>2420</v>
      </c>
      <c r="AC4" s="6">
        <f>IFERROR(__xludf.DUMMYFUNCTION("""COMPUTED_VALUE"""),2200.0)</f>
        <v>2200</v>
      </c>
      <c r="AD4" s="6">
        <f>IFERROR(__xludf.DUMMYFUNCTION("""COMPUTED_VALUE"""),1210.0)</f>
        <v>1210</v>
      </c>
      <c r="AE4" s="6">
        <f>IFERROR(__xludf.DUMMYFUNCTION("""COMPUTED_VALUE"""),1100.0)</f>
        <v>1100</v>
      </c>
      <c r="AF4" s="6">
        <f>IFERROR(__xludf.DUMMYFUNCTION("""COMPUTED_VALUE"""),250.0)</f>
        <v>250</v>
      </c>
      <c r="AG4" s="5">
        <f>IFERROR(__xludf.DUMMYFUNCTION("""COMPUTED_VALUE"""),350.0)</f>
        <v>350</v>
      </c>
      <c r="AH4" s="5"/>
      <c r="AI4" s="5">
        <f>IFERROR(__xludf.DUMMYFUNCTION("""COMPUTED_VALUE"""),990.0)</f>
        <v>990</v>
      </c>
      <c r="AJ4" s="5">
        <f>IFERROR(__xludf.DUMMYFUNCTION("""COMPUTED_VALUE"""),1089.0)</f>
        <v>1089</v>
      </c>
      <c r="AK4" s="5" t="str">
        <f>IFERROR(__xludf.DUMMYFUNCTION("""COMPUTED_VALUE"""),"El lenguaje de las empresas competitivas es *anticiparse al mercado* 🚀
En pocas semanas desarrollarás habilidades en *planeamiento de la demanda*, con enfoque práctico, aplicable y casos reales del sector 🧳.
Ahora te adjunto la información a detalle 👇"&amp;"🏻")</f>
        <v>El lenguaje de las empresas competitivas es *anticiparse al mercado* 🚀
En pocas semanas desarrollarás habilidades en *planeamiento de la demanda*, con enfoque práctico, aplicable y casos reales del sector 🧳.
Ahora te adjunto la información a detalle 👇🏻</v>
      </c>
      <c r="AL4" s="5" t="str">
        <f>IFERROR(__xludf.DUMMYFUNCTION("""COMPUTED_VALUE"""),"Excelente, este *PEE* te ayudará a mantenerte competitivo y aplicar las últimas metodologías en *planeamiento de la demanda*. 🙌🏼")</f>
        <v>Excelente, este *PEE* te ayudará a mantenerte competitivo y aplicar las últimas metodologías en *planeamiento de la demanda*. 🙌🏼</v>
      </c>
      <c r="AM4" s="5" t="str">
        <f>IFERROR(__xludf.DUMMYFUNCTION("""COMPUTED_VALUE"""),"Buenísimo, especializarte en planeamiento de la demanda te dará *un plus en tu CV* y más oportunidades laborales. 🧳")</f>
        <v>Buenísimo, especializarte en planeamiento de la demanda te dará *un plus en tu CV* y más oportunidades laborales. 🧳</v>
      </c>
      <c r="AN4" s="5" t="str">
        <f>IFERROR(__xludf.DUMMYFUNCTION("""COMPUTED_VALUE"""),"¡Excelente!, podrás complementar lo que ves en la universidad con enfoques prácticos y aplicables en gestión de la demanda, y así destacar tu *Perfil Profesional* 🚀")</f>
        <v>¡Excelente!, podrás complementar lo que ves en la universidad con enfoques prácticos y aplicables en gestión de la demanda, y así destacar tu *Perfil Profesional* 🚀</v>
      </c>
      <c r="AO4" s="5" t="str">
        <f>IFERROR(__xludf.DUMMYFUNCTION("""COMPUTED_VALUE"""),"¡Perfecto!, el *planeamiento de la demanda* es muy valorado por las empresas y te hará destacar al postular a prácticas o roles de mayor responsabilidad. 🧳")</f>
        <v>¡Perfecto!, el *planeamiento de la demanda* es muy valorado por las empresas y te hará destacar al postular a prácticas o roles de mayor responsabilidad. 🧳</v>
      </c>
      <c r="AP4" s="5" t="str">
        <f>IFERROR(__xludf.DUMMYFUNCTION("""COMPUTED_VALUE"""),"¡Excelente!, con *planeamiento de la demanda* podrás anticipar escenarios y tomar decisiones más estratégicas para el negocio 🚀")</f>
        <v>¡Excelente!, con *planeamiento de la demanda* podrás anticipar escenarios y tomar decisiones más estratégicas para el negocio 🚀</v>
      </c>
      <c r="AQ4" s="9" t="str">
        <f>IFERROR(__xludf.DUMMYFUNCTION("""COMPUTED_VALUE"""),"https://we-educacion.com/slides/pee-planeamiento-de-la-demanda-110")</f>
        <v>https://we-educacion.com/slides/pee-planeamiento-de-la-demanda-110</v>
      </c>
      <c r="AR4" s="5">
        <v>1.0</v>
      </c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</row>
    <row r="5" ht="15.75" customHeight="1">
      <c r="A5" s="5" t="s">
        <v>47</v>
      </c>
      <c r="B5" s="5" t="str">
        <f t="shared" si="1"/>
        <v>OCT. I - ED25</v>
      </c>
      <c r="C5" s="6" t="str">
        <f>IFERROR(__xludf.DUMMYFUNCTION("""COMPUTED_VALUE"""),"LOGÍSTICA")</f>
        <v>LOGÍSTICA</v>
      </c>
      <c r="D5" s="6" t="str">
        <f>IFERROR(__xludf.DUMMYFUNCTION("""COMPUTED_VALUE"""),"CURSO")</f>
        <v>CURSO</v>
      </c>
      <c r="E5" s="6" t="str">
        <f>IFERROR(__xludf.DUMMYFUNCTION("""COMPUTED_VALUE"""),"KPIS LOGÍSTICOS POWER BI")</f>
        <v>KPIS LOGÍSTICOS POWER BI</v>
      </c>
      <c r="F5" s="7">
        <f>IFERROR(__xludf.DUMMYFUNCTION("""COMPUTED_VALUE"""),45932.0)</f>
        <v>45932</v>
      </c>
      <c r="G5" s="6"/>
      <c r="H5" s="7"/>
      <c r="I5" s="6"/>
      <c r="J5" s="7"/>
      <c r="K5" s="6"/>
      <c r="L5" s="7"/>
      <c r="M5" s="6"/>
      <c r="N5" s="7"/>
      <c r="O5" s="6"/>
      <c r="P5" s="7"/>
      <c r="Q5" s="6" t="str">
        <f>IFERROR(__xludf.DUMMYFUNCTION("""COMPUTED_VALUE"""),"Franz Valdivia")</f>
        <v>Franz Valdivia</v>
      </c>
      <c r="R5" s="5" t="str">
        <f>IFERROR(__xludf.DUMMYFUNCTION("""COMPUTED_VALUE"""),"Mar-Jue")</f>
        <v>Mar-Jue</v>
      </c>
      <c r="S5" s="6" t="str">
        <f>IFERROR(__xludf.DUMMYFUNCTION("""COMPUTED_VALUE"""),"7PM - 10PM")</f>
        <v>7PM - 10PM</v>
      </c>
      <c r="T5" s="7" t="str">
        <f>IFERROR(__xludf.DUMMYFUNCTION("""COMPUTED_VALUE"""),"Jueves 2 Octubre")</f>
        <v>Jueves 2 Octubre</v>
      </c>
      <c r="U5" s="7" t="str">
        <f>IFERROR(__xludf.DUMMYFUNCTION("""COMPUTED_VALUE"""),"Martes 21 Octubre")</f>
        <v>Martes 21 Octubre</v>
      </c>
      <c r="V5" s="8">
        <f>IFERROR(__xludf.DUMMYFUNCTION("""COMPUTED_VALUE"""),6.0)</f>
        <v>6</v>
      </c>
      <c r="W5" s="5" t="str">
        <f>IFERROR(__xludf.DUMMYFUNCTION("""COMPUTED_VALUE"""),"pdfs/BROCHURE KPIS LOGISTICOS CON POWER BI.pdf")</f>
        <v>pdfs/BROCHURE KPIS LOGISTICOS CON POWER BI.pdf</v>
      </c>
      <c r="X5" s="5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*Necesitas tener conocimientos en POWER BI* 👩🏻‍💻
👉🏼 ¡Te regalamos el Curso Online Certificado!
👉🏼 Incluye tutorial y manual de instalación
🚨 *Revisa el BROCHURE* 👇🏻")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*Necesitas tener conocimientos en POWER BI* 👩🏻‍💻
👉🏼 ¡Te regalamos el Curso Online Certificado!
👉🏼 Incluye tutorial y manual de instalación
🚨 *Revisa el BROCHURE* 👇🏻</v>
      </c>
      <c r="Y5" s="5"/>
      <c r="Z5" s="5" t="str">
        <f>IFERROR(__xludf.DUMMYFUNCTION("""COMPUTED_VALUE"""),"Avalado por Microsoft Partner Network")</f>
        <v>Avalado por Microsoft Partner Network</v>
      </c>
      <c r="AA5" s="5" t="str">
        <f>IFERROR(__xludf.DUMMYFUNCTION("""COMPUTED_VALUE"""),"SI")</f>
        <v>SI</v>
      </c>
      <c r="AB5" s="6">
        <f>IFERROR(__xludf.DUMMYFUNCTION("""COMPUTED_VALUE"""),640.0)</f>
        <v>640</v>
      </c>
      <c r="AC5" s="6">
        <f>IFERROR(__xludf.DUMMYFUNCTION("""COMPUTED_VALUE"""),610.0)</f>
        <v>610</v>
      </c>
      <c r="AD5" s="6">
        <f>IFERROR(__xludf.DUMMYFUNCTION("""COMPUTED_VALUE"""),320.0)</f>
        <v>320</v>
      </c>
      <c r="AE5" s="6">
        <f>IFERROR(__xludf.DUMMYFUNCTION("""COMPUTED_VALUE"""),305.0)</f>
        <v>305</v>
      </c>
      <c r="AF5" s="6">
        <f>IFERROR(__xludf.DUMMYFUNCTION("""COMPUTED_VALUE"""),150.0)</f>
        <v>150</v>
      </c>
      <c r="AG5" s="5">
        <f>IFERROR(__xludf.DUMMYFUNCTION("""COMPUTED_VALUE"""),150.0)</f>
        <v>150</v>
      </c>
      <c r="AH5" s="5"/>
      <c r="AI5" s="5">
        <f>IFERROR(__xludf.DUMMYFUNCTION("""COMPUTED_VALUE"""),274.5)</f>
        <v>274.5</v>
      </c>
      <c r="AJ5" s="5">
        <f>IFERROR(__xludf.DUMMYFUNCTION("""COMPUTED_VALUE"""),288.0)</f>
        <v>288</v>
      </c>
      <c r="AK5" s="5" t="str">
        <f>IFERROR(__xludf.DUMMYFUNCTION("""COMPUTED_VALUE"""),"La logística inteligente se mide con indicadores estratégicos 📦
Con KPIs Logísticos en Power BI aprenderás a visualizar y analizar datos logísticos en dashboards de alto impacto 🚛.
Aquí tienes la info 👇🏻")</f>
        <v>La logística inteligente se mide con indicadores estratégicos 📦
Con KPIs Logísticos en Power BI aprenderás a visualizar y analizar datos logísticos en dashboards de alto impacto 🚛.
Aquí tienes la info 👇🏻</v>
      </c>
      <c r="AL5" s="5" t="str">
        <f>IFERROR(__xludf.DUMMYFUNCTION("""COMPUTED_VALUE"""),"🌍 *Excelente*, actualízate con *KPIS LOGÍSTICOS POWER BI* y mantente competitivo en el mercado laboral.")</f>
        <v>🌍 *Excelente*, actualízate con *KPIS LOGÍSTICOS POWER BI* y mantente competitivo en el mercado laboral.</v>
      </c>
      <c r="AM5" s="5" t="str">
        <f>IFERROR(__xludf.DUMMYFUNCTION("""COMPUTED_VALUE"""),"🎓 Buenísimo, *KPIS LOGÍSTICOS POWER BI* es de las competencias más pedidas por las empresas y aumentará tus oportunidades laborales.")</f>
        <v>🎓 Buenísimo, *KPIS LOGÍSTICOS POWER BI* es de las competencias más pedidas por las empresas y aumentará tus oportunidades laborales.</v>
      </c>
      <c r="AN5" s="5" t="str">
        <f>IFERROR(__xludf.DUMMYFUNCTION("""COMPUTED_VALUE"""),"📈 ¡Genial! Con *KPIS LOGÍSTICOS POWER BI* sumarás una habilidad poderosa que te diferenciará desde la universidad.")</f>
        <v>📈 ¡Genial! Con *KPIS LOGÍSTICOS POWER BI* sumarás una habilidad poderosa que te diferenciará desde la universidad.</v>
      </c>
      <c r="AO5" s="5" t="str">
        <f>IFERROR(__xludf.DUMMYFUNCTION("""COMPUTED_VALUE"""),"✨ ¡Perfecto! Saber *KPIS LOGÍSTICOS POWER BI* te dará ventaja frente a otros postulantes para conseguir prácticas.")</f>
        <v>✨ ¡Perfecto! Saber *KPIS LOGÍSTICOS POWER BI* te dará ventaja frente a otros postulantes para conseguir prácticas.</v>
      </c>
      <c r="AP5" s="5" t="str">
        <f>IFERROR(__xludf.DUMMYFUNCTION("""COMPUTED_VALUE"""),"🎓 ¡Excelente! Con *KPIS LOGÍSTICOS POWER BI* podrás aplicarlo en tu negocio y tomar decisiones más inteligentes.")</f>
        <v>🎓 ¡Excelente! Con *KPIS LOGÍSTICOS POWER BI* podrás aplicarlo en tu negocio y tomar decisiones más inteligentes.</v>
      </c>
      <c r="AQ5" s="9" t="str">
        <f>IFERROR(__xludf.DUMMYFUNCTION("""COMPUTED_VALUE"""),"https://we-educacion.com/slides/kpi-s-logisticos-con-power-bi-271")</f>
        <v>https://we-educacion.com/slides/kpi-s-logisticos-con-power-bi-271</v>
      </c>
      <c r="AR5" s="5">
        <v>1.0</v>
      </c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</row>
    <row r="6" ht="15.75" customHeight="1">
      <c r="A6" s="5" t="s">
        <v>48</v>
      </c>
      <c r="B6" s="5" t="str">
        <f t="shared" si="1"/>
        <v>OCT. I - ED25</v>
      </c>
      <c r="C6" s="6" t="str">
        <f>IFERROR(__xludf.DUMMYFUNCTION("""COMPUTED_VALUE"""),"SAP")</f>
        <v>SAP</v>
      </c>
      <c r="D6" s="6" t="str">
        <f>IFERROR(__xludf.DUMMYFUNCTION("""COMPUTED_VALUE"""),"CURSO")</f>
        <v>CURSO</v>
      </c>
      <c r="E6" s="6" t="str">
        <f>IFERROR(__xludf.DUMMYFUNCTION("""COMPUTED_VALUE"""),"SAP HANA FI")</f>
        <v>SAP HANA FI</v>
      </c>
      <c r="F6" s="7">
        <f>IFERROR(__xludf.DUMMYFUNCTION("""COMPUTED_VALUE"""),45932.0)</f>
        <v>45932</v>
      </c>
      <c r="G6" s="6"/>
      <c r="H6" s="7"/>
      <c r="I6" s="6"/>
      <c r="J6" s="7"/>
      <c r="K6" s="6"/>
      <c r="L6" s="7"/>
      <c r="M6" s="6"/>
      <c r="N6" s="7"/>
      <c r="O6" s="6"/>
      <c r="P6" s="7"/>
      <c r="Q6" s="6" t="str">
        <f>IFERROR(__xludf.DUMMYFUNCTION("""COMPUTED_VALUE"""),"Indira Carhuas")</f>
        <v>Indira Carhuas</v>
      </c>
      <c r="R6" s="5" t="str">
        <f>IFERROR(__xludf.DUMMYFUNCTION("""COMPUTED_VALUE"""),"Mar-Jue")</f>
        <v>Mar-Jue</v>
      </c>
      <c r="S6" s="6" t="str">
        <f>IFERROR(__xludf.DUMMYFUNCTION("""COMPUTED_VALUE"""),"7PM - 10PM")</f>
        <v>7PM - 10PM</v>
      </c>
      <c r="T6" s="7" t="str">
        <f>IFERROR(__xludf.DUMMYFUNCTION("""COMPUTED_VALUE"""),"Jueves 2 Octubre")</f>
        <v>Jueves 2 Octubre</v>
      </c>
      <c r="U6" s="7" t="str">
        <f>IFERROR(__xludf.DUMMYFUNCTION("""COMPUTED_VALUE"""),"Martes 21 Octubre")</f>
        <v>Martes 21 Octubre</v>
      </c>
      <c r="V6" s="8">
        <f>IFERROR(__xludf.DUMMYFUNCTION("""COMPUTED_VALUE"""),6.0)</f>
        <v>6</v>
      </c>
      <c r="W6" s="5" t="str">
        <f>IFERROR(__xludf.DUMMYFUNCTION("""COMPUTED_VALUE"""),"pdfs/BROCHURE SAP HANA FI MODULO FINANZAS.pdf")</f>
        <v>pdfs/BROCHURE SAP HANA FI MODULO FINANZAS.pdf</v>
      </c>
      <c r="X6" s="5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6" s="5" t="str">
        <f>IFERROR(__xludf.DUMMYFUNCTION("""COMPUTED_VALUE"""),"images/sapfi.jpg")</f>
        <v>images/sapfi.jpg</v>
      </c>
      <c r="Z6" s="5" t="str">
        <f>IFERROR(__xludf.DUMMYFUNCTION("""COMPUTED_VALUE"""),"Avalado por SAP Partner Open")</f>
        <v>Avalado por SAP Partner Open</v>
      </c>
      <c r="AA6" s="5" t="str">
        <f>IFERROR(__xludf.DUMMYFUNCTION("""COMPUTED_VALUE"""),"NO")</f>
        <v>NO</v>
      </c>
      <c r="AB6" s="6">
        <f>IFERROR(__xludf.DUMMYFUNCTION("""COMPUTED_VALUE"""),900.0)</f>
        <v>900</v>
      </c>
      <c r="AC6" s="6">
        <f>IFERROR(__xludf.DUMMYFUNCTION("""COMPUTED_VALUE"""),750.0)</f>
        <v>750</v>
      </c>
      <c r="AD6" s="6">
        <f>IFERROR(__xludf.DUMMYFUNCTION("""COMPUTED_VALUE"""),450.0)</f>
        <v>450</v>
      </c>
      <c r="AE6" s="6">
        <f>IFERROR(__xludf.DUMMYFUNCTION("""COMPUTED_VALUE"""),375.0)</f>
        <v>375</v>
      </c>
      <c r="AF6" s="6">
        <f>IFERROR(__xludf.DUMMYFUNCTION("""COMPUTED_VALUE"""),150.0)</f>
        <v>150</v>
      </c>
      <c r="AG6" s="5">
        <f>IFERROR(__xludf.DUMMYFUNCTION("""COMPUTED_VALUE"""),150.0)</f>
        <v>150</v>
      </c>
      <c r="AH6" s="5"/>
      <c r="AI6" s="5">
        <f>IFERROR(__xludf.DUMMYFUNCTION("""COMPUTED_VALUE"""),337.5)</f>
        <v>337.5</v>
      </c>
      <c r="AJ6" s="5">
        <f>IFERROR(__xludf.DUMMYFUNCTION("""COMPUTED_VALUE"""),405.0)</f>
        <v>405</v>
      </c>
      <c r="AK6" s="5" t="str">
        <f>IFERROR(__xludf.DUMMYFUNCTION("""COMPUTED_VALUE"""),"El lenguaje financiero global se habla con SAP HANA FI 💼
Con este programa aprenderás a gestionar contabilidad y finanzas de forma práctica en SAP 🚀.
Aquí la información completa 👇🏻")</f>
        <v>El lenguaje financiero global se habla con SAP HANA FI 💼
Con este programa aprenderás a gestionar contabilidad y finanzas de forma práctica en SAP 🚀.
Aquí la información completa 👇🏻</v>
      </c>
      <c r="AL6" s="5" t="str">
        <f>IFERROR(__xludf.DUMMYFUNCTION("""COMPUTED_VALUE"""),"💰 Excelente, actualízate con SAP FI y domina la gestión financiera en SAP.")</f>
        <v>💰 Excelente, actualízate con SAP FI y domina la gestión financiera en SAP.</v>
      </c>
      <c r="AM6" s="5" t="str">
        <f>IFERROR(__xludf.DUMMYFUNCTION("""COMPUTED_VALUE"""),"💼 Buenísimo, SAP FI es clave en empresas que manejan contabilidad y finanzas.")</f>
        <v>💼 Buenísimo, SAP FI es clave en empresas que manejan contabilidad y finanzas.</v>
      </c>
      <c r="AN6" s="5" t="str">
        <f>IFERROR(__xludf.DUMMYFUNCTION("""COMPUTED_VALUE"""),"🎓 ¡Genial! Aprender SAP FI en la universidad fortalecerá tu perfil en finanzas.")</f>
        <v>🎓 ¡Genial! Aprender SAP FI en la universidad fortalecerá tu perfil en finanzas.</v>
      </c>
      <c r="AO6" s="5" t="str">
        <f>IFERROR(__xludf.DUMMYFUNCTION("""COMPUTED_VALUE"""),"🚀 ¡Perfecto! Con SAP FI tendrás ventaja en prácticas de contabilidad y finanzas.")</f>
        <v>🚀 ¡Perfecto! Con SAP FI tendrás ventaja en prácticas de contabilidad y finanzas.</v>
      </c>
      <c r="AP6" s="5" t="str">
        <f>IFERROR(__xludf.DUMMYFUNCTION("""COMPUTED_VALUE"""),"📊 ¡Excelente! Con SAP FI podrás llevar la contabilidad de tu negocio con precisión.")</f>
        <v>📊 ¡Excelente! Con SAP FI podrás llevar la contabilidad de tu negocio con precisión.</v>
      </c>
      <c r="AQ6" s="9" t="str">
        <f>IFERROR(__xludf.DUMMYFUNCTION("""COMPUTED_VALUE"""),"https://we-educacion.com/slides/sap-s-4-hana-fi-54")</f>
        <v>https://we-educacion.com/slides/sap-s-4-hana-fi-54</v>
      </c>
      <c r="AR6" s="5">
        <v>1.0</v>
      </c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</row>
    <row r="7" ht="15.75" customHeight="1">
      <c r="A7" s="5" t="s">
        <v>49</v>
      </c>
      <c r="B7" s="5" t="str">
        <f t="shared" si="1"/>
        <v>OCT. I - ED25</v>
      </c>
      <c r="C7" s="6" t="str">
        <f>IFERROR(__xludf.DUMMYFUNCTION("""COMPUTED_VALUE"""),"LOGÍSTICA")</f>
        <v>LOGÍSTICA</v>
      </c>
      <c r="D7" s="5" t="str">
        <f>IFERROR(__xludf.DUMMYFUNCTION("""COMPUTED_VALUE"""),"CURSO")</f>
        <v>CURSO</v>
      </c>
      <c r="E7" s="6" t="str">
        <f>IFERROR(__xludf.DUMMYFUNCTION("""COMPUTED_VALUE"""),"GEST TRANSPORTES")</f>
        <v>GEST TRANSPORTES</v>
      </c>
      <c r="F7" s="7">
        <f>IFERROR(__xludf.DUMMYFUNCTION("""COMPUTED_VALUE"""),45934.0)</f>
        <v>45934</v>
      </c>
      <c r="G7" s="6"/>
      <c r="H7" s="7"/>
      <c r="I7" s="6"/>
      <c r="J7" s="7"/>
      <c r="K7" s="6"/>
      <c r="L7" s="7"/>
      <c r="M7" s="6"/>
      <c r="N7" s="7"/>
      <c r="O7" s="6"/>
      <c r="P7" s="7"/>
      <c r="Q7" s="6" t="str">
        <f>IFERROR(__xludf.DUMMYFUNCTION("""COMPUTED_VALUE"""),"Sonia Guerra")</f>
        <v>Sonia Guerra</v>
      </c>
      <c r="R7" s="5" t="str">
        <f>IFERROR(__xludf.DUMMYFUNCTION("""COMPUTED_VALUE"""),"Sáb")</f>
        <v>Sáb</v>
      </c>
      <c r="S7" s="6" t="str">
        <f>IFERROR(__xludf.DUMMYFUNCTION("""COMPUTED_VALUE"""),"3PM - 6PM")</f>
        <v>3PM - 6PM</v>
      </c>
      <c r="T7" s="7" t="str">
        <f>IFERROR(__xludf.DUMMYFUNCTION("""COMPUTED_VALUE"""),"Sábado 4 Octubre")</f>
        <v>Sábado 4 Octubre</v>
      </c>
      <c r="U7" s="7" t="str">
        <f>IFERROR(__xludf.DUMMYFUNCTION("""COMPUTED_VALUE"""),"Sábado 8 Noviembre")</f>
        <v>Sábado 8 Noviembre</v>
      </c>
      <c r="V7" s="8">
        <f>IFERROR(__xludf.DUMMYFUNCTION("""COMPUTED_VALUE"""),5.0)</f>
        <v>5</v>
      </c>
      <c r="W7" s="5" t="str">
        <f>IFERROR(__xludf.DUMMYFUNCTION("""COMPUTED_VALUE"""),"pdfs/BROCHURE GESTION DE TRANSPORTE Y CANALES DE DISTRIBUCIÓN.pdf")</f>
        <v>pdfs/BROCHURE GESTION DE TRANSPORTE Y CANALES DE DISTRIBUCIÓN.pdf</v>
      </c>
      <c r="X7" s="5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*Utilizarán Excel* 👩🏻‍💻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*Por favor, revisa el BROCHURE* 👇🏻
Aqui encontrarás la información completa del programa, el TEMARIO (malla curricular) y todos los BENEFICIOS 📚</v>
      </c>
      <c r="Y7" s="5" t="str">
        <f>IFERROR(__xludf.DUMMYFUNCTION("""COMPUTED_VALUE"""),"images/transpo.jpg")</f>
        <v>images/transpo.jpg</v>
      </c>
      <c r="Z7" s="5"/>
      <c r="AA7" s="5" t="str">
        <f>IFERROR(__xludf.DUMMYFUNCTION("""COMPUTED_VALUE"""),"NO")</f>
        <v>NO</v>
      </c>
      <c r="AB7" s="6">
        <f>IFERROR(__xludf.DUMMYFUNCTION("""COMPUTED_VALUE"""),830.0)</f>
        <v>830</v>
      </c>
      <c r="AC7" s="6">
        <f>IFERROR(__xludf.DUMMYFUNCTION("""COMPUTED_VALUE"""),770.0)</f>
        <v>770</v>
      </c>
      <c r="AD7" s="6">
        <f>IFERROR(__xludf.DUMMYFUNCTION("""COMPUTED_VALUE"""),415.0)</f>
        <v>415</v>
      </c>
      <c r="AE7" s="6">
        <f>IFERROR(__xludf.DUMMYFUNCTION("""COMPUTED_VALUE"""),385.0)</f>
        <v>385</v>
      </c>
      <c r="AF7" s="6">
        <f>IFERROR(__xludf.DUMMYFUNCTION("""COMPUTED_VALUE"""),150.0)</f>
        <v>150</v>
      </c>
      <c r="AG7" s="5">
        <f>IFERROR(__xludf.DUMMYFUNCTION("""COMPUTED_VALUE"""),150.0)</f>
        <v>150</v>
      </c>
      <c r="AH7" s="5"/>
      <c r="AI7" s="5">
        <f>IFERROR(__xludf.DUMMYFUNCTION("""COMPUTED_VALUE"""),346.5)</f>
        <v>346.5</v>
      </c>
      <c r="AJ7" s="5">
        <f>IFERROR(__xludf.DUMMYFUNCTION("""COMPUTED_VALUE"""),373.5)</f>
        <v>373.5</v>
      </c>
      <c r="AK7" s="5" t="str">
        <f>IFERROR(__xludf.DUMMYFUNCTION("""COMPUTED_VALUE"""),"La competitividad empresarial depende de una logística eficiente 📦
Con Gestión de Transportes aprenderás a planificar, coordinar y optimizar rutas y costos en casos reales 🚛.
Aquí te comparto la información 👇🏻")</f>
        <v>La competitividad empresarial depende de una logística eficiente 📦
Con Gestión de Transportes aprenderás a planificar, coordinar y optimizar rutas y costos en casos reales 🚛.
Aquí te comparto la información 👇🏻</v>
      </c>
      <c r="AL7" s="5" t="str">
        <f>IFERROR(__xludf.DUMMYFUNCTION("""COMPUTED_VALUE"""),"🌍 *Excelente*, actualízate con *GEST TRANSPORTES* y mantente competitivo en el mercado laboral.")</f>
        <v>🌍 *Excelente*, actualízate con *GEST TRANSPORTES* y mantente competitivo en el mercado laboral.</v>
      </c>
      <c r="AM7" s="5" t="str">
        <f>IFERROR(__xludf.DUMMYFUNCTION("""COMPUTED_VALUE"""),"📘 Buenísimo, *GEST TRANSPORTES* es de las competencias más pedidas por las empresas y aumentará tus oportunidades laborales.")</f>
        <v>📘 Buenísimo, *GEST TRANSPORTES* es de las competencias más pedidas por las empresas y aumentará tus oportunidades laborales.</v>
      </c>
      <c r="AN7" s="5" t="str">
        <f>IFERROR(__xludf.DUMMYFUNCTION("""COMPUTED_VALUE"""),"💼 ¡Genial! Con *GEST TRANSPORTES* sumarás una habilidad poderosa que te diferenciará desde la universidad.")</f>
        <v>💼 ¡Genial! Con *GEST TRANSPORTES* sumarás una habilidad poderosa que te diferenciará desde la universidad.</v>
      </c>
      <c r="AO7" s="5" t="str">
        <f>IFERROR(__xludf.DUMMYFUNCTION("""COMPUTED_VALUE"""),"📊 ¡Perfecto! Saber *GEST TRANSPORTES* te dará ventaja frente a otros postulantes para conseguir prácticas.")</f>
        <v>📊 ¡Perfecto! Saber *GEST TRANSPORTES* te dará ventaja frente a otros postulantes para conseguir prácticas.</v>
      </c>
      <c r="AP7" s="5" t="str">
        <f>IFERROR(__xludf.DUMMYFUNCTION("""COMPUTED_VALUE"""),"💼 ¡Excelente! Con *GEST TRANSPORTES* podrás aplicarlo en tu negocio y tomar decisiones más inteligentes.")</f>
        <v>💼 ¡Excelente! Con *GEST TRANSPORTES* podrás aplicarlo en tu negocio y tomar decisiones más inteligentes.</v>
      </c>
      <c r="AQ7" s="9" t="str">
        <f>IFERROR(__xludf.DUMMYFUNCTION("""COMPUTED_VALUE"""),"https://we-educacion.com/slides/gestion-de-transportes-73")</f>
        <v>https://we-educacion.com/slides/gestion-de-transportes-73</v>
      </c>
      <c r="AR7" s="5">
        <v>1.0</v>
      </c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</row>
    <row r="8" ht="15.75" customHeight="1">
      <c r="A8" s="5" t="s">
        <v>50</v>
      </c>
      <c r="B8" s="5" t="str">
        <f t="shared" si="1"/>
        <v>OCT. I - ED25</v>
      </c>
      <c r="C8" s="6" t="str">
        <f>IFERROR(__xludf.DUMMYFUNCTION("""COMPUTED_VALUE"""),"PROYECTOS")</f>
        <v>PROYECTOS</v>
      </c>
      <c r="D8" s="6" t="str">
        <f>IFERROR(__xludf.DUMMYFUNCTION("""COMPUTED_VALUE"""),"CURSO")</f>
        <v>CURSO</v>
      </c>
      <c r="E8" s="6" t="str">
        <f>IFERROR(__xludf.DUMMYFUNCTION("""COMPUTED_VALUE"""),"GEST. ÁGIL PROYECT")</f>
        <v>GEST. ÁGIL PROYECT</v>
      </c>
      <c r="F8" s="7">
        <f>IFERROR(__xludf.DUMMYFUNCTION("""COMPUTED_VALUE"""),45935.0)</f>
        <v>45935</v>
      </c>
      <c r="G8" s="6"/>
      <c r="H8" s="7"/>
      <c r="I8" s="6"/>
      <c r="J8" s="7"/>
      <c r="K8" s="6"/>
      <c r="L8" s="7"/>
      <c r="M8" s="6"/>
      <c r="N8" s="7"/>
      <c r="O8" s="6"/>
      <c r="P8" s="7"/>
      <c r="Q8" s="6" t="str">
        <f>IFERROR(__xludf.DUMMYFUNCTION("""COMPUTED_VALUE"""),"Juan Bravo")</f>
        <v>Juan Bravo</v>
      </c>
      <c r="R8" s="5" t="str">
        <f>IFERROR(__xludf.DUMMYFUNCTION("""COMPUTED_VALUE"""),"Dom")</f>
        <v>Dom</v>
      </c>
      <c r="S8" s="6" t="str">
        <f>IFERROR(__xludf.DUMMYFUNCTION("""COMPUTED_VALUE"""),"9AM - 12PM")</f>
        <v>9AM - 12PM</v>
      </c>
      <c r="T8" s="7" t="str">
        <f>IFERROR(__xludf.DUMMYFUNCTION("""COMPUTED_VALUE"""),"Domingo 5 Octubre")</f>
        <v>Domingo 5 Octubre</v>
      </c>
      <c r="U8" s="7" t="str">
        <f>IFERROR(__xludf.DUMMYFUNCTION("""COMPUTED_VALUE"""),"Domingo 2 Noviembre")</f>
        <v>Domingo 2 Noviembre</v>
      </c>
      <c r="V8" s="8">
        <f>IFERROR(__xludf.DUMMYFUNCTION("""COMPUTED_VALUE"""),5.0)</f>
        <v>5</v>
      </c>
      <c r="W8" s="5" t="str">
        <f>IFERROR(__xludf.DUMMYFUNCTION("""COMPUTED_VALUE"""),"pdfs/BROCHURE GESTIÓN ÁGIL DE PROYECTOS.pdf")</f>
        <v>pdfs/BROCHURE GESTIÓN ÁGIL DE PROYECTOS.pdf</v>
      </c>
      <c r="X8" s="5" t="str">
        <f>IFERROR(__xludf.DUMMYFUNCTION("""COMPUTED_VALUE"""),"🔵 *¡Certificados Adicionales!* ⭐
👉🏻 Certificado *Scrum Fundamentals*
👉🏻 Certificado *Scrum Master* tiene la inversión de *$50* ~(Normal $150)~
_Incluye material de práctica y 2 intentos del examen_
🚨 *Por favor, revisa el BROCHURE* 👇🏻
Aqui encont"&amp;"rarás la información completa del programa, el TEMARIO (malla curricular) y todos los BENEFICIOS 📚")</f>
        <v>🔵 *¡Certificados Adicionales!* ⭐
👉🏻 Certificado *Scrum Fundamentals*
👉🏻 Certificado *Scrum Master* tiene la inversión de *$50* ~(Normal $150)~
_Incluye material de práctica y 2 intentos del examen_
🚨 *Por favor, revisa el BROCHURE* 👇🏻
Aqui encontrarás la información completa del programa, el TEMARIO (malla curricular) y todos los BENEFICIOS 📚</v>
      </c>
      <c r="Y8" s="5" t="str">
        <f>IFERROR(__xludf.DUMMYFUNCTION("""COMPUTED_VALUE"""),"images/gestagil.jpg")</f>
        <v>images/gestagil.jpg</v>
      </c>
      <c r="Z8" s="5"/>
      <c r="AA8" s="5" t="str">
        <f>IFERROR(__xludf.DUMMYFUNCTION("""COMPUTED_VALUE"""),"SI")</f>
        <v>SI</v>
      </c>
      <c r="AB8" s="6">
        <f>IFERROR(__xludf.DUMMYFUNCTION("""COMPUTED_VALUE"""),640.0)</f>
        <v>640</v>
      </c>
      <c r="AC8" s="6">
        <f>IFERROR(__xludf.DUMMYFUNCTION("""COMPUTED_VALUE"""),550.0)</f>
        <v>550</v>
      </c>
      <c r="AD8" s="6">
        <f>IFERROR(__xludf.DUMMYFUNCTION("""COMPUTED_VALUE"""),320.0)</f>
        <v>320</v>
      </c>
      <c r="AE8" s="6">
        <f>IFERROR(__xludf.DUMMYFUNCTION("""COMPUTED_VALUE"""),275.0)</f>
        <v>275</v>
      </c>
      <c r="AF8" s="6">
        <f>IFERROR(__xludf.DUMMYFUNCTION("""COMPUTED_VALUE"""),150.0)</f>
        <v>150</v>
      </c>
      <c r="AG8" s="5">
        <f>IFERROR(__xludf.DUMMYFUNCTION("""COMPUTED_VALUE"""),150.0)</f>
        <v>150</v>
      </c>
      <c r="AH8" s="5"/>
      <c r="AI8" s="5">
        <f>IFERROR(__xludf.DUMMYFUNCTION("""COMPUTED_VALUE"""),247.5)</f>
        <v>247.5</v>
      </c>
      <c r="AJ8" s="5">
        <f>IFERROR(__xludf.DUMMYFUNCTION("""COMPUTED_VALUE"""),288.0)</f>
        <v>288</v>
      </c>
      <c r="AK8" s="5" t="str">
        <f>IFERROR(__xludf.DUMMYFUNCTION("""COMPUTED_VALUE"""),"El lenguaje de los equipos de alto rendimiento es la agilidad 🚀
Con Gestión Ágil de Proyectos dominarás metodologías como SCRUM y Kanban aplicadas a negocios reales 💼.
Aquí tienes la info 👇🏻")</f>
        <v>El lenguaje de los equipos de alto rendimiento es la agilidad 🚀
Con Gestión Ágil de Proyectos dominarás metodologías como SCRUM y Kanban aplicadas a negocios reales 💼.
Aquí tienes la info 👇🏻</v>
      </c>
      <c r="AL8" s="5" t="str">
        <f>IFERROR(__xludf.DUMMYFUNCTION("""COMPUTED_VALUE"""),"📘 *Excelente*, actualízate con *GEST. ÁGIL PROYECT* y mantente competitivo en el mercado laboral.")</f>
        <v>📘 *Excelente*, actualízate con *GEST. ÁGIL PROYECT* y mantente competitivo en el mercado laboral.</v>
      </c>
      <c r="AM8" s="5" t="str">
        <f>IFERROR(__xludf.DUMMYFUNCTION("""COMPUTED_VALUE"""),"📈 Buenísimo, *GEST. ÁGIL PROYECT* es de las competencias más pedidas por las empresas y aumentará tus oportunidades laborales.")</f>
        <v>📈 Buenísimo, *GEST. ÁGIL PROYECT* es de las competencias más pedidas por las empresas y aumentará tus oportunidades laborales.</v>
      </c>
      <c r="AN8" s="5" t="str">
        <f>IFERROR(__xludf.DUMMYFUNCTION("""COMPUTED_VALUE"""),"📘 ¡Genial! Con *GEST. ÁGIL PROYECT* sumarás una habilidad poderosa que te diferenciará desde la universidad.")</f>
        <v>📘 ¡Genial! Con *GEST. ÁGIL PROYECT* sumarás una habilidad poderosa que te diferenciará desde la universidad.</v>
      </c>
      <c r="AO8" s="5" t="str">
        <f>IFERROR(__xludf.DUMMYFUNCTION("""COMPUTED_VALUE"""),"🔑 ¡Perfecto! Saber *GEST. ÁGIL PROYECT* te dará ventaja frente a otros postulantes para conseguir prácticas.")</f>
        <v>🔑 ¡Perfecto! Saber *GEST. ÁGIL PROYECT* te dará ventaja frente a otros postulantes para conseguir prácticas.</v>
      </c>
      <c r="AP8" s="5" t="str">
        <f>IFERROR(__xludf.DUMMYFUNCTION("""COMPUTED_VALUE"""),"📘 ¡Excelente! Con *GEST. ÁGIL PROYECT* podrás aplicarlo en tu negocio y tomar decisiones más inteligentes.")</f>
        <v>📘 ¡Excelente! Con *GEST. ÁGIL PROYECT* podrás aplicarlo en tu negocio y tomar decisiones más inteligentes.</v>
      </c>
      <c r="AQ8" s="9" t="str">
        <f>IFERROR(__xludf.DUMMYFUNCTION("""COMPUTED_VALUE"""),"https://we-educacion.com/slides/gestion-agil-de-proyectos-515")</f>
        <v>https://we-educacion.com/slides/gestion-agil-de-proyectos-515</v>
      </c>
      <c r="AR8" s="5">
        <v>1.0</v>
      </c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</row>
    <row r="9" ht="15.75" customHeight="1">
      <c r="A9" s="5" t="s">
        <v>51</v>
      </c>
      <c r="B9" s="5" t="str">
        <f t="shared" si="1"/>
        <v>OCT. I - ED25</v>
      </c>
      <c r="C9" s="6" t="str">
        <f>IFERROR(__xludf.DUMMYFUNCTION("""COMPUTED_VALUE"""),"BI")</f>
        <v>BI</v>
      </c>
      <c r="D9" s="5" t="str">
        <f>IFERROR(__xludf.DUMMYFUNCTION("""COMPUTED_VALUE"""),"CURSO")</f>
        <v>CURSO</v>
      </c>
      <c r="E9" s="6" t="str">
        <f>IFERROR(__xludf.DUMMYFUNCTION("""COMPUTED_VALUE"""),"PYTHON AVANZ.")</f>
        <v>PYTHON AVANZ.</v>
      </c>
      <c r="F9" s="7">
        <f>IFERROR(__xludf.DUMMYFUNCTION("""COMPUTED_VALUE"""),45935.0)</f>
        <v>45935</v>
      </c>
      <c r="G9" s="6"/>
      <c r="H9" s="7"/>
      <c r="I9" s="6"/>
      <c r="J9" s="7"/>
      <c r="K9" s="6"/>
      <c r="L9" s="7"/>
      <c r="M9" s="6"/>
      <c r="N9" s="7"/>
      <c r="O9" s="6"/>
      <c r="P9" s="7"/>
      <c r="Q9" s="6" t="str">
        <f>IFERROR(__xludf.DUMMYFUNCTION("""COMPUTED_VALUE"""),"Paul Gabino")</f>
        <v>Paul Gabino</v>
      </c>
      <c r="R9" s="5" t="str">
        <f>IFERROR(__xludf.DUMMYFUNCTION("""COMPUTED_VALUE"""),"Dom")</f>
        <v>Dom</v>
      </c>
      <c r="S9" s="6" t="str">
        <f>IFERROR(__xludf.DUMMYFUNCTION("""COMPUTED_VALUE"""),"9AM - 12PM")</f>
        <v>9AM - 12PM</v>
      </c>
      <c r="T9" s="7" t="str">
        <f>IFERROR(__xludf.DUMMYFUNCTION("""COMPUTED_VALUE"""),"Domingo 5 Octubre")</f>
        <v>Domingo 5 Octubre</v>
      </c>
      <c r="U9" s="7" t="str">
        <f>IFERROR(__xludf.DUMMYFUNCTION("""COMPUTED_VALUE"""),"Domingo 9 Noviembre")</f>
        <v>Domingo 9 Noviembre</v>
      </c>
      <c r="V9" s="8">
        <f>IFERROR(__xludf.DUMMYFUNCTION("""COMPUTED_VALUE"""),6.0)</f>
        <v>6</v>
      </c>
      <c r="W9" s="5" t="str">
        <f>IFERROR(__xludf.DUMMYFUNCTION("""COMPUTED_VALUE"""),"pdfs/BROCHURE PYTHON AVANZADO MACHINE LEARNING.pdf")</f>
        <v>pdfs/BROCHURE PYTHON AVANZADO MACHINE LEARNING.pdf</v>
      </c>
      <c r="X9" s="5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9" s="5" t="str">
        <f>IFERROR(__xludf.DUMMYFUNCTION("""COMPUTED_VALUE"""),"images/pythonavanz.jpg")</f>
        <v>images/pythonavanz.jpg</v>
      </c>
      <c r="Z9" s="5" t="str">
        <f>IFERROR(__xludf.DUMMYFUNCTION("""COMPUTED_VALUE"""),"Avalado por IBM® Partner World")</f>
        <v>Avalado por IBM® Partner World</v>
      </c>
      <c r="AA9" s="5" t="str">
        <f>IFERROR(__xludf.DUMMYFUNCTION("""COMPUTED_VALUE"""),"NO")</f>
        <v>NO</v>
      </c>
      <c r="AB9" s="6">
        <f>IFERROR(__xludf.DUMMYFUNCTION("""COMPUTED_VALUE"""),830.0)</f>
        <v>830</v>
      </c>
      <c r="AC9" s="6">
        <f>IFERROR(__xludf.DUMMYFUNCTION("""COMPUTED_VALUE"""),755.0)</f>
        <v>755</v>
      </c>
      <c r="AD9" s="6">
        <f>IFERROR(__xludf.DUMMYFUNCTION("""COMPUTED_VALUE"""),415.0)</f>
        <v>415</v>
      </c>
      <c r="AE9" s="6">
        <f>IFERROR(__xludf.DUMMYFUNCTION("""COMPUTED_VALUE"""),377.5)</f>
        <v>377.5</v>
      </c>
      <c r="AF9" s="6">
        <f>IFERROR(__xludf.DUMMYFUNCTION("""COMPUTED_VALUE"""),150.0)</f>
        <v>150</v>
      </c>
      <c r="AG9" s="5">
        <f>IFERROR(__xludf.DUMMYFUNCTION("""COMPUTED_VALUE"""),150.0)</f>
        <v>150</v>
      </c>
      <c r="AH9" s="5"/>
      <c r="AI9" s="5">
        <f>IFERROR(__xludf.DUMMYFUNCTION("""COMPUTED_VALUE"""),339.75)</f>
        <v>339.75</v>
      </c>
      <c r="AJ9" s="5">
        <f>IFERROR(__xludf.DUMMYFUNCTION("""COMPUTED_VALUE"""),373.5)</f>
        <v>373.5</v>
      </c>
      <c r="AK9" s="5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9" s="5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9" s="5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9" s="5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9" s="5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9" s="5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9" s="9" t="str">
        <f>IFERROR(__xludf.DUMMYFUNCTION("""COMPUTED_VALUE"""),"https://we-educacion.com/slides/python-avanzado-machine-learning-275")</f>
        <v>https://we-educacion.com/slides/python-avanzado-machine-learning-275</v>
      </c>
      <c r="AR9" s="5">
        <v>1.0</v>
      </c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</row>
    <row r="10" ht="15.75" customHeight="1">
      <c r="A10" s="5" t="s">
        <v>52</v>
      </c>
      <c r="B10" s="5" t="str">
        <f t="shared" si="1"/>
        <v>OCT. I - ED25</v>
      </c>
      <c r="C10" s="6" t="str">
        <f>IFERROR(__xludf.DUMMYFUNCTION("""COMPUTED_VALUE"""),"PROYECTOS")</f>
        <v>PROYECTOS</v>
      </c>
      <c r="D10" s="5" t="str">
        <f>IFERROR(__xludf.DUMMYFUNCTION("""COMPUTED_VALUE"""),"DIPLOMADO")</f>
        <v>DIPLOMADO</v>
      </c>
      <c r="E10" s="6" t="str">
        <f>IFERROR(__xludf.DUMMYFUNCTION("""COMPUTED_VALUE"""),"DIP GEST PROYECTOS V4")</f>
        <v>DIP GEST PROYECTOS V4</v>
      </c>
      <c r="F10" s="7">
        <f>IFERROR(__xludf.DUMMYFUNCTION("""COMPUTED_VALUE"""),45939.0)</f>
        <v>45939</v>
      </c>
      <c r="G10" s="6" t="str">
        <f>IFERROR(__xludf.DUMMYFUNCTION("""COMPUTED_VALUE"""),"GEST PROYECT I")</f>
        <v>GEST PROYECT I</v>
      </c>
      <c r="H10" s="7">
        <f>IFERROR(__xludf.DUMMYFUNCTION("""COMPUTED_VALUE"""),45939.0)</f>
        <v>45939</v>
      </c>
      <c r="I10" s="6" t="str">
        <f>IFERROR(__xludf.DUMMYFUNCTION("""COMPUTED_VALUE"""),"GEST. ÁGIL PROYECT")</f>
        <v>GEST. ÁGIL PROYECT</v>
      </c>
      <c r="J10" s="7">
        <f>IFERROR(__xludf.DUMMYFUNCTION("""COMPUTED_VALUE"""),45988.0)</f>
        <v>45988</v>
      </c>
      <c r="K10" s="6" t="str">
        <f>IFERROR(__xludf.DUMMYFUNCTION("""COMPUTED_VALUE"""),"MS PROJECT")</f>
        <v>MS PROJECT</v>
      </c>
      <c r="L10" s="7">
        <f>IFERROR(__xludf.DUMMYFUNCTION("""COMPUTED_VALUE"""),46037.0)</f>
        <v>46037</v>
      </c>
      <c r="M10" s="6" t="str">
        <f>IFERROR(__xludf.DUMMYFUNCTION("""COMPUTED_VALUE"""),"PMO")</f>
        <v>PMO</v>
      </c>
      <c r="N10" s="7">
        <f>IFERROR(__xludf.DUMMYFUNCTION("""COMPUTED_VALUE"""),46079.0)</f>
        <v>46079</v>
      </c>
      <c r="O10" s="6" t="str">
        <f>IFERROR(__xludf.DUMMYFUNCTION("""COMPUTED_VALUE"""),"GEST FINANC. PROYECT")</f>
        <v>GEST FINANC. PROYECT</v>
      </c>
      <c r="P10" s="7">
        <f>IFERROR(__xludf.DUMMYFUNCTION("""COMPUTED_VALUE"""),46121.0)</f>
        <v>46121</v>
      </c>
      <c r="Q10" s="6" t="str">
        <f>IFERROR(__xludf.DUMMYFUNCTION("""COMPUTED_VALUE"""),"Gonzalo Sevillano
Moisés Zabalbeascoa
Piero Prieto
José Díaz
Elmer León")</f>
        <v>Gonzalo Sevillano
Moisés Zabalbeascoa
Piero Prieto
José Díaz
Elmer León</v>
      </c>
      <c r="R10" s="5" t="str">
        <f>IFERROR(__xludf.DUMMYFUNCTION("""COMPUTED_VALUE"""),"Jue")</f>
        <v>Jue</v>
      </c>
      <c r="S10" s="6" t="str">
        <f>IFERROR(__xludf.DUMMYFUNCTION("""COMPUTED_VALUE"""),"7PM - 10PM")</f>
        <v>7PM - 10PM</v>
      </c>
      <c r="T10" s="7" t="str">
        <f>IFERROR(__xludf.DUMMYFUNCTION("""COMPUTED_VALUE"""),"Jueves 9 Octubre")</f>
        <v>Jueves 9 Octubre</v>
      </c>
      <c r="U10" s="7" t="str">
        <f>IFERROR(__xludf.DUMMYFUNCTION("""COMPUTED_VALUE"""),"Jueves 14 Mayo")</f>
        <v>Jueves 14 Mayo</v>
      </c>
      <c r="V10" s="8">
        <f>IFERROR(__xludf.DUMMYFUNCTION("""COMPUTED_VALUE"""),29.0)</f>
        <v>29</v>
      </c>
      <c r="W10" s="5" t="str">
        <f>IFERROR(__xludf.DUMMYFUNCTION("""COMPUTED_VALUE"""),"pdfs/BROCHURE DIPLOMADO GESTION DE PROYECTOS.pdf")</f>
        <v>pdfs/BROCHURE DIPLOMADO GESTION DE PROYECTOS.pdf</v>
      </c>
      <c r="X10" s="5" t="str">
        <f>IFERROR(__xludf.DUMMYFUNCTION("""COMPUTED_VALUE"""),"🔵 Accede a la CERTIFICACIÓN PMI READY 💻⭐
👉🏼 Material de práctica (Previo al examen) 
👉🏼 Glosario: Conceptos en inglés
🔵 Podrás sustentar las 23 horas solicitadas por parte del CAPM
🔹 Utilizarán MS Project, Excel y Power BI 👩🏻‍💻
👉🏼 Incluye t"&amp;"utorial y manual de instalación
💻 Importante: Para la instalación se necesita una Laptop Windows
Por tu inscripción Al Contado, participa del Congreso de Proyectos en Modalidad General 🔝 
🚨 Por favor, revisa el BROCHURE 👇🏻
Aqui encontrarás la infor"&amp;"mación completa del programa: Temario (malla curricular) y todos los BENEFICIOS ")</f>
        <v>🔵 Accede a la CERTIFICACIÓN PMI READY 💻⭐
👉🏼 Material de práctica (Previo al examen) 
👉🏼 Glosario: Conceptos en inglés
🔵 Podrás sustentar las 23 horas solicitadas por parte del CAPM
🔹 Utilizarán MS Project, Excel y Power BI 👩🏻‍💻
👉🏼 Incluye tutorial y manual de instalación
💻 Importante: Para la instalación se necesita una Laptop Windows
Por tu inscripción Al Contado, participa del Congreso de Proyectos en Modalidad General 🔝 
🚨 Por favor, revisa el BROCHURE 👇🏻
Aqui encontrarás la información completa del programa: Temario (malla curricular) y todos los BENEFICIOS </v>
      </c>
      <c r="Y10" s="5" t="str">
        <f>IFERROR(__xludf.DUMMYFUNCTION("""COMPUTED_VALUE"""),"images/dipproyect.jpg")</f>
        <v>images/dipproyect.jpg</v>
      </c>
      <c r="Z10" s="5"/>
      <c r="AA10" s="5"/>
      <c r="AB10" s="6">
        <f>IFERROR(__xludf.DUMMYFUNCTION("""COMPUTED_VALUE"""),3385.0)</f>
        <v>3385</v>
      </c>
      <c r="AC10" s="6">
        <f>IFERROR(__xludf.DUMMYFUNCTION("""COMPUTED_VALUE"""),3010.0)</f>
        <v>3010</v>
      </c>
      <c r="AD10" s="6">
        <f>IFERROR(__xludf.DUMMYFUNCTION("""COMPUTED_VALUE"""),1692.5)</f>
        <v>1692.5</v>
      </c>
      <c r="AE10" s="6">
        <f>IFERROR(__xludf.DUMMYFUNCTION("""COMPUTED_VALUE"""),1505.0)</f>
        <v>1505</v>
      </c>
      <c r="AF10" s="6">
        <f>IFERROR(__xludf.DUMMYFUNCTION("""COMPUTED_VALUE"""),250.0)</f>
        <v>250</v>
      </c>
      <c r="AG10" s="5">
        <f>IFERROR(__xludf.DUMMYFUNCTION("""COMPUTED_VALUE"""),350.0)</f>
        <v>350</v>
      </c>
      <c r="AH10" s="5"/>
      <c r="AI10" s="5">
        <f>IFERROR(__xludf.DUMMYFUNCTION("""COMPUTED_VALUE"""),1354.5)</f>
        <v>1354.5</v>
      </c>
      <c r="AJ10" s="5">
        <f>IFERROR(__xludf.DUMMYFUNCTION("""COMPUTED_VALUE"""),1523.25)</f>
        <v>1523.25</v>
      </c>
      <c r="AK10" s="5" t="str">
        <f>IFERROR(__xludf.DUMMYFUNCTION("""COMPUTED_VALUE"""),"El liderazgo de proyectos es el motor de las organizaciones 🚀
Aprende metodologías ágiles y herramientas de gestión para llevar tus proyectos al éxito 📈
👉🏻 Aquí tienes la información completa.")</f>
        <v>El liderazgo de proyectos es el motor de las organizaciones 🚀
Aprende metodologías ágiles y herramientas de gestión para llevar tus proyectos al éxito 📈
👉🏻 Aquí tienes la información completa.</v>
      </c>
      <c r="AL10" s="5" t="str">
        <f>IFERROR(__xludf.DUMMYFUNCTION("""COMPUTED_VALUE"""),"📂 Excelente, con el Diplomado en Gestión de Proyectos dominarás metodologías ágiles y PMI.")</f>
        <v>📂 Excelente, con el Diplomado en Gestión de Proyectos dominarás metodologías ágiles y PMI.</v>
      </c>
      <c r="AM10" s="5" t="str">
        <f>IFERROR(__xludf.DUMMYFUNCTION("""COMPUTED_VALUE"""),"💼 Buenísimo, este Diplomado abre puertas en empresas que lideran proyectos estratégicos.")</f>
        <v>💼 Buenísimo, este Diplomado abre puertas en empresas que lideran proyectos estratégicos.</v>
      </c>
      <c r="AN10" s="5" t="str">
        <f>IFERROR(__xludf.DUMMYFUNCTION("""COMPUTED_VALUE"""),"🎓 ¡Genial! Desde la universidad, este Diplomado te dará ventaja en planificación y control.")</f>
        <v>🎓 ¡Genial! Desde la universidad, este Diplomado te dará ventaja en planificación y control.</v>
      </c>
      <c r="AO10" s="5" t="str">
        <f>IFERROR(__xludf.DUMMYFUNCTION("""COMPUTED_VALUE"""),"🚀 ¡Perfecto! Con el Diplomado en Proyectos resaltarás en prácticas de gestión e innovación.")</f>
        <v>🚀 ¡Perfecto! Con el Diplomado en Proyectos resaltarás en prácticas de gestión e innovación.</v>
      </c>
      <c r="AP10" s="5" t="str">
        <f>IFERROR(__xludf.DUMMYFUNCTION("""COMPUTED_VALUE"""),"📊 ¡Excelente! Podrás aplicar lo aprendido para dirigir proyectos propios o de tu negocio.")</f>
        <v>📊 ¡Excelente! Podrás aplicar lo aprendido para dirigir proyectos propios o de tu negocio.</v>
      </c>
      <c r="AQ10" s="9" t="str">
        <f>IFERROR(__xludf.DUMMYFUNCTION("""COMPUTED_VALUE"""),"https://we-educacion.com/slides/diplomado-en-gestion-de-proyectos-209")</f>
        <v>https://we-educacion.com/slides/diplomado-en-gestion-de-proyectos-209</v>
      </c>
      <c r="AR10" s="5">
        <v>1.0</v>
      </c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</row>
    <row r="11" ht="15.75" customHeight="1">
      <c r="A11" s="5" t="s">
        <v>53</v>
      </c>
      <c r="B11" s="5" t="str">
        <f t="shared" si="1"/>
        <v>OCT. I - ED25</v>
      </c>
      <c r="C11" s="6" t="str">
        <f>IFERROR(__xludf.DUMMYFUNCTION("""COMPUTED_VALUE"""),"PROYECTOS")</f>
        <v>PROYECTOS</v>
      </c>
      <c r="D11" s="5" t="str">
        <f>IFERROR(__xludf.DUMMYFUNCTION("""COMPUTED_VALUE"""),"PEE")</f>
        <v>PEE</v>
      </c>
      <c r="E11" s="6" t="str">
        <f>IFERROR(__xludf.DUMMYFUNCTION("""COMPUTED_VALUE"""),"PEE ANALIST PROY V4")</f>
        <v>PEE ANALIST PROY V4</v>
      </c>
      <c r="F11" s="7">
        <f>IFERROR(__xludf.DUMMYFUNCTION("""COMPUTED_VALUE"""),45939.0)</f>
        <v>45939</v>
      </c>
      <c r="G11" s="6" t="str">
        <f>IFERROR(__xludf.DUMMYFUNCTION("""COMPUTED_VALUE"""),"GEST PROYECT I")</f>
        <v>GEST PROYECT I</v>
      </c>
      <c r="H11" s="7">
        <f>IFERROR(__xludf.DUMMYFUNCTION("""COMPUTED_VALUE"""),45939.0)</f>
        <v>45939</v>
      </c>
      <c r="I11" s="6" t="str">
        <f>IFERROR(__xludf.DUMMYFUNCTION("""COMPUTED_VALUE"""),"GEST. ÁGIL PROYECT")</f>
        <v>GEST. ÁGIL PROYECT</v>
      </c>
      <c r="J11" s="7">
        <f>IFERROR(__xludf.DUMMYFUNCTION("""COMPUTED_VALUE"""),45988.0)</f>
        <v>45988</v>
      </c>
      <c r="K11" s="6" t="str">
        <f>IFERROR(__xludf.DUMMYFUNCTION("""COMPUTED_VALUE"""),"MS PROJECT")</f>
        <v>MS PROJECT</v>
      </c>
      <c r="L11" s="7">
        <f>IFERROR(__xludf.DUMMYFUNCTION("""COMPUTED_VALUE"""),46037.0)</f>
        <v>46037</v>
      </c>
      <c r="M11" s="6"/>
      <c r="N11" s="7"/>
      <c r="O11" s="6"/>
      <c r="P11" s="7"/>
      <c r="Q11" s="6" t="str">
        <f>IFERROR(__xludf.DUMMYFUNCTION("""COMPUTED_VALUE"""),"Gonzalo Sevillano
Moisés Zabalbeascoa
Piero Prieto")</f>
        <v>Gonzalo Sevillano
Moisés Zabalbeascoa
Piero Prieto</v>
      </c>
      <c r="R11" s="5" t="str">
        <f>IFERROR(__xludf.DUMMYFUNCTION("""COMPUTED_VALUE"""),"Jue")</f>
        <v>Jue</v>
      </c>
      <c r="S11" s="6" t="str">
        <f>IFERROR(__xludf.DUMMYFUNCTION("""COMPUTED_VALUE"""),"7PM - 10PM")</f>
        <v>7PM - 10PM</v>
      </c>
      <c r="T11" s="7" t="str">
        <f>IFERROR(__xludf.DUMMYFUNCTION("""COMPUTED_VALUE"""),"Jueves 9 Octubre")</f>
        <v>Jueves 9 Octubre</v>
      </c>
      <c r="U11" s="7" t="str">
        <f>IFERROR(__xludf.DUMMYFUNCTION("""COMPUTED_VALUE"""),"Jueves 19 Febrero")</f>
        <v>Jueves 19 Febrero</v>
      </c>
      <c r="V11" s="8">
        <f>IFERROR(__xludf.DUMMYFUNCTION("""COMPUTED_VALUE"""),18.0)</f>
        <v>18</v>
      </c>
      <c r="W11" s="5" t="str">
        <f>IFERROR(__xludf.DUMMYFUNCTION("""COMPUTED_VALUE"""),"pdfs/BROCHURE PEE ANALISTA DE PROYECTOS.pdf")</f>
        <v>pdfs/BROCHURE PEE ANALISTA DE PROYECTOS.pdf</v>
      </c>
      <c r="X11" s="5" t="str">
        <f>IFERROR(__xludf.DUMMYFUNCTION("""COMPUTED_VALUE"""),"🔵 *Utilizarán Excel, Ms Project y Power BI*👩🏻‍💻
👉🏼 Incluye tutorial y manual de instalación
👉🏼 ¡Además te regalamos los cursos online!
💻 _*Importante*: Para la instalación se necesita una Laptop *Windows*_
🚨 *Por favor, revisa el BROCHURE* 👇🏻"&amp;"
Aqui encontrarás la información completa del programa, el TEMARIO (malla curricular) y todos los BENEFICIOS 📚")</f>
        <v>🔵 *Utilizarán Excel, Ms Project y Power BI*👩🏻‍💻
👉🏼 Incluye tutorial y manual de instalación
👉🏼 ¡Además te regalamos los cursos online!
💻 _*Importante*: Para la instalación se necesita una Laptop *Windows*_
🚨 *Por favor, revisa el BROCHURE* 👇🏻
Aqui encontrarás la información completa del programa, el TEMARIO (malla curricular) y todos los BENEFICIOS 📚</v>
      </c>
      <c r="Y11" s="5" t="str">
        <f>IFERROR(__xludf.DUMMYFUNCTION("""COMPUTED_VALUE"""),"images/peeproyectos.jpg")</f>
        <v>images/peeproyectos.jpg</v>
      </c>
      <c r="Z11" s="5"/>
      <c r="AA11" s="5"/>
      <c r="AB11" s="6">
        <f>IFERROR(__xludf.DUMMYFUNCTION("""COMPUTED_VALUE"""),1985.0)</f>
        <v>1985</v>
      </c>
      <c r="AC11" s="6">
        <f>IFERROR(__xludf.DUMMYFUNCTION("""COMPUTED_VALUE"""),1810.0)</f>
        <v>1810</v>
      </c>
      <c r="AD11" s="6">
        <f>IFERROR(__xludf.DUMMYFUNCTION("""COMPUTED_VALUE"""),992.5)</f>
        <v>992.5</v>
      </c>
      <c r="AE11" s="6">
        <f>IFERROR(__xludf.DUMMYFUNCTION("""COMPUTED_VALUE"""),905.0)</f>
        <v>905</v>
      </c>
      <c r="AF11" s="6">
        <f>IFERROR(__xludf.DUMMYFUNCTION("""COMPUTED_VALUE"""),250.0)</f>
        <v>250</v>
      </c>
      <c r="AG11" s="5">
        <f>IFERROR(__xludf.DUMMYFUNCTION("""COMPUTED_VALUE"""),350.0)</f>
        <v>350</v>
      </c>
      <c r="AH11" s="5"/>
      <c r="AI11" s="5">
        <f>IFERROR(__xludf.DUMMYFUNCTION("""COMPUTED_VALUE"""),814.5)</f>
        <v>814.5</v>
      </c>
      <c r="AJ11" s="5">
        <f>IFERROR(__xludf.DUMMYFUNCTION("""COMPUTED_VALUE"""),893.25)</f>
        <v>893.25</v>
      </c>
      <c r="AK11" s="5" t="str">
        <f>IFERROR(__xludf.DUMMYFUNCTION("""COMPUTED_VALUE"""),"*La clave del éxito en las empresas hoy es la gestión efectiva de proyectos* 🚀
En pocas semanas dominarás cómo planificar, organizar y ejecutar proyectos con herramientas prácticas y casos reales ⚙️
Ahora te comparto la información a detalle 👇🏻")</f>
        <v>*La clave del éxito en las empresas hoy es la gestión efectiva de proyectos* 🚀
En pocas semanas dominarás cómo planificar, organizar y ejecutar proyectos con herramientas prácticas y casos reales ⚙️
Ahora te comparto la información a detalle 👇🏻</v>
      </c>
      <c r="AL11" s="5" t="str">
        <f>IFERROR(__xludf.DUMMYFUNCTION("""COMPUTED_VALUE"""),"*Excelente*, actualiza tus conocimientos y domina la gestión de proyectos con metodologías modernas 🚀.")</f>
        <v>*Excelente*, actualiza tus conocimientos y domina la gestión de proyectos con metodologías modernas 🚀.</v>
      </c>
      <c r="AM11" s="5" t="str">
        <f>IFERROR(__xludf.DUMMYFUNCTION("""COMPUTED_VALUE"""),"Buenísimo, la gestión de proyectos es muy demandada y te dará un plus en tu CV para más oportunidades laborales 🧳.")</f>
        <v>Buenísimo, la gestión de proyectos es muy demandada y te dará un plus en tu CV para más oportunidades laborales 🧳.</v>
      </c>
      <c r="AN11" s="5" t="str">
        <f>IFERROR(__xludf.DUMMYFUNCTION("""COMPUTED_VALUE""")," ¡Excelente!. podrás complementar lo que ves en la universidad con herramientas prácticas de proyectos y así destacar tu Perfil Profesional 🚀.")</f>
        <v> ¡Excelente!. podrás complementar lo que ves en la universidad con herramientas prácticas de proyectos y así destacar tu Perfil Profesional 🚀.</v>
      </c>
      <c r="AO11" s="5" t="str">
        <f>IFERROR(__xludf.DUMMYFUNCTION("""COMPUTED_VALUE"""),"¡Perfecto!, la gestión de proyectos es muy valorada y te ayudará a sobresalir al postular a prácticas 🧳.")</f>
        <v>¡Perfecto!, la gestión de proyectos es muy valorada y te ayudará a sobresalir al postular a prácticas 🧳.</v>
      </c>
      <c r="AP11" s="5" t="str">
        <f>IFERROR(__xludf.DUMMYFUNCTION("""COMPUTED_VALUE"""),"¡Excelente!, con la gestión de proyectos podrás organizar mejor tus iniciativas y hacer crecer tu negocio 🚀.")</f>
        <v>¡Excelente!, con la gestión de proyectos podrás organizar mejor tus iniciativas y hacer crecer tu negocio 🚀.</v>
      </c>
      <c r="AQ11" s="9" t="str">
        <f>IFERROR(__xludf.DUMMYFUNCTION("""COMPUTED_VALUE"""),"https://we-educacion.com/slides/pee-analista-de-proyectos-163")</f>
        <v>https://we-educacion.com/slides/pee-analista-de-proyectos-163</v>
      </c>
      <c r="AR11" s="5">
        <v>1.0</v>
      </c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</row>
    <row r="12" ht="15.75" customHeight="1">
      <c r="A12" s="5" t="s">
        <v>54</v>
      </c>
      <c r="B12" s="5" t="str">
        <f t="shared" si="1"/>
        <v>OCT. I - ED25</v>
      </c>
      <c r="C12" s="6" t="str">
        <f>IFERROR(__xludf.DUMMYFUNCTION("""COMPUTED_VALUE"""),"PROYECTOS")</f>
        <v>PROYECTOS</v>
      </c>
      <c r="D12" s="5" t="str">
        <f>IFERROR(__xludf.DUMMYFUNCTION("""COMPUTED_VALUE"""),"ESP.")</f>
        <v>ESP.</v>
      </c>
      <c r="E12" s="6" t="str">
        <f>IFERROR(__xludf.DUMMYFUNCTION("""COMPUTED_VALUE"""),"ESP. GEST. PROYECTOS V3")</f>
        <v>ESP. GEST. PROYECTOS V3</v>
      </c>
      <c r="F12" s="7">
        <f>IFERROR(__xludf.DUMMYFUNCTION("""COMPUTED_VALUE"""),45939.0)</f>
        <v>45939</v>
      </c>
      <c r="G12" s="6" t="str">
        <f>IFERROR(__xludf.DUMMYFUNCTION("""COMPUTED_VALUE"""),"GEST PROYECT I")</f>
        <v>GEST PROYECT I</v>
      </c>
      <c r="H12" s="7">
        <f>IFERROR(__xludf.DUMMYFUNCTION("""COMPUTED_VALUE"""),45939.0)</f>
        <v>45939</v>
      </c>
      <c r="I12" s="6" t="str">
        <f>IFERROR(__xludf.DUMMYFUNCTION("""COMPUTED_VALUE"""),"GEST. ÁGIL PROYECT")</f>
        <v>GEST. ÁGIL PROYECT</v>
      </c>
      <c r="J12" s="7">
        <f>IFERROR(__xludf.DUMMYFUNCTION("""COMPUTED_VALUE"""),45988.0)</f>
        <v>45988</v>
      </c>
      <c r="K12" s="6"/>
      <c r="L12" s="7"/>
      <c r="M12" s="6"/>
      <c r="N12" s="7"/>
      <c r="O12" s="6"/>
      <c r="P12" s="7"/>
      <c r="Q12" s="6" t="str">
        <f>IFERROR(__xludf.DUMMYFUNCTION("""COMPUTED_VALUE"""),"Gonzalo Sevillano
Moisés Zabalbeascoa")</f>
        <v>Gonzalo Sevillano
Moisés Zabalbeascoa</v>
      </c>
      <c r="R12" s="5" t="str">
        <f>IFERROR(__xludf.DUMMYFUNCTION("""COMPUTED_VALUE"""),"Jue")</f>
        <v>Jue</v>
      </c>
      <c r="S12" s="6" t="str">
        <f>IFERROR(__xludf.DUMMYFUNCTION("""COMPUTED_VALUE"""),"7PM - 10PM")</f>
        <v>7PM - 10PM</v>
      </c>
      <c r="T12" s="7" t="str">
        <f>IFERROR(__xludf.DUMMYFUNCTION("""COMPUTED_VALUE"""),"Jueves 9 Octubre")</f>
        <v>Jueves 9 Octubre</v>
      </c>
      <c r="U12" s="7" t="str">
        <f>IFERROR(__xludf.DUMMYFUNCTION("""COMPUTED_VALUE"""),"Jueves 8 Enero")</f>
        <v>Jueves 8 Enero</v>
      </c>
      <c r="V12" s="8">
        <f>IFERROR(__xludf.DUMMYFUNCTION("""COMPUTED_VALUE"""),11.0)</f>
        <v>11</v>
      </c>
      <c r="W12" s="5" t="str">
        <f>IFERROR(__xludf.DUMMYFUNCTION("""COMPUTED_VALUE"""),"pdfs/BROCHURE ESPECIALIZACION EN GESTIÓN DE PROYECTOS.pdf")</f>
        <v>pdfs/BROCHURE ESPECIALIZACION EN GESTIÓN DE PROYECTOS.pdf</v>
      </c>
      <c r="X12" s="5" t="str">
        <f>IFERROR(__xludf.DUMMYFUNCTION("""COMPUTED_VALUE"""),"🔹 Utilizarán Excel👩🏻‍💻
👉🏼 Incluye tutorial y manual de instalación
👉🏼 ¡Además te regalamos el curso online!
🚨 Por favor, revisa el BROCHURE 👇🏻
Aqui encontrarás la información completa del programa: Temario (malla curricular) y todos los BENEFI"&amp;"CIOS 📚")</f>
        <v>🔹 Utilizarán Excel👩🏻‍💻
👉🏼 Incluye tutorial y manual de instalación
👉🏼 ¡Además te regalamos el curso online!
🚨 Por favor, revisa el BROCHURE 👇🏻
Aqui encontrarás la información completa del programa: Temario (malla curricular) y todos los BENEFICIOS 📚</v>
      </c>
      <c r="Y12" s="5" t="str">
        <f>IFERROR(__xludf.DUMMYFUNCTION("""COMPUTED_VALUE"""),"images/espproyectos.jpg")</f>
        <v>images/espproyectos.jpg</v>
      </c>
      <c r="Z12" s="5"/>
      <c r="AA12" s="5"/>
      <c r="AB12" s="6">
        <f>IFERROR(__xludf.DUMMYFUNCTION("""COMPUTED_VALUE"""),1420.0)</f>
        <v>1420</v>
      </c>
      <c r="AC12" s="6">
        <f>IFERROR(__xludf.DUMMYFUNCTION("""COMPUTED_VALUE"""),1300.0)</f>
        <v>1300</v>
      </c>
      <c r="AD12" s="6">
        <f>IFERROR(__xludf.DUMMYFUNCTION("""COMPUTED_VALUE"""),710.0)</f>
        <v>710</v>
      </c>
      <c r="AE12" s="6">
        <f>IFERROR(__xludf.DUMMYFUNCTION("""COMPUTED_VALUE"""),650.0)</f>
        <v>650</v>
      </c>
      <c r="AF12" s="6">
        <f>IFERROR(__xludf.DUMMYFUNCTION("""COMPUTED_VALUE"""),250.0)</f>
        <v>250</v>
      </c>
      <c r="AG12" s="5">
        <f>IFERROR(__xludf.DUMMYFUNCTION("""COMPUTED_VALUE"""),350.0)</f>
        <v>350</v>
      </c>
      <c r="AH12" s="5"/>
      <c r="AI12" s="5">
        <f>IFERROR(__xludf.DUMMYFUNCTION("""COMPUTED_VALUE"""),585.0)</f>
        <v>585</v>
      </c>
      <c r="AJ12" s="5">
        <f>IFERROR(__xludf.DUMMYFUNCTION("""COMPUTED_VALUE"""),639.0)</f>
        <v>639</v>
      </c>
      <c r="AK12" s="5" t="str">
        <f>IFERROR(__xludf.DUMMYFUNCTION("""COMPUTED_VALUE"""),"Los proyectos exitosos requieren líderes preparados 🏗️
Domina metodologías y herramientas para gestionar proyectos de forma efectiva 📊
👉🏻 Te envío la información.")</f>
        <v>Los proyectos exitosos requieren líderes preparados 🏗️
Domina metodologías y herramientas para gestionar proyectos de forma efectiva 📊
👉🏻 Te envío la información.</v>
      </c>
      <c r="AL12" s="5" t="str">
        <f>IFERROR(__xludf.DUMMYFUNCTION("""COMPUTED_VALUE"""),"📋 Excelente, actualízate en Gestión de Proyectos y lidera con éxito.")</f>
        <v>📋 Excelente, actualízate en Gestión de Proyectos y lidera con éxito.</v>
      </c>
      <c r="AM12" s="5" t="str">
        <f>IFERROR(__xludf.DUMMYFUNCTION("""COMPUTED_VALUE"""),"💼 Buenísimo, el mercado busca expertos en dirección de proyectos.")</f>
        <v>💼 Buenísimo, el mercado busca expertos en dirección de proyectos.</v>
      </c>
      <c r="AN12" s="5" t="str">
        <f>IFERROR(__xludf.DUMMYFUNCTION("""COMPUTED_VALUE"""),"🚀 Genial, tu perfil sumará una habilidad clave en coordinación de equipos.")</f>
        <v>🚀 Genial, tu perfil sumará una habilidad clave en coordinación de equipos.</v>
      </c>
      <c r="AO12" s="5" t="str">
        <f>IFERROR(__xludf.DUMMYFUNCTION("""COMPUTED_VALUE"""),"🔑 Perfecto, tendrás ventaja en prácticas de gestión y planificación.")</f>
        <v>🔑 Perfecto, tendrás ventaja en prácticas de gestión y planificación.</v>
      </c>
      <c r="AP12" s="5" t="str">
        <f>IFERROR(__xludf.DUMMYFUNCTION("""COMPUTED_VALUE"""),"📊 Excelente, aplicarás gestión de proyectos en tu propio negocio.")</f>
        <v>📊 Excelente, aplicarás gestión de proyectos en tu propio negocio.</v>
      </c>
      <c r="AQ12" s="9" t="str">
        <f>IFERROR(__xludf.DUMMYFUNCTION("""COMPUTED_VALUE"""),"https://we-educacion.com/slides/especializacion-en-gestion-de-proyectos-350")</f>
        <v>https://we-educacion.com/slides/especializacion-en-gestion-de-proyectos-350</v>
      </c>
      <c r="AR12" s="5">
        <v>1.0</v>
      </c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</row>
    <row r="13" ht="15.75" customHeight="1">
      <c r="A13" s="5" t="s">
        <v>55</v>
      </c>
      <c r="B13" s="5" t="str">
        <f t="shared" si="1"/>
        <v>OCT. I - ED25</v>
      </c>
      <c r="C13" s="6" t="str">
        <f>IFERROR(__xludf.DUMMYFUNCTION("""COMPUTED_VALUE"""),"PROYECTOS")</f>
        <v>PROYECTOS</v>
      </c>
      <c r="D13" s="5" t="str">
        <f>IFERROR(__xludf.DUMMYFUNCTION("""COMPUTED_VALUE"""),"CURSO")</f>
        <v>CURSO</v>
      </c>
      <c r="E13" s="6" t="str">
        <f>IFERROR(__xludf.DUMMYFUNCTION("""COMPUTED_VALUE"""),"GEST PROYECT I")</f>
        <v>GEST PROYECT I</v>
      </c>
      <c r="F13" s="7">
        <f>IFERROR(__xludf.DUMMYFUNCTION("""COMPUTED_VALUE"""),45939.0)</f>
        <v>45939</v>
      </c>
      <c r="G13" s="6"/>
      <c r="H13" s="7"/>
      <c r="I13" s="6"/>
      <c r="J13" s="7"/>
      <c r="K13" s="6"/>
      <c r="L13" s="7"/>
      <c r="M13" s="6"/>
      <c r="N13" s="7"/>
      <c r="O13" s="6"/>
      <c r="P13" s="7"/>
      <c r="Q13" s="6" t="str">
        <f>IFERROR(__xludf.DUMMYFUNCTION("""COMPUTED_VALUE"""),"Gonzalo Sevillano")</f>
        <v>Gonzalo Sevillano</v>
      </c>
      <c r="R13" s="5" t="str">
        <f>IFERROR(__xludf.DUMMYFUNCTION("""COMPUTED_VALUE"""),"Jue")</f>
        <v>Jue</v>
      </c>
      <c r="S13" s="6" t="str">
        <f>IFERROR(__xludf.DUMMYFUNCTION("""COMPUTED_VALUE"""),"7PM - 10PM")</f>
        <v>7PM - 10PM</v>
      </c>
      <c r="T13" s="7" t="str">
        <f>IFERROR(__xludf.DUMMYFUNCTION("""COMPUTED_VALUE"""),"Jueves 9 Octubre")</f>
        <v>Jueves 9 Octubre</v>
      </c>
      <c r="U13" s="7" t="str">
        <f>IFERROR(__xludf.DUMMYFUNCTION("""COMPUTED_VALUE"""),"Jueves 13 Noviembre")</f>
        <v>Jueves 13 Noviembre</v>
      </c>
      <c r="V13" s="8">
        <f>IFERROR(__xludf.DUMMYFUNCTION("""COMPUTED_VALUE"""),6.0)</f>
        <v>6</v>
      </c>
      <c r="W13" s="5" t="str">
        <f>IFERROR(__xludf.DUMMYFUNCTION("""COMPUTED_VALUE"""),"pdfs/BROCHURE GESTION DE PROYECTOS I.pdf")</f>
        <v>pdfs/BROCHURE GESTION DE PROYECTOS I.pdf</v>
      </c>
      <c r="X13" s="5" t="str">
        <f>IFERROR(__xludf.DUMMYFUNCTION("""COMPUTED_VALUE"""),"🔵 *Utilizarán Excel*
🚨 *Por favor, revisa el BROCHURE* 👇🏻
Aqui encontrarás la información completa del programa, el TEMARIO (malla curricular) y todos los BENEFICIOS 📚")</f>
        <v>🔵 *Utilizarán Excel*
🚨 *Por favor, revisa el BROCHURE* 👇🏻
Aqui encontrarás la información completa del programa, el TEMARIO (malla curricular) y todos los BENEFICIOS 📚</v>
      </c>
      <c r="Y13" s="5" t="str">
        <f>IFERROR(__xludf.DUMMYFUNCTION("""COMPUTED_VALUE"""),"images/gestproyect.jpg")</f>
        <v>images/gestproyect.jpg</v>
      </c>
      <c r="Z13" s="10"/>
      <c r="AA13" s="5" t="str">
        <f>IFERROR(__xludf.DUMMYFUNCTION("""COMPUTED_VALUE"""),"NO")</f>
        <v>NO</v>
      </c>
      <c r="AB13" s="6">
        <f>IFERROR(__xludf.DUMMYFUNCTION("""COMPUTED_VALUE"""),860.0)</f>
        <v>860</v>
      </c>
      <c r="AC13" s="6">
        <f>IFERROR(__xludf.DUMMYFUNCTION("""COMPUTED_VALUE"""),750.0)</f>
        <v>750</v>
      </c>
      <c r="AD13" s="6">
        <f>IFERROR(__xludf.DUMMYFUNCTION("""COMPUTED_VALUE"""),430.0)</f>
        <v>430</v>
      </c>
      <c r="AE13" s="6">
        <f>IFERROR(__xludf.DUMMYFUNCTION("""COMPUTED_VALUE"""),375.0)</f>
        <v>375</v>
      </c>
      <c r="AF13" s="6">
        <f>IFERROR(__xludf.DUMMYFUNCTION("""COMPUTED_VALUE"""),150.0)</f>
        <v>150</v>
      </c>
      <c r="AG13" s="5">
        <f>IFERROR(__xludf.DUMMYFUNCTION("""COMPUTED_VALUE"""),150.0)</f>
        <v>150</v>
      </c>
      <c r="AH13" s="5"/>
      <c r="AI13" s="5">
        <f>IFERROR(__xludf.DUMMYFUNCTION("""COMPUTED_VALUE"""),337.5)</f>
        <v>337.5</v>
      </c>
      <c r="AJ13" s="5">
        <f>IFERROR(__xludf.DUMMYFUNCTION("""COMPUTED_VALUE"""),387.0)</f>
        <v>387</v>
      </c>
      <c r="AK13" s="5" t="str">
        <f>IFERROR(__xludf.DUMMYFUNCTION("""COMPUTED_VALUE"""),"El liderazgo moderno comienza con la planificación efectiva 🗂️
Con Gestión de Proyectos I aprenderás las bases y herramientas clave para dirigir proyectos con éxito 🚀.
Aquí la información completa 👇🏻")</f>
        <v>El liderazgo moderno comienza con la planificación efectiva 🗂️
Con Gestión de Proyectos I aprenderás las bases y herramientas clave para dirigir proyectos con éxito 🚀.
Aquí la información completa 👇🏻</v>
      </c>
      <c r="AL13" s="5" t="str">
        <f>IFERROR(__xludf.DUMMYFUNCTION("""COMPUTED_VALUE"""),"*Excelente*, actualiza tus conocimientos y domina la gestión de proyectos 🚀.")</f>
        <v>*Excelente*, actualiza tus conocimientos y domina la gestión de proyectos 🚀.</v>
      </c>
      <c r="AM13" s="5" t="str">
        <f>IFERROR(__xludf.DUMMYFUNCTION("""COMPUTED_VALUE"""),"Buenísimo, la *gestión de proyectos* es muy demandada y te dará un plus en tu CV y más oportunidades laborales 🧳")</f>
        <v>Buenísimo, la *gestión de proyectos* es muy demandada y te dará un plus en tu CV y más oportunidades laborales 🧳</v>
      </c>
      <c r="AN13" s="5" t="str">
        <f>IFERROR(__xludf.DUMMYFUNCTION("""COMPUTED_VALUE"""),"¡Excelente!. podrás complementar lo que ves en la universidad con herramientas prácticas y aplicables, y así destacar tu *Perfil Profesional* 🚀. ")</f>
        <v>¡Excelente!. podrás complementar lo que ves en la universidad con herramientas prácticas y aplicables, y así destacar tu *Perfil Profesional* 🚀. </v>
      </c>
      <c r="AO13" s="5" t="str">
        <f>IFERROR(__xludf.DUMMYFUNCTION("""COMPUTED_VALUE"""),"¡Perfecto!, la gestión de proyectos es muy valorada por las empresas y te hará destacar al postular a prácticas 🧳")</f>
        <v>¡Perfecto!, la gestión de proyectos es muy valorada por las empresas y te hará destacar al postular a prácticas 🧳</v>
      </c>
      <c r="AP13" s="5" t="str">
        <f>IFERROR(__xludf.DUMMYFUNCTION("""COMPUTED_VALUE"""),"¡Excelente!, con la gestión de proyectos podrás organizar mejor tus proyectos y hacer crecer tu negocio 🚀.")</f>
        <v>¡Excelente!, con la gestión de proyectos podrás organizar mejor tus proyectos y hacer crecer tu negocio 🚀.</v>
      </c>
      <c r="AQ13" s="9" t="str">
        <f>IFERROR(__xludf.DUMMYFUNCTION("""COMPUTED_VALUE"""),"https://we-educacion.com/slides/gestion-de-proyectos-162")</f>
        <v>https://we-educacion.com/slides/gestion-de-proyectos-162</v>
      </c>
      <c r="AR13" s="5">
        <v>1.0</v>
      </c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</row>
    <row r="14" ht="15.75" customHeight="1">
      <c r="A14" s="5" t="s">
        <v>56</v>
      </c>
      <c r="B14" s="5" t="str">
        <f t="shared" si="1"/>
        <v>OCT. I - ED25</v>
      </c>
      <c r="C14" s="6" t="str">
        <f>IFERROR(__xludf.DUMMYFUNCTION("""COMPUTED_VALUE"""),"SAP")</f>
        <v>SAP</v>
      </c>
      <c r="D14" s="5" t="str">
        <f>IFERROR(__xludf.DUMMYFUNCTION("""COMPUTED_VALUE"""),"CURSO")</f>
        <v>CURSO</v>
      </c>
      <c r="E14" s="6" t="str">
        <f>IFERROR(__xludf.DUMMYFUNCTION("""COMPUTED_VALUE"""),"SAP HANA EWM")</f>
        <v>SAP HANA EWM</v>
      </c>
      <c r="F14" s="7">
        <f>IFERROR(__xludf.DUMMYFUNCTION("""COMPUTED_VALUE"""),45939.0)</f>
        <v>45939</v>
      </c>
      <c r="G14" s="6"/>
      <c r="H14" s="7"/>
      <c r="I14" s="6"/>
      <c r="J14" s="7"/>
      <c r="K14" s="6"/>
      <c r="L14" s="7"/>
      <c r="M14" s="6"/>
      <c r="N14" s="7"/>
      <c r="O14" s="6"/>
      <c r="P14" s="7"/>
      <c r="Q14" s="6" t="str">
        <f>IFERROR(__xludf.DUMMYFUNCTION("""COMPUTED_VALUE"""),"Carlos Espinoza")</f>
        <v>Carlos Espinoza</v>
      </c>
      <c r="R14" s="5" t="str">
        <f>IFERROR(__xludf.DUMMYFUNCTION("""COMPUTED_VALUE"""),"Mar-Jue")</f>
        <v>Mar-Jue</v>
      </c>
      <c r="S14" s="6" t="str">
        <f>IFERROR(__xludf.DUMMYFUNCTION("""COMPUTED_VALUE"""),"7PM - 10PM")</f>
        <v>7PM - 10PM</v>
      </c>
      <c r="T14" s="7" t="str">
        <f>IFERROR(__xludf.DUMMYFUNCTION("""COMPUTED_VALUE"""),"Jueves 9 Octubre")</f>
        <v>Jueves 9 Octubre</v>
      </c>
      <c r="U14" s="7" t="str">
        <f>IFERROR(__xludf.DUMMYFUNCTION("""COMPUTED_VALUE"""),"Martes 28 Octubre")</f>
        <v>Martes 28 Octubre</v>
      </c>
      <c r="V14" s="8">
        <f>IFERROR(__xludf.DUMMYFUNCTION("""COMPUTED_VALUE"""),6.0)</f>
        <v>6</v>
      </c>
      <c r="W14" s="5" t="str">
        <f>IFERROR(__xludf.DUMMYFUNCTION("""COMPUTED_VALUE"""),"pdfs/BROCHURE SAP HANA EWM LOGISTICA Y ALMACENES.pdf")</f>
        <v>pdfs/BROCHURE SAP HANA EWM LOGISTICA Y ALMACENES.pdf</v>
      </c>
      <c r="X14" s="5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14" s="5" t="str">
        <f>IFERROR(__xludf.DUMMYFUNCTION("""COMPUTED_VALUE"""),"images/sapewm.jpg")</f>
        <v>images/sapewm.jpg</v>
      </c>
      <c r="Z14" s="5" t="str">
        <f>IFERROR(__xludf.DUMMYFUNCTION("""COMPUTED_VALUE"""),"Avalado por SAP Partner Open")</f>
        <v>Avalado por SAP Partner Open</v>
      </c>
      <c r="AA14" s="5" t="str">
        <f>IFERROR(__xludf.DUMMYFUNCTION("""COMPUTED_VALUE"""),"NO")</f>
        <v>NO</v>
      </c>
      <c r="AB14" s="6">
        <f>IFERROR(__xludf.DUMMYFUNCTION("""COMPUTED_VALUE"""),900.0)</f>
        <v>900</v>
      </c>
      <c r="AC14" s="6">
        <f>IFERROR(__xludf.DUMMYFUNCTION("""COMPUTED_VALUE"""),750.0)</f>
        <v>750</v>
      </c>
      <c r="AD14" s="6">
        <f>IFERROR(__xludf.DUMMYFUNCTION("""COMPUTED_VALUE"""),450.0)</f>
        <v>450</v>
      </c>
      <c r="AE14" s="6">
        <f>IFERROR(__xludf.DUMMYFUNCTION("""COMPUTED_VALUE"""),375.0)</f>
        <v>375</v>
      </c>
      <c r="AF14" s="6">
        <f>IFERROR(__xludf.DUMMYFUNCTION("""COMPUTED_VALUE"""),150.0)</f>
        <v>150</v>
      </c>
      <c r="AG14" s="5">
        <f>IFERROR(__xludf.DUMMYFUNCTION("""COMPUTED_VALUE"""),150.0)</f>
        <v>150</v>
      </c>
      <c r="AH14" s="5"/>
      <c r="AI14" s="5">
        <f>IFERROR(__xludf.DUMMYFUNCTION("""COMPUTED_VALUE"""),337.5)</f>
        <v>337.5</v>
      </c>
      <c r="AJ14" s="5">
        <f>IFERROR(__xludf.DUMMYFUNCTION("""COMPUTED_VALUE"""),405.0)</f>
        <v>405</v>
      </c>
      <c r="AK14" s="5" t="str">
        <f>IFERROR(__xludf.DUMMYFUNCTION("""COMPUTED_VALUE"""),"La logística moderna se gestiona con SAP HANA EWM 🚛
Aprenderás a optimizar almacenes, distribución e inventarios en entornos reales 🌐.
Aquí te comparto la info 👇🏻")</f>
        <v>La logística moderna se gestiona con SAP HANA EWM 🚛
Aprenderás a optimizar almacenes, distribución e inventarios en entornos reales 🌐.
Aquí te comparto la info 👇🏻</v>
      </c>
      <c r="AL14" s="5" t="str">
        <f>IFERROR(__xludf.DUMMYFUNCTION("""COMPUTED_VALUE"""),"📦 Excelente, actualízate con SAP HANA EWM y domina la gestión de almacenes.")</f>
        <v>📦 Excelente, actualízate con SAP HANA EWM y domina la gestión de almacenes.</v>
      </c>
      <c r="AM14" s="5" t="str">
        <f>IFERROR(__xludf.DUMMYFUNCTION("""COMPUTED_VALUE"""),"💼 Buenísimo, SAP EWM es muy valorado en empresas de logística y distribución.")</f>
        <v>💼 Buenísimo, SAP EWM es muy valorado en empresas de logística y distribución.</v>
      </c>
      <c r="AN14" s="5" t="str">
        <f>IFERROR(__xludf.DUMMYFUNCTION("""COMPUTED_VALUE"""),"🎓 ¡Genial! Con SAP EWM aprenderás gestión avanzada desde la universidad.")</f>
        <v>🎓 ¡Genial! Con SAP EWM aprenderás gestión avanzada desde la universidad.</v>
      </c>
      <c r="AO14" s="5" t="str">
        <f>IFERROR(__xludf.DUMMYFUNCTION("""COMPUTED_VALUE"""),"🚀 ¡Perfecto! Conocer SAP EWM te dará ventaja en prácticas de logística.")</f>
        <v>🚀 ¡Perfecto! Conocer SAP EWM te dará ventaja en prácticas de logística.</v>
      </c>
      <c r="AP14" s="5" t="str">
        <f>IFERROR(__xludf.DUMMYFUNCTION("""COMPUTED_VALUE"""),"📊 ¡Excelente! Con SAP EWM optimizarás la gestión de tu cadena de suministro.")</f>
        <v>📊 ¡Excelente! Con SAP EWM optimizarás la gestión de tu cadena de suministro.</v>
      </c>
      <c r="AQ14" s="9" t="str">
        <f>IFERROR(__xludf.DUMMYFUNCTION("""COMPUTED_VALUE"""),"https://we-educacion.com/slides/sap-s-4-hana-ewm-361")</f>
        <v>https://we-educacion.com/slides/sap-s-4-hana-ewm-361</v>
      </c>
      <c r="AR14" s="5">
        <v>1.0</v>
      </c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</row>
    <row r="15" ht="15.75" customHeight="1">
      <c r="A15" s="5" t="s">
        <v>57</v>
      </c>
      <c r="B15" s="5" t="str">
        <f t="shared" si="1"/>
        <v>OCT. I - ED25</v>
      </c>
      <c r="C15" s="6" t="str">
        <f>IFERROR(__xludf.DUMMYFUNCTION("""COMPUTED_VALUE"""),"BI")</f>
        <v>BI</v>
      </c>
      <c r="D15" s="6" t="str">
        <f>IFERROR(__xludf.DUMMYFUNCTION("""COMPUTED_VALUE"""),"DIPLOMADO")</f>
        <v>DIPLOMADO</v>
      </c>
      <c r="E15" s="6" t="str">
        <f>IFERROR(__xludf.DUMMYFUNCTION("""COMPUTED_VALUE"""),"DIP INTELIG. Y ANALIST. DATOS V2")</f>
        <v>DIP INTELIG. Y ANALIST. DATOS V2</v>
      </c>
      <c r="F15" s="7">
        <f>IFERROR(__xludf.DUMMYFUNCTION("""COMPUTED_VALUE"""),45939.0)</f>
        <v>45939</v>
      </c>
      <c r="G15" s="6" t="str">
        <f>IFERROR(__xludf.DUMMYFUNCTION("""COMPUTED_VALUE"""),"DATA ANALYTICS")</f>
        <v>DATA ANALYTICS</v>
      </c>
      <c r="H15" s="7">
        <f>IFERROR(__xludf.DUMMYFUNCTION("""COMPUTED_VALUE"""),45939.0)</f>
        <v>45939</v>
      </c>
      <c r="I15" s="6" t="str">
        <f>IFERROR(__xludf.DUMMYFUNCTION("""COMPUTED_VALUE"""),"SQL SERVER")</f>
        <v>SQL SERVER</v>
      </c>
      <c r="J15" s="7">
        <f>IFERROR(__xludf.DUMMYFUNCTION("""COMPUTED_VALUE"""),45967.0)</f>
        <v>45967</v>
      </c>
      <c r="K15" s="6" t="str">
        <f>IFERROR(__xludf.DUMMYFUNCTION("""COMPUTED_VALUE"""),"POWER BI")</f>
        <v>POWER BI</v>
      </c>
      <c r="L15" s="7">
        <f>IFERROR(__xludf.DUMMYFUNCTION("""COMPUTED_VALUE"""),45995.0)</f>
        <v>45995</v>
      </c>
      <c r="M15" s="6" t="str">
        <f>IFERROR(__xludf.DUMMYFUNCTION("""COMPUTED_VALUE"""),"PYTHON. DATOS")</f>
        <v>PYTHON. DATOS</v>
      </c>
      <c r="N15" s="7">
        <f>IFERROR(__xludf.DUMMYFUNCTION("""COMPUTED_VALUE"""),46030.0)</f>
        <v>46030</v>
      </c>
      <c r="O15" s="6" t="str">
        <f>IFERROR(__xludf.DUMMYFUNCTION("""COMPUTED_VALUE"""),"PYTHON AVANZ.")</f>
        <v>PYTHON AVANZ.</v>
      </c>
      <c r="P15" s="7">
        <f>IFERROR(__xludf.DUMMYFUNCTION("""COMPUTED_VALUE"""),46058.0)</f>
        <v>46058</v>
      </c>
      <c r="Q15" s="6" t="str">
        <f>IFERROR(__xludf.DUMMYFUNCTION("""COMPUTED_VALUE"""),"Ana Lucia Palacios
Carlos Mesta
Jessica De La Cruz
Jhair Prado
Paul Gabino")</f>
        <v>Ana Lucia Palacios
Carlos Mesta
Jessica De La Cruz
Jhair Prado
Paul Gabino</v>
      </c>
      <c r="R15" s="5" t="str">
        <f>IFERROR(__xludf.DUMMYFUNCTION("""COMPUTED_VALUE"""),"Mar-Jue")</f>
        <v>Mar-Jue</v>
      </c>
      <c r="S15" s="6" t="str">
        <f>IFERROR(__xludf.DUMMYFUNCTION("""COMPUTED_VALUE"""),"7PM - 10PM")</f>
        <v>7PM - 10PM</v>
      </c>
      <c r="T15" s="7" t="str">
        <f>IFERROR(__xludf.DUMMYFUNCTION("""COMPUTED_VALUE"""),"Jueves 9 Octubre")</f>
        <v>Jueves 9 Octubre</v>
      </c>
      <c r="U15" s="7" t="str">
        <f>IFERROR(__xludf.DUMMYFUNCTION("""COMPUTED_VALUE"""),"Martes 24 Febrero")</f>
        <v>Martes 24 Febrero</v>
      </c>
      <c r="V15" s="8">
        <f>IFERROR(__xludf.DUMMYFUNCTION("""COMPUTED_VALUE"""),30.0)</f>
        <v>30</v>
      </c>
      <c r="W15" s="5" t="str">
        <f>IFERROR(__xludf.DUMMYFUNCTION("""COMPUTED_VALUE"""),"pdfs/BROCHURE DIPLOMADO INTELIGENCIA Y ANALISIS DE DATOS.pdf")</f>
        <v>pdfs/BROCHURE DIPLOMADO INTELIGENCIA Y ANALISIS DE DATOS.pdf</v>
      </c>
      <c r="X15" s="5" t="str">
        <f>IFERROR(__xludf.DUMMYFUNCTION("""COMPUTED_VALUE"""),"🔵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inf"&amp;"ormación completa del programa, el TEMARIO (malla curricular) y todos los BENEFICIOS 📚")</f>
        <v>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5" s="5" t="str">
        <f>IFERROR(__xludf.DUMMYFUNCTION("""COMPUTED_VALUE"""),"images/dipdatos.jpg")</f>
        <v>images/dipdatos.jpg</v>
      </c>
      <c r="Z15" s="5"/>
      <c r="AA15" s="5" t="str">
        <f>IFERROR(__xludf.DUMMYFUNCTION("""COMPUTED_VALUE"""),"NO")</f>
        <v>NO</v>
      </c>
      <c r="AB15" s="6">
        <f>IFERROR(__xludf.DUMMYFUNCTION("""COMPUTED_VALUE"""),3990.0)</f>
        <v>3990</v>
      </c>
      <c r="AC15" s="6">
        <f>IFERROR(__xludf.DUMMYFUNCTION("""COMPUTED_VALUE"""),3595.0)</f>
        <v>3595</v>
      </c>
      <c r="AD15" s="6">
        <f>IFERROR(__xludf.DUMMYFUNCTION("""COMPUTED_VALUE"""),1995.0)</f>
        <v>1995</v>
      </c>
      <c r="AE15" s="6">
        <f>IFERROR(__xludf.DUMMYFUNCTION("""COMPUTED_VALUE"""),1797.5)</f>
        <v>1797.5</v>
      </c>
      <c r="AF15" s="6">
        <f>IFERROR(__xludf.DUMMYFUNCTION("""COMPUTED_VALUE"""),250.0)</f>
        <v>250</v>
      </c>
      <c r="AG15" s="5">
        <f>IFERROR(__xludf.DUMMYFUNCTION("""COMPUTED_VALUE"""),350.0)</f>
        <v>350</v>
      </c>
      <c r="AH15" s="5"/>
      <c r="AI15" s="5">
        <f>IFERROR(__xludf.DUMMYFUNCTION("""COMPUTED_VALUE"""),1617.75)</f>
        <v>1617.75</v>
      </c>
      <c r="AJ15" s="5">
        <f>IFERROR(__xludf.DUMMYFUNCTION("""COMPUTED_VALUE"""),1795.5)</f>
        <v>1795.5</v>
      </c>
      <c r="AK15" s="5" t="str">
        <f>IFERROR(__xludf.DUMMYFUNCTION("""COMPUTED_VALUE"""),"Los datos son el nuevo petróleo ⛽
Conviértete en especialista en inteligencia de datos y analítica avanzada para la toma de decisiones estratégicas 📊
👉🏻 Te paso la información detallada.")</f>
        <v>Los datos son el nuevo petróleo ⛽
Conviértete en especialista en inteligencia de datos y analítica avanzada para la toma de decisiones estratégicas 📊
👉🏻 Te paso la información detallada.</v>
      </c>
      <c r="AL15" s="5" t="str">
        <f>IFERROR(__xludf.DUMMYFUNCTION("""COMPUTED_VALUE"""),"📊 Excelente, con el Diplomado en Análisis de Datos aprenderás a dominar BI y Big Data.")</f>
        <v>📊 Excelente, con el Diplomado en Análisis de Datos aprenderás a dominar BI y Big Data.</v>
      </c>
      <c r="AM15" s="5" t="str">
        <f>IFERROR(__xludf.DUMMYFUNCTION("""COMPUTED_VALUE"""),"💼 Súper, este Diplomado es clave para trabajar en áreas de inteligencia empresarial.")</f>
        <v>💼 Súper, este Diplomado es clave para trabajar en áreas de inteligencia empresarial.</v>
      </c>
      <c r="AN15" s="5" t="str">
        <f>IFERROR(__xludf.DUMMYFUNCTION("""COMPUTED_VALUE"""),"📚 ¡Genial! Desde la universidad, este Diplomado en Datos te dará un perfil altamente competitivo.")</f>
        <v>📚 ¡Genial! Desde la universidad, este Diplomado en Datos te dará un perfil altamente competitivo.</v>
      </c>
      <c r="AO15" s="5" t="str">
        <f>IFERROR(__xludf.DUMMYFUNCTION("""COMPUTED_VALUE"""),"🚀 ¡Perfecto! Con el Diplomado en Análisis de Datos tendrás ventaja en prácticas de tecnología.")</f>
        <v>🚀 ¡Perfecto! Con el Diplomado en Análisis de Datos tendrás ventaja en prácticas de tecnología.</v>
      </c>
      <c r="AP15" s="5" t="str">
        <f>IFERROR(__xludf.DUMMYFUNCTION("""COMPUTED_VALUE"""),"🤖 ¡Excelente! Lo aprendido te permitirá tomar decisiones estratégicas basadas en datos.")</f>
        <v>🤖 ¡Excelente! Lo aprendido te permitirá tomar decisiones estratégicas basadas en datos.</v>
      </c>
      <c r="AQ15" s="9" t="str">
        <f>IFERROR(__xludf.DUMMYFUNCTION("""COMPUTED_VALUE"""),"https://we-educacion.com/slides/diplomado-en-inteligencia-y-analisis-de-datos-261")</f>
        <v>https://we-educacion.com/slides/diplomado-en-inteligencia-y-analisis-de-datos-261</v>
      </c>
      <c r="AR15" s="5">
        <v>1.0</v>
      </c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</row>
    <row r="16" ht="15.75" customHeight="1">
      <c r="A16" s="5" t="s">
        <v>58</v>
      </c>
      <c r="B16" s="5" t="str">
        <f t="shared" si="1"/>
        <v>OCT. I - ED25</v>
      </c>
      <c r="C16" s="6" t="str">
        <f>IFERROR(__xludf.DUMMYFUNCTION("""COMPUTED_VALUE"""),"BI")</f>
        <v>BI</v>
      </c>
      <c r="D16" s="6" t="str">
        <f>IFERROR(__xludf.DUMMYFUNCTION("""COMPUTED_VALUE"""),"CURSO")</f>
        <v>CURSO</v>
      </c>
      <c r="E16" s="6" t="str">
        <f>IFERROR(__xludf.DUMMYFUNCTION("""COMPUTED_VALUE"""),"DATA ANALYTICS")</f>
        <v>DATA ANALYTICS</v>
      </c>
      <c r="F16" s="7">
        <f>IFERROR(__xludf.DUMMYFUNCTION("""COMPUTED_VALUE"""),45939.0)</f>
        <v>45939</v>
      </c>
      <c r="G16" s="6"/>
      <c r="H16" s="7"/>
      <c r="I16" s="6"/>
      <c r="J16" s="7"/>
      <c r="K16" s="6"/>
      <c r="L16" s="7"/>
      <c r="M16" s="6"/>
      <c r="N16" s="7"/>
      <c r="O16" s="6"/>
      <c r="P16" s="7"/>
      <c r="Q16" s="6" t="str">
        <f>IFERROR(__xludf.DUMMYFUNCTION("""COMPUTED_VALUE"""),"Ana Lucia Palacios")</f>
        <v>Ana Lucia Palacios</v>
      </c>
      <c r="R16" s="5" t="str">
        <f>IFERROR(__xludf.DUMMYFUNCTION("""COMPUTED_VALUE"""),"Mar-Jue")</f>
        <v>Mar-Jue</v>
      </c>
      <c r="S16" s="6" t="str">
        <f>IFERROR(__xludf.DUMMYFUNCTION("""COMPUTED_VALUE"""),"7PM - 10PM")</f>
        <v>7PM - 10PM</v>
      </c>
      <c r="T16" s="7" t="str">
        <f>IFERROR(__xludf.DUMMYFUNCTION("""COMPUTED_VALUE"""),"Jueves 9 Octubre")</f>
        <v>Jueves 9 Octubre</v>
      </c>
      <c r="U16" s="7" t="str">
        <f>IFERROR(__xludf.DUMMYFUNCTION("""COMPUTED_VALUE"""),"Martes 28 Octubre")</f>
        <v>Martes 28 Octubre</v>
      </c>
      <c r="V16" s="8">
        <f>IFERROR(__xludf.DUMMYFUNCTION("""COMPUTED_VALUE"""),6.0)</f>
        <v>6</v>
      </c>
      <c r="W16" s="5" t="str">
        <f>IFERROR(__xludf.DUMMYFUNCTION("""COMPUTED_VALUE"""),"pdfs/BROCHURE Data Analytics.pdf")</f>
        <v>pdfs/BROCHURE Data Analytics.pdf</v>
      </c>
      <c r="X16" s="5" t="str">
        <f>IFERROR(__xludf.DUMMYFUNCTION("""COMPUTED_VALUE"""),"🔵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programa"&amp;", el TEMARIO (malla curricular) y todos los BENEFICIOS 📚")</f>
        <v>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6" s="5" t="str">
        <f>IFERROR(__xludf.DUMMYFUNCTION("""COMPUTED_VALUE"""),"images/data.jpg")</f>
        <v>images/data.jpg</v>
      </c>
      <c r="Z16" s="5"/>
      <c r="AA16" s="5" t="str">
        <f>IFERROR(__xludf.DUMMYFUNCTION("""COMPUTED_VALUE"""),"NO")</f>
        <v>NO</v>
      </c>
      <c r="AB16" s="6">
        <f>IFERROR(__xludf.DUMMYFUNCTION("""COMPUTED_VALUE"""),820.0)</f>
        <v>820</v>
      </c>
      <c r="AC16" s="6">
        <f>IFERROR(__xludf.DUMMYFUNCTION("""COMPUTED_VALUE"""),760.0)</f>
        <v>760</v>
      </c>
      <c r="AD16" s="6">
        <f>IFERROR(__xludf.DUMMYFUNCTION("""COMPUTED_VALUE"""),410.0)</f>
        <v>410</v>
      </c>
      <c r="AE16" s="6">
        <f>IFERROR(__xludf.DUMMYFUNCTION("""COMPUTED_VALUE"""),380.0)</f>
        <v>380</v>
      </c>
      <c r="AF16" s="6">
        <f>IFERROR(__xludf.DUMMYFUNCTION("""COMPUTED_VALUE"""),150.0)</f>
        <v>150</v>
      </c>
      <c r="AG16" s="5">
        <f>IFERROR(__xludf.DUMMYFUNCTION("""COMPUTED_VALUE"""),150.0)</f>
        <v>150</v>
      </c>
      <c r="AH16" s="5"/>
      <c r="AI16" s="5">
        <f>IFERROR(__xludf.DUMMYFUNCTION("""COMPUTED_VALUE"""),342.0)</f>
        <v>342</v>
      </c>
      <c r="AJ16" s="5">
        <f>IFERROR(__xludf.DUMMYFUNCTION("""COMPUTED_VALUE"""),369.0)</f>
        <v>369</v>
      </c>
      <c r="AK16" s="5" t="str">
        <f>IFERROR(__xludf.DUMMYFUNCTION("""COMPUTED_VALUE"""),"📊 *Los datos son el nuevo motor de las empresas* 🚀
En pocas semanas aprenderás a analizar, interpretar y visualizar información con herramientas prácticas de Data Analytics, transformando datos en decisiones estratégicas 💡📈
Ahora te comparto la inform"&amp;"ación a detalle 👇🏻")</f>
        <v>📊 *Los datos son el nuevo motor de las empresas* 🚀
En pocas semanas aprenderás a analizar, interpretar y visualizar información con herramientas prácticas de Data Analytics, transformando datos en decisiones estratégicas 💡📈
Ahora te comparto la información a detalle 👇🏻</v>
      </c>
      <c r="AL16" s="5" t="str">
        <f>IFERROR(__xludf.DUMMYFUNCTION("""COMPUTED_VALUE"""),"🔑 *Excelente*, actualízate con *DATA ANALYTICS* y mantente competitivo en el mercado laboral.")</f>
        <v>🔑 *Excelente*, actualízate con *DATA ANALYTICS* y mantente competitivo en el mercado laboral.</v>
      </c>
      <c r="AM16" s="5" t="str">
        <f>IFERROR(__xludf.DUMMYFUNCTION("""COMPUTED_VALUE"""),"🛠️ Buenísimo, *DATA ANALYTICS* es de las competencias más pedidas por las empresas y aumentará tus oportunidades laborales.")</f>
        <v>🛠️ Buenísimo, *DATA ANALYTICS* es de las competencias más pedidas por las empresas y aumentará tus oportunidades laborales.</v>
      </c>
      <c r="AN16" s="5" t="str">
        <f>IFERROR(__xludf.DUMMYFUNCTION("""COMPUTED_VALUE"""),"📈 ¡Genial! Con *DATA ANALYTICS* sumarás una habilidad poderosa que te diferenciará desde la universidad.")</f>
        <v>📈 ¡Genial! Con *DATA ANALYTICS* sumarás una habilidad poderosa que te diferenciará desde la universidad.</v>
      </c>
      <c r="AO16" s="5" t="str">
        <f>IFERROR(__xludf.DUMMYFUNCTION("""COMPUTED_VALUE"""),"🌍 ¡Perfecto! Saber *DATA ANALYTICS* te dará ventaja frente a otros postulantes para conseguir prácticas.")</f>
        <v>🌍 ¡Perfecto! Saber *DATA ANALYTICS* te dará ventaja frente a otros postulantes para conseguir prácticas.</v>
      </c>
      <c r="AP16" s="5" t="str">
        <f>IFERROR(__xludf.DUMMYFUNCTION("""COMPUTED_VALUE"""),"🎓 ¡Excelente! Con *DATA ANALYTICS* podrás aplicarlo en tu negocio y tomar decisiones más inteligentes.")</f>
        <v>🎓 ¡Excelente! Con *DATA ANALYTICS* podrás aplicarlo en tu negocio y tomar decisiones más inteligentes.</v>
      </c>
      <c r="AQ16" s="9" t="str">
        <f>IFERROR(__xludf.DUMMYFUNCTION("""COMPUTED_VALUE"""),"https://we-educacion.com/slides/data-analytics-262")</f>
        <v>https://we-educacion.com/slides/data-analytics-262</v>
      </c>
      <c r="AR16" s="5">
        <v>1.0</v>
      </c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</row>
    <row r="17" ht="15.75" customHeight="1">
      <c r="A17" s="5" t="s">
        <v>59</v>
      </c>
      <c r="B17" s="5" t="str">
        <f t="shared" si="1"/>
        <v>OCT. I - ED25</v>
      </c>
      <c r="C17" s="6" t="str">
        <f>IFERROR(__xludf.DUMMYFUNCTION("""COMPUTED_VALUE"""),"PROCESOS")</f>
        <v>PROCESOS</v>
      </c>
      <c r="D17" s="6" t="str">
        <f>IFERROR(__xludf.DUMMYFUNCTION("""COMPUTED_VALUE"""),"CURSO")</f>
        <v>CURSO</v>
      </c>
      <c r="E17" s="6" t="str">
        <f>IFERROR(__xludf.DUMMYFUNCTION("""COMPUTED_VALUE"""),"MODEL BIZ.")</f>
        <v>MODEL BIZ.</v>
      </c>
      <c r="F17" s="7">
        <f>IFERROR(__xludf.DUMMYFUNCTION("""COMPUTED_VALUE"""),45942.0)</f>
        <v>45942</v>
      </c>
      <c r="G17" s="6"/>
      <c r="H17" s="7"/>
      <c r="I17" s="6"/>
      <c r="J17" s="7"/>
      <c r="K17" s="6"/>
      <c r="L17" s="7"/>
      <c r="M17" s="6"/>
      <c r="N17" s="7"/>
      <c r="O17" s="6"/>
      <c r="P17" s="7"/>
      <c r="Q17" s="6" t="str">
        <f>IFERROR(__xludf.DUMMYFUNCTION("""COMPUTED_VALUE"""),"Rosmery Terreros")</f>
        <v>Rosmery Terreros</v>
      </c>
      <c r="R17" s="5" t="str">
        <f>IFERROR(__xludf.DUMMYFUNCTION("""COMPUTED_VALUE"""),"Dom")</f>
        <v>Dom</v>
      </c>
      <c r="S17" s="6" t="str">
        <f>IFERROR(__xludf.DUMMYFUNCTION("""COMPUTED_VALUE"""),"9AM - 12PM")</f>
        <v>9AM - 12PM</v>
      </c>
      <c r="T17" s="7" t="str">
        <f>IFERROR(__xludf.DUMMYFUNCTION("""COMPUTED_VALUE"""),"Domingo 12 Octubre")</f>
        <v>Domingo 12 Octubre</v>
      </c>
      <c r="U17" s="7" t="str">
        <f>IFERROR(__xludf.DUMMYFUNCTION("""COMPUTED_VALUE"""),"Domingo 16 Noviembre")</f>
        <v>Domingo 16 Noviembre</v>
      </c>
      <c r="V17" s="8">
        <f>IFERROR(__xludf.DUMMYFUNCTION("""COMPUTED_VALUE"""),6.0)</f>
        <v>6</v>
      </c>
      <c r="W17" s="5" t="str">
        <f>IFERROR(__xludf.DUMMYFUNCTION("""COMPUTED_VALUE"""),"pdfs/BROCHURE MODELAMIENTO DE PROCESOS CON BIZAGI.pdf")</f>
        <v>pdfs/BROCHURE MODELAMIENTO DE PROCESOS CON BIZAGI.pdf</v>
      </c>
      <c r="X17" s="5" t="str">
        <f>IFERROR(__xludf.DUMMYFUNCTION("""COMPUTED_VALUE"""),"🔵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programa"&amp;", el TEMARIO (malla curricular) y todos los BENEFICIOS 📚")</f>
        <v>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programa, el TEMARIO (malla curricular) y todos los BENEFICIOS 📚</v>
      </c>
      <c r="Y17" s="5" t="str">
        <f>IFERROR(__xludf.DUMMYFUNCTION("""COMPUTED_VALUE"""),"images/bizagi.jpg")</f>
        <v>images/bizagi.jpg</v>
      </c>
      <c r="Z17" s="5"/>
      <c r="AA17" s="5" t="str">
        <f>IFERROR(__xludf.DUMMYFUNCTION("""COMPUTED_VALUE"""),"NO")</f>
        <v>NO</v>
      </c>
      <c r="AB17" s="6">
        <f>IFERROR(__xludf.DUMMYFUNCTION("""COMPUTED_VALUE"""),610.0)</f>
        <v>610</v>
      </c>
      <c r="AC17" s="6">
        <f>IFERROR(__xludf.DUMMYFUNCTION("""COMPUTED_VALUE"""),550.0)</f>
        <v>550</v>
      </c>
      <c r="AD17" s="6">
        <f>IFERROR(__xludf.DUMMYFUNCTION("""COMPUTED_VALUE"""),305.0)</f>
        <v>305</v>
      </c>
      <c r="AE17" s="6">
        <f>IFERROR(__xludf.DUMMYFUNCTION("""COMPUTED_VALUE"""),275.0)</f>
        <v>275</v>
      </c>
      <c r="AF17" s="6">
        <f>IFERROR(__xludf.DUMMYFUNCTION("""COMPUTED_VALUE"""),150.0)</f>
        <v>150</v>
      </c>
      <c r="AG17" s="5">
        <f>IFERROR(__xludf.DUMMYFUNCTION("""COMPUTED_VALUE"""),150.0)</f>
        <v>150</v>
      </c>
      <c r="AH17" s="5"/>
      <c r="AI17" s="5">
        <f>IFERROR(__xludf.DUMMYFUNCTION("""COMPUTED_VALUE"""),247.5)</f>
        <v>247.5</v>
      </c>
      <c r="AJ17" s="5">
        <f>IFERROR(__xludf.DUMMYFUNCTION("""COMPUTED_VALUE"""),274.5)</f>
        <v>274.5</v>
      </c>
      <c r="AK17" s="5" t="str">
        <f>IFERROR(__xludf.DUMMYFUNCTION("""COMPUTED_VALUE"""),"*Entender el proceso es clave para cualquier proyecto* 🚀 
Aprende a diseñar, optimizar y automatizar procesos con Bizagi de forma práctica ⚙️
Ahora te adjunto la información a detalle 👇🏻")</f>
        <v>*Entender el proceso es clave para cualquier proyecto* 🚀 
Aprende a diseñar, optimizar y automatizar procesos con Bizagi de forma práctica ⚙️
Ahora te adjunto la información a detalle 👇🏻</v>
      </c>
      <c r="AL17" s="5" t="str">
        <f>IFERROR(__xludf.DUMMYFUNCTION("""COMPUTED_VALUE"""),"📈 Excelente, actualízate con Model Biz. y potencia tu visión estratégica en los negocios.")</f>
        <v>📈 Excelente, actualízate con Model Biz. y potencia tu visión estratégica en los negocios.</v>
      </c>
      <c r="AM17" s="5" t="str">
        <f>IFERROR(__xludf.DUMMYFUNCTION("""COMPUTED_VALUE"""),"💼 Buenísimo, dominar Model Biz. te dará más oportunidades en empresas que buscan perfiles analíticos.")</f>
        <v>💼 Buenísimo, dominar Model Biz. te dará más oportunidades en empresas que buscan perfiles analíticos.</v>
      </c>
      <c r="AN17" s="5" t="str">
        <f>IFERROR(__xludf.DUMMYFUNCTION("""COMPUTED_VALUE"""),"🎓 ¡Genial! Con Model Biz. sumarás una habilidad clave que te diferenciará desde la universidad.")</f>
        <v>🎓 ¡Genial! Con Model Biz. sumarás una habilidad clave que te diferenciará desde la universidad.</v>
      </c>
      <c r="AO17" s="5" t="str">
        <f>IFERROR(__xludf.DUMMYFUNCTION("""COMPUTED_VALUE"""),"🚀 ¡Perfecto! Conocer Model Biz. será un plus para destacar en prácticas profesionales.")</f>
        <v>🚀 ¡Perfecto! Conocer Model Biz. será un plus para destacar en prácticas profesionales.</v>
      </c>
      <c r="AP17" s="5" t="str">
        <f>IFERROR(__xludf.DUMMYFUNCTION("""COMPUTED_VALUE"""),"📊 ¡Excelente! Con Model Biz. podrás optimizar tu propio negocio y tomar decisiones más inteligentes.")</f>
        <v>📊 ¡Excelente! Con Model Biz. podrás optimizar tu propio negocio y tomar decisiones más inteligentes.</v>
      </c>
      <c r="AQ17" s="9" t="str">
        <f>IFERROR(__xludf.DUMMYFUNCTION("""COMPUTED_VALUE"""),"https://we-educacion.com/slides/modelamiento-de-procesos-con-bizagi-118")</f>
        <v>https://we-educacion.com/slides/modelamiento-de-procesos-con-bizagi-118</v>
      </c>
      <c r="AR17" s="5">
        <v>1.0</v>
      </c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</row>
    <row r="18" ht="15.75" customHeight="1">
      <c r="A18" s="5" t="s">
        <v>60</v>
      </c>
      <c r="B18" s="5" t="str">
        <f t="shared" si="1"/>
        <v>OCT. I - ED25</v>
      </c>
      <c r="C18" s="6" t="str">
        <f>IFERROR(__xludf.DUMMYFUNCTION("""COMPUTED_VALUE"""),"PROYECTOS")</f>
        <v>PROYECTOS</v>
      </c>
      <c r="D18" s="6" t="str">
        <f>IFERROR(__xludf.DUMMYFUNCTION("""COMPUTED_VALUE"""),"CURSO")</f>
        <v>CURSO</v>
      </c>
      <c r="E18" s="6" t="str">
        <f>IFERROR(__xludf.DUMMYFUNCTION("""COMPUTED_VALUE"""),"GEST FINANC. PROYECT")</f>
        <v>GEST FINANC. PROYECT</v>
      </c>
      <c r="F18" s="7">
        <f>IFERROR(__xludf.DUMMYFUNCTION("""COMPUTED_VALUE"""),45942.0)</f>
        <v>45942</v>
      </c>
      <c r="G18" s="6"/>
      <c r="H18" s="7"/>
      <c r="I18" s="6"/>
      <c r="J18" s="7"/>
      <c r="K18" s="6"/>
      <c r="L18" s="7"/>
      <c r="M18" s="6"/>
      <c r="N18" s="7"/>
      <c r="O18" s="6"/>
      <c r="P18" s="7"/>
      <c r="Q18" s="6" t="str">
        <f>IFERROR(__xludf.DUMMYFUNCTION("""COMPUTED_VALUE"""),"William Valdivia")</f>
        <v>William Valdivia</v>
      </c>
      <c r="R18" s="5" t="str">
        <f>IFERROR(__xludf.DUMMYFUNCTION("""COMPUTED_VALUE"""),"Dom")</f>
        <v>Dom</v>
      </c>
      <c r="S18" s="6" t="str">
        <f>IFERROR(__xludf.DUMMYFUNCTION("""COMPUTED_VALUE"""),"9AM - 12PM")</f>
        <v>9AM - 12PM</v>
      </c>
      <c r="T18" s="7" t="str">
        <f>IFERROR(__xludf.DUMMYFUNCTION("""COMPUTED_VALUE"""),"Domingo 12 Octubre")</f>
        <v>Domingo 12 Octubre</v>
      </c>
      <c r="U18" s="7" t="str">
        <f>IFERROR(__xludf.DUMMYFUNCTION("""COMPUTED_VALUE"""),"Domingo 16 Noviembre")</f>
        <v>Domingo 16 Noviembre</v>
      </c>
      <c r="V18" s="8">
        <f>IFERROR(__xludf.DUMMYFUNCTION("""COMPUTED_VALUE"""),6.0)</f>
        <v>6</v>
      </c>
      <c r="W18" s="5" t="str">
        <f>IFERROR(__xludf.DUMMYFUNCTION("""COMPUTED_VALUE"""),"pdfs/BROCHURE GESTIÓN FINANCIERA DE PROYECTOS.pdf")</f>
        <v>pdfs/BROCHURE GESTIÓN FINANCIERA DE PROYECTOS.pdf</v>
      </c>
      <c r="X18" s="5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*Por favor, revisa el BROCHURE* 👇🏻
Aqui encontrarás la información completa del programa, el TEMARIO (malla curricular) y todos los BENEFICIOS 📚</v>
      </c>
      <c r="Y18" s="5" t="str">
        <f>IFERROR(__xludf.DUMMYFUNCTION("""COMPUTED_VALUE"""),"images/gestfinanc.jpg")</f>
        <v>images/gestfinanc.jpg</v>
      </c>
      <c r="Z18" s="5"/>
      <c r="AA18" s="5" t="str">
        <f>IFERROR(__xludf.DUMMYFUNCTION("""COMPUTED_VALUE"""),"NO")</f>
        <v>NO</v>
      </c>
      <c r="AB18" s="6">
        <f>IFERROR(__xludf.DUMMYFUNCTION("""COMPUTED_VALUE"""),710.0)</f>
        <v>710</v>
      </c>
      <c r="AC18" s="6">
        <f>IFERROR(__xludf.DUMMYFUNCTION("""COMPUTED_VALUE"""),610.0)</f>
        <v>610</v>
      </c>
      <c r="AD18" s="6">
        <f>IFERROR(__xludf.DUMMYFUNCTION("""COMPUTED_VALUE"""),355.0)</f>
        <v>355</v>
      </c>
      <c r="AE18" s="6">
        <f>IFERROR(__xludf.DUMMYFUNCTION("""COMPUTED_VALUE"""),305.0)</f>
        <v>305</v>
      </c>
      <c r="AF18" s="6">
        <f>IFERROR(__xludf.DUMMYFUNCTION("""COMPUTED_VALUE"""),150.0)</f>
        <v>150</v>
      </c>
      <c r="AG18" s="5">
        <f>IFERROR(__xludf.DUMMYFUNCTION("""COMPUTED_VALUE"""),150.0)</f>
        <v>150</v>
      </c>
      <c r="AH18" s="5"/>
      <c r="AI18" s="5">
        <f>IFERROR(__xludf.DUMMYFUNCTION("""COMPUTED_VALUE"""),274.5)</f>
        <v>274.5</v>
      </c>
      <c r="AJ18" s="5">
        <f>IFERROR(__xludf.DUMMYFUNCTION("""COMPUTED_VALUE"""),319.5)</f>
        <v>319.5</v>
      </c>
      <c r="AK18" s="5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18" s="5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18" s="5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18" s="5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18" s="5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18" s="5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18" s="9" t="str">
        <f>IFERROR(__xludf.DUMMYFUNCTION("""COMPUTED_VALUE"""),"https://we-educacion.com/slides/gestion-financiera-de-proyectos-637")</f>
        <v>https://we-educacion.com/slides/gestion-financiera-de-proyectos-637</v>
      </c>
      <c r="AR18" s="5">
        <v>1.0</v>
      </c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</row>
    <row r="19" ht="15.75" customHeight="1">
      <c r="A19" s="5" t="s">
        <v>61</v>
      </c>
      <c r="B19" s="5" t="str">
        <f t="shared" si="1"/>
        <v>OCT. I - ED25</v>
      </c>
      <c r="C19" s="6" t="str">
        <f>IFERROR(__xludf.DUMMYFUNCTION("""COMPUTED_VALUE"""),"PROYECTOS")</f>
        <v>PROYECTOS</v>
      </c>
      <c r="D19" s="6" t="str">
        <f>IFERROR(__xludf.DUMMYFUNCTION("""COMPUTED_VALUE"""),"CURSO")</f>
        <v>CURSO</v>
      </c>
      <c r="E19" s="6" t="str">
        <f>IFERROR(__xludf.DUMMYFUNCTION("""COMPUTED_VALUE"""),"MS PROJECT")</f>
        <v>MS PROJECT</v>
      </c>
      <c r="F19" s="7">
        <f>IFERROR(__xludf.DUMMYFUNCTION("""COMPUTED_VALUE"""),45942.0)</f>
        <v>45942</v>
      </c>
      <c r="G19" s="6"/>
      <c r="H19" s="7"/>
      <c r="I19" s="6"/>
      <c r="J19" s="7"/>
      <c r="K19" s="6"/>
      <c r="L19" s="7"/>
      <c r="M19" s="6"/>
      <c r="N19" s="7"/>
      <c r="O19" s="6"/>
      <c r="P19" s="7"/>
      <c r="Q19" s="6" t="str">
        <f>IFERROR(__xludf.DUMMYFUNCTION("""COMPUTED_VALUE"""),"Alejandro Mas")</f>
        <v>Alejandro Mas</v>
      </c>
      <c r="R19" s="5" t="str">
        <f>IFERROR(__xludf.DUMMYFUNCTION("""COMPUTED_VALUE"""),"Dom")</f>
        <v>Dom</v>
      </c>
      <c r="S19" s="6" t="str">
        <f>IFERROR(__xludf.DUMMYFUNCTION("""COMPUTED_VALUE"""),"3PM - 6PM")</f>
        <v>3PM - 6PM</v>
      </c>
      <c r="T19" s="7" t="str">
        <f>IFERROR(__xludf.DUMMYFUNCTION("""COMPUTED_VALUE"""),"Domingo 12 Octubre")</f>
        <v>Domingo 12 Octubre</v>
      </c>
      <c r="U19" s="7" t="str">
        <f>IFERROR(__xludf.DUMMYFUNCTION("""COMPUTED_VALUE"""),"Domingo 16 Noviembre")</f>
        <v>Domingo 16 Noviembre</v>
      </c>
      <c r="V19" s="8">
        <f>IFERROR(__xludf.DUMMYFUNCTION("""COMPUTED_VALUE"""),6.0)</f>
        <v>6</v>
      </c>
      <c r="W19" s="5" t="str">
        <f>IFERROR(__xludf.DUMMYFUNCTION("""COMPUTED_VALUE"""),"pdfs/BROCHURE MS PROJECT.pdf")</f>
        <v>pdfs/BROCHURE MS PROJECT.pdf</v>
      </c>
      <c r="X19" s="5" t="str">
        <f>IFERROR(__xludf.DUMMYFUNCTION("""COMPUTED_VALUE"""),"🔵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9" s="5" t="str">
        <f>IFERROR(__xludf.DUMMYFUNCTION("""COMPUTED_VALUE"""),"images/msproject.jpg")</f>
        <v>images/msproject.jpg</v>
      </c>
      <c r="Z19" s="5" t="str">
        <f>IFERROR(__xludf.DUMMYFUNCTION("""COMPUTED_VALUE"""),"Avalado por Microsoft Partner Network")</f>
        <v>Avalado por Microsoft Partner Network</v>
      </c>
      <c r="AA19" s="5" t="str">
        <f>IFERROR(__xludf.DUMMYFUNCTION("""COMPUTED_VALUE"""),"SI")</f>
        <v>SI</v>
      </c>
      <c r="AB19" s="6">
        <f>IFERROR(__xludf.DUMMYFUNCTION("""COMPUTED_VALUE"""),610.0)</f>
        <v>610</v>
      </c>
      <c r="AC19" s="6">
        <f>IFERROR(__xludf.DUMMYFUNCTION("""COMPUTED_VALUE"""),550.0)</f>
        <v>550</v>
      </c>
      <c r="AD19" s="6">
        <f>IFERROR(__xludf.DUMMYFUNCTION("""COMPUTED_VALUE"""),305.0)</f>
        <v>305</v>
      </c>
      <c r="AE19" s="6">
        <f>IFERROR(__xludf.DUMMYFUNCTION("""COMPUTED_VALUE"""),275.0)</f>
        <v>275</v>
      </c>
      <c r="AF19" s="6">
        <f>IFERROR(__xludf.DUMMYFUNCTION("""COMPUTED_VALUE"""),150.0)</f>
        <v>150</v>
      </c>
      <c r="AG19" s="5">
        <f>IFERROR(__xludf.DUMMYFUNCTION("""COMPUTED_VALUE"""),150.0)</f>
        <v>150</v>
      </c>
      <c r="AH19" s="5"/>
      <c r="AI19" s="5">
        <f>IFERROR(__xludf.DUMMYFUNCTION("""COMPUTED_VALUE"""),247.5)</f>
        <v>247.5</v>
      </c>
      <c r="AJ19" s="5">
        <f>IFERROR(__xludf.DUMMYFUNCTION("""COMPUTED_VALUE"""),274.5)</f>
        <v>274.5</v>
      </c>
      <c r="AK19" s="5" t="str">
        <f>IFERROR(__xludf.DUMMYFUNCTION("""COMPUTED_VALUE"""),"✨ *Planificar bien es la clave para que todo proyecto tenga éxito.*
Aprende a gestionar tareas, tiempos y recursos con Microsoft Project de forma práctica y profesional 📅
Ahora te adjunto la información a detalle 👇🏻")</f>
        <v>✨ *Planificar bien es la clave para que todo proyecto tenga éxito.*
Aprende a gestionar tareas, tiempos y recursos con Microsoft Project de forma práctica y profesional 📅
Ahora te adjunto la información a detalle 👇🏻</v>
      </c>
      <c r="AL19" s="5" t="str">
        <f>IFERROR(__xludf.DUMMYFUNCTION("""COMPUTED_VALUE"""),"✨ Excelente, actualízate con MS Project y gestiona proyectos de manera más eficiente.")</f>
        <v>✨ Excelente, actualízate con MS Project y gestiona proyectos de manera más eficiente.</v>
      </c>
      <c r="AM19" s="5" t="str">
        <f>IFERROR(__xludf.DUMMYFUNCTION("""COMPUTED_VALUE"""),"💼 Buenísimo, MS Project es muy valorado por las empresas que buscan profesionales de gestión.")</f>
        <v>💼 Buenísimo, MS Project es muy valorado por las empresas que buscan profesionales de gestión.</v>
      </c>
      <c r="AN19" s="5" t="str">
        <f>IFERROR(__xludf.DUMMYFUNCTION("""COMPUTED_VALUE"""),"🎓 ¡Genial! Con MS Project aprenderás a organizar proyectos de forma práctica desde la universidad.")</f>
        <v>🎓 ¡Genial! Con MS Project aprenderás a organizar proyectos de forma práctica desde la universidad.</v>
      </c>
      <c r="AO19" s="5" t="str">
        <f>IFERROR(__xludf.DUMMYFUNCTION("""COMPUTED_VALUE"""),"🚀 ¡Perfecto! Saber MS Project te dará ventaja en prácticas relacionadas a gestión de proyectos.")</f>
        <v>🚀 ¡Perfecto! Saber MS Project te dará ventaja en prácticas relacionadas a gestión de proyectos.</v>
      </c>
      <c r="AP19" s="5" t="str">
        <f>IFERROR(__xludf.DUMMYFUNCTION("""COMPUTED_VALUE"""),"📊 ¡Excelente! Con MS Project podrás planificar y controlar tus propios proyectos de manera profesional.")</f>
        <v>📊 ¡Excelente! Con MS Project podrás planificar y controlar tus propios proyectos de manera profesional.</v>
      </c>
      <c r="AQ19" s="9" t="str">
        <f>IFERROR(__xludf.DUMMYFUNCTION("""COMPUTED_VALUE"""),"https://we-educacion.com/slides/ms-project-basico-intermedio-95")</f>
        <v>https://we-educacion.com/slides/ms-project-basico-intermedio-95</v>
      </c>
      <c r="AR19" s="5">
        <v>1.0</v>
      </c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</row>
    <row r="20" ht="15.75" customHeight="1">
      <c r="A20" s="5" t="s">
        <v>62</v>
      </c>
      <c r="B20" s="5" t="str">
        <f t="shared" si="1"/>
        <v>OCT. I - ED25</v>
      </c>
      <c r="C20" s="6" t="str">
        <f>IFERROR(__xludf.DUMMYFUNCTION("""COMPUTED_VALUE"""),"BI")</f>
        <v>BI</v>
      </c>
      <c r="D20" s="6" t="str">
        <f>IFERROR(__xludf.DUMMYFUNCTION("""COMPUTED_VALUE"""),"ESP.")</f>
        <v>ESP.</v>
      </c>
      <c r="E20" s="6" t="str">
        <f>IFERROR(__xludf.DUMMYFUNCTION("""COMPUTED_VALUE"""),"ESP. SQL SERVER")</f>
        <v>ESP. SQL SERVER</v>
      </c>
      <c r="F20" s="7">
        <f>IFERROR(__xludf.DUMMYFUNCTION("""COMPUTED_VALUE"""),45942.0)</f>
        <v>45942</v>
      </c>
      <c r="G20" s="6" t="str">
        <f>IFERROR(__xludf.DUMMYFUNCTION("""COMPUTED_VALUE"""),"SQL SERVER")</f>
        <v>SQL SERVER</v>
      </c>
      <c r="H20" s="7">
        <f>IFERROR(__xludf.DUMMYFUNCTION("""COMPUTED_VALUE"""),45942.0)</f>
        <v>45942</v>
      </c>
      <c r="I20" s="6" t="str">
        <f>IFERROR(__xludf.DUMMYFUNCTION("""COMPUTED_VALUE"""),"SQL AVANZ")</f>
        <v>SQL AVANZ</v>
      </c>
      <c r="J20" s="7">
        <f>IFERROR(__xludf.DUMMYFUNCTION("""COMPUTED_VALUE"""),45984.0)</f>
        <v>45984</v>
      </c>
      <c r="K20" s="6"/>
      <c r="L20" s="7"/>
      <c r="M20" s="6"/>
      <c r="N20" s="7"/>
      <c r="O20" s="6"/>
      <c r="P20" s="7"/>
      <c r="Q20" s="6" t="str">
        <f>IFERROR(__xludf.DUMMYFUNCTION("""COMPUTED_VALUE"""),"Mijael Pampas
Oscar Moreno ")</f>
        <v>Mijael Pampas
Oscar Moreno </v>
      </c>
      <c r="R20" s="5" t="str">
        <f>IFERROR(__xludf.DUMMYFUNCTION("""COMPUTED_VALUE"""),"Dom")</f>
        <v>Dom</v>
      </c>
      <c r="S20" s="6" t="str">
        <f>IFERROR(__xludf.DUMMYFUNCTION("""COMPUTED_VALUE"""),"9AM - 12PM")</f>
        <v>9AM - 12PM</v>
      </c>
      <c r="T20" s="7" t="str">
        <f>IFERROR(__xludf.DUMMYFUNCTION("""COMPUTED_VALUE"""),"Domingo 12 Octubre")</f>
        <v>Domingo 12 Octubre</v>
      </c>
      <c r="U20" s="7" t="str">
        <f>IFERROR(__xludf.DUMMYFUNCTION("""COMPUTED_VALUE"""),"Domingo 28 Diciembre")</f>
        <v>Domingo 28 Diciembre</v>
      </c>
      <c r="V20" s="8">
        <f>IFERROR(__xludf.DUMMYFUNCTION("""COMPUTED_VALUE"""),12.0)</f>
        <v>12</v>
      </c>
      <c r="W20" s="5" t="str">
        <f>IFERROR(__xludf.DUMMYFUNCTION("""COMPUTED_VALUE"""),"pdfs/BROCHURE ESPECIALIZACION DE SQL.pdf")</f>
        <v>pdfs/BROCHURE ESPECIALIZACION DE SQL.pdf</v>
      </c>
      <c r="X20" s="5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0" s="5" t="str">
        <f>IFERROR(__xludf.DUMMYFUNCTION("""COMPUTED_VALUE"""),"images/espsql.jpg")</f>
        <v>images/espsql.jpg</v>
      </c>
      <c r="Z20" s="5" t="str">
        <f>IFERROR(__xludf.DUMMYFUNCTION("""COMPUTED_VALUE"""),"Avalado por Microsoft Partner Network")</f>
        <v>Avalado por Microsoft Partner Network</v>
      </c>
      <c r="AA20" s="5" t="str">
        <f>IFERROR(__xludf.DUMMYFUNCTION("""COMPUTED_VALUE"""),"NO")</f>
        <v>NO</v>
      </c>
      <c r="AB20" s="6">
        <f>IFERROR(__xludf.DUMMYFUNCTION("""COMPUTED_VALUE"""),1600.0)</f>
        <v>1600</v>
      </c>
      <c r="AC20" s="6">
        <f>IFERROR(__xludf.DUMMYFUNCTION("""COMPUTED_VALUE"""),1400.0)</f>
        <v>1400</v>
      </c>
      <c r="AD20" s="6">
        <f>IFERROR(__xludf.DUMMYFUNCTION("""COMPUTED_VALUE"""),800.0)</f>
        <v>800</v>
      </c>
      <c r="AE20" s="6">
        <f>IFERROR(__xludf.DUMMYFUNCTION("""COMPUTED_VALUE"""),700.0)</f>
        <v>700</v>
      </c>
      <c r="AF20" s="6">
        <f>IFERROR(__xludf.DUMMYFUNCTION("""COMPUTED_VALUE"""),250.0)</f>
        <v>250</v>
      </c>
      <c r="AG20" s="5">
        <f>IFERROR(__xludf.DUMMYFUNCTION("""COMPUTED_VALUE"""),350.0)</f>
        <v>350</v>
      </c>
      <c r="AH20" s="5"/>
      <c r="AI20" s="5">
        <f>IFERROR(__xludf.DUMMYFUNCTION("""COMPUTED_VALUE"""),630.0)</f>
        <v>630</v>
      </c>
      <c r="AJ20" s="5">
        <f>IFERROR(__xludf.DUMMYFUNCTION("""COMPUTED_VALUE"""),720.0)</f>
        <v>720</v>
      </c>
      <c r="AK20" s="5" t="str">
        <f>IFERROR(__xludf.DUMMYFUNCTION("""COMPUTED_VALUE"""),"Las bases de datos mueven el mundo 💾
Aprende a gestionar y optimizar información con SQL Server para un control eficiente 📊
👉🏻 Aquí está la información.")</f>
        <v>Las bases de datos mueven el mundo 💾
Aprende a gestionar y optimizar información con SQL Server para un control eficiente 📊
👉🏻 Aquí está la información.</v>
      </c>
      <c r="AL20" s="5" t="str">
        <f>IFERROR(__xludf.DUMMYFUNCTION("""COMPUTED_VALUE"""),"💾 Excelente, actualízate en SQL Server y gestiona datos con eficiencia.")</f>
        <v>💾 Excelente, actualízate en SQL Server y gestiona datos con eficiencia.</v>
      </c>
      <c r="AM20" s="5" t="str">
        <f>IFERROR(__xludf.DUMMYFUNCTION("""COMPUTED_VALUE"""),"🏢 Buenísimo, las empresas buscan expertos en bases de datos corporativas.")</f>
        <v>🏢 Buenísimo, las empresas buscan expertos en bases de datos corporativas.</v>
      </c>
      <c r="AN20" s="5" t="str">
        <f>IFERROR(__xludf.DUMMYFUNCTION("""COMPUTED_VALUE"""),"⚡ Genial, dominar SQL Server elevará tu perfil en gestión de información.")</f>
        <v>⚡ Genial, dominar SQL Server elevará tu perfil en gestión de información.</v>
      </c>
      <c r="AO20" s="5" t="str">
        <f>IFERROR(__xludf.DUMMYFUNCTION("""COMPUTED_VALUE"""),"🚀 Perfecto, SQL será tu ventaja en prácticas de análisis y TI.")</f>
        <v>🚀 Perfecto, SQL será tu ventaja en prácticas de análisis y TI.</v>
      </c>
      <c r="AP20" s="5" t="str">
        <f>IFERROR(__xludf.DUMMYFUNCTION("""COMPUTED_VALUE"""),"📊 Excelente, podrás gestionar tus datos con control y rapidez como independiente.")</f>
        <v>📊 Excelente, podrás gestionar tus datos con control y rapidez como independiente.</v>
      </c>
      <c r="AQ20" s="9" t="str">
        <f>IFERROR(__xludf.DUMMYFUNCTION("""COMPUTED_VALUE"""),"https://we-educacion.com/slides/especializacion-en-sql-server-107")</f>
        <v>https://we-educacion.com/slides/especializacion-en-sql-server-107</v>
      </c>
      <c r="AR20" s="5">
        <v>1.0</v>
      </c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</row>
    <row r="21" ht="15.75" customHeight="1">
      <c r="A21" s="5" t="s">
        <v>63</v>
      </c>
      <c r="B21" s="5" t="str">
        <f t="shared" si="1"/>
        <v>OCT. I - ED25</v>
      </c>
      <c r="C21" s="6" t="str">
        <f>IFERROR(__xludf.DUMMYFUNCTION("""COMPUTED_VALUE"""),"BI")</f>
        <v>BI</v>
      </c>
      <c r="D21" s="6" t="str">
        <f>IFERROR(__xludf.DUMMYFUNCTION("""COMPUTED_VALUE"""),"CURSO")</f>
        <v>CURSO</v>
      </c>
      <c r="E21" s="6" t="str">
        <f>IFERROR(__xludf.DUMMYFUNCTION("""COMPUTED_VALUE"""),"SQL SERVER")</f>
        <v>SQL SERVER</v>
      </c>
      <c r="F21" s="7">
        <f>IFERROR(__xludf.DUMMYFUNCTION("""COMPUTED_VALUE"""),45942.0)</f>
        <v>45942</v>
      </c>
      <c r="G21" s="6"/>
      <c r="H21" s="7"/>
      <c r="I21" s="6"/>
      <c r="J21" s="7"/>
      <c r="K21" s="6"/>
      <c r="L21" s="7"/>
      <c r="M21" s="6"/>
      <c r="N21" s="7"/>
      <c r="O21" s="6"/>
      <c r="P21" s="7"/>
      <c r="Q21" s="6" t="str">
        <f>IFERROR(__xludf.DUMMYFUNCTION("""COMPUTED_VALUE"""),"Mijael Pampas")</f>
        <v>Mijael Pampas</v>
      </c>
      <c r="R21" s="5" t="str">
        <f>IFERROR(__xludf.DUMMYFUNCTION("""COMPUTED_VALUE"""),"Dom")</f>
        <v>Dom</v>
      </c>
      <c r="S21" s="6" t="str">
        <f>IFERROR(__xludf.DUMMYFUNCTION("""COMPUTED_VALUE"""),"9AM - 12PM")</f>
        <v>9AM - 12PM</v>
      </c>
      <c r="T21" s="7" t="str">
        <f>IFERROR(__xludf.DUMMYFUNCTION("""COMPUTED_VALUE"""),"Domingo 12 Octubre")</f>
        <v>Domingo 12 Octubre</v>
      </c>
      <c r="U21" s="7" t="str">
        <f>IFERROR(__xludf.DUMMYFUNCTION("""COMPUTED_VALUE"""),"Domingo 16 Noviembre")</f>
        <v>Domingo 16 Noviembre</v>
      </c>
      <c r="V21" s="8">
        <f>IFERROR(__xludf.DUMMYFUNCTION("""COMPUTED_VALUE"""),30.0)</f>
        <v>30</v>
      </c>
      <c r="W21" s="5" t="str">
        <f>IFERROR(__xludf.DUMMYFUNCTION("""COMPUTED_VALUE"""),"pdfs/BROCHURE SQL SERVER.pdf")</f>
        <v>pdfs/BROCHURE SQL SERVER.pdf</v>
      </c>
      <c r="X21" s="5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1" s="5" t="str">
        <f>IFERROR(__xludf.DUMMYFUNCTION("""COMPUTED_VALUE"""),"images/sqlserver.jpg")</f>
        <v>images/sqlserver.jpg</v>
      </c>
      <c r="Z21" s="5" t="str">
        <f>IFERROR(__xludf.DUMMYFUNCTION("""COMPUTED_VALUE"""),"Avalado por Microsoft Partner Network")</f>
        <v>Avalado por Microsoft Partner Network</v>
      </c>
      <c r="AA21" s="5" t="str">
        <f>IFERROR(__xludf.DUMMYFUNCTION("""COMPUTED_VALUE"""),"NO")</f>
        <v>NO</v>
      </c>
      <c r="AB21" s="6">
        <f>IFERROR(__xludf.DUMMYFUNCTION("""COMPUTED_VALUE"""),830.0)</f>
        <v>830</v>
      </c>
      <c r="AC21" s="6">
        <f>IFERROR(__xludf.DUMMYFUNCTION("""COMPUTED_VALUE"""),740.0)</f>
        <v>740</v>
      </c>
      <c r="AD21" s="6">
        <f>IFERROR(__xludf.DUMMYFUNCTION("""COMPUTED_VALUE"""),415.0)</f>
        <v>415</v>
      </c>
      <c r="AE21" s="6">
        <f>IFERROR(__xludf.DUMMYFUNCTION("""COMPUTED_VALUE"""),370.0)</f>
        <v>370</v>
      </c>
      <c r="AF21" s="6">
        <f>IFERROR(__xludf.DUMMYFUNCTION("""COMPUTED_VALUE"""),150.0)</f>
        <v>150</v>
      </c>
      <c r="AG21" s="5">
        <f>IFERROR(__xludf.DUMMYFUNCTION("""COMPUTED_VALUE"""),150.0)</f>
        <v>150</v>
      </c>
      <c r="AH21" s="5"/>
      <c r="AI21" s="5">
        <f>IFERROR(__xludf.DUMMYFUNCTION("""COMPUTED_VALUE"""),333.0)</f>
        <v>333</v>
      </c>
      <c r="AJ21" s="5">
        <f>IFERROR(__xludf.DUMMYFUNCTION("""COMPUTED_VALUE"""),373.5)</f>
        <v>373.5</v>
      </c>
      <c r="AK21" s="5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21" s="5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21" s="5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21" s="5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21" s="5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21" s="5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21" s="9" t="str">
        <f>IFERROR(__xludf.DUMMYFUNCTION("""COMPUTED_VALUE"""),"https://we-educacion.com/slides/sql-server-for-analytics-52")</f>
        <v>https://we-educacion.com/slides/sql-server-for-analytics-52</v>
      </c>
      <c r="AR21" s="5">
        <v>1.0</v>
      </c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</row>
    <row r="22" ht="15.75" customHeight="1">
      <c r="A22" s="5" t="s">
        <v>64</v>
      </c>
      <c r="B22" s="5" t="str">
        <f t="shared" si="1"/>
        <v>OCT. I - ED25</v>
      </c>
      <c r="C22" s="6" t="str">
        <f>IFERROR(__xludf.DUMMYFUNCTION("""COMPUTED_VALUE"""),"EXCEL")</f>
        <v>EXCEL</v>
      </c>
      <c r="D22" s="5" t="str">
        <f>IFERROR(__xludf.DUMMYFUNCTION("""COMPUTED_VALUE"""),"ESP.")</f>
        <v>ESP.</v>
      </c>
      <c r="E22" s="6" t="str">
        <f>IFERROR(__xludf.DUMMYFUNCTION("""COMPUTED_VALUE"""),"ESP. EXCEL EXP")</f>
        <v>ESP. EXCEL EXP</v>
      </c>
      <c r="F22" s="7">
        <f>IFERROR(__xludf.DUMMYFUNCTION("""COMPUTED_VALUE"""),45945.0)</f>
        <v>45945</v>
      </c>
      <c r="G22" s="6" t="str">
        <f>IFERROR(__xludf.DUMMYFUNCTION("""COMPUTED_VALUE"""),"EXCEL BÁSICO")</f>
        <v>EXCEL BÁSICO</v>
      </c>
      <c r="H22" s="7">
        <f>IFERROR(__xludf.DUMMYFUNCTION("""COMPUTED_VALUE"""),45945.0)</f>
        <v>45945</v>
      </c>
      <c r="I22" s="6" t="str">
        <f>IFERROR(__xludf.DUMMYFUNCTION("""COMPUTED_VALUE"""),"EXCEL INTERM")</f>
        <v>EXCEL INTERM</v>
      </c>
      <c r="J22" s="7">
        <f>IFERROR(__xludf.DUMMYFUNCTION("""COMPUTED_VALUE"""),45966.0)</f>
        <v>45966</v>
      </c>
      <c r="K22" s="6" t="str">
        <f>IFERROR(__xludf.DUMMYFUNCTION("""COMPUTED_VALUE"""),"EXCEL AVANZADO")</f>
        <v>EXCEL AVANZADO</v>
      </c>
      <c r="L22" s="7">
        <f>IFERROR(__xludf.DUMMYFUNCTION("""COMPUTED_VALUE"""),45987.0)</f>
        <v>45987</v>
      </c>
      <c r="M22" s="6" t="str">
        <f>IFERROR(__xludf.DUMMYFUNCTION("""COMPUTED_VALUE"""),"PROG. MACROS")</f>
        <v>PROG. MACROS</v>
      </c>
      <c r="N22" s="7">
        <f>IFERROR(__xludf.DUMMYFUNCTION("""COMPUTED_VALUE"""),46008.0)</f>
        <v>46008</v>
      </c>
      <c r="O22" s="6"/>
      <c r="P22" s="7"/>
      <c r="Q22" s="6" t="str">
        <f>IFERROR(__xludf.DUMMYFUNCTION("""COMPUTED_VALUE"""),"Jhon Lino
Jonathan Sanchez
Giancarlos Barboza
Julio Ccari")</f>
        <v>Jhon Lino
Jonathan Sanchez
Giancarlos Barboza
Julio Ccari</v>
      </c>
      <c r="R22" s="5" t="str">
        <f>IFERROR(__xludf.DUMMYFUNCTION("""COMPUTED_VALUE"""),"Lun-Mie")</f>
        <v>Lun-Mie</v>
      </c>
      <c r="S22" s="6" t="str">
        <f>IFERROR(__xludf.DUMMYFUNCTION("""COMPUTED_VALUE"""),"7PM - 10PM")</f>
        <v>7PM - 10PM</v>
      </c>
      <c r="T22" s="7" t="str">
        <f>IFERROR(__xludf.DUMMYFUNCTION("""COMPUTED_VALUE"""),"Miércoles 15 Octubre")</f>
        <v>Miércoles 15 Octubre</v>
      </c>
      <c r="U22" s="7" t="str">
        <f>IFERROR(__xludf.DUMMYFUNCTION("""COMPUTED_VALUE"""),"Lunes 12 Enero")</f>
        <v>Lunes 12 Enero</v>
      </c>
      <c r="V22" s="8">
        <f>IFERROR(__xludf.DUMMYFUNCTION("""COMPUTED_VALUE"""),23.0)</f>
        <v>23</v>
      </c>
      <c r="W22" s="5" t="str">
        <f>IFERROR(__xludf.DUMMYFUNCTION("""COMPUTED_VALUE"""),"pdfs/BROCHURE ESPECIALIZACION DE EXCEL EXPERT.pdf")</f>
        <v>pdfs/BROCHURE ESPECIALIZACION DE EXCEL EXPERT.pdf</v>
      </c>
      <c r="X22" s="5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MOS*
🔹 "&amp;"05 Cursos Online de regalo con acceso ilimitado 📚
🔹 Desarrollo y seguimiento de tu proyecto *(Evaluado)*
🔹 Contenido Integrado con Chat GPT
🔹 Garantía de Aprendizaje 100%
🚨 *Por favor, revisa el BROCHURE* 👇🏻
Aqui encontrarás la información complet"&amp;"a del programa, el TEMARIO (malla curricular) y todos los BENEFICIOS 📚")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2" s="5" t="str">
        <f>IFERROR(__xludf.DUMMYFUNCTION("""COMPUTED_VALUE"""),"images/excelexp.jpg")</f>
        <v>images/excelexp.jpg</v>
      </c>
      <c r="Z22" s="5" t="str">
        <f>IFERROR(__xludf.DUMMYFUNCTION("""COMPUTED_VALUE"""),"Avalado por Microsoft Partner Network")</f>
        <v>Avalado por Microsoft Partner Network</v>
      </c>
      <c r="AA22" s="5" t="str">
        <f>IFERROR(__xludf.DUMMYFUNCTION("""COMPUTED_VALUE"""),"NO")</f>
        <v>NO</v>
      </c>
      <c r="AB22" s="6">
        <f>IFERROR(__xludf.DUMMYFUNCTION("""COMPUTED_VALUE"""),1600.0)</f>
        <v>1600</v>
      </c>
      <c r="AC22" s="6">
        <f>IFERROR(__xludf.DUMMYFUNCTION("""COMPUTED_VALUE"""),1520.0)</f>
        <v>1520</v>
      </c>
      <c r="AD22" s="6">
        <f>IFERROR(__xludf.DUMMYFUNCTION("""COMPUTED_VALUE"""),800.0)</f>
        <v>800</v>
      </c>
      <c r="AE22" s="6">
        <f>IFERROR(__xludf.DUMMYFUNCTION("""COMPUTED_VALUE"""),760.0)</f>
        <v>760</v>
      </c>
      <c r="AF22" s="6">
        <f>IFERROR(__xludf.DUMMYFUNCTION("""COMPUTED_VALUE"""),250.0)</f>
        <v>250</v>
      </c>
      <c r="AG22" s="5">
        <f>IFERROR(__xludf.DUMMYFUNCTION("""COMPUTED_VALUE"""),350.0)</f>
        <v>350</v>
      </c>
      <c r="AH22" s="5"/>
      <c r="AI22" s="5">
        <f>IFERROR(__xludf.DUMMYFUNCTION("""COMPUTED_VALUE"""),684.0)</f>
        <v>684</v>
      </c>
      <c r="AJ22" s="5">
        <f>IFERROR(__xludf.DUMMYFUNCTION("""COMPUTED_VALUE"""),720.0)</f>
        <v>720</v>
      </c>
      <c r="AK22" s="5" t="str">
        <f>IFERROR(__xludf.DUMMYFUNCTION("""COMPUTED_VALUE"""),"El lenguaje de los profesionales competitivos es Excel Experto 🔥
En pocas semanas dominarás funciones avanzadas y automatización aplicada a casos reales de negocio.
Ahora te comparto la información completa 👇🏻")</f>
        <v>El lenguaje de los profesionales competitivos es Excel Experto 🔥
En pocas semanas dominarás funciones avanzadas y automatización aplicada a casos reales de negocio.
Ahora te comparto la información completa 👇🏻</v>
      </c>
      <c r="AL22" s="5" t="str">
        <f>IFERROR(__xludf.DUMMYFUNCTION("""COMPUTED_VALUE"""),"Excelente 🙌, con Excel Experto actualizarás tus habilidades en funciones avanzadas y automatización ⚡, manteniéndote competitivo.")</f>
        <v>Excelente 🙌, con Excel Experto actualizarás tus habilidades en funciones avanzadas y automatización ⚡, manteniéndote competitivo.</v>
      </c>
      <c r="AM22" s="5" t="str">
        <f>IFERROR(__xludf.DUMMYFUNCTION("""COMPUTED_VALUE"""),"Buenísimo 💼, Excel es de las competencias más pedidas 📊. Dominarlo abrirá más oportunidades laborales 🚀.")</f>
        <v>Buenísimo 💼, Excel es de las competencias más pedidas 📊. Dominarlo abrirá más oportunidades laborales 🚀.</v>
      </c>
      <c r="AN22" s="5" t="str">
        <f>IFERROR(__xludf.DUMMYFUNCTION("""COMPUTED_VALUE"""),"¡Excelente! 🎓 Con Excel Experto sumarás una ventaja práctica desde la universidad y destacarás en tus proyectos 📘.")</f>
        <v>¡Excelente! 🎓 Con Excel Experto sumarás una ventaja práctica desde la universidad y destacarás en tus proyectos 📘.</v>
      </c>
      <c r="AO22" s="5" t="str">
        <f>IFERROR(__xludf.DUMMYFUNCTION("""COMPUTED_VALUE"""),"¡Perfecto! 🔑 Saber Excel Experto te dará ventaja frente a otros postulantes, clave para conseguir prácticas 📝.")</f>
        <v>¡Perfecto! 🔑 Saber Excel Experto te dará ventaja frente a otros postulantes, clave para conseguir prácticas 📝.</v>
      </c>
      <c r="AP22" s="5" t="str">
        <f>IFERROR(__xludf.DUMMYFUNCTION("""COMPUTED_VALUE"""),"¡Excelente! 💡 Con Excel Experto podrás manejar y analizar la información de tu negocio 📈 de forma más profesional.")</f>
        <v>¡Excelente! 💡 Con Excel Experto podrás manejar y analizar la información de tu negocio 📈 de forma más profesional.</v>
      </c>
      <c r="AQ22" s="9" t="str">
        <f>IFERROR(__xludf.DUMMYFUNCTION("""COMPUTED_VALUE"""),"https://we-educacion.com/slides/especializacion-en-microsoft-excel-expert-272")</f>
        <v>https://we-educacion.com/slides/especializacion-en-microsoft-excel-expert-272</v>
      </c>
      <c r="AR22" s="5">
        <v>1.0</v>
      </c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</row>
    <row r="23" ht="15.75" customHeight="1">
      <c r="A23" s="5" t="s">
        <v>65</v>
      </c>
      <c r="B23" s="5" t="str">
        <f t="shared" si="1"/>
        <v>OCT. I - ED25</v>
      </c>
      <c r="C23" s="6" t="str">
        <f>IFERROR(__xludf.DUMMYFUNCTION("""COMPUTED_VALUE"""),"EXCEL")</f>
        <v>EXCEL</v>
      </c>
      <c r="D23" s="5" t="str">
        <f>IFERROR(__xludf.DUMMYFUNCTION("""COMPUTED_VALUE"""),"ESP.")</f>
        <v>ESP.</v>
      </c>
      <c r="E23" s="6" t="str">
        <f>IFERROR(__xludf.DUMMYFUNCTION("""COMPUTED_VALUE"""),"ESPEC. EXCEL")</f>
        <v>ESPEC. EXCEL</v>
      </c>
      <c r="F23" s="7">
        <f>IFERROR(__xludf.DUMMYFUNCTION("""COMPUTED_VALUE"""),45945.0)</f>
        <v>45945</v>
      </c>
      <c r="G23" s="6" t="str">
        <f>IFERROR(__xludf.DUMMYFUNCTION("""COMPUTED_VALUE"""),"EXCEL BÁSICO")</f>
        <v>EXCEL BÁSICO</v>
      </c>
      <c r="H23" s="7">
        <f>IFERROR(__xludf.DUMMYFUNCTION("""COMPUTED_VALUE"""),45945.0)</f>
        <v>45945</v>
      </c>
      <c r="I23" s="6" t="str">
        <f>IFERROR(__xludf.DUMMYFUNCTION("""COMPUTED_VALUE"""),"EXCEL INTERM")</f>
        <v>EXCEL INTERM</v>
      </c>
      <c r="J23" s="7">
        <f>IFERROR(__xludf.DUMMYFUNCTION("""COMPUTED_VALUE"""),45966.0)</f>
        <v>45966</v>
      </c>
      <c r="K23" s="6" t="str">
        <f>IFERROR(__xludf.DUMMYFUNCTION("""COMPUTED_VALUE"""),"EXCEL AVANZADO")</f>
        <v>EXCEL AVANZADO</v>
      </c>
      <c r="L23" s="7">
        <f>IFERROR(__xludf.DUMMYFUNCTION("""COMPUTED_VALUE"""),45987.0)</f>
        <v>45987</v>
      </c>
      <c r="M23" s="6"/>
      <c r="N23" s="7"/>
      <c r="O23" s="6"/>
      <c r="P23" s="7"/>
      <c r="Q23" s="6" t="str">
        <f>IFERROR(__xludf.DUMMYFUNCTION("""COMPUTED_VALUE"""),"Jhon Lino
Jonathan Sanchez
Giancarlos Barboza")</f>
        <v>Jhon Lino
Jonathan Sanchez
Giancarlos Barboza</v>
      </c>
      <c r="R23" s="5" t="str">
        <f>IFERROR(__xludf.DUMMYFUNCTION("""COMPUTED_VALUE"""),"Lun-Mie")</f>
        <v>Lun-Mie</v>
      </c>
      <c r="S23" s="6" t="str">
        <f>IFERROR(__xludf.DUMMYFUNCTION("""COMPUTED_VALUE"""),"7PM - 10PM")</f>
        <v>7PM - 10PM</v>
      </c>
      <c r="T23" s="7" t="str">
        <f>IFERROR(__xludf.DUMMYFUNCTION("""COMPUTED_VALUE"""),"Miércoles 15 Octubre")</f>
        <v>Miércoles 15 Octubre</v>
      </c>
      <c r="U23" s="7" t="str">
        <f>IFERROR(__xludf.DUMMYFUNCTION("""COMPUTED_VALUE"""),"Lunes 15 Diciembre")</f>
        <v>Lunes 15 Diciembre</v>
      </c>
      <c r="V23" s="8">
        <f>IFERROR(__xludf.DUMMYFUNCTION("""COMPUTED_VALUE"""),17.0)</f>
        <v>17</v>
      </c>
      <c r="W23" s="5" t="str">
        <f>IFERROR(__xludf.DUMMYFUNCTION("""COMPUTED_VALUE"""),"pdfs/BROCHURE ESPECIALIZACION DE EXCEL.pdf")</f>
        <v>pdfs/BROCHURE ESPECIALIZACION DE EXCEL.pdf</v>
      </c>
      <c r="X23" s="5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*Por favor, revisa el BROCHURE* 👇🏻
Aqui encontrarás la información completa del programa, el TEMARIO (malla curricular) y todos los BE"&amp;"NEFICIOS 📚")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3" s="5" t="str">
        <f>IFERROR(__xludf.DUMMYFUNCTION("""COMPUTED_VALUE"""),"images/espexcel.jpg")</f>
        <v>images/espexcel.jpg</v>
      </c>
      <c r="Z23" s="5" t="str">
        <f>IFERROR(__xludf.DUMMYFUNCTION("""COMPUTED_VALUE"""),"Avalado por Microsoft Partner Network")</f>
        <v>Avalado por Microsoft Partner Network</v>
      </c>
      <c r="AA23" s="5" t="str">
        <f>IFERROR(__xludf.DUMMYFUNCTION("""COMPUTED_VALUE"""),"NO")</f>
        <v>NO</v>
      </c>
      <c r="AB23" s="6">
        <f>IFERROR(__xludf.DUMMYFUNCTION("""COMPUTED_VALUE"""),1200.0)</f>
        <v>1200</v>
      </c>
      <c r="AC23" s="6">
        <f>IFERROR(__xludf.DUMMYFUNCTION("""COMPUTED_VALUE"""),1140.0)</f>
        <v>1140</v>
      </c>
      <c r="AD23" s="6">
        <f>IFERROR(__xludf.DUMMYFUNCTION("""COMPUTED_VALUE"""),600.0)</f>
        <v>600</v>
      </c>
      <c r="AE23" s="6">
        <f>IFERROR(__xludf.DUMMYFUNCTION("""COMPUTED_VALUE"""),570.0)</f>
        <v>570</v>
      </c>
      <c r="AF23" s="6">
        <f>IFERROR(__xludf.DUMMYFUNCTION("""COMPUTED_VALUE"""),250.0)</f>
        <v>250</v>
      </c>
      <c r="AG23" s="5">
        <f>IFERROR(__xludf.DUMMYFUNCTION("""COMPUTED_VALUE"""),350.0)</f>
        <v>350</v>
      </c>
      <c r="AH23" s="5"/>
      <c r="AI23" s="5">
        <f>IFERROR(__xludf.DUMMYFUNCTION("""COMPUTED_VALUE"""),513.0)</f>
        <v>513</v>
      </c>
      <c r="AJ23" s="5">
        <f>IFERROR(__xludf.DUMMYFUNCTION("""COMPUTED_VALUE"""),540.0)</f>
        <v>540</v>
      </c>
      <c r="AK23" s="5" t="str">
        <f>IFERROR(__xludf.DUMMYFUNCTION("""COMPUTED_VALUE"""),"Hoy el dominio de datos se traduce en oportunidades 🚀
Con la Especialización en Excel aprenderás a manejar información con agilidad y a tomar decisiones estratégicas con base en datos 💼.
Aquí tienes la info a detalle 👇🏻")</f>
        <v>Hoy el dominio de datos se traduce en oportunidades 🚀
Con la Especialización en Excel aprenderás a manejar información con agilidad y a tomar decisiones estratégicas con base en datos 💼.
Aquí tienes la info a detalle 👇🏻</v>
      </c>
      <c r="AL23" s="5" t="str">
        <f>IFERROR(__xludf.DUMMYFUNCTION("""COMPUTED_VALUE"""),"Excelente 🙌, actualízate con la Especialización en Excel y mantén al día tus competencias más demandadas 🔥.")</f>
        <v>Excelente 🙌, actualízate con la Especialización en Excel y mantén al día tus competencias más demandadas 🔥.</v>
      </c>
      <c r="AM23" s="5" t="str">
        <f>IFERROR(__xludf.DUMMYFUNCTION("""COMPUTED_VALUE"""),"Buenísimo 💼, las empresas valoran muchísimo el dominio de Excel. Con esta especialización, aumentarás tus opciones de empleo 🚀")</f>
        <v>Buenísimo 💼, las empresas valoran muchísimo el dominio de Excel. Con esta especialización, aumentarás tus opciones de empleo 🚀</v>
      </c>
      <c r="AN23" s="5" t="str">
        <f>IFERROR(__xludf.DUMMYFUNCTION("""COMPUTED_VALUE"""),"¡Excelente! 🎓 Con Excel aprenderás a manejar datos y reportes 📊, diferenciándote en la universidad.")</f>
        <v>¡Excelente! 🎓 Con Excel aprenderás a manejar datos y reportes 📊, diferenciándote en la universidad.</v>
      </c>
      <c r="AO23" s="5" t="str">
        <f>IFERROR(__xludf.DUMMYFUNCTION("""COMPUTED_VALUE"""),"¡Perfecto! ✅ Saber Excel es un plus muy valorado para acceder a prácticas 👩🏻‍💻👨🏻‍💻.")</f>
        <v>¡Perfecto! ✅ Saber Excel es un plus muy valorado para acceder a prácticas 👩🏻‍💻👨🏻‍💻.</v>
      </c>
      <c r="AP23" s="5" t="str">
        <f>IFERROR(__xludf.DUMMYFUNCTION("""COMPUTED_VALUE"""),"¡Excelente! 💡 Con Excel gestionarás tu negocio con reportes claros 📑 y decisiones inteligentes.")</f>
        <v>¡Excelente! 💡 Con Excel gestionarás tu negocio con reportes claros 📑 y decisiones inteligentes.</v>
      </c>
      <c r="AQ23" s="9" t="str">
        <f>IFERROR(__xludf.DUMMYFUNCTION("""COMPUTED_VALUE"""),"https://we-educacion.com/slides/especializacion-en-microsoft-excel-77")</f>
        <v>https://we-educacion.com/slides/especializacion-en-microsoft-excel-77</v>
      </c>
      <c r="AR23" s="5">
        <v>1.0</v>
      </c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</row>
    <row r="24" ht="15.75" customHeight="1">
      <c r="A24" s="5" t="s">
        <v>66</v>
      </c>
      <c r="B24" s="5" t="str">
        <f t="shared" si="1"/>
        <v>OCT. I - ED25</v>
      </c>
      <c r="C24" s="6" t="str">
        <f>IFERROR(__xludf.DUMMYFUNCTION("""COMPUTED_VALUE"""),"EXCEL")</f>
        <v>EXCEL</v>
      </c>
      <c r="D24" s="6" t="str">
        <f>IFERROR(__xludf.DUMMYFUNCTION("""COMPUTED_VALUE"""),"CURSO")</f>
        <v>CURSO</v>
      </c>
      <c r="E24" s="6" t="str">
        <f>IFERROR(__xludf.DUMMYFUNCTION("""COMPUTED_VALUE"""),"EXCEL BÁSICO")</f>
        <v>EXCEL BÁSICO</v>
      </c>
      <c r="F24" s="7">
        <f>IFERROR(__xludf.DUMMYFUNCTION("""COMPUTED_VALUE"""),45945.0)</f>
        <v>45945</v>
      </c>
      <c r="G24" s="6"/>
      <c r="H24" s="7"/>
      <c r="I24" s="6"/>
      <c r="J24" s="7"/>
      <c r="K24" s="6"/>
      <c r="L24" s="7"/>
      <c r="M24" s="6"/>
      <c r="N24" s="7"/>
      <c r="O24" s="6"/>
      <c r="P24" s="7"/>
      <c r="Q24" s="6" t="str">
        <f>IFERROR(__xludf.DUMMYFUNCTION("""COMPUTED_VALUE"""),"Jhon Lino")</f>
        <v>Jhon Lino</v>
      </c>
      <c r="R24" s="5" t="str">
        <f>IFERROR(__xludf.DUMMYFUNCTION("""COMPUTED_VALUE"""),"Lun-Mie")</f>
        <v>Lun-Mie</v>
      </c>
      <c r="S24" s="6" t="str">
        <f>IFERROR(__xludf.DUMMYFUNCTION("""COMPUTED_VALUE"""),"7PM - 10PM")</f>
        <v>7PM - 10PM</v>
      </c>
      <c r="T24" s="7" t="str">
        <f>IFERROR(__xludf.DUMMYFUNCTION("""COMPUTED_VALUE"""),"Miércoles 15 Octubre")</f>
        <v>Miércoles 15 Octubre</v>
      </c>
      <c r="U24" s="7" t="str">
        <f>IFERROR(__xludf.DUMMYFUNCTION("""COMPUTED_VALUE"""),"Miércoles 29 Octubre")</f>
        <v>Miércoles 29 Octubre</v>
      </c>
      <c r="V24" s="8">
        <f>IFERROR(__xludf.DUMMYFUNCTION("""COMPUTED_VALUE"""),5.0)</f>
        <v>5</v>
      </c>
      <c r="W24" s="5" t="str">
        <f>IFERROR(__xludf.DUMMYFUNCTION("""COMPUTED_VALUE"""),"pdfs/BROCHURE EXCEL BÁSICO.pdf")</f>
        <v>pdfs/BROCHURE EXCEL BÁSICO.pdf</v>
      </c>
      <c r="X24" s="5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4" s="5" t="str">
        <f>IFERROR(__xludf.DUMMYFUNCTION("""COMPUTED_VALUE"""),"images/excelbasico.jpg")</f>
        <v>images/excelbasico.jpg</v>
      </c>
      <c r="Z24" s="5" t="str">
        <f>IFERROR(__xludf.DUMMYFUNCTION("""COMPUTED_VALUE"""),"Avalado por Microsoft Partner Network")</f>
        <v>Avalado por Microsoft Partner Network</v>
      </c>
      <c r="AA24" s="5" t="str">
        <f>IFERROR(__xludf.DUMMYFUNCTION("""COMPUTED_VALUE"""),"NO")</f>
        <v>NO</v>
      </c>
      <c r="AB24" s="6">
        <f>IFERROR(__xludf.DUMMYFUNCTION("""COMPUTED_VALUE"""),400.0)</f>
        <v>400</v>
      </c>
      <c r="AC24" s="6">
        <f>IFERROR(__xludf.DUMMYFUNCTION("""COMPUTED_VALUE"""),380.0)</f>
        <v>380</v>
      </c>
      <c r="AD24" s="6">
        <f>IFERROR(__xludf.DUMMYFUNCTION("""COMPUTED_VALUE"""),200.0)</f>
        <v>200</v>
      </c>
      <c r="AE24" s="6">
        <f>IFERROR(__xludf.DUMMYFUNCTION("""COMPUTED_VALUE"""),190.0)</f>
        <v>190</v>
      </c>
      <c r="AF24" s="6">
        <f>IFERROR(__xludf.DUMMYFUNCTION("""COMPUTED_VALUE"""),150.0)</f>
        <v>150</v>
      </c>
      <c r="AG24" s="5">
        <f>IFERROR(__xludf.DUMMYFUNCTION("""COMPUTED_VALUE"""),150.0)</f>
        <v>150</v>
      </c>
      <c r="AH24" s="5"/>
      <c r="AI24" s="5">
        <f>IFERROR(__xludf.DUMMYFUNCTION("""COMPUTED_VALUE"""),171.0)</f>
        <v>171</v>
      </c>
      <c r="AJ24" s="5">
        <f>IFERROR(__xludf.DUMMYFUNCTION("""COMPUTED_VALUE"""),180.0)</f>
        <v>180</v>
      </c>
      <c r="AK24" s="5" t="str">
        <f>IFERROR(__xludf.DUMMYFUNCTION("""COMPUTED_VALUE"""),"Todo gran profesional empieza dominando Excel Básico 📝
En pocas semanas aprenderás a manejar hojas de cálculo y análisis de datos de forma práctica 💼.
Aquí la información completa 👇🏻")</f>
        <v>Todo gran profesional empieza dominando Excel Básico 📝
En pocas semanas aprenderás a manejar hojas de cálculo y análisis de datos de forma práctica 💼.
Aquí la información completa 👇🏻</v>
      </c>
      <c r="AL24" s="5" t="str">
        <f>IFERROR(__xludf.DUMMYFUNCTION("""COMPUTED_VALUE"""),"🔑 *Excelente*, actualízate con *EXCEL BÁSICO* y mantente competitivo en el mercado laboral.")</f>
        <v>🔑 *Excelente*, actualízate con *EXCEL BÁSICO* y mantente competitivo en el mercado laboral.</v>
      </c>
      <c r="AM24" s="5" t="str">
        <f>IFERROR(__xludf.DUMMYFUNCTION("""COMPUTED_VALUE"""),"💼 Buenísimo, *EXCEL BÁSICO* es de las competencias más pedidas por las empresas y aumentará tus oportunidades laborales.")</f>
        <v>💼 Buenísimo, *EXCEL BÁSICO* es de las competencias más pedidas por las empresas y aumentará tus oportunidades laborales.</v>
      </c>
      <c r="AN24" s="5" t="str">
        <f>IFERROR(__xludf.DUMMYFUNCTION("""COMPUTED_VALUE"""),"⚡ ¡Genial! Con *EXCEL BÁSICO* sumarás una habilidad poderosa que te diferenciará desde la universidad.")</f>
        <v>⚡ ¡Genial! Con *EXCEL BÁSICO* sumarás una habilidad poderosa que te diferenciará desde la universidad.</v>
      </c>
      <c r="AO24" s="5" t="str">
        <f>IFERROR(__xludf.DUMMYFUNCTION("""COMPUTED_VALUE"""),"🎓 ¡Perfecto! Saber *EXCEL BÁSICO* te dará ventaja frente a otros postulantes para conseguir prácticas.")</f>
        <v>🎓 ¡Perfecto! Saber *EXCEL BÁSICO* te dará ventaja frente a otros postulantes para conseguir prácticas.</v>
      </c>
      <c r="AP24" s="5" t="str">
        <f>IFERROR(__xludf.DUMMYFUNCTION("""COMPUTED_VALUE"""),"🏆 ¡Excelente! Con *EXCEL BÁSICO* podrás aplicarlo en tu negocio y tomar decisiones más inteligentes.")</f>
        <v>🏆 ¡Excelente! Con *EXCEL BÁSICO* podrás aplicarlo en tu negocio y tomar decisiones más inteligentes.</v>
      </c>
      <c r="AQ24" s="9" t="str">
        <f>IFERROR(__xludf.DUMMYFUNCTION("""COMPUTED_VALUE"""),"https://we-educacion.com/slides/microsoft-excel-basico-221")</f>
        <v>https://we-educacion.com/slides/microsoft-excel-basico-221</v>
      </c>
      <c r="AR24" s="5">
        <v>1.0</v>
      </c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</row>
    <row r="25" ht="15.75" customHeight="1">
      <c r="A25" s="5" t="s">
        <v>67</v>
      </c>
      <c r="B25" s="5" t="str">
        <f t="shared" si="1"/>
        <v>OCT. I - ED25</v>
      </c>
      <c r="C25" s="6" t="str">
        <f>IFERROR(__xludf.DUMMYFUNCTION("""COMPUTED_VALUE"""),"EXCEL")</f>
        <v>EXCEL</v>
      </c>
      <c r="D25" s="6" t="str">
        <f>IFERROR(__xludf.DUMMYFUNCTION("""COMPUTED_VALUE"""),"CURSO")</f>
        <v>CURSO</v>
      </c>
      <c r="E25" s="6" t="str">
        <f>IFERROR(__xludf.DUMMYFUNCTION("""COMPUTED_VALUE"""),"PROG. MACROS")</f>
        <v>PROG. MACROS</v>
      </c>
      <c r="F25" s="7">
        <f>IFERROR(__xludf.DUMMYFUNCTION("""COMPUTED_VALUE"""),45946.0)</f>
        <v>45946</v>
      </c>
      <c r="G25" s="6"/>
      <c r="H25" s="7"/>
      <c r="I25" s="6"/>
      <c r="J25" s="7"/>
      <c r="K25" s="6"/>
      <c r="L25" s="7"/>
      <c r="M25" s="6"/>
      <c r="N25" s="7"/>
      <c r="O25" s="6"/>
      <c r="P25" s="7"/>
      <c r="Q25" s="6" t="str">
        <f>IFERROR(__xludf.DUMMYFUNCTION("""COMPUTED_VALUE"""),"Julio Ccari")</f>
        <v>Julio Ccari</v>
      </c>
      <c r="R25" s="5" t="str">
        <f>IFERROR(__xludf.DUMMYFUNCTION("""COMPUTED_VALUE"""),"Mar-Jue")</f>
        <v>Mar-Jue</v>
      </c>
      <c r="S25" s="6" t="str">
        <f>IFERROR(__xludf.DUMMYFUNCTION("""COMPUTED_VALUE"""),"7PM - 10PM")</f>
        <v>7PM - 10PM</v>
      </c>
      <c r="T25" s="7" t="str">
        <f>IFERROR(__xludf.DUMMYFUNCTION("""COMPUTED_VALUE"""),"Jueves 16 Octubre")</f>
        <v>Jueves 16 Octubre</v>
      </c>
      <c r="U25" s="7" t="str">
        <f>IFERROR(__xludf.DUMMYFUNCTION("""COMPUTED_VALUE"""),"Martes 4 Noviembre")</f>
        <v>Martes 4 Noviembre</v>
      </c>
      <c r="V25" s="8">
        <f>IFERROR(__xludf.DUMMYFUNCTION("""COMPUTED_VALUE"""),6.0)</f>
        <v>6</v>
      </c>
      <c r="W25" s="5" t="str">
        <f>IFERROR(__xludf.DUMMYFUNCTION("""COMPUTED_VALUE"""),"pdfs/BROCHURE PROGRAMACION CON VBA MACROS.pdf")</f>
        <v>pdfs/BROCHURE PROGRAMACION CON VBA MACROS.pdf</v>
      </c>
      <c r="X25" s="5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5" s="5" t="str">
        <f>IFERROR(__xludf.DUMMYFUNCTION("""COMPUTED_VALUE"""),"images/macros.jpg")</f>
        <v>images/macros.jpg</v>
      </c>
      <c r="Z25" s="5" t="str">
        <f>IFERROR(__xludf.DUMMYFUNCTION("""COMPUTED_VALUE"""),"Avalado por Microsoft Partner Network")</f>
        <v>Avalado por Microsoft Partner Network</v>
      </c>
      <c r="AA25" s="5" t="str">
        <f>IFERROR(__xludf.DUMMYFUNCTION("""COMPUTED_VALUE"""),"NO")</f>
        <v>NO</v>
      </c>
      <c r="AB25" s="6">
        <f>IFERROR(__xludf.DUMMYFUNCTION("""COMPUTED_VALUE"""),470.0)</f>
        <v>470</v>
      </c>
      <c r="AC25" s="6">
        <f>IFERROR(__xludf.DUMMYFUNCTION("""COMPUTED_VALUE"""),440.0)</f>
        <v>440</v>
      </c>
      <c r="AD25" s="6">
        <f>IFERROR(__xludf.DUMMYFUNCTION("""COMPUTED_VALUE"""),235.0)</f>
        <v>235</v>
      </c>
      <c r="AE25" s="6">
        <f>IFERROR(__xludf.DUMMYFUNCTION("""COMPUTED_VALUE"""),220.0)</f>
        <v>220</v>
      </c>
      <c r="AF25" s="6">
        <f>IFERROR(__xludf.DUMMYFUNCTION("""COMPUTED_VALUE"""),150.0)</f>
        <v>150</v>
      </c>
      <c r="AG25" s="5">
        <f>IFERROR(__xludf.DUMMYFUNCTION("""COMPUTED_VALUE"""),150.0)</f>
        <v>150</v>
      </c>
      <c r="AH25" s="5"/>
      <c r="AI25" s="5">
        <f>IFERROR(__xludf.DUMMYFUNCTION("""COMPUTED_VALUE"""),198.0)</f>
        <v>198</v>
      </c>
      <c r="AJ25" s="5">
        <f>IFERROR(__xludf.DUMMYFUNCTION("""COMPUTED_VALUE"""),211.5)</f>
        <v>211.5</v>
      </c>
      <c r="AK25" s="5" t="str">
        <f>IFERROR(__xludf.DUMMYFUNCTION("""COMPUTED_VALUE"""),"El poder está en la automatización 📊
Con Programación en Macros aprenderás a optimizar procesos en Excel y ahorrar tiempo valioso ⏱️.
Aquí tienes la info 👇🏻")</f>
        <v>El poder está en la automatización 📊
Con Programación en Macros aprenderás a optimizar procesos en Excel y ahorrar tiempo valioso ⏱️.
Aquí tienes la info 👇🏻</v>
      </c>
      <c r="AL25" s="5" t="str">
        <f>IFERROR(__xludf.DUMMYFUNCTION("""COMPUTED_VALUE"""),"⚡ Excelente, actualízate con Macros en Excel y mejora tu productividad en el trabajo.")</f>
        <v>⚡ Excelente, actualízate con Macros en Excel y mejora tu productividad en el trabajo.</v>
      </c>
      <c r="AM25" s="5" t="str">
        <f>IFERROR(__xludf.DUMMYFUNCTION("""COMPUTED_VALUE"""),"💼 Buenísimo, dominar Macros es muy valorado en empresas para automatizar reportes.")</f>
        <v>💼 Buenísimo, dominar Macros es muy valorado en empresas para automatizar reportes.</v>
      </c>
      <c r="AN25" s="5" t="str">
        <f>IFERROR(__xludf.DUMMYFUNCTION("""COMPUTED_VALUE"""),"🎓 ¡Genial! Aprender Macros desde la universidad te hará más eficiente en proyectos académicos.")</f>
        <v>🎓 ¡Genial! Aprender Macros desde la universidad te hará más eficiente en proyectos académicos.</v>
      </c>
      <c r="AO25" s="5" t="str">
        <f>IFERROR(__xludf.DUMMYFUNCTION("""COMPUTED_VALUE"""),"🚀 ¡Perfecto! Con Macros podrás sobresalir en prácticas de áreas administrativas y financieras.")</f>
        <v>🚀 ¡Perfecto! Con Macros podrás sobresalir en prácticas de áreas administrativas y financieras.</v>
      </c>
      <c r="AP25" s="5" t="str">
        <f>IFERROR(__xludf.DUMMYFUNCTION("""COMPUTED_VALUE"""),"📊 ¡Excelente! Las Macros te permitirán ahorrar tiempo y optimizar tus procesos de negocio.")</f>
        <v>📊 ¡Excelente! Las Macros te permitirán ahorrar tiempo y optimizar tus procesos de negocio.</v>
      </c>
      <c r="AQ25" s="9" t="str">
        <f>IFERROR(__xludf.DUMMYFUNCTION("""COMPUTED_VALUE"""),"https://we-educacion.com/slides/programacion-con-vba-macros-en-excel-159")</f>
        <v>https://we-educacion.com/slides/programacion-con-vba-macros-en-excel-159</v>
      </c>
      <c r="AR25" s="5">
        <v>1.0</v>
      </c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</row>
    <row r="26" ht="15.75" customHeight="1">
      <c r="A26" s="5" t="s">
        <v>68</v>
      </c>
      <c r="B26" s="5" t="str">
        <f t="shared" si="1"/>
        <v>OCT. I - ED25</v>
      </c>
      <c r="C26" s="6" t="str">
        <f>IFERROR(__xludf.DUMMYFUNCTION("""COMPUTED_VALUE"""),"PROCESOS")</f>
        <v>PROCESOS</v>
      </c>
      <c r="D26" s="5" t="str">
        <f>IFERROR(__xludf.DUMMYFUNCTION("""COMPUTED_VALUE"""),"CURSO")</f>
        <v>CURSO</v>
      </c>
      <c r="E26" s="6" t="str">
        <f>IFERROR(__xludf.DUMMYFUNCTION("""COMPUTED_VALUE"""),"ROBOTIZ.  UIPATH")</f>
        <v>ROBOTIZ.  UIPATH</v>
      </c>
      <c r="F26" s="7">
        <f>IFERROR(__xludf.DUMMYFUNCTION("""COMPUTED_VALUE"""),45946.0)</f>
        <v>45946</v>
      </c>
      <c r="G26" s="6"/>
      <c r="H26" s="7"/>
      <c r="I26" s="6"/>
      <c r="J26" s="7"/>
      <c r="K26" s="6"/>
      <c r="L26" s="7"/>
      <c r="M26" s="6"/>
      <c r="N26" s="7"/>
      <c r="O26" s="6"/>
      <c r="P26" s="7"/>
      <c r="Q26" s="6" t="str">
        <f>IFERROR(__xludf.DUMMYFUNCTION("""COMPUTED_VALUE"""),"Christian Rojas")</f>
        <v>Christian Rojas</v>
      </c>
      <c r="R26" s="5" t="str">
        <f>IFERROR(__xludf.DUMMYFUNCTION("""COMPUTED_VALUE"""),"Mar-Jue")</f>
        <v>Mar-Jue</v>
      </c>
      <c r="S26" s="6" t="str">
        <f>IFERROR(__xludf.DUMMYFUNCTION("""COMPUTED_VALUE"""),"7PM - 10PM")</f>
        <v>7PM - 10PM</v>
      </c>
      <c r="T26" s="7" t="str">
        <f>IFERROR(__xludf.DUMMYFUNCTION("""COMPUTED_VALUE"""),"Jueves 16 Octubre")</f>
        <v>Jueves 16 Octubre</v>
      </c>
      <c r="U26" s="7" t="str">
        <f>IFERROR(__xludf.DUMMYFUNCTION("""COMPUTED_VALUE"""),"Martes 4 Noviembre")</f>
        <v>Martes 4 Noviembre</v>
      </c>
      <c r="V26" s="8">
        <f>IFERROR(__xludf.DUMMYFUNCTION("""COMPUTED_VALUE"""),6.0)</f>
        <v>6</v>
      </c>
      <c r="W26" s="5" t="str">
        <f>IFERROR(__xludf.DUMMYFUNCTION("""COMPUTED_VALUE"""),"pdfs/BROCHURE ROBOTIZACIÓN DE PROCESOS CON UIPATH.pdf")</f>
        <v>pdfs/BROCHURE ROBOTIZACIÓN DE PROCESOS CON UIPATH.pdf</v>
      </c>
      <c r="X26" s="5" t="str">
        <f>IFERROR(__xludf.DUMMYFUNCTION("""COMPUTED_VALUE"""),"🔵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6" s="5" t="str">
        <f>IFERROR(__xludf.DUMMYFUNCTION("""COMPUTED_VALUE"""),"images/uipath.jpg")</f>
        <v>images/uipath.jpg</v>
      </c>
      <c r="Z26" s="5"/>
      <c r="AA26" s="5" t="str">
        <f>IFERROR(__xludf.DUMMYFUNCTION("""COMPUTED_VALUE"""),"NO")</f>
        <v>NO</v>
      </c>
      <c r="AB26" s="6">
        <f>IFERROR(__xludf.DUMMYFUNCTION("""COMPUTED_VALUE"""),780.0)</f>
        <v>780</v>
      </c>
      <c r="AC26" s="6">
        <f>IFERROR(__xludf.DUMMYFUNCTION("""COMPUTED_VALUE"""),690.0)</f>
        <v>690</v>
      </c>
      <c r="AD26" s="6">
        <f>IFERROR(__xludf.DUMMYFUNCTION("""COMPUTED_VALUE"""),390.0)</f>
        <v>390</v>
      </c>
      <c r="AE26" s="6">
        <f>IFERROR(__xludf.DUMMYFUNCTION("""COMPUTED_VALUE"""),345.0)</f>
        <v>345</v>
      </c>
      <c r="AF26" s="6">
        <f>IFERROR(__xludf.DUMMYFUNCTION("""COMPUTED_VALUE"""),150.0)</f>
        <v>150</v>
      </c>
      <c r="AG26" s="5">
        <f>IFERROR(__xludf.DUMMYFUNCTION("""COMPUTED_VALUE"""),150.0)</f>
        <v>150</v>
      </c>
      <c r="AH26" s="5"/>
      <c r="AI26" s="5">
        <f>IFERROR(__xludf.DUMMYFUNCTION("""COMPUTED_VALUE"""),310.5)</f>
        <v>310.5</v>
      </c>
      <c r="AJ26" s="5">
        <f>IFERROR(__xludf.DUMMYFUNCTION("""COMPUTED_VALUE"""),351.0)</f>
        <v>351</v>
      </c>
      <c r="AK26" s="5" t="str">
        <f>IFERROR(__xludf.DUMMYFUNCTION("""COMPUTED_VALUE"""),"La eficiencia empresarial avanza con automatización robótica ⚙️
Con UiPath aprenderás a robotizar procesos repetitivos y ahorrar recursos 💼.
Aquí tienes la info 👇🏻")</f>
        <v>La eficiencia empresarial avanza con automatización robótica ⚙️
Con UiPath aprenderás a robotizar procesos repetitivos y ahorrar recursos 💼.
Aquí tienes la info 👇🏻</v>
      </c>
      <c r="AL26" s="5" t="str">
        <f>IFERROR(__xludf.DUMMYFUNCTION("""COMPUTED_VALUE"""),"🤖 Excelente, actualízate con UiPath y domina la automatización robótica de procesos.")</f>
        <v>🤖 Excelente, actualízate con UiPath y domina la automatización robótica de procesos.</v>
      </c>
      <c r="AM26" s="5" t="str">
        <f>IFERROR(__xludf.DUMMYFUNCTION("""COMPUTED_VALUE"""),"💼 Buenísimo, RPA con UiPath es muy demandado en empresas que digitalizan operaciones.")</f>
        <v>💼 Buenísimo, RPA con UiPath es muy demandado en empresas que digitalizan operaciones.</v>
      </c>
      <c r="AN26" s="5" t="str">
        <f>IFERROR(__xludf.DUMMYFUNCTION("""COMPUTED_VALUE"""),"🎓 ¡Genial! Aprender UiPath en la universidad te pondrá al nivel de la industria.")</f>
        <v>🎓 ¡Genial! Aprender UiPath en la universidad te pondrá al nivel de la industria.</v>
      </c>
      <c r="AO26" s="5" t="str">
        <f>IFERROR(__xludf.DUMMYFUNCTION("""COMPUTED_VALUE"""),"🚀 ¡Perfecto! Con UiPath destacarás en prácticas relacionadas con innovación tecnológica.")</f>
        <v>🚀 ¡Perfecto! Con UiPath destacarás en prácticas relacionadas con innovación tecnológica.</v>
      </c>
      <c r="AP26" s="5" t="str">
        <f>IFERROR(__xludf.DUMMYFUNCTION("""COMPUTED_VALUE"""),"📊 ¡Excelente! Con UiPath podrás automatizar procesos y ahorrar tiempo en tu negocio.")</f>
        <v>📊 ¡Excelente! Con UiPath podrás automatizar procesos y ahorrar tiempo en tu negocio.</v>
      </c>
      <c r="AQ26" s="9" t="str">
        <f>IFERROR(__xludf.DUMMYFUNCTION("""COMPUTED_VALUE"""),"https://we-educacion.com/slides/robotizacion-de-procesos-con-uipath-274")</f>
        <v>https://we-educacion.com/slides/robotizacion-de-procesos-con-uipath-274</v>
      </c>
      <c r="AR26" s="5">
        <v>1.0</v>
      </c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</row>
    <row r="27" ht="15.75" customHeight="1">
      <c r="A27" s="5" t="s">
        <v>69</v>
      </c>
      <c r="B27" s="5" t="str">
        <f t="shared" si="1"/>
        <v>OCT. I - ED25</v>
      </c>
      <c r="C27" s="6" t="str">
        <f>IFERROR(__xludf.DUMMYFUNCTION("""COMPUTED_VALUE"""),"SAP")</f>
        <v>SAP</v>
      </c>
      <c r="D27" s="5" t="str">
        <f>IFERROR(__xludf.DUMMYFUNCTION("""COMPUTED_VALUE"""),"CURSO")</f>
        <v>CURSO</v>
      </c>
      <c r="E27" s="6" t="str">
        <f>IFERROR(__xludf.DUMMYFUNCTION("""COMPUTED_VALUE"""),"SAP HANA IN")</f>
        <v>SAP HANA IN</v>
      </c>
      <c r="F27" s="7">
        <f>IFERROR(__xludf.DUMMYFUNCTION("""COMPUTED_VALUE"""),45948.0)</f>
        <v>45948</v>
      </c>
      <c r="G27" s="6"/>
      <c r="H27" s="7"/>
      <c r="I27" s="6"/>
      <c r="J27" s="7"/>
      <c r="K27" s="6"/>
      <c r="L27" s="7"/>
      <c r="M27" s="6"/>
      <c r="N27" s="7"/>
      <c r="O27" s="6"/>
      <c r="P27" s="7"/>
      <c r="Q27" s="6" t="str">
        <f>IFERROR(__xludf.DUMMYFUNCTION("""COMPUTED_VALUE"""),"Carlos Espinoza")</f>
        <v>Carlos Espinoza</v>
      </c>
      <c r="R27" s="5" t="str">
        <f>IFERROR(__xludf.DUMMYFUNCTION("""COMPUTED_VALUE"""),"Sáb")</f>
        <v>Sáb</v>
      </c>
      <c r="S27" s="6" t="str">
        <f>IFERROR(__xludf.DUMMYFUNCTION("""COMPUTED_VALUE"""),"3PM - 6PM")</f>
        <v>3PM - 6PM</v>
      </c>
      <c r="T27" s="7" t="str">
        <f>IFERROR(__xludf.DUMMYFUNCTION("""COMPUTED_VALUE"""),"Sábado 18 Octubre")</f>
        <v>Sábado 18 Octubre</v>
      </c>
      <c r="U27" s="7" t="str">
        <f>IFERROR(__xludf.DUMMYFUNCTION("""COMPUTED_VALUE"""),"Sábado 29 Noviembre")</f>
        <v>Sábado 29 Noviembre</v>
      </c>
      <c r="V27" s="8">
        <f>IFERROR(__xludf.DUMMYFUNCTION("""COMPUTED_VALUE"""),6.0)</f>
        <v>6</v>
      </c>
      <c r="W27" s="5" t="str">
        <f>IFERROR(__xludf.DUMMYFUNCTION("""COMPUTED_VALUE"""),"pdfs/BROCHURE SAP S4 HANA IN.pdf")</f>
        <v>pdfs/BROCHURE SAP S4 HANA IN.pdf</v>
      </c>
      <c r="X27" s="5" t="str">
        <f>IFERROR(__xludf.DUMMYFUNCTION("""COMPUTED_VALUE"""),"🔵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revisa"&amp;"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27" s="5" t="str">
        <f>IFERROR(__xludf.DUMMYFUNCTION("""COMPUTED_VALUE"""),"images/sapin.jpg")</f>
        <v>images/sapin.jpg</v>
      </c>
      <c r="Z27" s="5" t="str">
        <f>IFERROR(__xludf.DUMMYFUNCTION("""COMPUTED_VALUE"""),"Avalado por SAP Partner Open")</f>
        <v>Avalado por SAP Partner Open</v>
      </c>
      <c r="AA27" s="5" t="str">
        <f>IFERROR(__xludf.DUMMYFUNCTION("""COMPUTED_VALUE"""),"NO")</f>
        <v>NO</v>
      </c>
      <c r="AB27" s="6">
        <f>IFERROR(__xludf.DUMMYFUNCTION("""COMPUTED_VALUE"""),950.0)</f>
        <v>950</v>
      </c>
      <c r="AC27" s="6">
        <f>IFERROR(__xludf.DUMMYFUNCTION("""COMPUTED_VALUE"""),820.0)</f>
        <v>820</v>
      </c>
      <c r="AD27" s="6">
        <f>IFERROR(__xludf.DUMMYFUNCTION("""COMPUTED_VALUE"""),475.0)</f>
        <v>475</v>
      </c>
      <c r="AE27" s="6">
        <f>IFERROR(__xludf.DUMMYFUNCTION("""COMPUTED_VALUE"""),410.0)</f>
        <v>410</v>
      </c>
      <c r="AF27" s="6">
        <f>IFERROR(__xludf.DUMMYFUNCTION("""COMPUTED_VALUE"""),150.0)</f>
        <v>150</v>
      </c>
      <c r="AG27" s="5">
        <f>IFERROR(__xludf.DUMMYFUNCTION("""COMPUTED_VALUE"""),150.0)</f>
        <v>150</v>
      </c>
      <c r="AH27" s="5"/>
      <c r="AI27" s="5">
        <f>IFERROR(__xludf.DUMMYFUNCTION("""COMPUTED_VALUE"""),369.0)</f>
        <v>369</v>
      </c>
      <c r="AJ27" s="5">
        <f>IFERROR(__xludf.DUMMYFUNCTION("""COMPUTED_VALUE"""),427.5)</f>
        <v>427.5</v>
      </c>
      <c r="AK27" s="5" t="str">
        <f>IFERROR(__xludf.DUMMYFUNCTION("""COMPUTED_VALUE"""),"La producción eficiente habla con SAP HANA IN ⚙️
Con este programa aprenderás a planificar, controlar y ejecutar procesos de manufactura en SAP 💼.
Aquí te comparto la info 👇🏻")</f>
        <v>La producción eficiente habla con SAP HANA IN ⚙️
Con este programa aprenderás a planificar, controlar y ejecutar procesos de manufactura en SAP 💼.
Aquí te comparto la info 👇🏻</v>
      </c>
      <c r="AL27" s="5" t="str">
        <f>IFERROR(__xludf.DUMMYFUNCTION("""COMPUTED_VALUE"""),"🏭 Excelente, actualízate con SAP IN y domina la gestión de inventarios.")</f>
        <v>🏭 Excelente, actualízate con SAP IN y domina la gestión de inventarios.</v>
      </c>
      <c r="AM27" s="5" t="str">
        <f>IFERROR(__xludf.DUMMYFUNCTION("""COMPUTED_VALUE"""),"💼 Buenísimo, SAP IN es muy requerido en empresas de manufactura y logística.")</f>
        <v>💼 Buenísimo, SAP IN es muy requerido en empresas de manufactura y logística.</v>
      </c>
      <c r="AN27" s="5" t="str">
        <f>IFERROR(__xludf.DUMMYFUNCTION("""COMPUTED_VALUE"""),"🎓 ¡Genial! Con SAP IN aprenderás gestión de inventarios desde la universidad.")</f>
        <v>🎓 ¡Genial! Con SAP IN aprenderás gestión de inventarios desde la universidad.</v>
      </c>
      <c r="AO27" s="5" t="str">
        <f>IFERROR(__xludf.DUMMYFUNCTION("""COMPUTED_VALUE"""),"🚀 ¡Perfecto! Con SAP IN tendrás ventaja en prácticas de gestión de operaciones.")</f>
        <v>🚀 ¡Perfecto! Con SAP IN tendrás ventaja en prácticas de gestión de operaciones.</v>
      </c>
      <c r="AP27" s="5" t="str">
        <f>IFERROR(__xludf.DUMMYFUNCTION("""COMPUTED_VALUE"""),"📊 ¡Excelente! Con SAP IN podrás controlar y optimizar inventarios en tu negocio.")</f>
        <v>📊 ¡Excelente! Con SAP IN podrás controlar y optimizar inventarios en tu negocio.</v>
      </c>
      <c r="AQ27" s="9" t="str">
        <f>IFERROR(__xludf.DUMMYFUNCTION("""COMPUTED_VALUE"""),"https://we-educacion.com/slides/sap-s-4-hana-in-mm-fi-pp-sd-51")</f>
        <v>https://we-educacion.com/slides/sap-s-4-hana-in-mm-fi-pp-sd-51</v>
      </c>
      <c r="AR27" s="5">
        <v>1.0</v>
      </c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</row>
    <row r="28" ht="15.75" customHeight="1">
      <c r="A28" s="5" t="s">
        <v>70</v>
      </c>
      <c r="B28" s="5" t="str">
        <f t="shared" si="1"/>
        <v>OCT. I - ED25</v>
      </c>
      <c r="C28" s="6" t="str">
        <f>IFERROR(__xludf.DUMMYFUNCTION("""COMPUTED_VALUE"""),"BI")</f>
        <v>BI</v>
      </c>
      <c r="D28" s="6" t="str">
        <f>IFERROR(__xludf.DUMMYFUNCTION("""COMPUTED_VALUE"""),"CURSO")</f>
        <v>CURSO</v>
      </c>
      <c r="E28" s="6" t="str">
        <f>IFERROR(__xludf.DUMMYFUNCTION("""COMPUTED_VALUE"""),"POWER BI AVANZ")</f>
        <v>POWER BI AVANZ</v>
      </c>
      <c r="F28" s="7">
        <f>IFERROR(__xludf.DUMMYFUNCTION("""COMPUTED_VALUE"""),45948.0)</f>
        <v>45948</v>
      </c>
      <c r="G28" s="6"/>
      <c r="H28" s="7"/>
      <c r="I28" s="6"/>
      <c r="J28" s="7"/>
      <c r="K28" s="6"/>
      <c r="L28" s="7"/>
      <c r="M28" s="6"/>
      <c r="N28" s="7"/>
      <c r="O28" s="6"/>
      <c r="P28" s="7"/>
      <c r="Q28" s="6" t="str">
        <f>IFERROR(__xludf.DUMMYFUNCTION("""COMPUTED_VALUE"""),"Diego Castillo")</f>
        <v>Diego Castillo</v>
      </c>
      <c r="R28" s="5" t="str">
        <f>IFERROR(__xludf.DUMMYFUNCTION("""COMPUTED_VALUE"""),"Sáb")</f>
        <v>Sáb</v>
      </c>
      <c r="S28" s="6" t="str">
        <f>IFERROR(__xludf.DUMMYFUNCTION("""COMPUTED_VALUE"""),"3PM - 6PM")</f>
        <v>3PM - 6PM</v>
      </c>
      <c r="T28" s="7" t="str">
        <f>IFERROR(__xludf.DUMMYFUNCTION("""COMPUTED_VALUE"""),"Sábado 18 Octubre")</f>
        <v>Sábado 18 Octubre</v>
      </c>
      <c r="U28" s="7" t="str">
        <f>IFERROR(__xludf.DUMMYFUNCTION("""COMPUTED_VALUE"""),"Sábado 29 Noviembre")</f>
        <v>Sábado 29 Noviembre</v>
      </c>
      <c r="V28" s="8">
        <f>IFERROR(__xludf.DUMMYFUNCTION("""COMPUTED_VALUE"""),6.0)</f>
        <v>6</v>
      </c>
      <c r="W28" s="5" t="str">
        <f>IFERROR(__xludf.DUMMYFUNCTION("""COMPUTED_VALUE"""),"pdfs/BROCHURE POWER BI AVANZADO.pdf")</f>
        <v>pdfs/BROCHURE POWER BI AVANZADO.pdf</v>
      </c>
      <c r="X28" s="5" t="str">
        <f>IFERROR(__xludf.DUMMYFUNCTION("""COMPUTED_VALUE"""),"🔵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BROCHU"&amp;"RE* 👇🏻
Aqui encontrarás la información completa del programa, el TEMARIO (malla curricular) y todos los BENEFICIOS 📚")</f>
        <v>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BROCHURE* 👇🏻
Aqui encontrarás la información completa del programa, el TEMARIO (malla curricular) y todos los BENEFICIOS 📚</v>
      </c>
      <c r="Y28" s="5" t="str">
        <f>IFERROR(__xludf.DUMMYFUNCTION("""COMPUTED_VALUE"""),"images/powerbiavanz.jpg")</f>
        <v>images/powerbiavanz.jpg</v>
      </c>
      <c r="Z28" s="5" t="str">
        <f>IFERROR(__xludf.DUMMYFUNCTION("""COMPUTED_VALUE"""),"Avalado por Microsoft Partner Network")</f>
        <v>Avalado por Microsoft Partner Network</v>
      </c>
      <c r="AA28" s="5" t="str">
        <f>IFERROR(__xludf.DUMMYFUNCTION("""COMPUTED_VALUE"""),"NO")</f>
        <v>NO</v>
      </c>
      <c r="AB28" s="6">
        <f>IFERROR(__xludf.DUMMYFUNCTION("""COMPUTED_VALUE"""),830.0)</f>
        <v>830</v>
      </c>
      <c r="AC28" s="6">
        <f>IFERROR(__xludf.DUMMYFUNCTION("""COMPUTED_VALUE"""),740.0)</f>
        <v>740</v>
      </c>
      <c r="AD28" s="6">
        <f>IFERROR(__xludf.DUMMYFUNCTION("""COMPUTED_VALUE"""),415.0)</f>
        <v>415</v>
      </c>
      <c r="AE28" s="6">
        <f>IFERROR(__xludf.DUMMYFUNCTION("""COMPUTED_VALUE"""),370.0)</f>
        <v>370</v>
      </c>
      <c r="AF28" s="6">
        <f>IFERROR(__xludf.DUMMYFUNCTION("""COMPUTED_VALUE"""),150.0)</f>
        <v>150</v>
      </c>
      <c r="AG28" s="5">
        <f>IFERROR(__xludf.DUMMYFUNCTION("""COMPUTED_VALUE"""),150.0)</f>
        <v>150</v>
      </c>
      <c r="AH28" s="5"/>
      <c r="AI28" s="5">
        <f>IFERROR(__xludf.DUMMYFUNCTION("""COMPUTED_VALUE"""),333.0)</f>
        <v>333</v>
      </c>
      <c r="AJ28" s="5">
        <f>IFERROR(__xludf.DUMMYFUNCTION("""COMPUTED_VALUE"""),373.5)</f>
        <v>373.5</v>
      </c>
      <c r="AK28" s="5" t="str">
        <f>IFERROR(__xludf.DUMMYFUNCTION("""COMPUTED_VALUE"""),"El poder está en la data, pero más en cómo la interpretas 🚀
Con Power BI Avanzado llevarás tus reportes y dashboards a un nivel profesional, con análisis que generan impacto en el negocio.
Aquí la info detallada 👇🏻")</f>
        <v>El poder está en la data, pero más en cómo la interpretas 🚀
Con Power BI Avanzado llevarás tus reportes y dashboards a un nivel profesional, con análisis que generan impacto en el negocio.
Aquí la info detallada 👇🏻</v>
      </c>
      <c r="AL28" s="5" t="str">
        <f>IFERROR(__xludf.DUMMYFUNCTION("""COMPUTED_VALUE"""),"Excelente 🙌, actualízate con Power BI Avanzado y lleva tus reportes a un nivel estratégico 🌐 que buscan las empresas.")</f>
        <v>Excelente 🙌, actualízate con Power BI Avanzado y lleva tus reportes a un nivel estratégico 🌐 que buscan las empresas.</v>
      </c>
      <c r="AM28" s="5" t="str">
        <f>IFERROR(__xludf.DUMMYFUNCTION("""COMPUTED_VALUE"""),"Buenísimo 💼, Power BI es altamente demandado 📊. Dominarlo abrirá más oportunidades laborales 🚀.")</f>
        <v>Buenísimo 💼, Power BI es altamente demandado 📊. Dominarlo abrirá más oportunidades laborales 🚀.</v>
      </c>
      <c r="AN28" s="5" t="str">
        <f>IFERROR(__xludf.DUMMYFUNCTION("""COMPUTED_VALUE"""),"¡Excelente! 🎓 Con Power BI Avanzado aprenderás a visualizar datos 📉📈 de forma profesional.")</f>
        <v>¡Excelente! 🎓 Con Power BI Avanzado aprenderás a visualizar datos 📉📈 de forma profesional.</v>
      </c>
      <c r="AO28" s="5" t="str">
        <f>IFERROR(__xludf.DUMMYFUNCTION("""COMPUTED_VALUE"""),"¡Perfecto! 🔑 Saber Power BI te dará ventaja frente a otros postulantes para prácticas en análisis de datos 💻.")</f>
        <v>¡Perfecto! 🔑 Saber Power BI te dará ventaja frente a otros postulantes para prácticas en análisis de datos 💻.</v>
      </c>
      <c r="AP28" s="5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Q28" s="9" t="str">
        <f>IFERROR(__xludf.DUMMYFUNCTION("""COMPUTED_VALUE"""),"https://we-educacion.com/slides/power-bi-avanzado-90")</f>
        <v>https://we-educacion.com/slides/power-bi-avanzado-90</v>
      </c>
      <c r="AR28" s="5">
        <v>1.0</v>
      </c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</row>
    <row r="29" ht="15.75" customHeight="1">
      <c r="A29" s="5" t="s">
        <v>71</v>
      </c>
      <c r="B29" s="5" t="str">
        <f t="shared" si="1"/>
        <v>OCT. II - ED25</v>
      </c>
      <c r="C29" s="6" t="str">
        <f>IFERROR(__xludf.DUMMYFUNCTION("""COMPUTED_VALUE"""),"BI")</f>
        <v>BI</v>
      </c>
      <c r="D29" s="5" t="str">
        <f>IFERROR(__xludf.DUMMYFUNCTION("""COMPUTED_VALUE"""),"CURSO")</f>
        <v>CURSO</v>
      </c>
      <c r="E29" s="6" t="str">
        <f>IFERROR(__xludf.DUMMYFUNCTION("""COMPUTED_VALUE"""),"PYTHON. DATOS")</f>
        <v>PYTHON. DATOS</v>
      </c>
      <c r="F29" s="7">
        <f>IFERROR(__xludf.DUMMYFUNCTION("""COMPUTED_VALUE"""),45948.0)</f>
        <v>45948</v>
      </c>
      <c r="G29" s="6"/>
      <c r="H29" s="7"/>
      <c r="I29" s="6"/>
      <c r="J29" s="7"/>
      <c r="K29" s="6"/>
      <c r="L29" s="7"/>
      <c r="M29" s="6"/>
      <c r="N29" s="7"/>
      <c r="O29" s="6"/>
      <c r="P29" s="7"/>
      <c r="Q29" s="6" t="str">
        <f>IFERROR(__xludf.DUMMYFUNCTION("""COMPUTED_VALUE"""),"David Llaja
")</f>
        <v>David Llaja
</v>
      </c>
      <c r="R29" s="5" t="str">
        <f>IFERROR(__xludf.DUMMYFUNCTION("""COMPUTED_VALUE"""),"Sáb")</f>
        <v>Sáb</v>
      </c>
      <c r="S29" s="6" t="str">
        <f>IFERROR(__xludf.DUMMYFUNCTION("""COMPUTED_VALUE"""),"3PM - 6PM")</f>
        <v>3PM - 6PM</v>
      </c>
      <c r="T29" s="7" t="str">
        <f>IFERROR(__xludf.DUMMYFUNCTION("""COMPUTED_VALUE"""),"Sábado 18 Octubre")</f>
        <v>Sábado 18 Octubre</v>
      </c>
      <c r="U29" s="7" t="str">
        <f>IFERROR(__xludf.DUMMYFUNCTION("""COMPUTED_VALUE"""),"Sábado 22 Noviembre")</f>
        <v>Sábado 22 Noviembre</v>
      </c>
      <c r="V29" s="8">
        <f>IFERROR(__xludf.DUMMYFUNCTION("""COMPUTED_VALUE"""),6.0)</f>
        <v>6</v>
      </c>
      <c r="W29" s="5" t="str">
        <f>IFERROR(__xludf.DUMMYFUNCTION("""COMPUTED_VALUE"""),"pdfs/BROCHURE PYTHON ANALISIS DE DATOS.pdf")</f>
        <v>pdfs/BROCHURE PYTHON ANALISIS DE DATOS.pdf</v>
      </c>
      <c r="X29" s="5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9" s="5" t="str">
        <f>IFERROR(__xludf.DUMMYFUNCTION("""COMPUTED_VALUE"""),"images/python.jpg")</f>
        <v>images/python.jpg</v>
      </c>
      <c r="Z29" s="5" t="str">
        <f>IFERROR(__xludf.DUMMYFUNCTION("""COMPUTED_VALUE"""),"Avalado por IBM® Partner World")</f>
        <v>Avalado por IBM® Partner World</v>
      </c>
      <c r="AA29" s="5" t="str">
        <f>IFERROR(__xludf.DUMMYFUNCTION("""COMPUTED_VALUE"""),"SI")</f>
        <v>SI</v>
      </c>
      <c r="AB29" s="6">
        <f>IFERROR(__xludf.DUMMYFUNCTION("""COMPUTED_VALUE"""),730.0)</f>
        <v>730</v>
      </c>
      <c r="AC29" s="6">
        <f>IFERROR(__xludf.DUMMYFUNCTION("""COMPUTED_VALUE"""),650.0)</f>
        <v>650</v>
      </c>
      <c r="AD29" s="6">
        <f>IFERROR(__xludf.DUMMYFUNCTION("""COMPUTED_VALUE"""),365.0)</f>
        <v>365</v>
      </c>
      <c r="AE29" s="6">
        <f>IFERROR(__xludf.DUMMYFUNCTION("""COMPUTED_VALUE"""),325.0)</f>
        <v>325</v>
      </c>
      <c r="AF29" s="6">
        <f>IFERROR(__xludf.DUMMYFUNCTION("""COMPUTED_VALUE"""),150.0)</f>
        <v>150</v>
      </c>
      <c r="AG29" s="5">
        <f>IFERROR(__xludf.DUMMYFUNCTION("""COMPUTED_VALUE"""),150.0)</f>
        <v>150</v>
      </c>
      <c r="AH29" s="5"/>
      <c r="AI29" s="5">
        <f>IFERROR(__xludf.DUMMYFUNCTION("""COMPUTED_VALUE"""),292.5)</f>
        <v>292.5</v>
      </c>
      <c r="AJ29" s="5">
        <f>IFERROR(__xludf.DUMMYFUNCTION("""COMPUTED_VALUE"""),328.5)</f>
        <v>328.5</v>
      </c>
      <c r="AK29" s="5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29" s="5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29" s="5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29" s="5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29" s="5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29" s="5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29" s="9" t="str">
        <f>IFERROR(__xludf.DUMMYFUNCTION("""COMPUTED_VALUE"""),"https://we-educacion.com/slides/python-analisis-de-datos-259")</f>
        <v>https://we-educacion.com/slides/python-analisis-de-datos-259</v>
      </c>
      <c r="AR29" s="5">
        <v>1.0</v>
      </c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</row>
    <row r="30" ht="15.75" customHeight="1">
      <c r="A30" s="5" t="s">
        <v>72</v>
      </c>
      <c r="B30" s="5" t="str">
        <f t="shared" si="1"/>
        <v>OCT. I - ED25</v>
      </c>
      <c r="C30" s="6" t="str">
        <f>IFERROR(__xludf.DUMMYFUNCTION("""COMPUTED_VALUE"""),"LOGÍSTICA")</f>
        <v>LOGÍSTICA</v>
      </c>
      <c r="D30" s="5" t="str">
        <f>IFERROR(__xludf.DUMMYFUNCTION("""COMPUTED_VALUE"""),"DIPLOMADO")</f>
        <v>DIPLOMADO</v>
      </c>
      <c r="E30" s="6" t="str">
        <f>IFERROR(__xludf.DUMMYFUNCTION("""COMPUTED_VALUE"""),"DIP SUPPLY V3")</f>
        <v>DIP SUPPLY V3</v>
      </c>
      <c r="F30" s="7">
        <f>IFERROR(__xludf.DUMMYFUNCTION("""COMPUTED_VALUE"""),45949.0)</f>
        <v>45949</v>
      </c>
      <c r="G30" s="6" t="str">
        <f>IFERROR(__xludf.DUMMYFUNCTION("""COMPUTED_VALUE"""),"PLAN. Y PRONOSTICO V2")</f>
        <v>PLAN. Y PRONOSTICO V2</v>
      </c>
      <c r="H30" s="7">
        <f>IFERROR(__xludf.DUMMYFUNCTION("""COMPUTED_VALUE"""),45949.0)</f>
        <v>45949</v>
      </c>
      <c r="I30" s="6" t="str">
        <f>IFERROR(__xludf.DUMMYFUNCTION("""COMPUTED_VALUE"""),"GEST. COMP. Y PROV.")</f>
        <v>GEST. COMP. Y PROV.</v>
      </c>
      <c r="J30" s="7">
        <f>IFERROR(__xludf.DUMMYFUNCTION("""COMPUTED_VALUE"""),45991.0)</f>
        <v>45991</v>
      </c>
      <c r="K30" s="6" t="str">
        <f>IFERROR(__xludf.DUMMYFUNCTION("""COMPUTED_VALUE"""),"GER. CENTRO DISTRIB.")</f>
        <v>GER. CENTRO DISTRIB.</v>
      </c>
      <c r="L30" s="7">
        <f>IFERROR(__xludf.DUMMYFUNCTION("""COMPUTED_VALUE"""),46033.0)</f>
        <v>46033</v>
      </c>
      <c r="M30" s="6" t="str">
        <f>IFERROR(__xludf.DUMMYFUNCTION("""COMPUTED_VALUE"""),"GEST TRANSPORTES")</f>
        <v>GEST TRANSPORTES</v>
      </c>
      <c r="N30" s="7">
        <f>IFERROR(__xludf.DUMMYFUNCTION("""COMPUTED_VALUE"""),46068.0)</f>
        <v>46068</v>
      </c>
      <c r="O30" s="6" t="str">
        <f>IFERROR(__xludf.DUMMYFUNCTION("""COMPUTED_VALUE"""),"LEAN LOGISTICS")</f>
        <v>LEAN LOGISTICS</v>
      </c>
      <c r="P30" s="7">
        <f>IFERROR(__xludf.DUMMYFUNCTION("""COMPUTED_VALUE"""),46103.0)</f>
        <v>46103</v>
      </c>
      <c r="Q30" s="6" t="str">
        <f>IFERROR(__xludf.DUMMYFUNCTION("""COMPUTED_VALUE"""),"Hugo Vasquez
Katherine Huaroto
Jose Prado
Francisco Ñaupa
Hernán Vizcardo")</f>
        <v>Hugo Vasquez
Katherine Huaroto
Jose Prado
Francisco Ñaupa
Hernán Vizcardo</v>
      </c>
      <c r="R30" s="5" t="str">
        <f>IFERROR(__xludf.DUMMYFUNCTION("""COMPUTED_VALUE"""),"Dom")</f>
        <v>Dom</v>
      </c>
      <c r="S30" s="6" t="str">
        <f>IFERROR(__xludf.DUMMYFUNCTION("""COMPUTED_VALUE"""),"9AM - 12PM")</f>
        <v>9AM - 12PM</v>
      </c>
      <c r="T30" s="7" t="str">
        <f>IFERROR(__xludf.DUMMYFUNCTION("""COMPUTED_VALUE"""),"Domingo 19 Octubre")</f>
        <v>Domingo 19 Octubre</v>
      </c>
      <c r="U30" s="7" t="str">
        <f>IFERROR(__xludf.DUMMYFUNCTION("""COMPUTED_VALUE"""),"Domingo 19 Abril")</f>
        <v>Domingo 19 Abril</v>
      </c>
      <c r="V30" s="8">
        <f>IFERROR(__xludf.DUMMYFUNCTION("""COMPUTED_VALUE"""),28.0)</f>
        <v>28</v>
      </c>
      <c r="W30" s="5" t="str">
        <f>IFERROR(__xludf.DUMMYFUNCTION("""COMPUTED_VALUE"""),"pdfs/BROCHURE DIPLOMADO SUPPLY CHAIN MANAGEMENT.pdf")</f>
        <v>pdfs/BROCHURE DIPLOMADO SUPPLY CHAIN MANAGEMENT.pdf</v>
      </c>
      <c r="X30" s="5" t="str">
        <f>IFERROR(__xludf.DUMMYFUNCTION("""COMPUTED_VALUE"""),"🔵 *Utilizarán Excel* 👩🏻‍💻
👉🏼 Brindaremos formatos y plantillas
🚨 *Por favor, revisa el BROCHURE* 👇🏻
Aqui encontrarás la información completa del programa, el TEMARIO (malla curricular) y todos los BENEFICIOS 📚")</f>
        <v>🔵 *Utilizarán Excel* 👩🏻‍💻
👉🏼 Brindaremos formatos y plantillas
🚨 *Por favor, revisa el BROCHURE* 👇🏻
Aqui encontrarás la información completa del programa, el TEMARIO (malla curricular) y todos los BENEFICIOS 📚</v>
      </c>
      <c r="Y30" s="5" t="str">
        <f>IFERROR(__xludf.DUMMYFUNCTION("""COMPUTED_VALUE"""),"images/dipsupply.jpg")</f>
        <v>images/dipsupply.jpg</v>
      </c>
      <c r="Z30" s="5"/>
      <c r="AA30" s="5"/>
      <c r="AB30" s="6">
        <f>IFERROR(__xludf.DUMMYFUNCTION("""COMPUTED_VALUE"""),4060.0)</f>
        <v>4060</v>
      </c>
      <c r="AC30" s="6">
        <f>IFERROR(__xludf.DUMMYFUNCTION("""COMPUTED_VALUE"""),3710.0)</f>
        <v>3710</v>
      </c>
      <c r="AD30" s="6">
        <f>IFERROR(__xludf.DUMMYFUNCTION("""COMPUTED_VALUE"""),2030.0)</f>
        <v>2030</v>
      </c>
      <c r="AE30" s="6">
        <f>IFERROR(__xludf.DUMMYFUNCTION("""COMPUTED_VALUE"""),1855.0)</f>
        <v>1855</v>
      </c>
      <c r="AF30" s="6">
        <f>IFERROR(__xludf.DUMMYFUNCTION("""COMPUTED_VALUE"""),250.0)</f>
        <v>250</v>
      </c>
      <c r="AG30" s="5">
        <f>IFERROR(__xludf.DUMMYFUNCTION("""COMPUTED_VALUE"""),350.0)</f>
        <v>350</v>
      </c>
      <c r="AH30" s="5"/>
      <c r="AI30" s="5">
        <f>IFERROR(__xludf.DUMMYFUNCTION("""COMPUTED_VALUE"""),1669.5)</f>
        <v>1669.5</v>
      </c>
      <c r="AJ30" s="5">
        <f>IFERROR(__xludf.DUMMYFUNCTION("""COMPUTED_VALUE"""),1827.0)</f>
        <v>1827</v>
      </c>
      <c r="AK30" s="5" t="str">
        <f>IFERROR(__xludf.DUMMYFUNCTION("""COMPUTED_VALUE"""),"📦 *El éxito de las empresas depende de cadenas de suministro eficientes* 🌎🚀
En este diplomado aprenderás a gestionar la logística, compras y distribución con un enfoque estratégico y práctico, aplicando herramientas modernas para optimizar procesos de "&amp;"principio a fin ⚙️📊
Ahora te adjunto la información a detalle 👇🏻")</f>
        <v>📦 *El éxito de las empresas depende de cadenas de suministro eficientes* 🌎🚀
En este diplomado aprenderás a gestionar la logística, compras y distribución con un enfoque estratégico y práctico, aplicando herramientas modernas para optimizar procesos de principio a fin ⚙️📊
Ahora te adjunto la información a detalle 👇🏻</v>
      </c>
      <c r="AL30" s="5" t="str">
        <f>IFERROR(__xludf.DUMMYFUNCTION("""COMPUTED_VALUE"""),"*Excelente*, actualiza tus conocimientos y domina la gestión de la cadena de suministro con un enfoque moderno 🚀.")</f>
        <v>*Excelente*, actualiza tus conocimientos y domina la gestión de la cadena de suministro con un enfoque moderno 🚀.</v>
      </c>
      <c r="AM30" s="5" t="str">
        <f>IFERROR(__xludf.DUMMYFUNCTION("""COMPUTED_VALUE"""),"Buenísimo, Supply Chain es altamente demandado y te dará un plus en tu CV para más oportunidades laborales 🧳.")</f>
        <v>Buenísimo, Supply Chain es altamente demandado y te dará un plus en tu CV para más oportunidades laborales 🧳.</v>
      </c>
      <c r="AN30" s="5" t="str">
        <f>IFERROR(__xludf.DUMMYFUNCTION("""COMPUTED_VALUE"""),"¡Excelente!. podrás complementar lo que ves en la universidad con herramientas prácticas de Supply Chain, y así destacar tu Perfil Profesional 🚀.")</f>
        <v>¡Excelente!. podrás complementar lo que ves en la universidad con herramientas prácticas de Supply Chain, y así destacar tu Perfil Profesional 🚀.</v>
      </c>
      <c r="AO30" s="5" t="str">
        <f>IFERROR(__xludf.DUMMYFUNCTION("""COMPUTED_VALUE"""),"¡Perfecto!, el conocimiento en Supply Chain es muy valorado y te ayudará a destacar al postular a prácticas 🧳.")</f>
        <v>¡Perfecto!, el conocimiento en Supply Chain es muy valorado y te ayudará a destacar al postular a prácticas 🧳.</v>
      </c>
      <c r="AP30" s="5" t="str">
        <f>IFERROR(__xludf.DUMMYFUNCTION("""COMPUTED_VALUE"""),"¡Excelente!, con Supply Chain optimizarás logística, compras y distribución, llevando tu negocio al siguiente nivel 🚀.")</f>
        <v>¡Excelente!, con Supply Chain optimizarás logística, compras y distribución, llevando tu negocio al siguiente nivel 🚀.</v>
      </c>
      <c r="AQ30" s="9" t="str">
        <f>IFERROR(__xludf.DUMMYFUNCTION("""COMPUTED_VALUE"""),"https://we-educacion.com/slides/diplomado-en-supply-chain-management-49")</f>
        <v>https://we-educacion.com/slides/diplomado-en-supply-chain-management-49</v>
      </c>
      <c r="AR30" s="5">
        <v>1.0</v>
      </c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</row>
    <row r="31" ht="15.75" customHeight="1">
      <c r="A31" s="5" t="s">
        <v>73</v>
      </c>
      <c r="B31" s="5" t="str">
        <f t="shared" si="1"/>
        <v>OCT. I - ED25</v>
      </c>
      <c r="C31" s="6" t="str">
        <f>IFERROR(__xludf.DUMMYFUNCTION("""COMPUTED_VALUE"""),"LOGÍSTICA")</f>
        <v>LOGÍSTICA</v>
      </c>
      <c r="D31" s="5" t="str">
        <f>IFERROR(__xludf.DUMMYFUNCTION("""COMPUTED_VALUE"""),"CURSO")</f>
        <v>CURSO</v>
      </c>
      <c r="E31" s="6" t="str">
        <f>IFERROR(__xludf.DUMMYFUNCTION("""COMPUTED_VALUE"""),"PLAN. Y PRONOSTICO V2")</f>
        <v>PLAN. Y PRONOSTICO V2</v>
      </c>
      <c r="F31" s="7">
        <f>IFERROR(__xludf.DUMMYFUNCTION("""COMPUTED_VALUE"""),45949.0)</f>
        <v>45949</v>
      </c>
      <c r="G31" s="6"/>
      <c r="H31" s="7"/>
      <c r="I31" s="6"/>
      <c r="J31" s="7"/>
      <c r="K31" s="6"/>
      <c r="L31" s="7"/>
      <c r="M31" s="6"/>
      <c r="N31" s="7"/>
      <c r="O31" s="6"/>
      <c r="P31" s="7"/>
      <c r="Q31" s="6" t="str">
        <f>IFERROR(__xludf.DUMMYFUNCTION("""COMPUTED_VALUE"""),"Hugo Vasquez")</f>
        <v>Hugo Vasquez</v>
      </c>
      <c r="R31" s="5" t="str">
        <f>IFERROR(__xludf.DUMMYFUNCTION("""COMPUTED_VALUE"""),"Dom")</f>
        <v>Dom</v>
      </c>
      <c r="S31" s="6" t="str">
        <f>IFERROR(__xludf.DUMMYFUNCTION("""COMPUTED_VALUE"""),"9AM - 12PM")</f>
        <v>9AM - 12PM</v>
      </c>
      <c r="T31" s="7" t="str">
        <f>IFERROR(__xludf.DUMMYFUNCTION("""COMPUTED_VALUE"""),"Domingo 19 Octubre")</f>
        <v>Domingo 19 Octubre</v>
      </c>
      <c r="U31" s="7" t="str">
        <f>IFERROR(__xludf.DUMMYFUNCTION("""COMPUTED_VALUE"""),"Domingo 23 Noviembre")</f>
        <v>Domingo 23 Noviembre</v>
      </c>
      <c r="V31" s="8">
        <f>IFERROR(__xludf.DUMMYFUNCTION("""COMPUTED_VALUE"""),6.0)</f>
        <v>6</v>
      </c>
      <c r="W31" s="5" t="str">
        <f>IFERROR(__xludf.DUMMYFUNCTION("""COMPUTED_VALUE"""),"pdfs/BROCHURE PLANEAMIENTO Y PRONÓSTICO DE LA DEMANDA.pdf")</f>
        <v>pdfs/BROCHURE PLANEAMIENTO Y PRONÓSTICO DE LA DEMANDA.pdf</v>
      </c>
      <c r="X31" s="5" t="str">
        <f>IFERROR(__xludf.DUMMYFUNCTION("""COMPUTED_VALUE"""),"🔵 *Utilizarán Excel* 👩🏻‍💻
👉🏼 *¡Te regalamos el Curso Excel Intermedio!*
🚨 *Por favor, revisa el BROCHURE* 👇🏻
Aqui encontrarás la información completa del programa, el TEMARIO (malla curricular) y todos los BENEFICIOS 📚")</f>
        <v>🔵 *Utilizarán Excel* 👩🏻‍💻
👉🏼 *¡Te regalamos el Curso Excel Intermedio!*
🚨 *Por favor, revisa el BROCHURE* 👇🏻
Aqui encontrarás la información completa del programa, el TEMARIO (malla curricular) y todos los BENEFICIOS 📚</v>
      </c>
      <c r="Y31" s="5" t="str">
        <f>IFERROR(__xludf.DUMMYFUNCTION("""COMPUTED_VALUE"""),"images/planypronost.jpg")</f>
        <v>images/planypronost.jpg</v>
      </c>
      <c r="Z31" s="5"/>
      <c r="AA31" s="5"/>
      <c r="AB31" s="6">
        <f>IFERROR(__xludf.DUMMYFUNCTION("""COMPUTED_VALUE"""),830.0)</f>
        <v>830</v>
      </c>
      <c r="AC31" s="6">
        <f>IFERROR(__xludf.DUMMYFUNCTION("""COMPUTED_VALUE"""),770.0)</f>
        <v>770</v>
      </c>
      <c r="AD31" s="6">
        <f>IFERROR(__xludf.DUMMYFUNCTION("""COMPUTED_VALUE"""),415.0)</f>
        <v>415</v>
      </c>
      <c r="AE31" s="6">
        <f>IFERROR(__xludf.DUMMYFUNCTION("""COMPUTED_VALUE"""),385.0)</f>
        <v>385</v>
      </c>
      <c r="AF31" s="6">
        <f>IFERROR(__xludf.DUMMYFUNCTION("""COMPUTED_VALUE"""),150.0)</f>
        <v>150</v>
      </c>
      <c r="AG31" s="5">
        <f>IFERROR(__xludf.DUMMYFUNCTION("""COMPUTED_VALUE"""),150.0)</f>
        <v>150</v>
      </c>
      <c r="AH31" s="5"/>
      <c r="AI31" s="5">
        <f>IFERROR(__xludf.DUMMYFUNCTION("""COMPUTED_VALUE"""),346.5)</f>
        <v>346.5</v>
      </c>
      <c r="AJ31" s="5">
        <f>IFERROR(__xludf.DUMMYFUNCTION("""COMPUTED_VALUE"""),373.5)</f>
        <v>373.5</v>
      </c>
      <c r="AK31" s="5" t="str">
        <f>IFERROR(__xludf.DUMMYFUNCTION("""COMPUTED_VALUE"""),"Los líderes de hoy no solo ejecutan, anticipan 💡
Con Planeamiento y Pronóstico desarrollarás habilidades para proyectar escenarios reales y tomar decisiones con visión estratégica.
Revisa la información completa aquí 👇🏻")</f>
        <v>Los líderes de hoy no solo ejecutan, anticipan 💡
Con Planeamiento y Pronóstico desarrollarás habilidades para proyectar escenarios reales y tomar decisiones con visión estratégica.
Revisa la información completa aquí 👇🏻</v>
      </c>
      <c r="AL31" s="5" t="str">
        <f>IFERROR(__xludf.DUMMYFUNCTION("""COMPUTED_VALUE"""),"Excelente 🙌, actualizarte en Planeamiento y Pronóstico te ayudará a proyectar escenarios reales 🔮 y mantenerte competitivo.")</f>
        <v>Excelente 🙌, actualizarte en Planeamiento y Pronóstico te ayudará a proyectar escenarios reales 🔮 y mantenerte competitivo.</v>
      </c>
      <c r="AM31" s="5" t="str">
        <f>IFERROR(__xludf.DUMMYFUNCTION("""COMPUTED_VALUE"""),"Buenísimo 💼, esta herramienta es clave en empresas que buscan profesionales capaces de anticipar y planear estratégicamente 🧭.")</f>
        <v>Buenísimo 💼, esta herramienta es clave en empresas que buscan profesionales capaces de anticipar y planear estratégicamente 🧭.</v>
      </c>
      <c r="AN31" s="5" t="str">
        <f>IFERROR(__xludf.DUMMYFUNCTION("""COMPUTED_VALUE"""),"¡Excelente! 🎓 Aprender Planeamiento y Pronóstico te dará visión estratégica 👀 que te diferenciará.")</f>
        <v>¡Excelente! 🎓 Aprender Planeamiento y Pronóstico te dará visión estratégica 👀 que te diferenciará.</v>
      </c>
      <c r="AO31" s="5" t="str">
        <f>IFERROR(__xludf.DUMMYFUNCTION("""COMPUTED_VALUE"""),"¡Perfecto! 🔑 Tener conocimientos en Planeamiento y Pronóstico te dará ventaja en prácticas en planeamiento o finanzas 💹.")</f>
        <v>¡Perfecto! 🔑 Tener conocimientos en Planeamiento y Pronóstico te dará ventaja en prácticas en planeamiento o finanzas 💹.</v>
      </c>
      <c r="AP31" s="5" t="str">
        <f>IFERROR(__xludf.DUMMYFUNCTION("""COMPUTED_VALUE"""),"¡Excelente! 💡 Con Planeamiento y Pronóstico podrás anticipar resultados 📈 y tomar mejores decisiones en tu negocio.")</f>
        <v>¡Excelente! 💡 Con Planeamiento y Pronóstico podrás anticipar resultados 📈 y tomar mejores decisiones en tu negocio.</v>
      </c>
      <c r="AQ31" s="9" t="str">
        <f>IFERROR(__xludf.DUMMYFUNCTION("""COMPUTED_VALUE"""),"https://we-educacion.com/slides/planeamiento-pronostico-de-la-demanda-78")</f>
        <v>https://we-educacion.com/slides/planeamiento-pronostico-de-la-demanda-78</v>
      </c>
      <c r="AR31" s="5">
        <v>1.0</v>
      </c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</row>
    <row r="32" ht="15.75" customHeight="1">
      <c r="A32" s="5" t="s">
        <v>74</v>
      </c>
      <c r="B32" s="5" t="str">
        <f t="shared" si="1"/>
        <v>OCT. I - ED25</v>
      </c>
      <c r="C32" s="6" t="str">
        <f>IFERROR(__xludf.DUMMYFUNCTION("""COMPUTED_VALUE"""),"EXCEL")</f>
        <v>EXCEL</v>
      </c>
      <c r="D32" s="6" t="str">
        <f>IFERROR(__xludf.DUMMYFUNCTION("""COMPUTED_VALUE"""),"CURSO")</f>
        <v>CURSO</v>
      </c>
      <c r="E32" s="6" t="str">
        <f>IFERROR(__xludf.DUMMYFUNCTION("""COMPUTED_VALUE"""),"EXCEL INTERM")</f>
        <v>EXCEL INTERM</v>
      </c>
      <c r="F32" s="7">
        <f>IFERROR(__xludf.DUMMYFUNCTION("""COMPUTED_VALUE"""),45949.0)</f>
        <v>45949</v>
      </c>
      <c r="G32" s="6"/>
      <c r="H32" s="7"/>
      <c r="I32" s="6"/>
      <c r="J32" s="7"/>
      <c r="K32" s="6"/>
      <c r="L32" s="7"/>
      <c r="M32" s="6"/>
      <c r="N32" s="7"/>
      <c r="O32" s="6"/>
      <c r="P32" s="7"/>
      <c r="Q32" s="6" t="str">
        <f>IFERROR(__xludf.DUMMYFUNCTION("""COMPUTED_VALUE"""),"Jonathan Sanchez")</f>
        <v>Jonathan Sanchez</v>
      </c>
      <c r="R32" s="5" t="str">
        <f>IFERROR(__xludf.DUMMYFUNCTION("""COMPUTED_VALUE"""),"Dom")</f>
        <v>Dom</v>
      </c>
      <c r="S32" s="6" t="str">
        <f>IFERROR(__xludf.DUMMYFUNCTION("""COMPUTED_VALUE"""),"9AM - 12PM")</f>
        <v>9AM - 12PM</v>
      </c>
      <c r="T32" s="7" t="str">
        <f>IFERROR(__xludf.DUMMYFUNCTION("""COMPUTED_VALUE"""),"Domingo 19 Octubre")</f>
        <v>Domingo 19 Octubre</v>
      </c>
      <c r="U32" s="7" t="str">
        <f>IFERROR(__xludf.DUMMYFUNCTION("""COMPUTED_VALUE"""),"Domingo 23 Noviembre")</f>
        <v>Domingo 23 Noviembre</v>
      </c>
      <c r="V32" s="8">
        <f>IFERROR(__xludf.DUMMYFUNCTION("""COMPUTED_VALUE"""),6.0)</f>
        <v>6</v>
      </c>
      <c r="W32" s="5" t="str">
        <f>IFERROR(__xludf.DUMMYFUNCTION("""COMPUTED_VALUE"""),"pdfs/BROCHURE EXCEL INTERMEDIO.pdf")</f>
        <v>pdfs/BROCHURE EXCEL INTERMEDIO.pdf</v>
      </c>
      <c r="X32" s="5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32" s="5" t="str">
        <f>IFERROR(__xludf.DUMMYFUNCTION("""COMPUTED_VALUE"""),"images/excelinterm.jpg")</f>
        <v>images/excelinterm.jpg</v>
      </c>
      <c r="Z32" s="5" t="str">
        <f>IFERROR(__xludf.DUMMYFUNCTION("""COMPUTED_VALUE"""),"Avalado por Microsoft Partner Network")</f>
        <v>Avalado por Microsoft Partner Network</v>
      </c>
      <c r="AA32" s="5" t="str">
        <f>IFERROR(__xludf.DUMMYFUNCTION("""COMPUTED_VALUE"""),"NO")</f>
        <v>NO</v>
      </c>
      <c r="AB32" s="6">
        <f>IFERROR(__xludf.DUMMYFUNCTION("""COMPUTED_VALUE"""),420.0)</f>
        <v>420</v>
      </c>
      <c r="AC32" s="6">
        <f>IFERROR(__xludf.DUMMYFUNCTION("""COMPUTED_VALUE"""),400.0)</f>
        <v>400</v>
      </c>
      <c r="AD32" s="6">
        <f>IFERROR(__xludf.DUMMYFUNCTION("""COMPUTED_VALUE"""),210.0)</f>
        <v>210</v>
      </c>
      <c r="AE32" s="6">
        <f>IFERROR(__xludf.DUMMYFUNCTION("""COMPUTED_VALUE"""),200.0)</f>
        <v>200</v>
      </c>
      <c r="AF32" s="6">
        <f>IFERROR(__xludf.DUMMYFUNCTION("""COMPUTED_VALUE"""),150.0)</f>
        <v>150</v>
      </c>
      <c r="AG32" s="5">
        <f>IFERROR(__xludf.DUMMYFUNCTION("""COMPUTED_VALUE"""),150.0)</f>
        <v>150</v>
      </c>
      <c r="AH32" s="5"/>
      <c r="AI32" s="5">
        <f>IFERROR(__xludf.DUMMYFUNCTION("""COMPUTED_VALUE"""),180.0)</f>
        <v>180</v>
      </c>
      <c r="AJ32" s="5">
        <f>IFERROR(__xludf.DUMMYFUNCTION("""COMPUTED_VALUE"""),189.0)</f>
        <v>189</v>
      </c>
      <c r="AK32" s="5" t="str">
        <f>IFERROR(__xludf.DUMMYFUNCTION("""COMPUTED_VALUE"""),"El siguiente paso en tu crecimiento es Excel Intermedio 🚀
Consolidarás fórmulas, tablas y reportes aplicables en entornos reales de trabajo 💻.
Aquí tienes la info 👇🏻")</f>
        <v>El siguiente paso en tu crecimiento es Excel Intermedio 🚀
Consolidarás fórmulas, tablas y reportes aplicables en entornos reales de trabajo 💻.
Aquí tienes la info 👇🏻</v>
      </c>
      <c r="AL32" s="5" t="str">
        <f>IFERROR(__xludf.DUMMYFUNCTION("""COMPUTED_VALUE"""),"💼 *Excelente*, actualízate con *EXCEL INTERM* y mantente competitivo en el mercado laboral.")</f>
        <v>💼 *Excelente*, actualízate con *EXCEL INTERM* y mantente competitivo en el mercado laboral.</v>
      </c>
      <c r="AM32" s="5" t="str">
        <f>IFERROR(__xludf.DUMMYFUNCTION("""COMPUTED_VALUE"""),"📘 Buenísimo, *EXCEL INTERM* es de las competencias más pedidas por las empresas y aumentará tus oportunidades laborales.")</f>
        <v>📘 Buenísimo, *EXCEL INTERM* es de las competencias más pedidas por las empresas y aumentará tus oportunidades laborales.</v>
      </c>
      <c r="AN32" s="5" t="str">
        <f>IFERROR(__xludf.DUMMYFUNCTION("""COMPUTED_VALUE"""),"🔑 ¡Genial! Con *EXCEL INTERM* sumarás una habilidad poderosa que te diferenciará desde la universidad.")</f>
        <v>🔑 ¡Genial! Con *EXCEL INTERM* sumarás una habilidad poderosa que te diferenciará desde la universidad.</v>
      </c>
      <c r="AO32" s="5" t="str">
        <f>IFERROR(__xludf.DUMMYFUNCTION("""COMPUTED_VALUE"""),"🔑 ¡Perfecto! Saber *EXCEL INTERM* te dará ventaja frente a otros postulantes para conseguir prácticas.")</f>
        <v>🔑 ¡Perfecto! Saber *EXCEL INTERM* te dará ventaja frente a otros postulantes para conseguir prácticas.</v>
      </c>
      <c r="AP32" s="5" t="str">
        <f>IFERROR(__xludf.DUMMYFUNCTION("""COMPUTED_VALUE"""),"✨ ¡Excelente! Con *EXCEL INTERM* podrás aplicarlo en tu negocio y tomar decisiones más inteligentes.")</f>
        <v>✨ ¡Excelente! Con *EXCEL INTERM* podrás aplicarlo en tu negocio y tomar decisiones más inteligentes.</v>
      </c>
      <c r="AQ32" s="9" t="str">
        <f>IFERROR(__xludf.DUMMYFUNCTION("""COMPUTED_VALUE"""),"https://we-educacion.com/slides/microsoft-excel-intermedio-82")</f>
        <v>https://we-educacion.com/slides/microsoft-excel-intermedio-82</v>
      </c>
      <c r="AR32" s="5">
        <v>1.0</v>
      </c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</row>
    <row r="33" ht="15.75" customHeight="1">
      <c r="A33" s="5" t="s">
        <v>75</v>
      </c>
      <c r="B33" s="5" t="str">
        <f t="shared" si="1"/>
        <v>OCT. I - ED25</v>
      </c>
      <c r="C33" s="6" t="str">
        <f>IFERROR(__xludf.DUMMYFUNCTION("""COMPUTED_VALUE"""),"PROCESOS")</f>
        <v>PROCESOS</v>
      </c>
      <c r="D33" s="6" t="str">
        <f>IFERROR(__xludf.DUMMYFUNCTION("""COMPUTED_VALUE"""),"ESP.")</f>
        <v>ESP.</v>
      </c>
      <c r="E33" s="6" t="str">
        <f>IFERROR(__xludf.DUMMYFUNCTION("""COMPUTED_VALUE"""),"ESP. POWER APPS Y AUT.")</f>
        <v>ESP. POWER APPS Y AUT.</v>
      </c>
      <c r="F33" s="7">
        <f>IFERROR(__xludf.DUMMYFUNCTION("""COMPUTED_VALUE"""),45952.0)</f>
        <v>45952</v>
      </c>
      <c r="G33" s="6" t="str">
        <f>IFERROR(__xludf.DUMMYFUNCTION("""COMPUTED_VALUE"""),"POWER APPS Y AUT.")</f>
        <v>POWER APPS Y AUT.</v>
      </c>
      <c r="H33" s="7">
        <f>IFERROR(__xludf.DUMMYFUNCTION("""COMPUTED_VALUE"""),45952.0)</f>
        <v>45952</v>
      </c>
      <c r="I33" s="6" t="str">
        <f>IFERROR(__xludf.DUMMYFUNCTION("""COMPUTED_VALUE"""),"POWER APPS AVANZ")</f>
        <v>POWER APPS AVANZ</v>
      </c>
      <c r="J33" s="7">
        <f>IFERROR(__xludf.DUMMYFUNCTION("""COMPUTED_VALUE"""),45980.0)</f>
        <v>45980</v>
      </c>
      <c r="K33" s="6"/>
      <c r="L33" s="7"/>
      <c r="M33" s="6"/>
      <c r="N33" s="7"/>
      <c r="O33" s="6"/>
      <c r="P33" s="7"/>
      <c r="Q33" s="6" t="str">
        <f>IFERROR(__xludf.DUMMYFUNCTION("""COMPUTED_VALUE"""),"Bjnik Cruz
Jesús Gaspar")</f>
        <v>Bjnik Cruz
Jesús Gaspar</v>
      </c>
      <c r="R33" s="5" t="str">
        <f>IFERROR(__xludf.DUMMYFUNCTION("""COMPUTED_VALUE"""),"Lun-Mie")</f>
        <v>Lun-Mie</v>
      </c>
      <c r="S33" s="6" t="str">
        <f>IFERROR(__xludf.DUMMYFUNCTION("""COMPUTED_VALUE"""),"7PM - 10PM")</f>
        <v>7PM - 10PM</v>
      </c>
      <c r="T33" s="7" t="str">
        <f>IFERROR(__xludf.DUMMYFUNCTION("""COMPUTED_VALUE"""),"Miércoles 22 Octubre")</f>
        <v>Miércoles 22 Octubre</v>
      </c>
      <c r="U33" s="7" t="str">
        <f>IFERROR(__xludf.DUMMYFUNCTION("""COMPUTED_VALUE"""),"Miércoles 10 Diciembre")</f>
        <v>Miércoles 10 Diciembre</v>
      </c>
      <c r="V33" s="8">
        <f>IFERROR(__xludf.DUMMYFUNCTION("""COMPUTED_VALUE"""),30.0)</f>
        <v>30</v>
      </c>
      <c r="W33" s="5" t="str">
        <f>IFERROR(__xludf.DUMMYFUNCTION("""COMPUTED_VALUE"""),"pdfs/BROCHURE ESPECIALIZACION DE POWER APSS Y POWER AUTOMATE")</f>
        <v>pdfs/BROCHURE ESPECIALIZACION DE POWER APSS Y POWER AUTOMATE</v>
      </c>
      <c r="X33" s="5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33" s="5" t="str">
        <f>IFERROR(__xludf.DUMMYFUNCTION("""COMPUTED_VALUE"""),"images/esppowerapp.jpg")</f>
        <v>images/esppowerapp.jpg</v>
      </c>
      <c r="Z33" s="5" t="str">
        <f>IFERROR(__xludf.DUMMYFUNCTION("""COMPUTED_VALUE"""),"Avalado por Microsoft Partner Network")</f>
        <v>Avalado por Microsoft Partner Network</v>
      </c>
      <c r="AA33" s="5" t="str">
        <f>IFERROR(__xludf.DUMMYFUNCTION("""COMPUTED_VALUE"""),"NO")</f>
        <v>NO</v>
      </c>
      <c r="AB33" s="6">
        <f>IFERROR(__xludf.DUMMYFUNCTION("""COMPUTED_VALUE"""),1300.0)</f>
        <v>1300</v>
      </c>
      <c r="AC33" s="6">
        <f>IFERROR(__xludf.DUMMYFUNCTION("""COMPUTED_VALUE"""),1140.0)</f>
        <v>1140</v>
      </c>
      <c r="AD33" s="6">
        <f>IFERROR(__xludf.DUMMYFUNCTION("""COMPUTED_VALUE"""),650.0)</f>
        <v>650</v>
      </c>
      <c r="AE33" s="6">
        <f>IFERROR(__xludf.DUMMYFUNCTION("""COMPUTED_VALUE"""),570.0)</f>
        <v>570</v>
      </c>
      <c r="AF33" s="6">
        <f>IFERROR(__xludf.DUMMYFUNCTION("""COMPUTED_VALUE"""),250.0)</f>
        <v>250</v>
      </c>
      <c r="AG33" s="5">
        <f>IFERROR(__xludf.DUMMYFUNCTION("""COMPUTED_VALUE"""),350.0)</f>
        <v>350</v>
      </c>
      <c r="AH33" s="5"/>
      <c r="AI33" s="5">
        <f>IFERROR(__xludf.DUMMYFUNCTION("""COMPUTED_VALUE"""),513.0)</f>
        <v>513</v>
      </c>
      <c r="AJ33" s="5">
        <f>IFERROR(__xludf.DUMMYFUNCTION("""COMPUTED_VALUE"""),585.0)</f>
        <v>585</v>
      </c>
      <c r="AK33" s="5" t="str">
        <f>IFERROR(__xludf.DUMMYFUNCTION("""COMPUTED_VALUE"""),"La transformación digital está en tus manos 📲
Domina Power Apps y Power Automate para crear soluciones ágiles sin necesidad de programar 🤖
👉🏻 Te paso la información.")</f>
        <v>La transformación digital está en tus manos 📲
Domina Power Apps y Power Automate para crear soluciones ágiles sin necesidad de programar 🤖
👉🏻 Te paso la información.</v>
      </c>
      <c r="AL33" s="5" t="str">
        <f>IFERROR(__xludf.DUMMYFUNCTION("""COMPUTED_VALUE"""),"⚡ Excelente, actualízate en Power Apps y Automatización y crea soluciones innovadoras.")</f>
        <v>⚡ Excelente, actualízate en Power Apps y Automatización y crea soluciones innovadoras.</v>
      </c>
      <c r="AM33" s="5" t="str">
        <f>IFERROR(__xludf.DUMMYFUNCTION("""COMPUTED_VALUE"""),"🚀 Buenísimo, empresas buscan expertos en digitalización de procesos.")</f>
        <v>🚀 Buenísimo, empresas buscan expertos en digitalización de procesos.</v>
      </c>
      <c r="AN33" s="5" t="str">
        <f>IFERROR(__xludf.DUMMYFUNCTION("""COMPUTED_VALUE"""),"💡 Genial, estas herramientas harán tu perfil altamente competitivo.")</f>
        <v>💡 Genial, estas herramientas harán tu perfil altamente competitivo.</v>
      </c>
      <c r="AO33" s="5" t="str">
        <f>IFERROR(__xludf.DUMMYFUNCTION("""COMPUTED_VALUE"""),"📋 Perfecto, tendrás ventaja inmediata en prácticas de automatización.")</f>
        <v>📋 Perfecto, tendrás ventaja inmediata en prácticas de automatización.</v>
      </c>
      <c r="AP33" s="5" t="str">
        <f>IFERROR(__xludf.DUMMYFUNCTION("""COMPUTED_VALUE"""),"📊 Excelente, podrás crear apps propias y automatizar tu negocio.")</f>
        <v>📊 Excelente, podrás crear apps propias y automatizar tu negocio.</v>
      </c>
      <c r="AQ33" s="9" t="str">
        <f>IFERROR(__xludf.DUMMYFUNCTION("""COMPUTED_VALUE"""),"https://we-educacion.com/slides/especializacion-en-power-apps-automate-1113")</f>
        <v>https://we-educacion.com/slides/especializacion-en-power-apps-automate-1113</v>
      </c>
      <c r="AR33" s="5">
        <v>1.0</v>
      </c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</row>
    <row r="34" ht="15.75" customHeight="1">
      <c r="A34" s="5" t="s">
        <v>76</v>
      </c>
      <c r="B34" s="5" t="str">
        <f t="shared" si="1"/>
        <v>OCT. I - ED25</v>
      </c>
      <c r="C34" s="6" t="str">
        <f>IFERROR(__xludf.DUMMYFUNCTION("""COMPUTED_VALUE"""),"PROCESOS")</f>
        <v>PROCESOS</v>
      </c>
      <c r="D34" s="5" t="str">
        <f>IFERROR(__xludf.DUMMYFUNCTION("""COMPUTED_VALUE"""),"CURSO")</f>
        <v>CURSO</v>
      </c>
      <c r="E34" s="6" t="str">
        <f>IFERROR(__xludf.DUMMYFUNCTION("""COMPUTED_VALUE"""),"POWER APPS Y AUT.")</f>
        <v>POWER APPS Y AUT.</v>
      </c>
      <c r="F34" s="7">
        <f>IFERROR(__xludf.DUMMYFUNCTION("""COMPUTED_VALUE"""),45952.0)</f>
        <v>45952</v>
      </c>
      <c r="G34" s="6"/>
      <c r="H34" s="7"/>
      <c r="I34" s="6"/>
      <c r="J34" s="7"/>
      <c r="K34" s="6"/>
      <c r="L34" s="7"/>
      <c r="M34" s="6"/>
      <c r="N34" s="7"/>
      <c r="O34" s="6"/>
      <c r="P34" s="7"/>
      <c r="Q34" s="6" t="str">
        <f>IFERROR(__xludf.DUMMYFUNCTION("""COMPUTED_VALUE"""),"Bjnik Cruz")</f>
        <v>Bjnik Cruz</v>
      </c>
      <c r="R34" s="5" t="str">
        <f>IFERROR(__xludf.DUMMYFUNCTION("""COMPUTED_VALUE"""),"Lun-Mie")</f>
        <v>Lun-Mie</v>
      </c>
      <c r="S34" s="6" t="str">
        <f>IFERROR(__xludf.DUMMYFUNCTION("""COMPUTED_VALUE"""),"7PM - 10PM")</f>
        <v>7PM - 10PM</v>
      </c>
      <c r="T34" s="7" t="str">
        <f>IFERROR(__xludf.DUMMYFUNCTION("""COMPUTED_VALUE"""),"Miércoles 22 Octubre")</f>
        <v>Miércoles 22 Octubre</v>
      </c>
      <c r="U34" s="7" t="str">
        <f>IFERROR(__xludf.DUMMYFUNCTION("""COMPUTED_VALUE"""),"Lunes 10 Noviembre")</f>
        <v>Lunes 10 Noviembre</v>
      </c>
      <c r="V34" s="8">
        <f>IFERROR(__xludf.DUMMYFUNCTION("""COMPUTED_VALUE"""),6.0)</f>
        <v>6</v>
      </c>
      <c r="W34" s="5" t="str">
        <f>IFERROR(__xludf.DUMMYFUNCTION("""COMPUTED_VALUE"""),"pdfs/BROCHURE POWER APPS &amp; AUTOMATE.pdf")</f>
        <v>pdfs/BROCHURE POWER APPS &amp; AUTOMATE.pdf</v>
      </c>
      <c r="X34" s="5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34" s="5" t="str">
        <f>IFERROR(__xludf.DUMMYFUNCTION("""COMPUTED_VALUE"""),"images/powerapp.jpg")</f>
        <v>images/powerapp.jpg</v>
      </c>
      <c r="Z34" s="5" t="str">
        <f>IFERROR(__xludf.DUMMYFUNCTION("""COMPUTED_VALUE"""),"Avalado por Microsoft Partner Network")</f>
        <v>Avalado por Microsoft Partner Network</v>
      </c>
      <c r="AA34" s="5" t="str">
        <f>IFERROR(__xludf.DUMMYFUNCTION("""COMPUTED_VALUE"""),"NO")</f>
        <v>NO</v>
      </c>
      <c r="AB34" s="6">
        <f>IFERROR(__xludf.DUMMYFUNCTION("""COMPUTED_VALUE"""),650.0)</f>
        <v>650</v>
      </c>
      <c r="AC34" s="6">
        <f>IFERROR(__xludf.DUMMYFUNCTION("""COMPUTED_VALUE"""),570.0)</f>
        <v>570</v>
      </c>
      <c r="AD34" s="6">
        <f>IFERROR(__xludf.DUMMYFUNCTION("""COMPUTED_VALUE"""),325.0)</f>
        <v>325</v>
      </c>
      <c r="AE34" s="6">
        <f>IFERROR(__xludf.DUMMYFUNCTION("""COMPUTED_VALUE"""),285.0)</f>
        <v>285</v>
      </c>
      <c r="AF34" s="6">
        <f>IFERROR(__xludf.DUMMYFUNCTION("""COMPUTED_VALUE"""),150.0)</f>
        <v>150</v>
      </c>
      <c r="AG34" s="5">
        <f>IFERROR(__xludf.DUMMYFUNCTION("""COMPUTED_VALUE"""),150.0)</f>
        <v>150</v>
      </c>
      <c r="AH34" s="5"/>
      <c r="AI34" s="5">
        <f>IFERROR(__xludf.DUMMYFUNCTION("""COMPUTED_VALUE"""),256.5)</f>
        <v>256.5</v>
      </c>
      <c r="AJ34" s="5">
        <f>IFERROR(__xludf.DUMMYFUNCTION("""COMPUTED_VALUE"""),292.5)</f>
        <v>292.5</v>
      </c>
      <c r="AK34" s="5" t="str">
        <f>IFERROR(__xludf.DUMMYFUNCTION("""COMPUTED_VALUE"""),"Los líderes modernos impulsan la eficiencia con automatización inteligente 🤖
Con este programa dominarás Power Apps y Power Automate para transformar procesos empresariales 🚀.
Aquí la info completa 👇🏻")</f>
        <v>Los líderes modernos impulsan la eficiencia con automatización inteligente 🤖
Con este programa dominarás Power Apps y Power Automate para transformar procesos empresariales 🚀.
Aquí la info completa 👇🏻</v>
      </c>
      <c r="AL34" s="5" t="str">
        <f>IFERROR(__xludf.DUMMYFUNCTION("""COMPUTED_VALUE"""),"⚡ Excelente, actualízate con Power Apps y Automatización, la clave para transformar procesos digitales.")</f>
        <v>⚡ Excelente, actualízate con Power Apps y Automatización, la clave para transformar procesos digitales.</v>
      </c>
      <c r="AM34" s="5" t="str">
        <f>IFERROR(__xludf.DUMMYFUNCTION("""COMPUTED_VALUE"""),"💼 Buenísimo, Power Apps y Automatización es muy demandado en empresas que buscan eficiencia.")</f>
        <v>💼 Buenísimo, Power Apps y Automatización es muy demandado en empresas que buscan eficiencia.</v>
      </c>
      <c r="AN34" s="5" t="str">
        <f>IFERROR(__xludf.DUMMYFUNCTION("""COMPUTED_VALUE"""),"🎓 ¡Genial! Aprender automatización desde la universidad te dará una gran ventaja en el futuro.")</f>
        <v>🎓 ¡Genial! Aprender automatización desde la universidad te dará una gran ventaja en el futuro.</v>
      </c>
      <c r="AO34" s="5" t="str">
        <f>IFERROR(__xludf.DUMMYFUNCTION("""COMPUTED_VALUE"""),"🚀 ¡Perfecto! Con Power Apps y Automatización destacarás en prácticas en áreas de innovación.")</f>
        <v>🚀 ¡Perfecto! Con Power Apps y Automatización destacarás en prácticas en áreas de innovación.</v>
      </c>
      <c r="AP34" s="5" t="str">
        <f>IFERROR(__xludf.DUMMYFUNCTION("""COMPUTED_VALUE"""),"📊 ¡Excelente! Podrás crear soluciones automáticas para tu negocio y optimizar tu tiempo.")</f>
        <v>📊 ¡Excelente! Podrás crear soluciones automáticas para tu negocio y optimizar tu tiempo.</v>
      </c>
      <c r="AQ34" s="9" t="str">
        <f>IFERROR(__xludf.DUMMYFUNCTION("""COMPUTED_VALUE"""),"https://we-educacion.com/slides/power-apps-automate-1073")</f>
        <v>https://we-educacion.com/slides/power-apps-automate-1073</v>
      </c>
      <c r="AR34" s="5">
        <v>1.0</v>
      </c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</row>
    <row r="35" ht="15.75" customHeight="1">
      <c r="A35" s="5" t="s">
        <v>77</v>
      </c>
      <c r="B35" s="5" t="str">
        <f t="shared" si="1"/>
        <v>OCT. II - ED25</v>
      </c>
      <c r="C35" s="6" t="str">
        <f>IFERROR(__xludf.DUMMYFUNCTION("""COMPUTED_VALUE"""),"BI")</f>
        <v>BI</v>
      </c>
      <c r="D35" s="5" t="str">
        <f>IFERROR(__xludf.DUMMYFUNCTION("""COMPUTED_VALUE"""),"CURSO")</f>
        <v>CURSO</v>
      </c>
      <c r="E35" s="6" t="str">
        <f>IFERROR(__xludf.DUMMYFUNCTION("""COMPUTED_VALUE"""),"PYTHON AVANZ.")</f>
        <v>PYTHON AVANZ.</v>
      </c>
      <c r="F35" s="7">
        <f>IFERROR(__xludf.DUMMYFUNCTION("""COMPUTED_VALUE"""),45953.0)</f>
        <v>45953</v>
      </c>
      <c r="G35" s="6"/>
      <c r="H35" s="7"/>
      <c r="I35" s="6"/>
      <c r="J35" s="7"/>
      <c r="K35" s="6"/>
      <c r="L35" s="7"/>
      <c r="M35" s="6"/>
      <c r="N35" s="7"/>
      <c r="O35" s="6"/>
      <c r="P35" s="7"/>
      <c r="Q35" s="6" t="str">
        <f>IFERROR(__xludf.DUMMYFUNCTION("""COMPUTED_VALUE"""),"Cesar Valencia")</f>
        <v>Cesar Valencia</v>
      </c>
      <c r="R35" s="5" t="str">
        <f>IFERROR(__xludf.DUMMYFUNCTION("""COMPUTED_VALUE"""),"Mar-Jue")</f>
        <v>Mar-Jue</v>
      </c>
      <c r="S35" s="6" t="str">
        <f>IFERROR(__xludf.DUMMYFUNCTION("""COMPUTED_VALUE"""),"7PM - 10PM")</f>
        <v>7PM - 10PM</v>
      </c>
      <c r="T35" s="7" t="str">
        <f>IFERROR(__xludf.DUMMYFUNCTION("""COMPUTED_VALUE"""),"Jueves 23 Octubre")</f>
        <v>Jueves 23 Octubre</v>
      </c>
      <c r="U35" s="7" t="str">
        <f>IFERROR(__xludf.DUMMYFUNCTION("""COMPUTED_VALUE"""),"Martes 11 Noviembre")</f>
        <v>Martes 11 Noviembre</v>
      </c>
      <c r="V35" s="8">
        <f>IFERROR(__xludf.DUMMYFUNCTION("""COMPUTED_VALUE"""),6.0)</f>
        <v>6</v>
      </c>
      <c r="W35" s="5" t="str">
        <f>IFERROR(__xludf.DUMMYFUNCTION("""COMPUTED_VALUE"""),"pdfs/BROCHURE PYTHON AVANZADO MACHINE LEARNING.pdf")</f>
        <v>pdfs/BROCHURE PYTHON AVANZADO MACHINE LEARNING.pdf</v>
      </c>
      <c r="X35" s="5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5" s="5" t="str">
        <f>IFERROR(__xludf.DUMMYFUNCTION("""COMPUTED_VALUE"""),"images/pythonavanz.jpg")</f>
        <v>images/pythonavanz.jpg</v>
      </c>
      <c r="Z35" s="5" t="str">
        <f>IFERROR(__xludf.DUMMYFUNCTION("""COMPUTED_VALUE"""),"Avalado por IBM® Partner World")</f>
        <v>Avalado por IBM® Partner World</v>
      </c>
      <c r="AA35" s="5" t="str">
        <f>IFERROR(__xludf.DUMMYFUNCTION("""COMPUTED_VALUE"""),"NO")</f>
        <v>NO</v>
      </c>
      <c r="AB35" s="6">
        <f>IFERROR(__xludf.DUMMYFUNCTION("""COMPUTED_VALUE"""),830.0)</f>
        <v>830</v>
      </c>
      <c r="AC35" s="6">
        <f>IFERROR(__xludf.DUMMYFUNCTION("""COMPUTED_VALUE"""),755.0)</f>
        <v>755</v>
      </c>
      <c r="AD35" s="6">
        <f>IFERROR(__xludf.DUMMYFUNCTION("""COMPUTED_VALUE"""),415.0)</f>
        <v>415</v>
      </c>
      <c r="AE35" s="6">
        <f>IFERROR(__xludf.DUMMYFUNCTION("""COMPUTED_VALUE"""),377.5)</f>
        <v>377.5</v>
      </c>
      <c r="AF35" s="6">
        <f>IFERROR(__xludf.DUMMYFUNCTION("""COMPUTED_VALUE"""),150.0)</f>
        <v>150</v>
      </c>
      <c r="AG35" s="5">
        <f>IFERROR(__xludf.DUMMYFUNCTION("""COMPUTED_VALUE"""),150.0)</f>
        <v>150</v>
      </c>
      <c r="AH35" s="5"/>
      <c r="AI35" s="5">
        <f>IFERROR(__xludf.DUMMYFUNCTION("""COMPUTED_VALUE"""),339.75)</f>
        <v>339.75</v>
      </c>
      <c r="AJ35" s="5">
        <f>IFERROR(__xludf.DUMMYFUNCTION("""COMPUTED_VALUE"""),373.5)</f>
        <v>373.5</v>
      </c>
      <c r="AK35" s="5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35" s="5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35" s="5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35" s="5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35" s="5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35" s="5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35" s="9" t="str">
        <f>IFERROR(__xludf.DUMMYFUNCTION("""COMPUTED_VALUE"""),"https://we-educacion.com/slides/python-avanzado-machine-learning-275")</f>
        <v>https://we-educacion.com/slides/python-avanzado-machine-learning-275</v>
      </c>
      <c r="AR35" s="5">
        <v>1.0</v>
      </c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</row>
    <row r="36" ht="15.75" customHeight="1">
      <c r="A36" s="5" t="s">
        <v>78</v>
      </c>
      <c r="B36" s="5" t="str">
        <f t="shared" si="1"/>
        <v>OCT. I - ED25</v>
      </c>
      <c r="C36" s="6" t="str">
        <f>IFERROR(__xludf.DUMMYFUNCTION("""COMPUTED_VALUE"""),"PROYECTOS")</f>
        <v>PROYECTOS</v>
      </c>
      <c r="D36" s="6" t="str">
        <f>IFERROR(__xludf.DUMMYFUNCTION("""COMPUTED_VALUE"""),"CONG")</f>
        <v>CONG</v>
      </c>
      <c r="E36" s="6" t="str">
        <f>IFERROR(__xludf.DUMMYFUNCTION("""COMPUTED_VALUE"""),"IV CONG. DIR. PROY.")</f>
        <v>IV CONG. DIR. PROY.</v>
      </c>
      <c r="F36" s="7">
        <f>IFERROR(__xludf.DUMMYFUNCTION("""COMPUTED_VALUE"""),45954.0)</f>
        <v>45954</v>
      </c>
      <c r="G36" s="6"/>
      <c r="H36" s="7"/>
      <c r="I36" s="6"/>
      <c r="J36" s="7"/>
      <c r="K36" s="6"/>
      <c r="L36" s="7"/>
      <c r="M36" s="6"/>
      <c r="N36" s="7"/>
      <c r="O36" s="6"/>
      <c r="P36" s="7"/>
      <c r="Q36" s="6"/>
      <c r="R36" s="5" t="str">
        <f>IFERROR(__xludf.DUMMYFUNCTION("""COMPUTED_VALUE"""),"Vie - Sáb")</f>
        <v>Vie - Sáb</v>
      </c>
      <c r="S36" s="6" t="str">
        <f>IFERROR(__xludf.DUMMYFUNCTION("""COMPUTED_VALUE"""),"2PM - 8PM
8AM - 2PM")</f>
        <v>2PM - 8PM
8AM - 2PM</v>
      </c>
      <c r="T36" s="7" t="str">
        <f>IFERROR(__xludf.DUMMYFUNCTION("""COMPUTED_VALUE"""),"Viernes 24 Octubre")</f>
        <v>Viernes 24 Octubre</v>
      </c>
      <c r="U36" s="7" t="str">
        <f>IFERROR(__xludf.DUMMYFUNCTION("""COMPUTED_VALUE"""),"Sábado 25 Octubre")</f>
        <v>Sábado 25 Octubre</v>
      </c>
      <c r="V36" s="8">
        <f>IFERROR(__xludf.DUMMYFUNCTION("""COMPUTED_VALUE"""),2.0)</f>
        <v>2</v>
      </c>
      <c r="W36" s="5"/>
      <c r="X36" s="5"/>
      <c r="Y36" s="5"/>
      <c r="Z36" s="5"/>
      <c r="AA36" s="5"/>
      <c r="AB36" s="6"/>
      <c r="AC36" s="6"/>
      <c r="AD36" s="6"/>
      <c r="AE36" s="6"/>
      <c r="AF36" s="6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 t="str">
        <f>IFERROR(__xludf.DUMMYFUNCTION("""COMPUTED_VALUE"""),"#N/A")</f>
        <v>#N/A</v>
      </c>
      <c r="AR36" s="5">
        <v>1.0</v>
      </c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</row>
    <row r="37" ht="15.75" customHeight="1">
      <c r="A37" s="5" t="s">
        <v>79</v>
      </c>
      <c r="B37" s="5" t="str">
        <f t="shared" si="1"/>
        <v>OCT. I - ED25</v>
      </c>
      <c r="C37" s="6" t="str">
        <f>IFERROR(__xludf.DUMMYFUNCTION("""COMPUTED_VALUE"""),"SAP")</f>
        <v>SAP</v>
      </c>
      <c r="D37" s="5" t="str">
        <f>IFERROR(__xludf.DUMMYFUNCTION("""COMPUTED_VALUE"""),"CURSO")</f>
        <v>CURSO</v>
      </c>
      <c r="E37" s="6" t="str">
        <f>IFERROR(__xludf.DUMMYFUNCTION("""COMPUTED_VALUE"""),"SAP HANA SD")</f>
        <v>SAP HANA SD</v>
      </c>
      <c r="F37" s="7">
        <f>IFERROR(__xludf.DUMMYFUNCTION("""COMPUTED_VALUE"""),45955.0)</f>
        <v>45955</v>
      </c>
      <c r="G37" s="6"/>
      <c r="H37" s="7"/>
      <c r="I37" s="6"/>
      <c r="J37" s="7"/>
      <c r="K37" s="6"/>
      <c r="L37" s="7"/>
      <c r="M37" s="6"/>
      <c r="N37" s="7"/>
      <c r="O37" s="6"/>
      <c r="P37" s="7"/>
      <c r="Q37" s="6" t="str">
        <f>IFERROR(__xludf.DUMMYFUNCTION("""COMPUTED_VALUE"""),"Andy Leyton")</f>
        <v>Andy Leyton</v>
      </c>
      <c r="R37" s="5" t="str">
        <f>IFERROR(__xludf.DUMMYFUNCTION("""COMPUTED_VALUE"""),"Sáb")</f>
        <v>Sáb</v>
      </c>
      <c r="S37" s="6" t="str">
        <f>IFERROR(__xludf.DUMMYFUNCTION("""COMPUTED_VALUE"""),"3PM - 6PM")</f>
        <v>3PM - 6PM</v>
      </c>
      <c r="T37" s="7" t="str">
        <f>IFERROR(__xludf.DUMMYFUNCTION("""COMPUTED_VALUE"""),"Sábado 25 Octubre")</f>
        <v>Sábado 25 Octubre</v>
      </c>
      <c r="U37" s="7" t="str">
        <f>IFERROR(__xludf.DUMMYFUNCTION("""COMPUTED_VALUE"""),"Sábado 6 Diciembre")</f>
        <v>Sábado 6 Diciembre</v>
      </c>
      <c r="V37" s="8">
        <f>IFERROR(__xludf.DUMMYFUNCTION("""COMPUTED_VALUE"""),6.0)</f>
        <v>6</v>
      </c>
      <c r="W37" s="5" t="str">
        <f>IFERROR(__xludf.DUMMYFUNCTION("""COMPUTED_VALUE"""),"pdfs/BROCHURE SAP S4 HANA SD.pdf")</f>
        <v>pdfs/BROCHURE SAP S4 HANA SD.pdf</v>
      </c>
      <c r="X37" s="5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37" s="5" t="str">
        <f>IFERROR(__xludf.DUMMYFUNCTION("""COMPUTED_VALUE"""),"images/sapsd.jpg")</f>
        <v>images/sapsd.jpg</v>
      </c>
      <c r="Z37" s="5" t="str">
        <f>IFERROR(__xludf.DUMMYFUNCTION("""COMPUTED_VALUE"""),"Avalado por SAP Partner Open")</f>
        <v>Avalado por SAP Partner Open</v>
      </c>
      <c r="AA37" s="5" t="str">
        <f>IFERROR(__xludf.DUMMYFUNCTION("""COMPUTED_VALUE"""),"NO")</f>
        <v>NO</v>
      </c>
      <c r="AB37" s="6">
        <f>IFERROR(__xludf.DUMMYFUNCTION("""COMPUTED_VALUE"""),900.0)</f>
        <v>900</v>
      </c>
      <c r="AC37" s="6">
        <f>IFERROR(__xludf.DUMMYFUNCTION("""COMPUTED_VALUE"""),750.0)</f>
        <v>750</v>
      </c>
      <c r="AD37" s="6">
        <f>IFERROR(__xludf.DUMMYFUNCTION("""COMPUTED_VALUE"""),450.0)</f>
        <v>450</v>
      </c>
      <c r="AE37" s="6">
        <f>IFERROR(__xludf.DUMMYFUNCTION("""COMPUTED_VALUE"""),375.0)</f>
        <v>375</v>
      </c>
      <c r="AF37" s="6">
        <f>IFERROR(__xludf.DUMMYFUNCTION("""COMPUTED_VALUE"""),150.0)</f>
        <v>150</v>
      </c>
      <c r="AG37" s="5">
        <f>IFERROR(__xludf.DUMMYFUNCTION("""COMPUTED_VALUE"""),150.0)</f>
        <v>150</v>
      </c>
      <c r="AH37" s="5"/>
      <c r="AI37" s="5">
        <f>IFERROR(__xludf.DUMMYFUNCTION("""COMPUTED_VALUE"""),337.5)</f>
        <v>337.5</v>
      </c>
      <c r="AJ37" s="5">
        <f>IFERROR(__xludf.DUMMYFUNCTION("""COMPUTED_VALUE"""),405.0)</f>
        <v>405</v>
      </c>
      <c r="AK37" s="5" t="str">
        <f>IFERROR(__xludf.DUMMYFUNCTION("""COMPUTED_VALUE"""),"Las ventas y distribución de clase mundial se gestionan con SAP HANA SD 🌍
Aprenderás a optimizar procesos comerciales, facturación y clientes en entornos prácticos 💼.
Aquí tienes la info 👇🏻")</f>
        <v>Las ventas y distribución de clase mundial se gestionan con SAP HANA SD 🌍
Aprenderás a optimizar procesos comerciales, facturación y clientes en entornos prácticos 💼.
Aquí tienes la info 👇🏻</v>
      </c>
      <c r="AL37" s="5" t="str">
        <f>IFERROR(__xludf.DUMMYFUNCTION("""COMPUTED_VALUE"""),"📦 Excelente, actualízate con SAP SD y domina la gestión de ventas y distribución.")</f>
        <v>📦 Excelente, actualízate con SAP SD y domina la gestión de ventas y distribución.</v>
      </c>
      <c r="AM37" s="5" t="str">
        <f>IFERROR(__xludf.DUMMYFUNCTION("""COMPUTED_VALUE"""),"💼 Buenísimo, SAP SD es muy valorado en empresas comerciales y de logística.")</f>
        <v>💼 Buenísimo, SAP SD es muy valorado en empresas comerciales y de logística.</v>
      </c>
      <c r="AN37" s="5" t="str">
        <f>IFERROR(__xludf.DUMMYFUNCTION("""COMPUTED_VALUE"""),"🎓 ¡Genial! Con SAP SD aprenderás gestión de ventas desde la universidad.")</f>
        <v>🎓 ¡Genial! Con SAP SD aprenderás gestión de ventas desde la universidad.</v>
      </c>
      <c r="AO37" s="5" t="str">
        <f>IFERROR(__xludf.DUMMYFUNCTION("""COMPUTED_VALUE"""),"🚀 ¡Perfecto! Con SAP SD destacarás en prácticas en áreas comerciales y de supply chain.")</f>
        <v>🚀 ¡Perfecto! Con SAP SD destacarás en prácticas en áreas comerciales y de supply chain.</v>
      </c>
      <c r="AP37" s="5" t="str">
        <f>IFERROR(__xludf.DUMMYFUNCTION("""COMPUTED_VALUE"""),"📊 ¡Excelente! Con SAP SD optimizarás las ventas y distribución en tu negocio.")</f>
        <v>📊 ¡Excelente! Con SAP SD optimizarás las ventas y distribución en tu negocio.</v>
      </c>
      <c r="AQ37" s="9" t="str">
        <f>IFERROR(__xludf.DUMMYFUNCTION("""COMPUTED_VALUE"""),"https://we-educacion.com/slides/sap-s-4-hana-sd-194")</f>
        <v>https://we-educacion.com/slides/sap-s-4-hana-sd-194</v>
      </c>
      <c r="AR37" s="5">
        <v>1.0</v>
      </c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</row>
    <row r="38" ht="15.75" customHeight="1">
      <c r="A38" s="5" t="s">
        <v>80</v>
      </c>
      <c r="B38" s="5" t="str">
        <f t="shared" si="1"/>
        <v>OCT. I - ED25</v>
      </c>
      <c r="C38" s="6" t="str">
        <f>IFERROR(__xludf.DUMMYFUNCTION("""COMPUTED_VALUE"""),"BI")</f>
        <v>BI</v>
      </c>
      <c r="D38" s="5" t="str">
        <f>IFERROR(__xludf.DUMMYFUNCTION("""COMPUTED_VALUE"""),"CURSO")</f>
        <v>CURSO</v>
      </c>
      <c r="E38" s="6" t="str">
        <f>IFERROR(__xludf.DUMMYFUNCTION("""COMPUTED_VALUE"""),"AZURE")</f>
        <v>AZURE</v>
      </c>
      <c r="F38" s="7">
        <f>IFERROR(__xludf.DUMMYFUNCTION("""COMPUTED_VALUE"""),45955.0)</f>
        <v>45955</v>
      </c>
      <c r="G38" s="6"/>
      <c r="H38" s="7"/>
      <c r="I38" s="6"/>
      <c r="J38" s="7"/>
      <c r="K38" s="6"/>
      <c r="L38" s="7"/>
      <c r="M38" s="6"/>
      <c r="N38" s="7"/>
      <c r="O38" s="6"/>
      <c r="P38" s="7"/>
      <c r="Q38" s="6" t="str">
        <f>IFERROR(__xludf.DUMMYFUNCTION("""COMPUTED_VALUE"""),"Geanfranco Palomino")</f>
        <v>Geanfranco Palomino</v>
      </c>
      <c r="R38" s="5" t="str">
        <f>IFERROR(__xludf.DUMMYFUNCTION("""COMPUTED_VALUE"""),"Sáb")</f>
        <v>Sáb</v>
      </c>
      <c r="S38" s="6" t="str">
        <f>IFERROR(__xludf.DUMMYFUNCTION("""COMPUTED_VALUE"""),"3PM - 6PM")</f>
        <v>3PM - 6PM</v>
      </c>
      <c r="T38" s="7" t="str">
        <f>IFERROR(__xludf.DUMMYFUNCTION("""COMPUTED_VALUE"""),"Sábado 25 Octubre")</f>
        <v>Sábado 25 Octubre</v>
      </c>
      <c r="U38" s="7" t="str">
        <f>IFERROR(__xludf.DUMMYFUNCTION("""COMPUTED_VALUE"""),"Sábado 6 Diciembre")</f>
        <v>Sábado 6 Diciembre</v>
      </c>
      <c r="V38" s="8">
        <f>IFERROR(__xludf.DUMMYFUNCTION("""COMPUTED_VALUE"""),6.0)</f>
        <v>6</v>
      </c>
      <c r="W38" s="5" t="str">
        <f>IFERROR(__xludf.DUMMYFUNCTION("""COMPUTED_VALUE"""),"pdfs/BROCHURE AZURE DATA FUNDAMENTALS.pdf")</f>
        <v>pdfs/BROCHURE AZURE DATA FUNDAMENTALS.pdf</v>
      </c>
      <c r="X38" s="6" t="str">
        <f>IFERROR(__xludf.DUMMYFUNCTION("""COMPUTED_VALUE"""),"🔹 Utilizarán Azure Cloud 👩🏻‍💻
👉🏼 Te guiamos en clases a crear tu Cuenta 
🚨 Por favor, revisa el BROCHURE 👇🏻
Aqui encontrarás la información completa del programa: Temario (malla curricular) y todos los BENEFICIOS 📚")</f>
        <v>🔹 Utilizarán Azure Cloud 👩🏻‍💻
👉🏼 Te guiamos en clases a crear tu Cuenta 
🚨 Por favor, revisa el BROCHURE 👇🏻
Aqui encontrarás la información completa del programa: Temario (malla curricular) y todos los BENEFICIOS 📚</v>
      </c>
      <c r="Y38" s="5" t="str">
        <f>IFERROR(__xludf.DUMMYFUNCTION("""COMPUTED_VALUE"""),"images/azure.jpg")</f>
        <v>images/azure.jpg</v>
      </c>
      <c r="Z38" s="5"/>
      <c r="AA38" s="5"/>
      <c r="AB38" s="6">
        <f>IFERROR(__xludf.DUMMYFUNCTION("""COMPUTED_VALUE"""),600.0)</f>
        <v>600</v>
      </c>
      <c r="AC38" s="6">
        <f>IFERROR(__xludf.DUMMYFUNCTION("""COMPUTED_VALUE"""),550.0)</f>
        <v>550</v>
      </c>
      <c r="AD38" s="6">
        <f>IFERROR(__xludf.DUMMYFUNCTION("""COMPUTED_VALUE"""),300.0)</f>
        <v>300</v>
      </c>
      <c r="AE38" s="6">
        <f>IFERROR(__xludf.DUMMYFUNCTION("""COMPUTED_VALUE"""),275.0)</f>
        <v>275</v>
      </c>
      <c r="AF38" s="6">
        <f>IFERROR(__xludf.DUMMYFUNCTION("""COMPUTED_VALUE"""),150.0)</f>
        <v>150</v>
      </c>
      <c r="AG38" s="5">
        <f>IFERROR(__xludf.DUMMYFUNCTION("""COMPUTED_VALUE"""),150.0)</f>
        <v>150</v>
      </c>
      <c r="AH38" s="5"/>
      <c r="AI38" s="5">
        <f>IFERROR(__xludf.DUMMYFUNCTION("""COMPUTED_VALUE"""),247.5)</f>
        <v>247.5</v>
      </c>
      <c r="AJ38" s="5">
        <f>IFERROR(__xludf.DUMMYFUNCTION("""COMPUTED_VALUE"""),270.0)</f>
        <v>270</v>
      </c>
      <c r="AK38" s="5" t="str">
        <f>IFERROR(__xludf.DUMMYFUNCTION("""COMPUTED_VALUE"""),"El futuro de la tecnología se escribe en la nube 🌐
Con Azure dominarás servicios en la nube de manera práctica y aplicable, con proyectos reales 💻.
Aquí tienes la info a detalle 👇🏻")</f>
        <v>El futuro de la tecnología se escribe en la nube 🌐
Con Azure dominarás servicios en la nube de manera práctica y aplicable, con proyectos reales 💻.
Aquí tienes la info a detalle 👇🏻</v>
      </c>
      <c r="AL38" s="5" t="str">
        <f>IFERROR(__xludf.DUMMYFUNCTION("""COMPUTED_VALUE"""),"☁️ *Excelente*, actualízate con *Azure* y mantente a la vanguardia en computación en la nube.")</f>
        <v>☁️ *Excelente*, actualízate con *Azure* y mantente a la vanguardia en computación en la nube.</v>
      </c>
      <c r="AM38" s="5" t="str">
        <f>IFERROR(__xludf.DUMMYFUNCTION("""COMPUTED_VALUE"""),"💼 Buenísimo, *Azure* es muy solicitado en empresas. Dominarlo aumentará tus oportunidades laborales.")</f>
        <v>💼 Buenísimo, *Azure* es muy solicitado en empresas. Dominarlo aumentará tus oportunidades laborales.</v>
      </c>
      <c r="AN38" s="5" t="str">
        <f>IFERROR(__xludf.DUMMYFUNCTION("""COMPUTED_VALUE"""),"📘 ¡Excelente! Con *Azure* sumarás una habilidad clave que te diferenciará desde la universidad.")</f>
        <v>📘 ¡Excelente! Con *Azure* sumarás una habilidad clave que te diferenciará desde la universidad.</v>
      </c>
      <c r="AO38" s="5" t="str">
        <f>IFERROR(__xludf.DUMMYFUNCTION("""COMPUTED_VALUE"""),"🚀 ¡Perfecto! Con *Azure* tendrás ventaja para conseguir prácticas en proyectos de nube.")</f>
        <v>🚀 ¡Perfecto! Con *Azure* tendrás ventaja para conseguir prácticas en proyectos de nube.</v>
      </c>
      <c r="AP38" s="5" t="str">
        <f>IFERROR(__xludf.DUMMYFUNCTION("""COMPUTED_VALUE"""),"📊 ¡Muy bien! Con *Azure* podrás escalar tus propios proyectos y negocios de manera profesional.")</f>
        <v>📊 ¡Muy bien! Con *Azure* podrás escalar tus propios proyectos y negocios de manera profesional.</v>
      </c>
      <c r="AQ38" s="9" t="str">
        <f>IFERROR(__xludf.DUMMYFUNCTION("""COMPUTED_VALUE"""),"https://we-educacion.com/slides/azure-data-fundamentals-1225#")</f>
        <v>https://we-educacion.com/slides/azure-data-fundamentals-1225#</v>
      </c>
      <c r="AR38" s="5">
        <v>1.0</v>
      </c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</row>
    <row r="39" ht="15.75" customHeight="1">
      <c r="A39" s="5" t="s">
        <v>81</v>
      </c>
      <c r="B39" s="5" t="str">
        <f t="shared" si="1"/>
        <v>OCT. II - ED25</v>
      </c>
      <c r="C39" s="6" t="str">
        <f>IFERROR(__xludf.DUMMYFUNCTION("""COMPUTED_VALUE"""),"PROCESOS")</f>
        <v>PROCESOS</v>
      </c>
      <c r="D39" s="5" t="str">
        <f>IFERROR(__xludf.DUMMYFUNCTION("""COMPUTED_VALUE"""),"CURSO")</f>
        <v>CURSO</v>
      </c>
      <c r="E39" s="6" t="str">
        <f>IFERROR(__xludf.DUMMYFUNCTION("""COMPUTED_VALUE"""),"ROBOTIZ.  UIPATH")</f>
        <v>ROBOTIZ.  UIPATH</v>
      </c>
      <c r="F39" s="7">
        <f>IFERROR(__xludf.DUMMYFUNCTION("""COMPUTED_VALUE"""),45956.0)</f>
        <v>45956</v>
      </c>
      <c r="G39" s="6"/>
      <c r="H39" s="7"/>
      <c r="I39" s="6"/>
      <c r="J39" s="7"/>
      <c r="K39" s="6"/>
      <c r="L39" s="7"/>
      <c r="M39" s="6"/>
      <c r="N39" s="7"/>
      <c r="O39" s="6"/>
      <c r="P39" s="7"/>
      <c r="Q39" s="6" t="str">
        <f>IFERROR(__xludf.DUMMYFUNCTION("""COMPUTED_VALUE"""),"Christian Rojas")</f>
        <v>Christian Rojas</v>
      </c>
      <c r="R39" s="5" t="str">
        <f>IFERROR(__xludf.DUMMYFUNCTION("""COMPUTED_VALUE"""),"Dom")</f>
        <v>Dom</v>
      </c>
      <c r="S39" s="6" t="str">
        <f>IFERROR(__xludf.DUMMYFUNCTION("""COMPUTED_VALUE"""),"9AM - 12PM")</f>
        <v>9AM - 12PM</v>
      </c>
      <c r="T39" s="7" t="str">
        <f>IFERROR(__xludf.DUMMYFUNCTION("""COMPUTED_VALUE"""),"Domingo 26 Octubre")</f>
        <v>Domingo 26 Octubre</v>
      </c>
      <c r="U39" s="7" t="str">
        <f>IFERROR(__xludf.DUMMYFUNCTION("""COMPUTED_VALUE"""),"Domingo 30 Noviembre")</f>
        <v>Domingo 30 Noviembre</v>
      </c>
      <c r="V39" s="8">
        <f>IFERROR(__xludf.DUMMYFUNCTION("""COMPUTED_VALUE"""),6.0)</f>
        <v>6</v>
      </c>
      <c r="W39" s="5" t="str">
        <f>IFERROR(__xludf.DUMMYFUNCTION("""COMPUTED_VALUE"""),"pdfs/BROCHURE ROBOTIZACIÓN DE PROCESOS CON UIPATH.pdf")</f>
        <v>pdfs/BROCHURE ROBOTIZACIÓN DE PROCESOS CON UIPATH.pdf</v>
      </c>
      <c r="X39" s="5" t="str">
        <f>IFERROR(__xludf.DUMMYFUNCTION("""COMPUTED_VALUE"""),"🔵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9" s="5" t="str">
        <f>IFERROR(__xludf.DUMMYFUNCTION("""COMPUTED_VALUE"""),"images/uipath.jpg")</f>
        <v>images/uipath.jpg</v>
      </c>
      <c r="Z39" s="5"/>
      <c r="AA39" s="5" t="str">
        <f>IFERROR(__xludf.DUMMYFUNCTION("""COMPUTED_VALUE"""),"NO")</f>
        <v>NO</v>
      </c>
      <c r="AB39" s="6">
        <f>IFERROR(__xludf.DUMMYFUNCTION("""COMPUTED_VALUE"""),780.0)</f>
        <v>780</v>
      </c>
      <c r="AC39" s="6">
        <f>IFERROR(__xludf.DUMMYFUNCTION("""COMPUTED_VALUE"""),690.0)</f>
        <v>690</v>
      </c>
      <c r="AD39" s="6">
        <f>IFERROR(__xludf.DUMMYFUNCTION("""COMPUTED_VALUE"""),390.0)</f>
        <v>390</v>
      </c>
      <c r="AE39" s="6">
        <f>IFERROR(__xludf.DUMMYFUNCTION("""COMPUTED_VALUE"""),345.0)</f>
        <v>345</v>
      </c>
      <c r="AF39" s="6">
        <f>IFERROR(__xludf.DUMMYFUNCTION("""COMPUTED_VALUE"""),150.0)</f>
        <v>150</v>
      </c>
      <c r="AG39" s="5">
        <f>IFERROR(__xludf.DUMMYFUNCTION("""COMPUTED_VALUE"""),150.0)</f>
        <v>150</v>
      </c>
      <c r="AH39" s="5"/>
      <c r="AI39" s="5">
        <f>IFERROR(__xludf.DUMMYFUNCTION("""COMPUTED_VALUE"""),310.5)</f>
        <v>310.5</v>
      </c>
      <c r="AJ39" s="5">
        <f>IFERROR(__xludf.DUMMYFUNCTION("""COMPUTED_VALUE"""),351.0)</f>
        <v>351</v>
      </c>
      <c r="AK39" s="5" t="str">
        <f>IFERROR(__xludf.DUMMYFUNCTION("""COMPUTED_VALUE"""),"La eficiencia empresarial avanza con automatización robótica ⚙️
Con UiPath aprenderás a robotizar procesos repetitivos y ahorrar recursos 💼.
Aquí tienes la info 👇🏻")</f>
        <v>La eficiencia empresarial avanza con automatización robótica ⚙️
Con UiPath aprenderás a robotizar procesos repetitivos y ahorrar recursos 💼.
Aquí tienes la info 👇🏻</v>
      </c>
      <c r="AL39" s="5" t="str">
        <f>IFERROR(__xludf.DUMMYFUNCTION("""COMPUTED_VALUE"""),"🤖 Excelente, actualízate con UiPath y domina la automatización robótica de procesos.")</f>
        <v>🤖 Excelente, actualízate con UiPath y domina la automatización robótica de procesos.</v>
      </c>
      <c r="AM39" s="5" t="str">
        <f>IFERROR(__xludf.DUMMYFUNCTION("""COMPUTED_VALUE"""),"💼 Buenísimo, RPA con UiPath es muy demandado en empresas que digitalizan operaciones.")</f>
        <v>💼 Buenísimo, RPA con UiPath es muy demandado en empresas que digitalizan operaciones.</v>
      </c>
      <c r="AN39" s="5" t="str">
        <f>IFERROR(__xludf.DUMMYFUNCTION("""COMPUTED_VALUE"""),"🎓 ¡Genial! Aprender UiPath en la universidad te pondrá al nivel de la industria.")</f>
        <v>🎓 ¡Genial! Aprender UiPath en la universidad te pondrá al nivel de la industria.</v>
      </c>
      <c r="AO39" s="5" t="str">
        <f>IFERROR(__xludf.DUMMYFUNCTION("""COMPUTED_VALUE"""),"🚀 ¡Perfecto! Con UiPath destacarás en prácticas relacionadas con innovación tecnológica.")</f>
        <v>🚀 ¡Perfecto! Con UiPath destacarás en prácticas relacionadas con innovación tecnológica.</v>
      </c>
      <c r="AP39" s="5" t="str">
        <f>IFERROR(__xludf.DUMMYFUNCTION("""COMPUTED_VALUE"""),"📊 ¡Excelente! Con UiPath podrás automatizar procesos y ahorrar tiempo en tu negocio.")</f>
        <v>📊 ¡Excelente! Con UiPath podrás automatizar procesos y ahorrar tiempo en tu negocio.</v>
      </c>
      <c r="AQ39" s="9" t="str">
        <f>IFERROR(__xludf.DUMMYFUNCTION("""COMPUTED_VALUE"""),"https://we-educacion.com/slides/robotizacion-de-procesos-con-uipath-274")</f>
        <v>https://we-educacion.com/slides/robotizacion-de-procesos-con-uipath-274</v>
      </c>
      <c r="AR39" s="5">
        <v>1.0</v>
      </c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</row>
    <row r="40" ht="15.75" customHeight="1">
      <c r="A40" s="5" t="s">
        <v>82</v>
      </c>
      <c r="B40" s="5" t="str">
        <f t="shared" si="1"/>
        <v>OCT. I - ED25</v>
      </c>
      <c r="C40" s="6" t="str">
        <f>IFERROR(__xludf.DUMMYFUNCTION("""COMPUTED_VALUE"""),"PROCESOS")</f>
        <v>PROCESOS</v>
      </c>
      <c r="D40" s="6" t="str">
        <f>IFERROR(__xludf.DUMMYFUNCTION("""COMPUTED_VALUE"""),"CURSO")</f>
        <v>CURSO</v>
      </c>
      <c r="E40" s="6" t="str">
        <f>IFERROR(__xludf.DUMMYFUNCTION("""COMPUTED_VALUE"""),"KPIS Y OKRS")</f>
        <v>KPIS Y OKRS</v>
      </c>
      <c r="F40" s="7">
        <f>IFERROR(__xludf.DUMMYFUNCTION("""COMPUTED_VALUE"""),45956.0)</f>
        <v>45956</v>
      </c>
      <c r="G40" s="6"/>
      <c r="H40" s="7"/>
      <c r="I40" s="6"/>
      <c r="J40" s="7"/>
      <c r="K40" s="6"/>
      <c r="L40" s="7"/>
      <c r="M40" s="6"/>
      <c r="N40" s="7"/>
      <c r="O40" s="6"/>
      <c r="P40" s="7"/>
      <c r="Q40" s="6" t="str">
        <f>IFERROR(__xludf.DUMMYFUNCTION("""COMPUTED_VALUE"""),"Luis Euribe")</f>
        <v>Luis Euribe</v>
      </c>
      <c r="R40" s="5" t="str">
        <f>IFERROR(__xludf.DUMMYFUNCTION("""COMPUTED_VALUE"""),"Dom")</f>
        <v>Dom</v>
      </c>
      <c r="S40" s="6" t="str">
        <f>IFERROR(__xludf.DUMMYFUNCTION("""COMPUTED_VALUE"""),"9AM - 12PM")</f>
        <v>9AM - 12PM</v>
      </c>
      <c r="T40" s="7" t="str">
        <f>IFERROR(__xludf.DUMMYFUNCTION("""COMPUTED_VALUE"""),"Domingo 26 Octubre")</f>
        <v>Domingo 26 Octubre</v>
      </c>
      <c r="U40" s="7" t="str">
        <f>IFERROR(__xludf.DUMMYFUNCTION("""COMPUTED_VALUE"""),"Domingo 30 Noviembre")</f>
        <v>Domingo 30 Noviembre</v>
      </c>
      <c r="V40" s="8">
        <f>IFERROR(__xludf.DUMMYFUNCTION("""COMPUTED_VALUE"""),5.0)</f>
        <v>5</v>
      </c>
      <c r="W40" s="5" t="str">
        <f>IFERROR(__xludf.DUMMYFUNCTION("""COMPUTED_VALUE"""),"pdfs/BROCHURE KPI'S Y OKR'S.pdf")</f>
        <v>pdfs/BROCHURE KPI'S Y OKR'S.pdf</v>
      </c>
      <c r="X40" s="5" t="str">
        <f>IFERROR(__xludf.DUMMYFUNCTION("""COMPUTED_VALUE"""),"🔵*¡Certificado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for"&amp;"matos
🚨 *Por favor, revisa el BROCHURE* 👇🏻
Aqui encontrarás la información completa del programa, el TEMARIO (malla curricular) y todos los BENEFICIOS 📚")</f>
        <v>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*Por favor, revisa el BROCHURE* 👇🏻
Aqui encontrarás la información completa del programa, el TEMARIO (malla curricular) y todos los BENEFICIOS 📚</v>
      </c>
      <c r="Y40" s="5" t="str">
        <f>IFERROR(__xludf.DUMMYFUNCTION("""COMPUTED_VALUE"""),"images/kpis.jpg")</f>
        <v>images/kpis.jpg</v>
      </c>
      <c r="Z40" s="5" t="str">
        <f>IFERROR(__xludf.DUMMYFUNCTION("""COMPUTED_VALUE"""),"Avalado por Microsoft Partner Network")</f>
        <v>Avalado por Microsoft Partner Network</v>
      </c>
      <c r="AA40" s="5" t="str">
        <f>IFERROR(__xludf.DUMMYFUNCTION("""COMPUTED_VALUE"""),"NO")</f>
        <v>NO</v>
      </c>
      <c r="AB40" s="6">
        <f>IFERROR(__xludf.DUMMYFUNCTION("""COMPUTED_VALUE"""),700.0)</f>
        <v>700</v>
      </c>
      <c r="AC40" s="6">
        <f>IFERROR(__xludf.DUMMYFUNCTION("""COMPUTED_VALUE"""),636.0)</f>
        <v>636</v>
      </c>
      <c r="AD40" s="6">
        <f>IFERROR(__xludf.DUMMYFUNCTION("""COMPUTED_VALUE"""),350.0)</f>
        <v>350</v>
      </c>
      <c r="AE40" s="6">
        <f>IFERROR(__xludf.DUMMYFUNCTION("""COMPUTED_VALUE"""),318.0)</f>
        <v>318</v>
      </c>
      <c r="AF40" s="6">
        <f>IFERROR(__xludf.DUMMYFUNCTION("""COMPUTED_VALUE"""),150.0)</f>
        <v>150</v>
      </c>
      <c r="AG40" s="5">
        <f>IFERROR(__xludf.DUMMYFUNCTION("""COMPUTED_VALUE"""),150.0)</f>
        <v>150</v>
      </c>
      <c r="AH40" s="5"/>
      <c r="AI40" s="5">
        <f>IFERROR(__xludf.DUMMYFUNCTION("""COMPUTED_VALUE"""),286.2)</f>
        <v>286.2</v>
      </c>
      <c r="AJ40" s="5">
        <f>IFERROR(__xludf.DUMMYFUNCTION("""COMPUTED_VALUE"""),315.0)</f>
        <v>315</v>
      </c>
      <c r="AK40" s="5" t="str">
        <f>IFERROR(__xludf.DUMMYFUNCTION("""COMPUTED_VALUE"""),"El éxito de los líderes está en medir lo que importa 📈
Con KPIs y OKRs aprenderás a establecer indicadores y objetivos estratégicos aplicados a casos reales 💼.
Aquí la información completa 👇🏻")</f>
        <v>El éxito de los líderes está en medir lo que importa 📈
Con KPIs y OKRs aprenderás a establecer indicadores y objetivos estratégicos aplicados a casos reales 💼.
Aquí la información completa 👇🏻</v>
      </c>
      <c r="AL40" s="5" t="str">
        <f>IFERROR(__xludf.DUMMYFUNCTION("""COMPUTED_VALUE"""),"🌍 *Excelente*, actualízate con *KPIS Y OKRS* y mantente competitivo en el mercado laboral.")</f>
        <v>🌍 *Excelente*, actualízate con *KPIS Y OKRS* y mantente competitivo en el mercado laboral.</v>
      </c>
      <c r="AM40" s="5" t="str">
        <f>IFERROR(__xludf.DUMMYFUNCTION("""COMPUTED_VALUE"""),"✨ Buenísimo, *KPIS Y OKRS* es de las competencias más pedidas por las empresas y aumentará tus oportunidades laborales.")</f>
        <v>✨ Buenísimo, *KPIS Y OKRS* es de las competencias más pedidas por las empresas y aumentará tus oportunidades laborales.</v>
      </c>
      <c r="AN40" s="5" t="str">
        <f>IFERROR(__xludf.DUMMYFUNCTION("""COMPUTED_VALUE"""),"🌍 ¡Genial! Con *KPIS Y OKRS* sumarás una habilidad poderosa que te diferenciará desde la universidad.")</f>
        <v>🌍 ¡Genial! Con *KPIS Y OKRS* sumarás una habilidad poderosa que te diferenciará desde la universidad.</v>
      </c>
      <c r="AO40" s="5" t="str">
        <f>IFERROR(__xludf.DUMMYFUNCTION("""COMPUTED_VALUE"""),"🛠️ ¡Perfecto! Saber *KPIS Y OKRS* te dará ventaja frente a otros postulantes para conseguir prácticas.")</f>
        <v>🛠️ ¡Perfecto! Saber *KPIS Y OKRS* te dará ventaja frente a otros postulantes para conseguir prácticas.</v>
      </c>
      <c r="AP40" s="5" t="str">
        <f>IFERROR(__xludf.DUMMYFUNCTION("""COMPUTED_VALUE"""),"🎓 ¡Excelente! Con *KPIS Y OKRS* podrás aplicarlo en tu negocio y tomar decisiones más inteligentes.")</f>
        <v>🎓 ¡Excelente! Con *KPIS Y OKRS* podrás aplicarlo en tu negocio y tomar decisiones más inteligentes.</v>
      </c>
      <c r="AQ40" s="9" t="str">
        <f>IFERROR(__xludf.DUMMYFUNCTION("""COMPUTED_VALUE"""),"https://we-educacion.com/slides/kpi-s-y-okr-s-203")</f>
        <v>https://we-educacion.com/slides/kpi-s-y-okr-s-203</v>
      </c>
      <c r="AR40" s="5">
        <v>1.0</v>
      </c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</row>
    <row r="41" ht="15.75" customHeight="1">
      <c r="A41" s="5" t="s">
        <v>83</v>
      </c>
      <c r="B41" s="5" t="str">
        <f t="shared" si="1"/>
        <v>OCT. I - ED25</v>
      </c>
      <c r="C41" s="6" t="str">
        <f>IFERROR(__xludf.DUMMYFUNCTION("""COMPUTED_VALUE"""),"BI")</f>
        <v>BI</v>
      </c>
      <c r="D41" s="6" t="str">
        <f>IFERROR(__xludf.DUMMYFUNCTION("""COMPUTED_VALUE"""),"CURSO")</f>
        <v>CURSO</v>
      </c>
      <c r="E41" s="6" t="str">
        <f>IFERROR(__xludf.DUMMYFUNCTION("""COMPUTED_VALUE"""),"POWER BI PRESENCIAL")</f>
        <v>POWER BI PRESENCIAL</v>
      </c>
      <c r="F41" s="7">
        <f>IFERROR(__xludf.DUMMYFUNCTION("""COMPUTED_VALUE"""),45956.0)</f>
        <v>45956</v>
      </c>
      <c r="G41" s="6"/>
      <c r="H41" s="7"/>
      <c r="I41" s="6"/>
      <c r="J41" s="7"/>
      <c r="K41" s="6"/>
      <c r="L41" s="7"/>
      <c r="M41" s="6"/>
      <c r="N41" s="7"/>
      <c r="O41" s="6"/>
      <c r="P41" s="7"/>
      <c r="Q41" s="6" t="str">
        <f>IFERROR(__xludf.DUMMYFUNCTION("""COMPUTED_VALUE"""),"Ricardo Crispin")</f>
        <v>Ricardo Crispin</v>
      </c>
      <c r="R41" s="5" t="str">
        <f>IFERROR(__xludf.DUMMYFUNCTION("""COMPUTED_VALUE"""),"Dom")</f>
        <v>Dom</v>
      </c>
      <c r="S41" s="6" t="str">
        <f>IFERROR(__xludf.DUMMYFUNCTION("""COMPUTED_VALUE"""),"9AM - 1PM")</f>
        <v>9AM - 1PM</v>
      </c>
      <c r="T41" s="7" t="str">
        <f>IFERROR(__xludf.DUMMYFUNCTION("""COMPUTED_VALUE"""),"Domingo 26 Octubre")</f>
        <v>Domingo 26 Octubre</v>
      </c>
      <c r="U41" s="7" t="str">
        <f>IFERROR(__xludf.DUMMYFUNCTION("""COMPUTED_VALUE"""),"Domingo 23 Noviembre")</f>
        <v>Domingo 23 Noviembre</v>
      </c>
      <c r="V41" s="8">
        <f>IFERROR(__xludf.DUMMYFUNCTION("""COMPUTED_VALUE"""),5.0)</f>
        <v>5</v>
      </c>
      <c r="W41" s="5" t="str">
        <f>IFERROR(__xludf.DUMMYFUNCTION("""COMPUTED_VALUE"""),"pdfs/BROCHURE POWER BI PRESENCIAL.pdf")</f>
        <v>pdfs/BROCHURE POWER BI PRESENCIAL.pdf</v>
      </c>
      <c r="X41" s="5" t="str">
        <f>IFERROR(__xludf.DUMMYFUNCTION("""COMPUTED_VALUE"""),"🔹 Recuerda que si traes tu Propia Laptop a todas las sesiones, te descontamos S/50 en tu inscripción
🚨 Por favor, revisa el BROCHURE 👇🏻
Aqui encontrarás la información completa del programa: Temario (malla curricular) y todos los BENEFICIOS 📚
👉🏼 "&amp;"Te comparto un Modelo de Certificado que elevará tu perfil profesional ")</f>
        <v>🔹 Recuerda que si traes tu Propia Laptop a todas las sesiones, te descontamos S/50 en tu inscripción
🚨 Por favor, revisa el BROCHURE 👇🏻
Aqui encontrarás la información completa del programa: Temario (malla curricular) y todos los BENEFICIOS 📚
👉🏼 Te comparto un Modelo de Certificado que elevará tu perfil profesional </v>
      </c>
      <c r="Y41" s="5" t="str">
        <f>IFERROR(__xludf.DUMMYFUNCTION("""COMPUTED_VALUE"""),"images/powerbipres.jpg")</f>
        <v>images/powerbipres.jpg</v>
      </c>
      <c r="Z41" s="5" t="str">
        <f>IFERROR(__xludf.DUMMYFUNCTION("""COMPUTED_VALUE"""),"Avalado por Microsoft Partner Network")</f>
        <v>Avalado por Microsoft Partner Network</v>
      </c>
      <c r="AA41" s="5" t="str">
        <f>IFERROR(__xludf.DUMMYFUNCTION("""COMPUTED_VALUE"""),"NO")</f>
        <v>NO</v>
      </c>
      <c r="AB41" s="6">
        <f>IFERROR(__xludf.DUMMYFUNCTION("""COMPUTED_VALUE"""),940.0)</f>
        <v>940</v>
      </c>
      <c r="AC41" s="6">
        <f>IFERROR(__xludf.DUMMYFUNCTION("""COMPUTED_VALUE"""),860.0)</f>
        <v>860</v>
      </c>
      <c r="AD41" s="6">
        <f>IFERROR(__xludf.DUMMYFUNCTION("""COMPUTED_VALUE"""),470.0)</f>
        <v>470</v>
      </c>
      <c r="AE41" s="6">
        <f>IFERROR(__xludf.DUMMYFUNCTION("""COMPUTED_VALUE"""),430.0)</f>
        <v>430</v>
      </c>
      <c r="AF41" s="6">
        <f>IFERROR(__xludf.DUMMYFUNCTION("""COMPUTED_VALUE"""),150.0)</f>
        <v>150</v>
      </c>
      <c r="AG41" s="5">
        <f>IFERROR(__xludf.DUMMYFUNCTION("""COMPUTED_VALUE"""),150.0)</f>
        <v>150</v>
      </c>
      <c r="AH41" s="5"/>
      <c r="AI41" s="5">
        <f>IFERROR(__xludf.DUMMYFUNCTION("""COMPUTED_VALUE"""),387.0)</f>
        <v>387</v>
      </c>
      <c r="AJ41" s="5">
        <f>IFERROR(__xludf.DUMMYFUNCTION("""COMPUTED_VALUE"""),423.0)</f>
        <v>423</v>
      </c>
      <c r="AK41" s="5" t="str">
        <f>IFERROR(__xludf.DUMMYFUNCTION("""COMPUTED_VALUE"""),"La ventaja competitiva se gana con análisis de datos en vivo 📊
Con Power BI Presencial aprenderás a crear dashboards e informes aplicados a negocios reales 💼.
Aquí tienes la info 👇🏻")</f>
        <v>La ventaja competitiva se gana con análisis de datos en vivo 📊
Con Power BI Presencial aprenderás a crear dashboards e informes aplicados a negocios reales 💼.
Aquí tienes la info 👇🏻</v>
      </c>
      <c r="AL41" s="5" t="str">
        <f>IFERROR(__xludf.DUMMYFUNCTION("""COMPUTED_VALUE"""),"📊 Excelente, actualízate con Power BI Presencial y desarrolla tu capacidad de análisis estratégico.")</f>
        <v>📊 Excelente, actualízate con Power BI Presencial y desarrolla tu capacidad de análisis estratégico.</v>
      </c>
      <c r="AM41" s="5" t="str">
        <f>IFERROR(__xludf.DUMMYFUNCTION("""COMPUTED_VALUE"""),"💼 Buenísimo, Power BI es una de las herramientas más pedidas en el mercado laboral.")</f>
        <v>💼 Buenísimo, Power BI es una de las herramientas más pedidas en el mercado laboral.</v>
      </c>
      <c r="AN41" s="5" t="str">
        <f>IFERROR(__xludf.DUMMYFUNCTION("""COMPUTED_VALUE"""),"🎓 ¡Genial! Desde la universidad, aprender Power BI te dará un diferencial frente a tus compañeros.")</f>
        <v>🎓 ¡Genial! Desde la universidad, aprender Power BI te dará un diferencial frente a tus compañeros.</v>
      </c>
      <c r="AO41" s="5" t="str">
        <f>IFERROR(__xludf.DUMMYFUNCTION("""COMPUTED_VALUE"""),"🚀 ¡Perfecto! Dominar Power BI te permitirá acceder a prácticas en análisis de datos con ventaja.")</f>
        <v>🚀 ¡Perfecto! Dominar Power BI te permitirá acceder a prácticas en análisis de datos con ventaja.</v>
      </c>
      <c r="AP41" s="5" t="str">
        <f>IFERROR(__xludf.DUMMYFUNCTION("""COMPUTED_VALUE"""),"📈 ¡Excelente! Con Power BI Presencial mejorarás la toma de decisiones en tu negocio.")</f>
        <v>📈 ¡Excelente! Con Power BI Presencial mejorarás la toma de decisiones en tu negocio.</v>
      </c>
      <c r="AQ41" s="9" t="str">
        <f>IFERROR(__xludf.DUMMYFUNCTION("""COMPUTED_VALUE"""),"https://we-educacion.com/slides/power-bi-presencial-463")</f>
        <v>https://we-educacion.com/slides/power-bi-presencial-463</v>
      </c>
      <c r="AR41" s="5">
        <v>1.0</v>
      </c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</row>
    <row r="42" ht="15.75" customHeight="1">
      <c r="A42" s="5" t="s">
        <v>84</v>
      </c>
      <c r="B42" s="5" t="str">
        <f t="shared" si="1"/>
        <v>OCT. I - ED25</v>
      </c>
      <c r="C42" s="6" t="str">
        <f>IFERROR(__xludf.DUMMYFUNCTION("""COMPUTED_VALUE"""),"LOGÍSTICA")</f>
        <v>LOGÍSTICA</v>
      </c>
      <c r="D42" s="6" t="str">
        <f>IFERROR(__xludf.DUMMYFUNCTION("""COMPUTED_VALUE"""),"CURSO")</f>
        <v>CURSO</v>
      </c>
      <c r="E42" s="6" t="str">
        <f>IFERROR(__xludf.DUMMYFUNCTION("""COMPUTED_VALUE"""),"GER. CENTRO DISTRIB.")</f>
        <v>GER. CENTRO DISTRIB.</v>
      </c>
      <c r="F42" s="7">
        <f>IFERROR(__xludf.DUMMYFUNCTION("""COMPUTED_VALUE"""),45960.0)</f>
        <v>45960</v>
      </c>
      <c r="G42" s="6"/>
      <c r="H42" s="7"/>
      <c r="I42" s="6"/>
      <c r="J42" s="7"/>
      <c r="K42" s="6"/>
      <c r="L42" s="7"/>
      <c r="M42" s="6"/>
      <c r="N42" s="7"/>
      <c r="O42" s="6"/>
      <c r="P42" s="7"/>
      <c r="Q42" s="6" t="str">
        <f>IFERROR(__xludf.DUMMYFUNCTION("""COMPUTED_VALUE"""),"Vanessa Roncal")</f>
        <v>Vanessa Roncal</v>
      </c>
      <c r="R42" s="5" t="str">
        <f>IFERROR(__xludf.DUMMYFUNCTION("""COMPUTED_VALUE"""),"Jue")</f>
        <v>Jue</v>
      </c>
      <c r="S42" s="6" t="str">
        <f>IFERROR(__xludf.DUMMYFUNCTION("""COMPUTED_VALUE"""),"7PM - 10PM")</f>
        <v>7PM - 10PM</v>
      </c>
      <c r="T42" s="7" t="str">
        <f>IFERROR(__xludf.DUMMYFUNCTION("""COMPUTED_VALUE"""),"Jueves 30 Octubre")</f>
        <v>Jueves 30 Octubre</v>
      </c>
      <c r="U42" s="7" t="str">
        <f>IFERROR(__xludf.DUMMYFUNCTION("""COMPUTED_VALUE"""),"Jueves 27 Noviembre")</f>
        <v>Jueves 27 Noviembre</v>
      </c>
      <c r="V42" s="8">
        <f>IFERROR(__xludf.DUMMYFUNCTION("""COMPUTED_VALUE"""),5.0)</f>
        <v>5</v>
      </c>
      <c r="W42" s="5" t="str">
        <f>IFERROR(__xludf.DUMMYFUNCTION("""COMPUTED_VALUE"""),"pdfs/BROCHURE DISTRIBUCION Y ALMACENES.pdf")</f>
        <v>pdfs/BROCHURE DISTRIBUCION Y ALMACENES.pdf</v>
      </c>
      <c r="X42" s="5" t="str">
        <f>IFERROR(__xludf.DUMMYFUNCTION("""COMPUTED_VALUE"""),"🔵 *Conoce TODOS los BENEFICIOS a los que accedes*
🔹 Acceso a *Campus Virtual* WE 👩🏻‍🏫
🔹 Material digital y grabación de clases 
🔹 Certificado digital incluido
🔹 *05 Cursos Online de regalo* con acceso ilimitado 📚
🔹 Desarrollo y seguimiento de t"&amp;"u proyecto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*05 Cursos Online de regalo*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42" s="5" t="str">
        <f>IFERROR(__xludf.DUMMYFUNCTION("""COMPUTED_VALUE"""),"images/gercentro.jpg")</f>
        <v>images/gercentro.jpg</v>
      </c>
      <c r="Z42" s="5"/>
      <c r="AA42" s="5" t="str">
        <f>IFERROR(__xludf.DUMMYFUNCTION("""COMPUTED_VALUE"""),"NO")</f>
        <v>NO</v>
      </c>
      <c r="AB42" s="6">
        <f>IFERROR(__xludf.DUMMYFUNCTION("""COMPUTED_VALUE"""),830.0)</f>
        <v>830</v>
      </c>
      <c r="AC42" s="6">
        <f>IFERROR(__xludf.DUMMYFUNCTION("""COMPUTED_VALUE"""),770.0)</f>
        <v>770</v>
      </c>
      <c r="AD42" s="6">
        <f>IFERROR(__xludf.DUMMYFUNCTION("""COMPUTED_VALUE"""),415.0)</f>
        <v>415</v>
      </c>
      <c r="AE42" s="6">
        <f>IFERROR(__xludf.DUMMYFUNCTION("""COMPUTED_VALUE"""),385.0)</f>
        <v>385</v>
      </c>
      <c r="AF42" s="6">
        <f>IFERROR(__xludf.DUMMYFUNCTION("""COMPUTED_VALUE"""),150.0)</f>
        <v>150</v>
      </c>
      <c r="AG42" s="5">
        <f>IFERROR(__xludf.DUMMYFUNCTION("""COMPUTED_VALUE"""),150.0)</f>
        <v>150</v>
      </c>
      <c r="AH42" s="5"/>
      <c r="AI42" s="5">
        <f>IFERROR(__xludf.DUMMYFUNCTION("""COMPUTED_VALUE"""),346.5)</f>
        <v>346.5</v>
      </c>
      <c r="AJ42" s="5">
        <f>IFERROR(__xludf.DUMMYFUNCTION("""COMPUTED_VALUE"""),373.5)</f>
        <v>373.5</v>
      </c>
      <c r="AK42" s="5" t="str">
        <f>IFERROR(__xludf.DUMMYFUNCTION("""COMPUTED_VALUE"""),"La clave de la logística moderna es la gestión eficiente de centros de distribución 📦
Con este programa aprenderás a optimizar operaciones, inventarios y flujos reales de negocio 💼.
Aquí te comparto la información 👇🏻")</f>
        <v>La clave de la logística moderna es la gestión eficiente de centros de distribución 📦
Con este programa aprenderás a optimizar operaciones, inventarios y flujos reales de negocio 💼.
Aquí te comparto la información 👇🏻</v>
      </c>
      <c r="AL42" s="5" t="str">
        <f>IFERROR(__xludf.DUMMYFUNCTION("""COMPUTED_VALUE"""),"📈 *Excelente*, actualízate con *GER. CENTRO DISTRIB.* y mantente competitivo en el mercado laboral.")</f>
        <v>📈 *Excelente*, actualízate con *GER. CENTRO DISTRIB.* y mantente competitivo en el mercado laboral.</v>
      </c>
      <c r="AM42" s="5" t="str">
        <f>IFERROR(__xludf.DUMMYFUNCTION("""COMPUTED_VALUE"""),"📈 Buenísimo, *GER. CENTRO DISTRIB.* es de las competencias más pedidas por las empresas y aumentará tus oportunidades laborales.")</f>
        <v>📈 Buenísimo, *GER. CENTRO DISTRIB.* es de las competencias más pedidas por las empresas y aumentará tus oportunidades laborales.</v>
      </c>
      <c r="AN42" s="5" t="str">
        <f>IFERROR(__xludf.DUMMYFUNCTION("""COMPUTED_VALUE"""),"🌍 ¡Genial! Con *GER. CENTRO DISTRIB.* sumarás una habilidad poderosa que te diferenciará desde la universidad.")</f>
        <v>🌍 ¡Genial! Con *GER. CENTRO DISTRIB.* sumarás una habilidad poderosa que te diferenciará desde la universidad.</v>
      </c>
      <c r="AO42" s="5" t="str">
        <f>IFERROR(__xludf.DUMMYFUNCTION("""COMPUTED_VALUE"""),"🏆 ¡Perfecto! Saber *GER. CENTRO DISTRIB.* te dará ventaja frente a otros postulantes para conseguir prácticas.")</f>
        <v>🏆 ¡Perfecto! Saber *GER. CENTRO DISTRIB.* te dará ventaja frente a otros postulantes para conseguir prácticas.</v>
      </c>
      <c r="AP42" s="5" t="str">
        <f>IFERROR(__xludf.DUMMYFUNCTION("""COMPUTED_VALUE"""),"📊 ¡Excelente! Con *GER. CENTRO DISTRIB.* podrás aplicarlo en tu negocio y tomar decisiones más inteligentes.")</f>
        <v>📊 ¡Excelente! Con *GER. CENTRO DISTRIB.* podrás aplicarlo en tu negocio y tomar decisiones más inteligentes.</v>
      </c>
      <c r="AQ42" s="9" t="str">
        <f>IFERROR(__xludf.DUMMYFUNCTION("""COMPUTED_VALUE"""),"https://we-educacion.com/slides/distribucion-y-almacenes-68")</f>
        <v>https://we-educacion.com/slides/distribucion-y-almacenes-68</v>
      </c>
      <c r="AR42" s="5">
        <v>1.0</v>
      </c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</row>
    <row r="43" ht="15.75" customHeight="1">
      <c r="A43" s="5" t="s">
        <v>85</v>
      </c>
      <c r="B43" s="5" t="str">
        <f t="shared" si="1"/>
        <v>OCT. III - ED25</v>
      </c>
      <c r="C43" s="6" t="str">
        <f>IFERROR(__xludf.DUMMYFUNCTION("""COMPUTED_VALUE"""),"BI")</f>
        <v>BI</v>
      </c>
      <c r="D43" s="6" t="str">
        <f>IFERROR(__xludf.DUMMYFUNCTION("""COMPUTED_VALUE"""),"CURSO")</f>
        <v>CURSO</v>
      </c>
      <c r="E43" s="6" t="str">
        <f>IFERROR(__xludf.DUMMYFUNCTION("""COMPUTED_VALUE"""),"PYTHON. DATOS")</f>
        <v>PYTHON. DATOS</v>
      </c>
      <c r="F43" s="7">
        <f>IFERROR(__xludf.DUMMYFUNCTION("""COMPUTED_VALUE"""),45960.0)</f>
        <v>45960</v>
      </c>
      <c r="G43" s="6"/>
      <c r="H43" s="7"/>
      <c r="I43" s="6"/>
      <c r="J43" s="7"/>
      <c r="K43" s="6"/>
      <c r="L43" s="7"/>
      <c r="M43" s="6"/>
      <c r="N43" s="7"/>
      <c r="O43" s="6"/>
      <c r="P43" s="7"/>
      <c r="Q43" s="6" t="str">
        <f>IFERROR(__xludf.DUMMYFUNCTION("""COMPUTED_VALUE"""),"Jhair Prado")</f>
        <v>Jhair Prado</v>
      </c>
      <c r="R43" s="5" t="str">
        <f>IFERROR(__xludf.DUMMYFUNCTION("""COMPUTED_VALUE"""),"Mar-Jue")</f>
        <v>Mar-Jue</v>
      </c>
      <c r="S43" s="6" t="str">
        <f>IFERROR(__xludf.DUMMYFUNCTION("""COMPUTED_VALUE"""),"7PM - 10PM")</f>
        <v>7PM - 10PM</v>
      </c>
      <c r="T43" s="7" t="str">
        <f>IFERROR(__xludf.DUMMYFUNCTION("""COMPUTED_VALUE"""),"Jueves 30 Octubre")</f>
        <v>Jueves 30 Octubre</v>
      </c>
      <c r="U43" s="7" t="str">
        <f>IFERROR(__xludf.DUMMYFUNCTION("""COMPUTED_VALUE"""),"Martes 18 Noviembre")</f>
        <v>Martes 18 Noviembre</v>
      </c>
      <c r="V43" s="8">
        <f>IFERROR(__xludf.DUMMYFUNCTION("""COMPUTED_VALUE"""),6.0)</f>
        <v>6</v>
      </c>
      <c r="W43" s="5" t="str">
        <f>IFERROR(__xludf.DUMMYFUNCTION("""COMPUTED_VALUE"""),"pdfs/BROCHURE PYTHON ANALISIS DE DATOS.pdf")</f>
        <v>pdfs/BROCHURE PYTHON ANALISIS DE DATOS.pdf</v>
      </c>
      <c r="X43" s="5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43" s="5" t="str">
        <f>IFERROR(__xludf.DUMMYFUNCTION("""COMPUTED_VALUE"""),"images/python.jpg")</f>
        <v>images/python.jpg</v>
      </c>
      <c r="Z43" s="5" t="str">
        <f>IFERROR(__xludf.DUMMYFUNCTION("""COMPUTED_VALUE"""),"Avalado por IBM® Partner World")</f>
        <v>Avalado por IBM® Partner World</v>
      </c>
      <c r="AA43" s="5" t="str">
        <f>IFERROR(__xludf.DUMMYFUNCTION("""COMPUTED_VALUE"""),"SI")</f>
        <v>SI</v>
      </c>
      <c r="AB43" s="6">
        <f>IFERROR(__xludf.DUMMYFUNCTION("""COMPUTED_VALUE"""),730.0)</f>
        <v>730</v>
      </c>
      <c r="AC43" s="6">
        <f>IFERROR(__xludf.DUMMYFUNCTION("""COMPUTED_VALUE"""),650.0)</f>
        <v>650</v>
      </c>
      <c r="AD43" s="6">
        <f>IFERROR(__xludf.DUMMYFUNCTION("""COMPUTED_VALUE"""),365.0)</f>
        <v>365</v>
      </c>
      <c r="AE43" s="6">
        <f>IFERROR(__xludf.DUMMYFUNCTION("""COMPUTED_VALUE"""),325.0)</f>
        <v>325</v>
      </c>
      <c r="AF43" s="6">
        <f>IFERROR(__xludf.DUMMYFUNCTION("""COMPUTED_VALUE"""),150.0)</f>
        <v>150</v>
      </c>
      <c r="AG43" s="5">
        <f>IFERROR(__xludf.DUMMYFUNCTION("""COMPUTED_VALUE"""),150.0)</f>
        <v>150</v>
      </c>
      <c r="AH43" s="5"/>
      <c r="AI43" s="5">
        <f>IFERROR(__xludf.DUMMYFUNCTION("""COMPUTED_VALUE"""),292.5)</f>
        <v>292.5</v>
      </c>
      <c r="AJ43" s="5">
        <f>IFERROR(__xludf.DUMMYFUNCTION("""COMPUTED_VALUE"""),328.5)</f>
        <v>328.5</v>
      </c>
      <c r="AK43" s="5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43" s="5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43" s="5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43" s="5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43" s="5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43" s="5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43" s="9" t="str">
        <f>IFERROR(__xludf.DUMMYFUNCTION("""COMPUTED_VALUE"""),"https://we-educacion.com/slides/python-analisis-de-datos-259")</f>
        <v>https://we-educacion.com/slides/python-analisis-de-datos-259</v>
      </c>
      <c r="AR43" s="5">
        <v>1.0</v>
      </c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</row>
    <row r="44" ht="15.75" customHeight="1">
      <c r="A44" s="5" t="s">
        <v>86</v>
      </c>
      <c r="B44" s="5" t="str">
        <f t="shared" si="1"/>
        <v>OCT. I - ED25</v>
      </c>
      <c r="C44" s="6" t="str">
        <f>IFERROR(__xludf.DUMMYFUNCTION("""COMPUTED_VALUE"""),"SAP")</f>
        <v>SAP</v>
      </c>
      <c r="D44" s="5" t="str">
        <f>IFERROR(__xludf.DUMMYFUNCTION("""COMPUTED_VALUE"""),"ESP.")</f>
        <v>ESP.</v>
      </c>
      <c r="E44" s="6" t="str">
        <f>IFERROR(__xludf.DUMMYFUNCTION("""COMPUTED_VALUE"""),"ESPEC.SAP HANA")</f>
        <v>ESPEC.SAP HANA</v>
      </c>
      <c r="F44" s="7">
        <f>IFERROR(__xludf.DUMMYFUNCTION("""COMPUTED_VALUE"""),45960.0)</f>
        <v>45960</v>
      </c>
      <c r="G44" s="6" t="str">
        <f>IFERROR(__xludf.DUMMYFUNCTION("""COMPUTED_VALUE"""),"SAP HANA MM")</f>
        <v>SAP HANA MM</v>
      </c>
      <c r="H44" s="7">
        <f>IFERROR(__xludf.DUMMYFUNCTION("""COMPUTED_VALUE"""),45960.0)</f>
        <v>45960</v>
      </c>
      <c r="I44" s="6" t="str">
        <f>IFERROR(__xludf.DUMMYFUNCTION("""COMPUTED_VALUE"""),"SAP HANA PP")</f>
        <v>SAP HANA PP</v>
      </c>
      <c r="J44" s="7">
        <f>IFERROR(__xludf.DUMMYFUNCTION("""COMPUTED_VALUE"""),45988.0)</f>
        <v>45988</v>
      </c>
      <c r="K44" s="6" t="str">
        <f>IFERROR(__xludf.DUMMYFUNCTION("""COMPUTED_VALUE"""),"SAP HANA FI")</f>
        <v>SAP HANA FI</v>
      </c>
      <c r="L44" s="7">
        <f>IFERROR(__xludf.DUMMYFUNCTION("""COMPUTED_VALUE"""),46012.0)</f>
        <v>46012</v>
      </c>
      <c r="M44" s="6"/>
      <c r="N44" s="7"/>
      <c r="O44" s="6"/>
      <c r="P44" s="7"/>
      <c r="Q44" s="6" t="str">
        <f>IFERROR(__xludf.DUMMYFUNCTION("""COMPUTED_VALUE"""),"David Gonzales
Andy Leyton
Indira Carhuas")</f>
        <v>David Gonzales
Andy Leyton
Indira Carhuas</v>
      </c>
      <c r="R44" s="5" t="str">
        <f>IFERROR(__xludf.DUMMYFUNCTION("""COMPUTED_VALUE"""),"Mar-Jue")</f>
        <v>Mar-Jue</v>
      </c>
      <c r="S44" s="6" t="str">
        <f>IFERROR(__xludf.DUMMYFUNCTION("""COMPUTED_VALUE"""),"7PM - 10PM")</f>
        <v>7PM - 10PM</v>
      </c>
      <c r="T44" s="7" t="str">
        <f>IFERROR(__xludf.DUMMYFUNCTION("""COMPUTED_VALUE"""),"Jueves 30 Octubre")</f>
        <v>Jueves 30 Octubre</v>
      </c>
      <c r="U44" s="7" t="str">
        <f>IFERROR(__xludf.DUMMYFUNCTION("""COMPUTED_VALUE"""),"Domingo 25 Enero")</f>
        <v>Domingo 25 Enero</v>
      </c>
      <c r="V44" s="8">
        <f>IFERROR(__xludf.DUMMYFUNCTION("""COMPUTED_VALUE"""),18.0)</f>
        <v>18</v>
      </c>
      <c r="W44" s="5" t="str">
        <f>IFERROR(__xludf.DUMMYFUNCTION("""COMPUTED_VALUE"""),"pdfs/BROCHURE ESPECIALIZACION DE SAP HANA.pdf")</f>
        <v>pdfs/BROCHURE ESPECIALIZACION DE SAP HANA.pdf</v>
      </c>
      <c r="X44" s="5" t="str">
        <f>IFERROR(__xludf.DUMMYFUNCTION("""COMPUTED_VALUE"""),"🔵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ne"&amp;"cesita una Laptop *Windows*_
🚨 *Por favor, revisa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*Por favor, revisa el BROCHURE* 👇🏻
Aqui encontrarás la información completa del programa, el TEMARIO (malla curricular) y todos los BENEFICIOS 📚</v>
      </c>
      <c r="Y44" s="5" t="str">
        <f>IFERROR(__xludf.DUMMYFUNCTION("""COMPUTED_VALUE"""),"images/espsap.jpg")</f>
        <v>images/espsap.jpg</v>
      </c>
      <c r="Z44" s="5" t="str">
        <f>IFERROR(__xludf.DUMMYFUNCTION("""COMPUTED_VALUE"""),"Avalado por SAP Partner Open")</f>
        <v>Avalado por SAP Partner Open</v>
      </c>
      <c r="AA44" s="5" t="str">
        <f>IFERROR(__xludf.DUMMYFUNCTION("""COMPUTED_VALUE"""),"NO")</f>
        <v>NO</v>
      </c>
      <c r="AB44" s="6">
        <f>IFERROR(__xludf.DUMMYFUNCTION("""COMPUTED_VALUE"""),1900.0)</f>
        <v>1900</v>
      </c>
      <c r="AC44" s="6">
        <f>IFERROR(__xludf.DUMMYFUNCTION("""COMPUTED_VALUE"""),1750.0)</f>
        <v>1750</v>
      </c>
      <c r="AD44" s="6">
        <f>IFERROR(__xludf.DUMMYFUNCTION("""COMPUTED_VALUE"""),950.0)</f>
        <v>950</v>
      </c>
      <c r="AE44" s="6">
        <f>IFERROR(__xludf.DUMMYFUNCTION("""COMPUTED_VALUE"""),875.0)</f>
        <v>875</v>
      </c>
      <c r="AF44" s="6">
        <f>IFERROR(__xludf.DUMMYFUNCTION("""COMPUTED_VALUE"""),250.0)</f>
        <v>250</v>
      </c>
      <c r="AG44" s="5">
        <f>IFERROR(__xludf.DUMMYFUNCTION("""COMPUTED_VALUE"""),350.0)</f>
        <v>350</v>
      </c>
      <c r="AH44" s="5"/>
      <c r="AI44" s="5">
        <f>IFERROR(__xludf.DUMMYFUNCTION("""COMPUTED_VALUE"""),787.5)</f>
        <v>787.5</v>
      </c>
      <c r="AJ44" s="5">
        <f>IFERROR(__xludf.DUMMYFUNCTION("""COMPUTED_VALUE"""),855.0)</f>
        <v>855</v>
      </c>
      <c r="AK44" s="5" t="str">
        <f>IFERROR(__xludf.DUMMYFUNCTION("""COMPUTED_VALUE"""),"El futuro de SAP está en HANA ⚡
Aprende a manejar esta plataforma de alto rendimiento para impulsar la transformación digital 🌐
👉🏻 Aquí tienes la información.")</f>
        <v>El futuro de SAP está en HANA ⚡
Aprende a manejar esta plataforma de alto rendimiento para impulsar la transformación digital 🌐
👉🏻 Aquí tienes la información.</v>
      </c>
      <c r="AL44" s="5" t="str">
        <f>IFERROR(__xludf.DUMMYFUNCTION("""COMPUTED_VALUE"""),"⚡ Excelente, actualízate en SAP HANA, la base de datos más avanzada del mercado.")</f>
        <v>⚡ Excelente, actualízate en SAP HANA, la base de datos más avanzada del mercado.</v>
      </c>
      <c r="AM44" s="5" t="str">
        <f>IFERROR(__xludf.DUMMYFUNCTION("""COMPUTED_VALUE"""),"🏢 Buenísimo, muy buscado en proyectos de transformación digital empresarial.")</f>
        <v>🏢 Buenísimo, muy buscado en proyectos de transformación digital empresarial.</v>
      </c>
      <c r="AN44" s="5" t="str">
        <f>IFERROR(__xludf.DUMMYFUNCTION("""COMPUTED_VALUE"""),"📊 Genial, te dará un perfil competitivo en gestión de plataformas corporativas.")</f>
        <v>📊 Genial, te dará un perfil competitivo en gestión de plataformas corporativas.</v>
      </c>
      <c r="AO44" s="5" t="str">
        <f>IFERROR(__xludf.DUMMYFUNCTION("""COMPUTED_VALUE"""),"🚀 Perfecto, será tu ventaja en prácticas de sistemas y TI.")</f>
        <v>🚀 Perfecto, será tu ventaja en prácticas de sistemas y TI.</v>
      </c>
      <c r="AP44" s="5" t="str">
        <f>IFERROR(__xludf.DUMMYFUNCTION("""COMPUTED_VALUE"""),"📈 Excelente, podrás optimizar el análisis de tu propia información como independiente.")</f>
        <v>📈 Excelente, podrás optimizar el análisis de tu propia información como independiente.</v>
      </c>
      <c r="AQ44" s="9" t="str">
        <f>IFERROR(__xludf.DUMMYFUNCTION("""COMPUTED_VALUE"""),"https://we-educacion.com/slides/especializacion-en-sap-s-4-hana-501")</f>
        <v>https://we-educacion.com/slides/especializacion-en-sap-s-4-hana-501</v>
      </c>
      <c r="AR44" s="5">
        <v>1.0</v>
      </c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</row>
    <row r="45" ht="15.75" customHeight="1">
      <c r="A45" s="5" t="s">
        <v>87</v>
      </c>
      <c r="B45" s="5" t="str">
        <f t="shared" si="1"/>
        <v>OCT. I - ED25</v>
      </c>
      <c r="C45" s="6" t="str">
        <f>IFERROR(__xludf.DUMMYFUNCTION("""COMPUTED_VALUE"""),"SAP")</f>
        <v>SAP</v>
      </c>
      <c r="D45" s="5" t="str">
        <f>IFERROR(__xludf.DUMMYFUNCTION("""COMPUTED_VALUE"""),"CURSO")</f>
        <v>CURSO</v>
      </c>
      <c r="E45" s="6" t="str">
        <f>IFERROR(__xludf.DUMMYFUNCTION("""COMPUTED_VALUE"""),"SAP HANA MM")</f>
        <v>SAP HANA MM</v>
      </c>
      <c r="F45" s="7">
        <f>IFERROR(__xludf.DUMMYFUNCTION("""COMPUTED_VALUE"""),45960.0)</f>
        <v>45960</v>
      </c>
      <c r="G45" s="6"/>
      <c r="H45" s="7"/>
      <c r="I45" s="6"/>
      <c r="J45" s="7"/>
      <c r="K45" s="6"/>
      <c r="L45" s="7"/>
      <c r="M45" s="6"/>
      <c r="N45" s="7"/>
      <c r="O45" s="6"/>
      <c r="P45" s="7"/>
      <c r="Q45" s="6" t="str">
        <f>IFERROR(__xludf.DUMMYFUNCTION("""COMPUTED_VALUE"""),"David Gonzales")</f>
        <v>David Gonzales</v>
      </c>
      <c r="R45" s="5" t="str">
        <f>IFERROR(__xludf.DUMMYFUNCTION("""COMPUTED_VALUE"""),"Mar-Jue")</f>
        <v>Mar-Jue</v>
      </c>
      <c r="S45" s="6" t="str">
        <f>IFERROR(__xludf.DUMMYFUNCTION("""COMPUTED_VALUE"""),"7PM - 10PM")</f>
        <v>7PM - 10PM</v>
      </c>
      <c r="T45" s="7" t="str">
        <f>IFERROR(__xludf.DUMMYFUNCTION("""COMPUTED_VALUE"""),"Jueves 30 Octubre")</f>
        <v>Jueves 30 Octubre</v>
      </c>
      <c r="U45" s="7" t="str">
        <f>IFERROR(__xludf.DUMMYFUNCTION("""COMPUTED_VALUE"""),"Martes 18 Noviembre")</f>
        <v>Martes 18 Noviembre</v>
      </c>
      <c r="V45" s="8">
        <f>IFERROR(__xludf.DUMMYFUNCTION("""COMPUTED_VALUE"""),6.0)</f>
        <v>6</v>
      </c>
      <c r="W45" s="5" t="str">
        <f>IFERROR(__xludf.DUMMYFUNCTION("""COMPUTED_VALUE"""),"pdfs/BROCHURE SAP HANA MM MODULO LOGISTICO.pdf")</f>
        <v>pdfs/BROCHURE SAP HANA MM MODULO LOGISTICO.pdf</v>
      </c>
      <c r="X45" s="5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45" s="5" t="str">
        <f>IFERROR(__xludf.DUMMYFUNCTION("""COMPUTED_VALUE"""),"images/sapmm.jpg")</f>
        <v>images/sapmm.jpg</v>
      </c>
      <c r="Z45" s="5" t="str">
        <f>IFERROR(__xludf.DUMMYFUNCTION("""COMPUTED_VALUE"""),"Avalado por SAP Partner Open")</f>
        <v>Avalado por SAP Partner Open</v>
      </c>
      <c r="AA45" s="5" t="str">
        <f>IFERROR(__xludf.DUMMYFUNCTION("""COMPUTED_VALUE"""),"NO")</f>
        <v>NO</v>
      </c>
      <c r="AB45" s="6">
        <f>IFERROR(__xludf.DUMMYFUNCTION("""COMPUTED_VALUE"""),950.0)</f>
        <v>950</v>
      </c>
      <c r="AC45" s="6">
        <f>IFERROR(__xludf.DUMMYFUNCTION("""COMPUTED_VALUE"""),820.0)</f>
        <v>820</v>
      </c>
      <c r="AD45" s="6">
        <f>IFERROR(__xludf.DUMMYFUNCTION("""COMPUTED_VALUE"""),475.0)</f>
        <v>475</v>
      </c>
      <c r="AE45" s="6">
        <f>IFERROR(__xludf.DUMMYFUNCTION("""COMPUTED_VALUE"""),410.0)</f>
        <v>410</v>
      </c>
      <c r="AF45" s="6">
        <f>IFERROR(__xludf.DUMMYFUNCTION("""COMPUTED_VALUE"""),150.0)</f>
        <v>150</v>
      </c>
      <c r="AG45" s="5">
        <f>IFERROR(__xludf.DUMMYFUNCTION("""COMPUTED_VALUE"""),150.0)</f>
        <v>150</v>
      </c>
      <c r="AH45" s="5"/>
      <c r="AI45" s="5">
        <f>IFERROR(__xludf.DUMMYFUNCTION("""COMPUTED_VALUE"""),369.0)</f>
        <v>369</v>
      </c>
      <c r="AJ45" s="5">
        <f>IFERROR(__xludf.DUMMYFUNCTION("""COMPUTED_VALUE"""),427.5)</f>
        <v>427.5</v>
      </c>
      <c r="AK45" s="5" t="str">
        <f>IFERROR(__xludf.DUMMYFUNCTION("""COMPUTED_VALUE"""),"La gestión de materiales evoluciona con SAP HANA MM 🌐
Domina procesos de compras, inventarios y logística con un enfoque práctico y aplicable al día a día empresarial.
Aquí encuentras la info completa 👇🏻")</f>
        <v>La gestión de materiales evoluciona con SAP HANA MM 🌐
Domina procesos de compras, inventarios y logística con un enfoque práctico y aplicable al día a día empresarial.
Aquí encuentras la info completa 👇🏻</v>
      </c>
      <c r="AL45" s="5" t="str">
        <f>IFERROR(__xludf.DUMMYFUNCTION("""COMPUTED_VALUE"""),"Excelente 🙌, actualizarte con SAP HANA MM te dará un plus competitivo en gestión de materiales 📦 y compras.")</f>
        <v>Excelente 🙌, actualizarte con SAP HANA MM te dará un plus competitivo en gestión de materiales 📦 y compras.</v>
      </c>
      <c r="AM45" s="5" t="str">
        <f>IFERROR(__xludf.DUMMYFUNCTION("""COMPUTED_VALUE"""),"Buenísimo 💼, SAP es altamente valorado en empresas grandes 🌐. Dominar HANA MM abrirá más oportunidades 🚀.")</f>
        <v>Buenísimo 💼, SAP es altamente valorado en empresas grandes 🌐. Dominar HANA MM abrirá más oportunidades 🚀.</v>
      </c>
      <c r="AN45" s="5" t="str">
        <f>IFERROR(__xludf.DUMMYFUNCTION("""COMPUTED_VALUE"""),"¡Excelente! 🎓 Con SAP HANA MM aprenderás sobre procesos logísticos 🔄 que te diferenciarán desde la universidad.")</f>
        <v>¡Excelente! 🎓 Con SAP HANA MM aprenderás sobre procesos logísticos 🔄 que te diferenciarán desde la universidad.</v>
      </c>
      <c r="AO45" s="5" t="str">
        <f>IFERROR(__xludf.DUMMYFUNCTION("""COMPUTED_VALUE"""),"¡Perfecto! 🔑 Conocer SAP te dará ventaja frente a otros postulantes y será clave para prácticas en logística 📝.")</f>
        <v>¡Perfecto! 🔑 Conocer SAP te dará ventaja frente a otros postulantes y será clave para prácticas en logística 📝.</v>
      </c>
      <c r="AP45" s="5" t="str">
        <f>IFERROR(__xludf.DUMMYFUNCTION("""COMPUTED_VALUE"""),"¡Excelente! 💡 Con SAP HANA MM podrás optimizar inventarios 📦 y procesos en tu propio negocio.")</f>
        <v>¡Excelente! 💡 Con SAP HANA MM podrás optimizar inventarios 📦 y procesos en tu propio negocio.</v>
      </c>
      <c r="AQ45" s="9" t="str">
        <f>IFERROR(__xludf.DUMMYFUNCTION("""COMPUTED_VALUE"""),"https://we-educacion.com/slides/sap-s-4-hana-mm-45")</f>
        <v>https://we-educacion.com/slides/sap-s-4-hana-mm-45</v>
      </c>
      <c r="AR45" s="5">
        <v>1.0</v>
      </c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</row>
    <row r="46" ht="15.75" customHeight="1">
      <c r="A46" s="5" t="s">
        <v>88</v>
      </c>
      <c r="B46" s="5" t="str">
        <f t="shared" si="1"/>
        <v>NOV. I - ED25</v>
      </c>
      <c r="C46" s="6" t="str">
        <f>IFERROR(__xludf.DUMMYFUNCTION("""COMPUTED_VALUE"""),"EXCEL")</f>
        <v>EXCEL</v>
      </c>
      <c r="D46" s="5" t="str">
        <f>IFERROR(__xludf.DUMMYFUNCTION("""COMPUTED_VALUE"""),"CURSO")</f>
        <v>CURSO</v>
      </c>
      <c r="E46" s="6" t="str">
        <f>IFERROR(__xludf.DUMMYFUNCTION("""COMPUTED_VALUE"""),"PROG. MACROS")</f>
        <v>PROG. MACROS</v>
      </c>
      <c r="F46" s="7">
        <f>IFERROR(__xludf.DUMMYFUNCTION("""COMPUTED_VALUE"""),45963.0)</f>
        <v>45963</v>
      </c>
      <c r="G46" s="6"/>
      <c r="H46" s="7"/>
      <c r="I46" s="6"/>
      <c r="J46" s="7"/>
      <c r="K46" s="6"/>
      <c r="L46" s="7"/>
      <c r="M46" s="6"/>
      <c r="N46" s="7"/>
      <c r="O46" s="6"/>
      <c r="P46" s="7"/>
      <c r="Q46" s="6" t="str">
        <f>IFERROR(__xludf.DUMMYFUNCTION("""COMPUTED_VALUE"""),"Julio Ccari")</f>
        <v>Julio Ccari</v>
      </c>
      <c r="R46" s="5" t="str">
        <f>IFERROR(__xludf.DUMMYFUNCTION("""COMPUTED_VALUE"""),"Dom")</f>
        <v>Dom</v>
      </c>
      <c r="S46" s="6" t="str">
        <f>IFERROR(__xludf.DUMMYFUNCTION("""COMPUTED_VALUE"""),"3PM - 6PM")</f>
        <v>3PM - 6PM</v>
      </c>
      <c r="T46" s="7" t="str">
        <f>IFERROR(__xludf.DUMMYFUNCTION("""COMPUTED_VALUE"""),"Domingo 2 Noviembre")</f>
        <v>Domingo 2 Noviembre</v>
      </c>
      <c r="U46" s="7" t="str">
        <f>IFERROR(__xludf.DUMMYFUNCTION("""COMPUTED_VALUE"""),"Domingo 7 Diciembre")</f>
        <v>Domingo 7 Diciembre</v>
      </c>
      <c r="V46" s="8">
        <f>IFERROR(__xludf.DUMMYFUNCTION("""COMPUTED_VALUE"""),6.0)</f>
        <v>6</v>
      </c>
      <c r="W46" s="5" t="str">
        <f>IFERROR(__xludf.DUMMYFUNCTION("""COMPUTED_VALUE"""),"pdfs/BROCHURE PROGRAMACION CON VBA MACROS.pdf")</f>
        <v>pdfs/BROCHURE PROGRAMACION CON VBA MACROS.pdf</v>
      </c>
      <c r="X46" s="5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46" s="5" t="str">
        <f>IFERROR(__xludf.DUMMYFUNCTION("""COMPUTED_VALUE"""),"images/macros.jpg")</f>
        <v>images/macros.jpg</v>
      </c>
      <c r="Z46" s="5" t="str">
        <f>IFERROR(__xludf.DUMMYFUNCTION("""COMPUTED_VALUE"""),"Avalado por Microsoft Partner Network")</f>
        <v>Avalado por Microsoft Partner Network</v>
      </c>
      <c r="AA46" s="5" t="str">
        <f>IFERROR(__xludf.DUMMYFUNCTION("""COMPUTED_VALUE"""),"NO")</f>
        <v>NO</v>
      </c>
      <c r="AB46" s="6">
        <f>IFERROR(__xludf.DUMMYFUNCTION("""COMPUTED_VALUE"""),470.0)</f>
        <v>470</v>
      </c>
      <c r="AC46" s="6">
        <f>IFERROR(__xludf.DUMMYFUNCTION("""COMPUTED_VALUE"""),440.0)</f>
        <v>440</v>
      </c>
      <c r="AD46" s="6">
        <f>IFERROR(__xludf.DUMMYFUNCTION("""COMPUTED_VALUE"""),235.0)</f>
        <v>235</v>
      </c>
      <c r="AE46" s="6">
        <f>IFERROR(__xludf.DUMMYFUNCTION("""COMPUTED_VALUE"""),220.0)</f>
        <v>220</v>
      </c>
      <c r="AF46" s="6">
        <f>IFERROR(__xludf.DUMMYFUNCTION("""COMPUTED_VALUE"""),150.0)</f>
        <v>150</v>
      </c>
      <c r="AG46" s="5">
        <f>IFERROR(__xludf.DUMMYFUNCTION("""COMPUTED_VALUE"""),150.0)</f>
        <v>150</v>
      </c>
      <c r="AH46" s="5"/>
      <c r="AI46" s="5">
        <f>IFERROR(__xludf.DUMMYFUNCTION("""COMPUTED_VALUE"""),198.0)</f>
        <v>198</v>
      </c>
      <c r="AJ46" s="5">
        <f>IFERROR(__xludf.DUMMYFUNCTION("""COMPUTED_VALUE"""),211.5)</f>
        <v>211.5</v>
      </c>
      <c r="AK46" s="5" t="str">
        <f>IFERROR(__xludf.DUMMYFUNCTION("""COMPUTED_VALUE"""),"El poder está en la automatización 📊
Con Programación en Macros aprenderás a optimizar procesos en Excel y ahorrar tiempo valioso ⏱️.
Aquí tienes la info 👇🏻")</f>
        <v>El poder está en la automatización 📊
Con Programación en Macros aprenderás a optimizar procesos en Excel y ahorrar tiempo valioso ⏱️.
Aquí tienes la info 👇🏻</v>
      </c>
      <c r="AL46" s="5" t="str">
        <f>IFERROR(__xludf.DUMMYFUNCTION("""COMPUTED_VALUE"""),"⚡ Excelente, actualízate con Macros en Excel y mejora tu productividad en el trabajo.")</f>
        <v>⚡ Excelente, actualízate con Macros en Excel y mejora tu productividad en el trabajo.</v>
      </c>
      <c r="AM46" s="5" t="str">
        <f>IFERROR(__xludf.DUMMYFUNCTION("""COMPUTED_VALUE"""),"💼 Buenísimo, dominar Macros es muy valorado en empresas para automatizar reportes.")</f>
        <v>💼 Buenísimo, dominar Macros es muy valorado en empresas para automatizar reportes.</v>
      </c>
      <c r="AN46" s="5" t="str">
        <f>IFERROR(__xludf.DUMMYFUNCTION("""COMPUTED_VALUE"""),"🎓 ¡Genial! Aprender Macros desde la universidad te hará más eficiente en proyectos académicos.")</f>
        <v>🎓 ¡Genial! Aprender Macros desde la universidad te hará más eficiente en proyectos académicos.</v>
      </c>
      <c r="AO46" s="5" t="str">
        <f>IFERROR(__xludf.DUMMYFUNCTION("""COMPUTED_VALUE"""),"🚀 ¡Perfecto! Con Macros podrás sobresalir en prácticas de áreas administrativas y financieras.")</f>
        <v>🚀 ¡Perfecto! Con Macros podrás sobresalir en prácticas de áreas administrativas y financieras.</v>
      </c>
      <c r="AP46" s="5" t="str">
        <f>IFERROR(__xludf.DUMMYFUNCTION("""COMPUTED_VALUE"""),"📊 ¡Excelente! Las Macros te permitirán ahorrar tiempo y optimizar tus procesos de negocio.")</f>
        <v>📊 ¡Excelente! Las Macros te permitirán ahorrar tiempo y optimizar tus procesos de negocio.</v>
      </c>
      <c r="AQ46" s="9" t="str">
        <f>IFERROR(__xludf.DUMMYFUNCTION("""COMPUTED_VALUE"""),"https://we-educacion.com/slides/programacion-con-vba-macros-en-excel-159")</f>
        <v>https://we-educacion.com/slides/programacion-con-vba-macros-en-excel-159</v>
      </c>
      <c r="AR46" s="5">
        <v>1.0</v>
      </c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</row>
    <row r="47" ht="15.75" customHeight="1">
      <c r="A47" s="5" t="s">
        <v>89</v>
      </c>
      <c r="B47" s="5" t="str">
        <f t="shared" si="1"/>
        <v>NOV. I - ED25</v>
      </c>
      <c r="C47" s="6" t="str">
        <f>IFERROR(__xludf.DUMMYFUNCTION("""COMPUTED_VALUE"""),"LOGÍSTICA")</f>
        <v>LOGÍSTICA</v>
      </c>
      <c r="D47" s="6" t="str">
        <f>IFERROR(__xludf.DUMMYFUNCTION("""COMPUTED_VALUE"""),"CURSO")</f>
        <v>CURSO</v>
      </c>
      <c r="E47" s="6" t="str">
        <f>IFERROR(__xludf.DUMMYFUNCTION("""COMPUTED_VALUE"""),"GEST TRANSPORTES")</f>
        <v>GEST TRANSPORTES</v>
      </c>
      <c r="F47" s="7">
        <f>IFERROR(__xludf.DUMMYFUNCTION("""COMPUTED_VALUE"""),45963.0)</f>
        <v>45963</v>
      </c>
      <c r="G47" s="6"/>
      <c r="H47" s="7"/>
      <c r="I47" s="6"/>
      <c r="J47" s="7"/>
      <c r="K47" s="6"/>
      <c r="L47" s="7"/>
      <c r="M47" s="6"/>
      <c r="N47" s="7"/>
      <c r="O47" s="6"/>
      <c r="P47" s="7"/>
      <c r="Q47" s="6" t="str">
        <f>IFERROR(__xludf.DUMMYFUNCTION("""COMPUTED_VALUE"""),"Hernán Vizcardo")</f>
        <v>Hernán Vizcardo</v>
      </c>
      <c r="R47" s="5" t="str">
        <f>IFERROR(__xludf.DUMMYFUNCTION("""COMPUTED_VALUE"""),"Dom")</f>
        <v>Dom</v>
      </c>
      <c r="S47" s="6" t="str">
        <f>IFERROR(__xludf.DUMMYFUNCTION("""COMPUTED_VALUE"""),"9AM - 12PM")</f>
        <v>9AM - 12PM</v>
      </c>
      <c r="T47" s="7" t="str">
        <f>IFERROR(__xludf.DUMMYFUNCTION("""COMPUTED_VALUE"""),"Domingo 2 Noviembre")</f>
        <v>Domingo 2 Noviembre</v>
      </c>
      <c r="U47" s="7" t="str">
        <f>IFERROR(__xludf.DUMMYFUNCTION("""COMPUTED_VALUE"""),"Domingo 30 Noviembre")</f>
        <v>Domingo 30 Noviembre</v>
      </c>
      <c r="V47" s="8">
        <f>IFERROR(__xludf.DUMMYFUNCTION("""COMPUTED_VALUE"""),5.0)</f>
        <v>5</v>
      </c>
      <c r="W47" s="5" t="str">
        <f>IFERROR(__xludf.DUMMYFUNCTION("""COMPUTED_VALUE"""),"pdfs/BROCHURE GESTION DE TRANSPORTE Y CANALES DE DISTRIBUCIÓN.pdf")</f>
        <v>pdfs/BROCHURE GESTION DE TRANSPORTE Y CANALES DE DISTRIBUCIÓN.pdf</v>
      </c>
      <c r="X47" s="5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*Utilizarán Excel* 👩🏻‍💻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*Por favor, revisa el BROCHURE* 👇🏻
Aqui encontrarás la información completa del programa, el TEMARIO (malla curricular) y todos los BENEFICIOS 📚</v>
      </c>
      <c r="Y47" s="5" t="str">
        <f>IFERROR(__xludf.DUMMYFUNCTION("""COMPUTED_VALUE"""),"images/transpo.jpg")</f>
        <v>images/transpo.jpg</v>
      </c>
      <c r="Z47" s="5"/>
      <c r="AA47" s="5" t="str">
        <f>IFERROR(__xludf.DUMMYFUNCTION("""COMPUTED_VALUE"""),"NO")</f>
        <v>NO</v>
      </c>
      <c r="AB47" s="6">
        <f>IFERROR(__xludf.DUMMYFUNCTION("""COMPUTED_VALUE"""),830.0)</f>
        <v>830</v>
      </c>
      <c r="AC47" s="6">
        <f>IFERROR(__xludf.DUMMYFUNCTION("""COMPUTED_VALUE"""),770.0)</f>
        <v>770</v>
      </c>
      <c r="AD47" s="6">
        <f>IFERROR(__xludf.DUMMYFUNCTION("""COMPUTED_VALUE"""),415.0)</f>
        <v>415</v>
      </c>
      <c r="AE47" s="6">
        <f>IFERROR(__xludf.DUMMYFUNCTION("""COMPUTED_VALUE"""),385.0)</f>
        <v>385</v>
      </c>
      <c r="AF47" s="6">
        <f>IFERROR(__xludf.DUMMYFUNCTION("""COMPUTED_VALUE"""),150.0)</f>
        <v>150</v>
      </c>
      <c r="AG47" s="5">
        <f>IFERROR(__xludf.DUMMYFUNCTION("""COMPUTED_VALUE"""),150.0)</f>
        <v>150</v>
      </c>
      <c r="AH47" s="5"/>
      <c r="AI47" s="5">
        <f>IFERROR(__xludf.DUMMYFUNCTION("""COMPUTED_VALUE"""),346.5)</f>
        <v>346.5</v>
      </c>
      <c r="AJ47" s="5">
        <f>IFERROR(__xludf.DUMMYFUNCTION("""COMPUTED_VALUE"""),373.5)</f>
        <v>373.5</v>
      </c>
      <c r="AK47" s="5" t="str">
        <f>IFERROR(__xludf.DUMMYFUNCTION("""COMPUTED_VALUE"""),"La competitividad empresarial depende de una logística eficiente 📦
Con Gestión de Transportes aprenderás a planificar, coordinar y optimizar rutas y costos en casos reales 🚛.
Aquí te comparto la información 👇🏻")</f>
        <v>La competitividad empresarial depende de una logística eficiente 📦
Con Gestión de Transportes aprenderás a planificar, coordinar y optimizar rutas y costos en casos reales 🚛.
Aquí te comparto la información 👇🏻</v>
      </c>
      <c r="AL47" s="5" t="str">
        <f>IFERROR(__xludf.DUMMYFUNCTION("""COMPUTED_VALUE"""),"🌍 *Excelente*, actualízate con *GEST TRANSPORTES* y mantente competitivo en el mercado laboral.")</f>
        <v>🌍 *Excelente*, actualízate con *GEST TRANSPORTES* y mantente competitivo en el mercado laboral.</v>
      </c>
      <c r="AM47" s="5" t="str">
        <f>IFERROR(__xludf.DUMMYFUNCTION("""COMPUTED_VALUE"""),"📘 Buenísimo, *GEST TRANSPORTES* es de las competencias más pedidas por las empresas y aumentará tus oportunidades laborales.")</f>
        <v>📘 Buenísimo, *GEST TRANSPORTES* es de las competencias más pedidas por las empresas y aumentará tus oportunidades laborales.</v>
      </c>
      <c r="AN47" s="5" t="str">
        <f>IFERROR(__xludf.DUMMYFUNCTION("""COMPUTED_VALUE"""),"💼 ¡Genial! Con *GEST TRANSPORTES* sumarás una habilidad poderosa que te diferenciará desde la universidad.")</f>
        <v>💼 ¡Genial! Con *GEST TRANSPORTES* sumarás una habilidad poderosa que te diferenciará desde la universidad.</v>
      </c>
      <c r="AO47" s="5" t="str">
        <f>IFERROR(__xludf.DUMMYFUNCTION("""COMPUTED_VALUE"""),"📊 ¡Perfecto! Saber *GEST TRANSPORTES* te dará ventaja frente a otros postulantes para conseguir prácticas.")</f>
        <v>📊 ¡Perfecto! Saber *GEST TRANSPORTES* te dará ventaja frente a otros postulantes para conseguir prácticas.</v>
      </c>
      <c r="AP47" s="5" t="str">
        <f>IFERROR(__xludf.DUMMYFUNCTION("""COMPUTED_VALUE"""),"💼 ¡Excelente! Con *GEST TRANSPORTES* podrás aplicarlo en tu negocio y tomar decisiones más inteligentes.")</f>
        <v>💼 ¡Excelente! Con *GEST TRANSPORTES* podrás aplicarlo en tu negocio y tomar decisiones más inteligentes.</v>
      </c>
      <c r="AQ47" s="9" t="str">
        <f>IFERROR(__xludf.DUMMYFUNCTION("""COMPUTED_VALUE"""),"https://we-educacion.com/slides/gestion-de-transportes-73")</f>
        <v>https://we-educacion.com/slides/gestion-de-transportes-73</v>
      </c>
      <c r="AR47" s="5">
        <v>1.0</v>
      </c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</row>
    <row r="48" ht="15.75" customHeight="1">
      <c r="A48" s="5" t="s">
        <v>90</v>
      </c>
      <c r="B48" s="5" t="str">
        <f t="shared" si="1"/>
        <v>NOV. I - ED25</v>
      </c>
      <c r="C48" s="6" t="str">
        <f>IFERROR(__xludf.DUMMYFUNCTION("""COMPUTED_VALUE"""),"BI")</f>
        <v>BI</v>
      </c>
      <c r="D48" s="6" t="str">
        <f>IFERROR(__xludf.DUMMYFUNCTION("""COMPUTED_VALUE"""),"ESP.")</f>
        <v>ESP.</v>
      </c>
      <c r="E48" s="6" t="str">
        <f>IFERROR(__xludf.DUMMYFUNCTION("""COMPUTED_VALUE"""),"ESP. EN PYTHON DATA SCIENCE")</f>
        <v>ESP. EN PYTHON DATA SCIENCE</v>
      </c>
      <c r="F48" s="7">
        <f>IFERROR(__xludf.DUMMYFUNCTION("""COMPUTED_VALUE"""),45963.0)</f>
        <v>45963</v>
      </c>
      <c r="G48" s="6" t="str">
        <f>IFERROR(__xludf.DUMMYFUNCTION("""COMPUTED_VALUE"""),"PYTHON. DATOS")</f>
        <v>PYTHON. DATOS</v>
      </c>
      <c r="H48" s="7">
        <f>IFERROR(__xludf.DUMMYFUNCTION("""COMPUTED_VALUE"""),45963.0)</f>
        <v>45963</v>
      </c>
      <c r="I48" s="6" t="str">
        <f>IFERROR(__xludf.DUMMYFUNCTION("""COMPUTED_VALUE"""),"PYTHON AVANZ.")</f>
        <v>PYTHON AVANZ.</v>
      </c>
      <c r="J48" s="7">
        <f>IFERROR(__xludf.DUMMYFUNCTION("""COMPUTED_VALUE"""),46005.0)</f>
        <v>46005</v>
      </c>
      <c r="K48" s="6" t="str">
        <f>IFERROR(__xludf.DUMMYFUNCTION("""COMPUTED_VALUE"""),"IA &amp; DEEP LEARNING V2")</f>
        <v>IA &amp; DEEP LEARNING V2</v>
      </c>
      <c r="L48" s="7">
        <f>IFERROR(__xludf.DUMMYFUNCTION("""COMPUTED_VALUE"""),46054.0)</f>
        <v>46054</v>
      </c>
      <c r="M48" s="6"/>
      <c r="N48" s="7"/>
      <c r="O48" s="6"/>
      <c r="P48" s="7"/>
      <c r="Q48" s="6" t="str">
        <f>IFERROR(__xludf.DUMMYFUNCTION("""COMPUTED_VALUE"""),"Jhair Prado
Bryan Guerra
Paul Gabino")</f>
        <v>Jhair Prado
Bryan Guerra
Paul Gabino</v>
      </c>
      <c r="R48" s="5" t="str">
        <f>IFERROR(__xludf.DUMMYFUNCTION("""COMPUTED_VALUE"""),"Dom")</f>
        <v>Dom</v>
      </c>
      <c r="S48" s="6" t="str">
        <f>IFERROR(__xludf.DUMMYFUNCTION("""COMPUTED_VALUE"""),"9AM - 12PM")</f>
        <v>9AM - 12PM</v>
      </c>
      <c r="T48" s="7" t="str">
        <f>IFERROR(__xludf.DUMMYFUNCTION("""COMPUTED_VALUE"""),"Domingo 2 Noviembre")</f>
        <v>Domingo 2 Noviembre</v>
      </c>
      <c r="U48" s="7" t="str">
        <f>IFERROR(__xludf.DUMMYFUNCTION("""COMPUTED_VALUE"""),"Domingo 28 Diciembre")</f>
        <v>Domingo 28 Diciembre</v>
      </c>
      <c r="V48" s="8">
        <f>IFERROR(__xludf.DUMMYFUNCTION("""COMPUTED_VALUE"""),18.0)</f>
        <v>18</v>
      </c>
      <c r="W48" s="5" t="str">
        <f>IFERROR(__xludf.DUMMYFUNCTION("""COMPUTED_VALUE"""),"pdfs/ESPECIALIZACIÓN EN PYTHON DATA SCIENCE.pdf")</f>
        <v>pdfs/ESPECIALIZACIÓN EN PYTHON DATA SCIENCE.pdf</v>
      </c>
      <c r="X48" s="5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48" s="5" t="str">
        <f>IFERROR(__xludf.DUMMYFUNCTION("""COMPUTED_VALUE"""),"images/esppython.jpg")</f>
        <v>images/esppython.jpg</v>
      </c>
      <c r="Z48" s="5" t="str">
        <f>IFERROR(__xludf.DUMMYFUNCTION("""COMPUTED_VALUE"""),"Avalado por IBM® Partner World")</f>
        <v>Avalado por IBM® Partner World</v>
      </c>
      <c r="AA48" s="5" t="str">
        <f>IFERROR(__xludf.DUMMYFUNCTION("""COMPUTED_VALUE"""),"NO")</f>
        <v>NO</v>
      </c>
      <c r="AB48" s="6">
        <f>IFERROR(__xludf.DUMMYFUNCTION("""COMPUTED_VALUE"""),1840.0)</f>
        <v>1840</v>
      </c>
      <c r="AC48" s="6">
        <f>IFERROR(__xludf.DUMMYFUNCTION("""COMPUTED_VALUE"""),1740.0)</f>
        <v>1740</v>
      </c>
      <c r="AD48" s="6">
        <f>IFERROR(__xludf.DUMMYFUNCTION("""COMPUTED_VALUE"""),920.0)</f>
        <v>920</v>
      </c>
      <c r="AE48" s="6">
        <f>IFERROR(__xludf.DUMMYFUNCTION("""COMPUTED_VALUE"""),870.0)</f>
        <v>870</v>
      </c>
      <c r="AF48" s="6">
        <f>IFERROR(__xludf.DUMMYFUNCTION("""COMPUTED_VALUE"""),250.0)</f>
        <v>250</v>
      </c>
      <c r="AG48" s="5">
        <f>IFERROR(__xludf.DUMMYFUNCTION("""COMPUTED_VALUE"""),350.0)</f>
        <v>350</v>
      </c>
      <c r="AH48" s="5"/>
      <c r="AI48" s="5">
        <f>IFERROR(__xludf.DUMMYFUNCTION("""COMPUTED_VALUE"""),783.0)</f>
        <v>783</v>
      </c>
      <c r="AJ48" s="5">
        <f>IFERROR(__xludf.DUMMYFUNCTION("""COMPUTED_VALUE"""),828.0)</f>
        <v>828</v>
      </c>
      <c r="AK48" s="5" t="str">
        <f>IFERROR(__xludf.DUMMYFUNCTION("""COMPUTED_VALUE"""),"El lenguaje de la ciencia de datos es Python 🐍
Aprende a programar y aplicar modelos en Data Science para transformar información en valor 📊
👉🏻 Aquí tienes la información completa.")</f>
        <v>El lenguaje de la ciencia de datos es Python 🐍
Aprende a programar y aplicar modelos en Data Science para transformar información en valor 📊
👉🏻 Aquí tienes la información completa.</v>
      </c>
      <c r="AL48" s="5" t="str">
        <f>IFERROR(__xludf.DUMMYFUNCTION("""COMPUTED_VALUE"""),"📈 Excelente, actualízate con Python y Data Science, la base del análisis de datos moderno.")</f>
        <v>📈 Excelente, actualízate con Python y Data Science, la base del análisis de datos moderno.</v>
      </c>
      <c r="AM48" s="5" t="str">
        <f>IFERROR(__xludf.DUMMYFUNCTION("""COMPUTED_VALUE"""),"💡 Buenísimo, las empresas demandan especialistas en datos y Python.")</f>
        <v>💡 Buenísimo, las empresas demandan especialistas en datos y Python.</v>
      </c>
      <c r="AN48" s="5" t="str">
        <f>IFERROR(__xludf.DUMMYFUNCTION("""COMPUTED_VALUE"""),"⚡ Genial, dominar Python te dará habilidades muy valoradas en el mercado.")</f>
        <v>⚡ Genial, dominar Python te dará habilidades muy valoradas en el mercado.</v>
      </c>
      <c r="AO48" s="5" t="str">
        <f>IFERROR(__xludf.DUMMYFUNCTION("""COMPUTED_VALUE"""),"🚀 Perfecto, tener Python será tu ventaja en procesos de selección.")</f>
        <v>🚀 Perfecto, tener Python será tu ventaja en procesos de selección.</v>
      </c>
      <c r="AP48" s="5" t="str">
        <f>IFERROR(__xludf.DUMMYFUNCTION("""COMPUTED_VALUE"""),"📊 Excelente, con Python podrás analizar la información de tu negocio estratégicamente.")</f>
        <v>📊 Excelente, con Python podrás analizar la información de tu negocio estratégicamente.</v>
      </c>
      <c r="AQ48" s="9" t="str">
        <f>IFERROR(__xludf.DUMMYFUNCTION("""COMPUTED_VALUE"""),"https://we-educacion.com/slides/especializacion-en-python-data-science-507#")</f>
        <v>https://we-educacion.com/slides/especializacion-en-python-data-science-507#</v>
      </c>
      <c r="AR48" s="5">
        <v>1.0</v>
      </c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</row>
    <row r="49" ht="15.75" customHeight="1">
      <c r="A49" s="5" t="s">
        <v>91</v>
      </c>
      <c r="B49" s="5" t="str">
        <f t="shared" si="1"/>
        <v>NOV. I - ED25</v>
      </c>
      <c r="C49" s="6" t="str">
        <f>IFERROR(__xludf.DUMMYFUNCTION("""COMPUTED_VALUE"""),"BI")</f>
        <v>BI</v>
      </c>
      <c r="D49" s="5" t="str">
        <f>IFERROR(__xludf.DUMMYFUNCTION("""COMPUTED_VALUE"""),"CURSO")</f>
        <v>CURSO</v>
      </c>
      <c r="E49" s="6" t="str">
        <f>IFERROR(__xludf.DUMMYFUNCTION("""COMPUTED_VALUE"""),"PYTHON. DATOS")</f>
        <v>PYTHON. DATOS</v>
      </c>
      <c r="F49" s="7">
        <f>IFERROR(__xludf.DUMMYFUNCTION("""COMPUTED_VALUE"""),45963.0)</f>
        <v>45963</v>
      </c>
      <c r="G49" s="6"/>
      <c r="H49" s="7"/>
      <c r="I49" s="6"/>
      <c r="J49" s="7"/>
      <c r="K49" s="6"/>
      <c r="L49" s="7"/>
      <c r="M49" s="6"/>
      <c r="N49" s="7"/>
      <c r="O49" s="6"/>
      <c r="P49" s="7"/>
      <c r="Q49" s="6" t="str">
        <f>IFERROR(__xludf.DUMMYFUNCTION("""COMPUTED_VALUE"""),"Jhair Prado")</f>
        <v>Jhair Prado</v>
      </c>
      <c r="R49" s="5" t="str">
        <f>IFERROR(__xludf.DUMMYFUNCTION("""COMPUTED_VALUE"""),"Dom")</f>
        <v>Dom</v>
      </c>
      <c r="S49" s="6" t="str">
        <f>IFERROR(__xludf.DUMMYFUNCTION("""COMPUTED_VALUE"""),"9AM - 12PM")</f>
        <v>9AM - 12PM</v>
      </c>
      <c r="T49" s="7" t="str">
        <f>IFERROR(__xludf.DUMMYFUNCTION("""COMPUTED_VALUE"""),"Domingo 2 Noviembre")</f>
        <v>Domingo 2 Noviembre</v>
      </c>
      <c r="U49" s="7" t="str">
        <f>IFERROR(__xludf.DUMMYFUNCTION("""COMPUTED_VALUE"""),"Domingo 7 Diciembre")</f>
        <v>Domingo 7 Diciembre</v>
      </c>
      <c r="V49" s="8">
        <f>IFERROR(__xludf.DUMMYFUNCTION("""COMPUTED_VALUE"""),6.0)</f>
        <v>6</v>
      </c>
      <c r="W49" s="5" t="str">
        <f>IFERROR(__xludf.DUMMYFUNCTION("""COMPUTED_VALUE"""),"pdfs/BROCHURE PYTHON ANALISIS DE DATOS.pdf")</f>
        <v>pdfs/BROCHURE PYTHON ANALISIS DE DATOS.pdf</v>
      </c>
      <c r="X49" s="5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49" s="5" t="str">
        <f>IFERROR(__xludf.DUMMYFUNCTION("""COMPUTED_VALUE"""),"images/python.jpg")</f>
        <v>images/python.jpg</v>
      </c>
      <c r="Z49" s="5" t="str">
        <f>IFERROR(__xludf.DUMMYFUNCTION("""COMPUTED_VALUE"""),"Avalado por IBM® Partner World")</f>
        <v>Avalado por IBM® Partner World</v>
      </c>
      <c r="AA49" s="5" t="str">
        <f>IFERROR(__xludf.DUMMYFUNCTION("""COMPUTED_VALUE"""),"SI")</f>
        <v>SI</v>
      </c>
      <c r="AB49" s="6">
        <f>IFERROR(__xludf.DUMMYFUNCTION("""COMPUTED_VALUE"""),730.0)</f>
        <v>730</v>
      </c>
      <c r="AC49" s="6">
        <f>IFERROR(__xludf.DUMMYFUNCTION("""COMPUTED_VALUE"""),650.0)</f>
        <v>650</v>
      </c>
      <c r="AD49" s="6">
        <f>IFERROR(__xludf.DUMMYFUNCTION("""COMPUTED_VALUE"""),365.0)</f>
        <v>365</v>
      </c>
      <c r="AE49" s="6">
        <f>IFERROR(__xludf.DUMMYFUNCTION("""COMPUTED_VALUE"""),325.0)</f>
        <v>325</v>
      </c>
      <c r="AF49" s="6">
        <f>IFERROR(__xludf.DUMMYFUNCTION("""COMPUTED_VALUE"""),150.0)</f>
        <v>150</v>
      </c>
      <c r="AG49" s="5">
        <f>IFERROR(__xludf.DUMMYFUNCTION("""COMPUTED_VALUE"""),150.0)</f>
        <v>150</v>
      </c>
      <c r="AH49" s="5"/>
      <c r="AI49" s="5">
        <f>IFERROR(__xludf.DUMMYFUNCTION("""COMPUTED_VALUE"""),292.5)</f>
        <v>292.5</v>
      </c>
      <c r="AJ49" s="5">
        <f>IFERROR(__xludf.DUMMYFUNCTION("""COMPUTED_VALUE"""),328.5)</f>
        <v>328.5</v>
      </c>
      <c r="AK49" s="5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49" s="5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49" s="5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49" s="5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49" s="5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49" s="5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49" s="9" t="str">
        <f>IFERROR(__xludf.DUMMYFUNCTION("""COMPUTED_VALUE"""),"https://we-educacion.com/slides/python-analisis-de-datos-259")</f>
        <v>https://we-educacion.com/slides/python-analisis-de-datos-259</v>
      </c>
      <c r="AR49" s="5">
        <v>1.0</v>
      </c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</row>
    <row r="50" ht="15.75" customHeight="1">
      <c r="A50" s="5" t="s">
        <v>92</v>
      </c>
      <c r="B50" s="5" t="str">
        <f t="shared" si="1"/>
        <v>NOV. I - ED25</v>
      </c>
      <c r="C50" s="6" t="str">
        <f>IFERROR(__xludf.DUMMYFUNCTION("""COMPUTED_VALUE"""),"SAP")</f>
        <v>SAP</v>
      </c>
      <c r="D50" s="6" t="str">
        <f>IFERROR(__xludf.DUMMYFUNCTION("""COMPUTED_VALUE"""),"CURSO")</f>
        <v>CURSO</v>
      </c>
      <c r="E50" s="6" t="str">
        <f>IFERROR(__xludf.DUMMYFUNCTION("""COMPUTED_VALUE"""),"SAP HANA PM")</f>
        <v>SAP HANA PM</v>
      </c>
      <c r="F50" s="7">
        <f>IFERROR(__xludf.DUMMYFUNCTION("""COMPUTED_VALUE"""),45963.0)</f>
        <v>45963</v>
      </c>
      <c r="G50" s="6"/>
      <c r="H50" s="7"/>
      <c r="I50" s="6"/>
      <c r="J50" s="7"/>
      <c r="K50" s="6"/>
      <c r="L50" s="7"/>
      <c r="M50" s="6"/>
      <c r="N50" s="7"/>
      <c r="O50" s="6"/>
      <c r="P50" s="7"/>
      <c r="Q50" s="6" t="str">
        <f>IFERROR(__xludf.DUMMYFUNCTION("""COMPUTED_VALUE"""),"David Gonzales")</f>
        <v>David Gonzales</v>
      </c>
      <c r="R50" s="5" t="str">
        <f>IFERROR(__xludf.DUMMYFUNCTION("""COMPUTED_VALUE"""),"Dom")</f>
        <v>Dom</v>
      </c>
      <c r="S50" s="6" t="str">
        <f>IFERROR(__xludf.DUMMYFUNCTION("""COMPUTED_VALUE"""),"9AM - 12PM")</f>
        <v>9AM - 12PM</v>
      </c>
      <c r="T50" s="7" t="str">
        <f>IFERROR(__xludf.DUMMYFUNCTION("""COMPUTED_VALUE"""),"Domingo 2 Noviembre")</f>
        <v>Domingo 2 Noviembre</v>
      </c>
      <c r="U50" s="7" t="str">
        <f>IFERROR(__xludf.DUMMYFUNCTION("""COMPUTED_VALUE"""),"Domingo 7 Diciembre")</f>
        <v>Domingo 7 Diciembre</v>
      </c>
      <c r="V50" s="8">
        <f>IFERROR(__xludf.DUMMYFUNCTION("""COMPUTED_VALUE"""),6.0)</f>
        <v>6</v>
      </c>
      <c r="W50" s="5" t="str">
        <f>IFERROR(__xludf.DUMMYFUNCTION("""COMPUTED_VALUE"""),"pdfs/BROCHURE SAP S4 HANA PM.pdf")</f>
        <v>pdfs/BROCHURE SAP S4 HANA PM.pdf</v>
      </c>
      <c r="X50" s="5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50" s="5" t="str">
        <f>IFERROR(__xludf.DUMMYFUNCTION("""COMPUTED_VALUE"""),"images/sappm.jpg")</f>
        <v>images/sappm.jpg</v>
      </c>
      <c r="Z50" s="5" t="str">
        <f>IFERROR(__xludf.DUMMYFUNCTION("""COMPUTED_VALUE"""),"Avalado por SAP Partner Open")</f>
        <v>Avalado por SAP Partner Open</v>
      </c>
      <c r="AA50" s="5" t="str">
        <f>IFERROR(__xludf.DUMMYFUNCTION("""COMPUTED_VALUE"""),"NO")</f>
        <v>NO</v>
      </c>
      <c r="AB50" s="6">
        <f>IFERROR(__xludf.DUMMYFUNCTION("""COMPUTED_VALUE"""),900.0)</f>
        <v>900</v>
      </c>
      <c r="AC50" s="6">
        <f>IFERROR(__xludf.DUMMYFUNCTION("""COMPUTED_VALUE"""),750.0)</f>
        <v>750</v>
      </c>
      <c r="AD50" s="6">
        <f>IFERROR(__xludf.DUMMYFUNCTION("""COMPUTED_VALUE"""),450.0)</f>
        <v>450</v>
      </c>
      <c r="AE50" s="6">
        <f>IFERROR(__xludf.DUMMYFUNCTION("""COMPUTED_VALUE"""),375.0)</f>
        <v>375</v>
      </c>
      <c r="AF50" s="6">
        <f>IFERROR(__xludf.DUMMYFUNCTION("""COMPUTED_VALUE"""),150.0)</f>
        <v>150</v>
      </c>
      <c r="AG50" s="5">
        <f>IFERROR(__xludf.DUMMYFUNCTION("""COMPUTED_VALUE"""),150.0)</f>
        <v>150</v>
      </c>
      <c r="AH50" s="5"/>
      <c r="AI50" s="5">
        <f>IFERROR(__xludf.DUMMYFUNCTION("""COMPUTED_VALUE"""),337.5)</f>
        <v>337.5</v>
      </c>
      <c r="AJ50" s="5">
        <f>IFERROR(__xludf.DUMMYFUNCTION("""COMPUTED_VALUE"""),405.0)</f>
        <v>405</v>
      </c>
      <c r="AK50" s="5" t="str">
        <f>IFERROR(__xludf.DUMMYFUNCTION("""COMPUTED_VALUE"""),"El lenguaje del mantenimiento eficiente es SAP HANA PM ⚙️
Aprenderás a planificar, controlar y optimizar la gestión de mantenimiento en empresas reales 🚀.
Aquí tienes la información 👇🏻")</f>
        <v>El lenguaje del mantenimiento eficiente es SAP HANA PM ⚙️
Aprenderás a planificar, controlar y optimizar la gestión de mantenimiento en empresas reales 🚀.
Aquí tienes la información 👇🏻</v>
      </c>
      <c r="AL50" s="5" t="str">
        <f>IFERROR(__xludf.DUMMYFUNCTION("""COMPUTED_VALUE"""),"🛠️ Excelente, actualízate con SAP PM y domina el mantenimiento de planta y equipos.")</f>
        <v>🛠️ Excelente, actualízate con SAP PM y domina el mantenimiento de planta y equipos.</v>
      </c>
      <c r="AM50" s="5" t="str">
        <f>IFERROR(__xludf.DUMMYFUNCTION("""COMPUTED_VALUE"""),"💼 Buenísimo, SAP PM es clave en empresas de manufactura y energía.")</f>
        <v>💼 Buenísimo, SAP PM es clave en empresas de manufactura y energía.</v>
      </c>
      <c r="AN50" s="5" t="str">
        <f>IFERROR(__xludf.DUMMYFUNCTION("""COMPUTED_VALUE"""),"🎓 ¡Genial! Con SAP PM aprenderás mantenimiento productivo desde la universidad.")</f>
        <v>🎓 ¡Genial! Con SAP PM aprenderás mantenimiento productivo desde la universidad.</v>
      </c>
      <c r="AO50" s="5" t="str">
        <f>IFERROR(__xludf.DUMMYFUNCTION("""COMPUTED_VALUE"""),"🚀 ¡Perfecto! Saber SAP PM te dará ventaja en prácticas en gestión de operaciones.")</f>
        <v>🚀 ¡Perfecto! Saber SAP PM te dará ventaja en prácticas en gestión de operaciones.</v>
      </c>
      <c r="AP50" s="5" t="str">
        <f>IFERROR(__xludf.DUMMYFUNCTION("""COMPUTED_VALUE"""),"📊 ¡Excelente! Con SAP PM podrás planificar y optimizar el mantenimiento en tu negocio.")</f>
        <v>📊 ¡Excelente! Con SAP PM podrás planificar y optimizar el mantenimiento en tu negocio.</v>
      </c>
      <c r="AQ50" s="9" t="str">
        <f>IFERROR(__xludf.DUMMYFUNCTION("""COMPUTED_VALUE"""),"https://we-educacion.com/slides/sap-s-4-hana-pm-1127")</f>
        <v>https://we-educacion.com/slides/sap-s-4-hana-pm-1127</v>
      </c>
      <c r="AR50" s="5">
        <v>1.0</v>
      </c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</row>
    <row r="51" ht="15.75" customHeight="1">
      <c r="A51" s="5" t="s">
        <v>93</v>
      </c>
      <c r="B51" s="5" t="str">
        <f t="shared" si="1"/>
        <v>NOV. I - ED25</v>
      </c>
      <c r="C51" s="6" t="str">
        <f>IFERROR(__xludf.DUMMYFUNCTION("""COMPUTED_VALUE"""),"EXCEL")</f>
        <v>EXCEL</v>
      </c>
      <c r="D51" s="6" t="str">
        <f>IFERROR(__xludf.DUMMYFUNCTION("""COMPUTED_VALUE"""),"CURSO")</f>
        <v>CURSO</v>
      </c>
      <c r="E51" s="6" t="str">
        <f>IFERROR(__xludf.DUMMYFUNCTION("""COMPUTED_VALUE"""),"EXCEL INTERM")</f>
        <v>EXCEL INTERM</v>
      </c>
      <c r="F51" s="7">
        <f>IFERROR(__xludf.DUMMYFUNCTION("""COMPUTED_VALUE"""),45966.0)</f>
        <v>45966</v>
      </c>
      <c r="G51" s="6"/>
      <c r="H51" s="7"/>
      <c r="I51" s="6"/>
      <c r="J51" s="7"/>
      <c r="K51" s="6"/>
      <c r="L51" s="7"/>
      <c r="M51" s="6"/>
      <c r="N51" s="7"/>
      <c r="O51" s="6"/>
      <c r="P51" s="7"/>
      <c r="Q51" s="6" t="str">
        <f>IFERROR(__xludf.DUMMYFUNCTION("""COMPUTED_VALUE"""),"Jonathan Sanchez")</f>
        <v>Jonathan Sanchez</v>
      </c>
      <c r="R51" s="5" t="str">
        <f>IFERROR(__xludf.DUMMYFUNCTION("""COMPUTED_VALUE"""),"Lun-Mie")</f>
        <v>Lun-Mie</v>
      </c>
      <c r="S51" s="6" t="str">
        <f>IFERROR(__xludf.DUMMYFUNCTION("""COMPUTED_VALUE"""),"7PM - 10PM")</f>
        <v>7PM - 10PM</v>
      </c>
      <c r="T51" s="7" t="str">
        <f>IFERROR(__xludf.DUMMYFUNCTION("""COMPUTED_VALUE"""),"Miércoles 5 Noviembre")</f>
        <v>Miércoles 5 Noviembre</v>
      </c>
      <c r="U51" s="7" t="str">
        <f>IFERROR(__xludf.DUMMYFUNCTION("""COMPUTED_VALUE"""),"Lunes 24 Noviembre")</f>
        <v>Lunes 24 Noviembre</v>
      </c>
      <c r="V51" s="8">
        <f>IFERROR(__xludf.DUMMYFUNCTION("""COMPUTED_VALUE"""),6.0)</f>
        <v>6</v>
      </c>
      <c r="W51" s="5" t="str">
        <f>IFERROR(__xludf.DUMMYFUNCTION("""COMPUTED_VALUE"""),"pdfs/BROCHURE EXCEL INTERMEDIO.pdf")</f>
        <v>pdfs/BROCHURE EXCEL INTERMEDIO.pdf</v>
      </c>
      <c r="X51" s="5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51" s="5" t="str">
        <f>IFERROR(__xludf.DUMMYFUNCTION("""COMPUTED_VALUE"""),"images/excelinterm.jpg")</f>
        <v>images/excelinterm.jpg</v>
      </c>
      <c r="Z51" s="5" t="str">
        <f>IFERROR(__xludf.DUMMYFUNCTION("""COMPUTED_VALUE"""),"Avalado por Microsoft Partner Network")</f>
        <v>Avalado por Microsoft Partner Network</v>
      </c>
      <c r="AA51" s="5" t="str">
        <f>IFERROR(__xludf.DUMMYFUNCTION("""COMPUTED_VALUE"""),"NO")</f>
        <v>NO</v>
      </c>
      <c r="AB51" s="6">
        <f>IFERROR(__xludf.DUMMYFUNCTION("""COMPUTED_VALUE"""),420.0)</f>
        <v>420</v>
      </c>
      <c r="AC51" s="6">
        <f>IFERROR(__xludf.DUMMYFUNCTION("""COMPUTED_VALUE"""),400.0)</f>
        <v>400</v>
      </c>
      <c r="AD51" s="6">
        <f>IFERROR(__xludf.DUMMYFUNCTION("""COMPUTED_VALUE"""),210.0)</f>
        <v>210</v>
      </c>
      <c r="AE51" s="6">
        <f>IFERROR(__xludf.DUMMYFUNCTION("""COMPUTED_VALUE"""),200.0)</f>
        <v>200</v>
      </c>
      <c r="AF51" s="6">
        <f>IFERROR(__xludf.DUMMYFUNCTION("""COMPUTED_VALUE"""),150.0)</f>
        <v>150</v>
      </c>
      <c r="AG51" s="5">
        <f>IFERROR(__xludf.DUMMYFUNCTION("""COMPUTED_VALUE"""),150.0)</f>
        <v>150</v>
      </c>
      <c r="AH51" s="5"/>
      <c r="AI51" s="5">
        <f>IFERROR(__xludf.DUMMYFUNCTION("""COMPUTED_VALUE"""),180.0)</f>
        <v>180</v>
      </c>
      <c r="AJ51" s="5">
        <f>IFERROR(__xludf.DUMMYFUNCTION("""COMPUTED_VALUE"""),189.0)</f>
        <v>189</v>
      </c>
      <c r="AK51" s="5" t="str">
        <f>IFERROR(__xludf.DUMMYFUNCTION("""COMPUTED_VALUE"""),"El siguiente paso en tu crecimiento es Excel Intermedio 🚀
Consolidarás fórmulas, tablas y reportes aplicables en entornos reales de trabajo 💻.
Aquí tienes la info 👇🏻")</f>
        <v>El siguiente paso en tu crecimiento es Excel Intermedio 🚀
Consolidarás fórmulas, tablas y reportes aplicables en entornos reales de trabajo 💻.
Aquí tienes la info 👇🏻</v>
      </c>
      <c r="AL51" s="5" t="str">
        <f>IFERROR(__xludf.DUMMYFUNCTION("""COMPUTED_VALUE"""),"💼 *Excelente*, actualízate con *EXCEL INTERM* y mantente competitivo en el mercado laboral.")</f>
        <v>💼 *Excelente*, actualízate con *EXCEL INTERM* y mantente competitivo en el mercado laboral.</v>
      </c>
      <c r="AM51" s="5" t="str">
        <f>IFERROR(__xludf.DUMMYFUNCTION("""COMPUTED_VALUE"""),"📘 Buenísimo, *EXCEL INTERM* es de las competencias más pedidas por las empresas y aumentará tus oportunidades laborales.")</f>
        <v>📘 Buenísimo, *EXCEL INTERM* es de las competencias más pedidas por las empresas y aumentará tus oportunidades laborales.</v>
      </c>
      <c r="AN51" s="5" t="str">
        <f>IFERROR(__xludf.DUMMYFUNCTION("""COMPUTED_VALUE"""),"🔑 ¡Genial! Con *EXCEL INTERM* sumarás una habilidad poderosa que te diferenciará desde la universidad.")</f>
        <v>🔑 ¡Genial! Con *EXCEL INTERM* sumarás una habilidad poderosa que te diferenciará desde la universidad.</v>
      </c>
      <c r="AO51" s="5" t="str">
        <f>IFERROR(__xludf.DUMMYFUNCTION("""COMPUTED_VALUE"""),"🔑 ¡Perfecto! Saber *EXCEL INTERM* te dará ventaja frente a otros postulantes para conseguir prácticas.")</f>
        <v>🔑 ¡Perfecto! Saber *EXCEL INTERM* te dará ventaja frente a otros postulantes para conseguir prácticas.</v>
      </c>
      <c r="AP51" s="5" t="str">
        <f>IFERROR(__xludf.DUMMYFUNCTION("""COMPUTED_VALUE"""),"✨ ¡Excelente! Con *EXCEL INTERM* podrás aplicarlo en tu negocio y tomar decisiones más inteligentes.")</f>
        <v>✨ ¡Excelente! Con *EXCEL INTERM* podrás aplicarlo en tu negocio y tomar decisiones más inteligentes.</v>
      </c>
      <c r="AQ51" s="9" t="str">
        <f>IFERROR(__xludf.DUMMYFUNCTION("""COMPUTED_VALUE"""),"https://we-educacion.com/slides/microsoft-excel-intermedio-82")</f>
        <v>https://we-educacion.com/slides/microsoft-excel-intermedio-82</v>
      </c>
      <c r="AR51" s="5">
        <v>1.0</v>
      </c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</row>
    <row r="52" ht="15.75" customHeight="1">
      <c r="A52" s="5" t="s">
        <v>94</v>
      </c>
      <c r="B52" s="5" t="str">
        <f t="shared" si="1"/>
        <v>NOV. I - ED25</v>
      </c>
      <c r="C52" s="6" t="str">
        <f>IFERROR(__xludf.DUMMYFUNCTION("""COMPUTED_VALUE"""),"BI")</f>
        <v>BI</v>
      </c>
      <c r="D52" s="5" t="str">
        <f>IFERROR(__xludf.DUMMYFUNCTION("""COMPUTED_VALUE"""),"PEE")</f>
        <v>PEE</v>
      </c>
      <c r="E52" s="6" t="str">
        <f>IFERROR(__xludf.DUMMYFUNCTION("""COMPUTED_VALUE"""),"PEE ANALIST DATOS")</f>
        <v>PEE ANALIST DATOS</v>
      </c>
      <c r="F52" s="7">
        <f>IFERROR(__xludf.DUMMYFUNCTION("""COMPUTED_VALUE"""),45967.0)</f>
        <v>45967</v>
      </c>
      <c r="G52" s="6" t="str">
        <f>IFERROR(__xludf.DUMMYFUNCTION("""COMPUTED_VALUE"""),"SQL SERVER")</f>
        <v>SQL SERVER</v>
      </c>
      <c r="H52" s="7">
        <f>IFERROR(__xludf.DUMMYFUNCTION("""COMPUTED_VALUE"""),45967.0)</f>
        <v>45967</v>
      </c>
      <c r="I52" s="6" t="str">
        <f>IFERROR(__xludf.DUMMYFUNCTION("""COMPUTED_VALUE"""),"POWER BI")</f>
        <v>POWER BI</v>
      </c>
      <c r="J52" s="7">
        <f>IFERROR(__xludf.DUMMYFUNCTION("""COMPUTED_VALUE"""),45995.0)</f>
        <v>45995</v>
      </c>
      <c r="K52" s="6" t="str">
        <f>IFERROR(__xludf.DUMMYFUNCTION("""COMPUTED_VALUE"""),"PYTHON. DATOS")</f>
        <v>PYTHON. DATOS</v>
      </c>
      <c r="L52" s="7">
        <f>IFERROR(__xludf.DUMMYFUNCTION("""COMPUTED_VALUE"""),46030.0)</f>
        <v>46030</v>
      </c>
      <c r="M52" s="6"/>
      <c r="N52" s="7"/>
      <c r="O52" s="6"/>
      <c r="P52" s="7"/>
      <c r="Q52" s="6" t="str">
        <f>IFERROR(__xludf.DUMMYFUNCTION("""COMPUTED_VALUE"""),"Carlos Mesta
Jessica De La Cruz
Jhair Prado")</f>
        <v>Carlos Mesta
Jessica De La Cruz
Jhair Prado</v>
      </c>
      <c r="R52" s="5" t="str">
        <f>IFERROR(__xludf.DUMMYFUNCTION("""COMPUTED_VALUE"""),"Mar-Jue")</f>
        <v>Mar-Jue</v>
      </c>
      <c r="S52" s="6" t="str">
        <f>IFERROR(__xludf.DUMMYFUNCTION("""COMPUTED_VALUE"""),"7PM - 10PM")</f>
        <v>7PM - 10PM</v>
      </c>
      <c r="T52" s="7" t="str">
        <f>IFERROR(__xludf.DUMMYFUNCTION("""COMPUTED_VALUE"""),"Jueves 6 Noviembre")</f>
        <v>Jueves 6 Noviembre</v>
      </c>
      <c r="U52" s="7" t="str">
        <f>IFERROR(__xludf.DUMMYFUNCTION("""COMPUTED_VALUE"""),"Martes 27 Enero")</f>
        <v>Martes 27 Enero</v>
      </c>
      <c r="V52" s="8">
        <f>IFERROR(__xludf.DUMMYFUNCTION("""COMPUTED_VALUE"""),18.0)</f>
        <v>18</v>
      </c>
      <c r="W52" s="5" t="str">
        <f>IFERROR(__xludf.DUMMYFUNCTION("""COMPUTED_VALUE"""),"pdfs/BROCHURE PEE ANALISTA DE DATOS.pdf")</f>
        <v>pdfs/BROCHURE PEE ANALISTA DE DATOS.pdf</v>
      </c>
      <c r="X52" s="5" t="str">
        <f>IFERROR(__xludf.DUMMYFUNCTION("""COMPUTED_VALUE"""),"🔵 *Utilizarán Power BI, SQL Server y Python*👩🏻‍💻
👉🏼 Incluye tutorial y manual de instalación
💻 _*Importante*: Para la instalación se necesita una Laptop *Windows*_
🚨 *Por favor, revisa el BROCHURE* 👇🏻
Aqui encontrarás la información completa de"&amp;"l programa, el TEMARIO (malla curricular) y todos los BENEFICIOS 📚")</f>
        <v>🔵 *Utilizarán Power BI, SQL Server y Python*👩🏻‍💻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52" s="5" t="str">
        <f>IFERROR(__xludf.DUMMYFUNCTION("""COMPUTED_VALUE"""),"images/peedatos.jpg")</f>
        <v>images/peedatos.jpg</v>
      </c>
      <c r="Z52" s="5"/>
      <c r="AA52" s="5" t="str">
        <f>IFERROR(__xludf.DUMMYFUNCTION("""COMPUTED_VALUE"""),"NO")</f>
        <v>NO</v>
      </c>
      <c r="AB52" s="6">
        <f>IFERROR(__xludf.DUMMYFUNCTION("""COMPUTED_VALUE"""),2390.0)</f>
        <v>2390</v>
      </c>
      <c r="AC52" s="6">
        <f>IFERROR(__xludf.DUMMYFUNCTION("""COMPUTED_VALUE"""),2130.0)</f>
        <v>2130</v>
      </c>
      <c r="AD52" s="6">
        <f>IFERROR(__xludf.DUMMYFUNCTION("""COMPUTED_VALUE"""),1195.0)</f>
        <v>1195</v>
      </c>
      <c r="AE52" s="6">
        <f>IFERROR(__xludf.DUMMYFUNCTION("""COMPUTED_VALUE"""),1065.0)</f>
        <v>1065</v>
      </c>
      <c r="AF52" s="6">
        <f>IFERROR(__xludf.DUMMYFUNCTION("""COMPUTED_VALUE"""),250.0)</f>
        <v>250</v>
      </c>
      <c r="AG52" s="5">
        <f>IFERROR(__xludf.DUMMYFUNCTION("""COMPUTED_VALUE"""),350.0)</f>
        <v>350</v>
      </c>
      <c r="AH52" s="5"/>
      <c r="AI52" s="5">
        <f>IFERROR(__xludf.DUMMYFUNCTION("""COMPUTED_VALUE"""),958.5)</f>
        <v>958.5</v>
      </c>
      <c r="AJ52" s="5">
        <f>IFERROR(__xludf.DUMMYFUNCTION("""COMPUTED_VALUE"""),1075.5)</f>
        <v>1075.5</v>
      </c>
      <c r="AK52" s="5" t="str">
        <f>IFERROR(__xludf.DUMMYFUNCTION("""COMPUTED_VALUE"""),"Los analistas de datos son los profesionales más buscados 🔍
Aprende herramientas prácticas de análisis para transformar datos en decisiones 📊
👉🏻 Aquí tienes la información.")</f>
        <v>Los analistas de datos son los profesionales más buscados 🔍
Aprende herramientas prácticas de análisis para transformar datos en decisiones 📊
👉🏻 Aquí tienes la información.</v>
      </c>
      <c r="AL52" s="5" t="str">
        <f>IFERROR(__xludf.DUMMYFUNCTION("""COMPUTED_VALUE"""),"📊 Excelente, el PEE Analista de Datos te enseña herramientas claves como Power BI y SQL.")</f>
        <v>📊 Excelente, el PEE Analista de Datos te enseña herramientas claves como Power BI y SQL.</v>
      </c>
      <c r="AM52" s="5" t="str">
        <f>IFERROR(__xludf.DUMMYFUNCTION("""COMPUTED_VALUE"""),"💼 Buenísimo, el rol de Analista de Datos es uno de los más demandados actualmente.")</f>
        <v>💼 Buenísimo, el rol de Analista de Datos es uno de los más demandados actualmente.</v>
      </c>
      <c r="AN52" s="5" t="str">
        <f>IFERROR(__xludf.DUMMYFUNCTION("""COMPUTED_VALUE"""),"🎓 ¡Genial! Desde la universidad, este PEE te dará una habilidad muy valorada en tu carrera.")</f>
        <v>🎓 ¡Genial! Desde la universidad, este PEE te dará una habilidad muy valorada en tu carrera.</v>
      </c>
      <c r="AO52" s="5" t="str">
        <f>IFERROR(__xludf.DUMMYFUNCTION("""COMPUTED_VALUE"""),"🚀 ¡Perfecto! Con el PEE en Datos tendrás ventaja en empleos de inteligencia de negocios.")</f>
        <v>🚀 ¡Perfecto! Con el PEE en Datos tendrás ventaja en empleos de inteligencia de negocios.</v>
      </c>
      <c r="AP52" s="5" t="str">
        <f>IFERROR(__xludf.DUMMYFUNCTION("""COMPUTED_VALUE"""),"📉 ¡Excelente! Podrás aplicar análisis a tu propio negocio para crecer con datos reales.")</f>
        <v>📉 ¡Excelente! Podrás aplicar análisis a tu propio negocio para crecer con datos reales.</v>
      </c>
      <c r="AQ52" s="9" t="str">
        <f>IFERROR(__xludf.DUMMYFUNCTION("""COMPUTED_VALUE"""),"https://we-educacion.com/slides/pee-analista-de-datos-96")</f>
        <v>https://we-educacion.com/slides/pee-analista-de-datos-96</v>
      </c>
      <c r="AR52" s="5">
        <v>1.0</v>
      </c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</row>
    <row r="53" ht="15.75" customHeight="1">
      <c r="A53" s="5" t="s">
        <v>95</v>
      </c>
      <c r="B53" s="5" t="str">
        <f t="shared" si="1"/>
        <v>NOV. I - ED25</v>
      </c>
      <c r="C53" s="6" t="str">
        <f>IFERROR(__xludf.DUMMYFUNCTION("""COMPUTED_VALUE"""),"BI")</f>
        <v>BI</v>
      </c>
      <c r="D53" s="5" t="str">
        <f>IFERROR(__xludf.DUMMYFUNCTION("""COMPUTED_VALUE"""),"CURSO")</f>
        <v>CURSO</v>
      </c>
      <c r="E53" s="6" t="str">
        <f>IFERROR(__xludf.DUMMYFUNCTION("""COMPUTED_VALUE"""),"SQL SERVER")</f>
        <v>SQL SERVER</v>
      </c>
      <c r="F53" s="7">
        <f>IFERROR(__xludf.DUMMYFUNCTION("""COMPUTED_VALUE"""),45967.0)</f>
        <v>45967</v>
      </c>
      <c r="G53" s="6"/>
      <c r="H53" s="7"/>
      <c r="I53" s="6"/>
      <c r="J53" s="7"/>
      <c r="K53" s="6"/>
      <c r="L53" s="7"/>
      <c r="M53" s="6"/>
      <c r="N53" s="7"/>
      <c r="O53" s="6"/>
      <c r="P53" s="7"/>
      <c r="Q53" s="6" t="str">
        <f>IFERROR(__xludf.DUMMYFUNCTION("""COMPUTED_VALUE"""),"Carlos Mesta")</f>
        <v>Carlos Mesta</v>
      </c>
      <c r="R53" s="5" t="str">
        <f>IFERROR(__xludf.DUMMYFUNCTION("""COMPUTED_VALUE"""),"Mar-Jue")</f>
        <v>Mar-Jue</v>
      </c>
      <c r="S53" s="6" t="str">
        <f>IFERROR(__xludf.DUMMYFUNCTION("""COMPUTED_VALUE"""),"7PM - 10PM")</f>
        <v>7PM - 10PM</v>
      </c>
      <c r="T53" s="7" t="str">
        <f>IFERROR(__xludf.DUMMYFUNCTION("""COMPUTED_VALUE"""),"Jueves 6 Noviembre")</f>
        <v>Jueves 6 Noviembre</v>
      </c>
      <c r="U53" s="7" t="str">
        <f>IFERROR(__xludf.DUMMYFUNCTION("""COMPUTED_VALUE"""),"Martes 25 Noviembre")</f>
        <v>Martes 25 Noviembre</v>
      </c>
      <c r="V53" s="8">
        <f>IFERROR(__xludf.DUMMYFUNCTION("""COMPUTED_VALUE"""),6.0)</f>
        <v>6</v>
      </c>
      <c r="W53" s="5" t="str">
        <f>IFERROR(__xludf.DUMMYFUNCTION("""COMPUTED_VALUE"""),"pdfs/BROCHURE SQL SERVER.pdf")</f>
        <v>pdfs/BROCHURE SQL SERVER.pdf</v>
      </c>
      <c r="X53" s="5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53" s="5" t="str">
        <f>IFERROR(__xludf.DUMMYFUNCTION("""COMPUTED_VALUE"""),"images/sqlserver.jpg")</f>
        <v>images/sqlserver.jpg</v>
      </c>
      <c r="Z53" s="5" t="str">
        <f>IFERROR(__xludf.DUMMYFUNCTION("""COMPUTED_VALUE"""),"Avalado por Microsoft Partner Network")</f>
        <v>Avalado por Microsoft Partner Network</v>
      </c>
      <c r="AA53" s="5" t="str">
        <f>IFERROR(__xludf.DUMMYFUNCTION("""COMPUTED_VALUE"""),"NO")</f>
        <v>NO</v>
      </c>
      <c r="AB53" s="6">
        <f>IFERROR(__xludf.DUMMYFUNCTION("""COMPUTED_VALUE"""),830.0)</f>
        <v>830</v>
      </c>
      <c r="AC53" s="6">
        <f>IFERROR(__xludf.DUMMYFUNCTION("""COMPUTED_VALUE"""),740.0)</f>
        <v>740</v>
      </c>
      <c r="AD53" s="6">
        <f>IFERROR(__xludf.DUMMYFUNCTION("""COMPUTED_VALUE"""),415.0)</f>
        <v>415</v>
      </c>
      <c r="AE53" s="6">
        <f>IFERROR(__xludf.DUMMYFUNCTION("""COMPUTED_VALUE"""),370.0)</f>
        <v>370</v>
      </c>
      <c r="AF53" s="6">
        <f>IFERROR(__xludf.DUMMYFUNCTION("""COMPUTED_VALUE"""),150.0)</f>
        <v>150</v>
      </c>
      <c r="AG53" s="5">
        <f>IFERROR(__xludf.DUMMYFUNCTION("""COMPUTED_VALUE"""),150.0)</f>
        <v>150</v>
      </c>
      <c r="AH53" s="5"/>
      <c r="AI53" s="5">
        <f>IFERROR(__xludf.DUMMYFUNCTION("""COMPUTED_VALUE"""),333.0)</f>
        <v>333</v>
      </c>
      <c r="AJ53" s="5">
        <f>IFERROR(__xludf.DUMMYFUNCTION("""COMPUTED_VALUE"""),373.5)</f>
        <v>373.5</v>
      </c>
      <c r="AK53" s="5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53" s="5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53" s="5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53" s="5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53" s="5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53" s="5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53" s="9" t="str">
        <f>IFERROR(__xludf.DUMMYFUNCTION("""COMPUTED_VALUE"""),"https://we-educacion.com/slides/sql-server-for-analytics-52")</f>
        <v>https://we-educacion.com/slides/sql-server-for-analytics-52</v>
      </c>
      <c r="AR53" s="5">
        <v>1.0</v>
      </c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</row>
    <row r="54" ht="15.75" customHeight="1">
      <c r="A54" s="5" t="s">
        <v>96</v>
      </c>
      <c r="B54" s="5" t="str">
        <f t="shared" si="1"/>
        <v>NOV. I - ED25</v>
      </c>
      <c r="C54" s="6" t="str">
        <f>IFERROR(__xludf.DUMMYFUNCTION("""COMPUTED_VALUE"""),"BI")</f>
        <v>BI</v>
      </c>
      <c r="D54" s="5" t="str">
        <f>IFERROR(__xludf.DUMMYFUNCTION("""COMPUTED_VALUE"""),"CURSO")</f>
        <v>CURSO</v>
      </c>
      <c r="E54" s="6" t="str">
        <f>IFERROR(__xludf.DUMMYFUNCTION("""COMPUTED_VALUE"""),"DATABRICKS")</f>
        <v>DATABRICKS</v>
      </c>
      <c r="F54" s="7">
        <f>IFERROR(__xludf.DUMMYFUNCTION("""COMPUTED_VALUE"""),45967.0)</f>
        <v>45967</v>
      </c>
      <c r="G54" s="6"/>
      <c r="H54" s="7"/>
      <c r="I54" s="6"/>
      <c r="J54" s="7"/>
      <c r="K54" s="6"/>
      <c r="L54" s="7"/>
      <c r="M54" s="6"/>
      <c r="N54" s="7"/>
      <c r="O54" s="6"/>
      <c r="P54" s="7"/>
      <c r="Q54" s="6" t="str">
        <f>IFERROR(__xludf.DUMMYFUNCTION("""COMPUTED_VALUE"""),"David Llaja")</f>
        <v>David Llaja</v>
      </c>
      <c r="R54" s="5" t="str">
        <f>IFERROR(__xludf.DUMMYFUNCTION("""COMPUTED_VALUE"""),"Mar-Jue")</f>
        <v>Mar-Jue</v>
      </c>
      <c r="S54" s="6" t="str">
        <f>IFERROR(__xludf.DUMMYFUNCTION("""COMPUTED_VALUE"""),"7PM - 10PM")</f>
        <v>7PM - 10PM</v>
      </c>
      <c r="T54" s="7" t="str">
        <f>IFERROR(__xludf.DUMMYFUNCTION("""COMPUTED_VALUE"""),"Jueves 6 Noviembre")</f>
        <v>Jueves 6 Noviembre</v>
      </c>
      <c r="U54" s="7" t="str">
        <f>IFERROR(__xludf.DUMMYFUNCTION("""COMPUTED_VALUE"""),"Martes 25 Noviembre")</f>
        <v>Martes 25 Noviembre</v>
      </c>
      <c r="V54" s="8">
        <f>IFERROR(__xludf.DUMMYFUNCTION("""COMPUTED_VALUE"""),6.0)</f>
        <v>6</v>
      </c>
      <c r="W54" s="5" t="str">
        <f>IFERROR(__xludf.DUMMYFUNCTION("""COMPUTED_VALUE"""),"pdfs/BROCHURE DATABRICKS.pdf")</f>
        <v>pdfs/BROCHURE DATABRICKS.pdf</v>
      </c>
      <c r="X54" s="5" t="str">
        <f>IFERROR(__xludf.DUMMYFUNCTION("""COMPUTED_VALUE"""),"🔹 Utilizarán Azure Cloud 👩🏻‍💻
👉🏼 Te guiamos en clases a crear tu Cuenta 
🚨 Por favor, revisa el BROCHURE 👇🏻
Aqui encontrarás la información completa del programa: Temario (malla curricular) y todos los BENEFICIOS 📚")</f>
        <v>🔹 Utilizarán Azure Cloud 👩🏻‍💻
👉🏼 Te guiamos en clases a crear tu Cuenta 
🚨 Por favor, revisa el BROCHURE 👇🏻
Aqui encontrarás la información completa del programa: Temario (malla curricular) y todos los BENEFICIOS 📚</v>
      </c>
      <c r="Y54" s="5" t="str">
        <f>IFERROR(__xludf.DUMMYFUNCTION("""COMPUTED_VALUE"""),"images/databri.jpg")</f>
        <v>images/databri.jpg</v>
      </c>
      <c r="Z54" s="5"/>
      <c r="AA54" s="5"/>
      <c r="AB54" s="6"/>
      <c r="AC54" s="6"/>
      <c r="AD54" s="6">
        <f>IFERROR(__xludf.DUMMYFUNCTION("""COMPUTED_VALUE"""),0.0)</f>
        <v>0</v>
      </c>
      <c r="AE54" s="6">
        <f>IFERROR(__xludf.DUMMYFUNCTION("""COMPUTED_VALUE"""),0.0)</f>
        <v>0</v>
      </c>
      <c r="AF54" s="6">
        <f>IFERROR(__xludf.DUMMYFUNCTION("""COMPUTED_VALUE"""),150.0)</f>
        <v>150</v>
      </c>
      <c r="AG54" s="5">
        <f>IFERROR(__xludf.DUMMYFUNCTION("""COMPUTED_VALUE"""),150.0)</f>
        <v>150</v>
      </c>
      <c r="AH54" s="5"/>
      <c r="AI54" s="5">
        <f>IFERROR(__xludf.DUMMYFUNCTION("""COMPUTED_VALUE"""),0.0)</f>
        <v>0</v>
      </c>
      <c r="AJ54" s="5">
        <f>IFERROR(__xludf.DUMMYFUNCTION("""COMPUTED_VALUE"""),0.0)</f>
        <v>0</v>
      </c>
      <c r="AK54" s="5" t="str">
        <f>IFERROR(__xludf.DUMMYFUNCTION("""COMPUTED_VALUE"""),"El lenguaje de los líderes de datos hoy es Big Data y Machine Learning 🤖
Con Databricks aprenderás a procesar grandes volúmenes de información y aplicar análisis reales 🚀.
Aquí tienes la info a detalle 👇🏻")</f>
        <v>El lenguaje de los líderes de datos hoy es Big Data y Machine Learning 🤖
Con Databricks aprenderás a procesar grandes volúmenes de información y aplicar análisis reales 🚀.
Aquí tienes la info a detalle 👇🏻</v>
      </c>
      <c r="AL54" s="5" t="str">
        <f>IFERROR(__xludf.DUMMYFUNCTION("""COMPUTED_VALUE"""),"🚀 *Excelente*, actualízate con *DATABRICKS* y mantente competitivo en el mercado laboral.")</f>
        <v>🚀 *Excelente*, actualízate con *DATABRICKS* y mantente competitivo en el mercado laboral.</v>
      </c>
      <c r="AM54" s="5" t="str">
        <f>IFERROR(__xludf.DUMMYFUNCTION("""COMPUTED_VALUE"""),"🔑 Buenísimo, *DATABRICKS* es de las competencias más pedidas por las empresas y aumentará tus oportunidades laborales.")</f>
        <v>🔑 Buenísimo, *DATABRICKS* es de las competencias más pedidas por las empresas y aumentará tus oportunidades laborales.</v>
      </c>
      <c r="AN54" s="5" t="str">
        <f>IFERROR(__xludf.DUMMYFUNCTION("""COMPUTED_VALUE"""),"🛠️ ¡Genial! Con *DATABRICKS* sumarás una habilidad poderosa que te diferenciará desde la universidad.")</f>
        <v>🛠️ ¡Genial! Con *DATABRICKS* sumarás una habilidad poderosa que te diferenciará desde la universidad.</v>
      </c>
      <c r="AO54" s="5" t="str">
        <f>IFERROR(__xludf.DUMMYFUNCTION("""COMPUTED_VALUE"""),"🏆 ¡Perfecto! Saber *DATABRICKS* te dará ventaja frente a otros postulantes para conseguir prácticas.")</f>
        <v>🏆 ¡Perfecto! Saber *DATABRICKS* te dará ventaja frente a otros postulantes para conseguir prácticas.</v>
      </c>
      <c r="AP54" s="5" t="str">
        <f>IFERROR(__xludf.DUMMYFUNCTION("""COMPUTED_VALUE"""),"🌍 ¡Excelente! Con *DATABRICKS* podrás aplicarlo en tu negocio y tomar decisiones más inteligentes.")</f>
        <v>🌍 ¡Excelente! Con *DATABRICKS* podrás aplicarlo en tu negocio y tomar decisiones más inteligentes.</v>
      </c>
      <c r="AQ54" s="9" t="str">
        <f>IFERROR(__xludf.DUMMYFUNCTION("""COMPUTED_VALUE"""),"https://we-educacion.com/slides/databricks-analisis-de-datos-1231")</f>
        <v>https://we-educacion.com/slides/databricks-analisis-de-datos-1231</v>
      </c>
      <c r="AR54" s="5">
        <v>1.0</v>
      </c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</row>
    <row r="55" ht="15.75" customHeight="1">
      <c r="A55" s="5" t="s">
        <v>97</v>
      </c>
      <c r="B55" s="5" t="str">
        <f t="shared" si="1"/>
        <v>NOV. I - ED25</v>
      </c>
      <c r="C55" s="6" t="str">
        <f>IFERROR(__xludf.DUMMYFUNCTION("""COMPUTED_VALUE"""),"EXCEL")</f>
        <v>EXCEL</v>
      </c>
      <c r="D55" s="6" t="str">
        <f>IFERROR(__xludf.DUMMYFUNCTION("""COMPUTED_VALUE"""),"ESP.")</f>
        <v>ESP.</v>
      </c>
      <c r="E55" s="6" t="str">
        <f>IFERROR(__xludf.DUMMYFUNCTION("""COMPUTED_VALUE"""),"ESP. EXCEL EXP")</f>
        <v>ESP. EXCEL EXP</v>
      </c>
      <c r="F55" s="7">
        <f>IFERROR(__xludf.DUMMYFUNCTION("""COMPUTED_VALUE"""),45969.0)</f>
        <v>45969</v>
      </c>
      <c r="G55" s="6" t="str">
        <f>IFERROR(__xludf.DUMMYFUNCTION("""COMPUTED_VALUE"""),"EXCEL BÁSICO")</f>
        <v>EXCEL BÁSICO</v>
      </c>
      <c r="H55" s="7">
        <f>IFERROR(__xludf.DUMMYFUNCTION("""COMPUTED_VALUE"""),45969.0)</f>
        <v>45969</v>
      </c>
      <c r="I55" s="6" t="str">
        <f>IFERROR(__xludf.DUMMYFUNCTION("""COMPUTED_VALUE"""),"EXCEL INTERM")</f>
        <v>EXCEL INTERM</v>
      </c>
      <c r="J55" s="7">
        <f>IFERROR(__xludf.DUMMYFUNCTION("""COMPUTED_VALUE"""),46011.0)</f>
        <v>46011</v>
      </c>
      <c r="K55" s="6" t="str">
        <f>IFERROR(__xludf.DUMMYFUNCTION("""COMPUTED_VALUE"""),"EXCEL AVANZ")</f>
        <v>EXCEL AVANZ</v>
      </c>
      <c r="L55" s="7">
        <f>IFERROR(__xludf.DUMMYFUNCTION("""COMPUTED_VALUE"""),46053.0)</f>
        <v>46053</v>
      </c>
      <c r="M55" s="6" t="str">
        <f>IFERROR(__xludf.DUMMYFUNCTION("""COMPUTED_VALUE"""),"PROG. MACROS")</f>
        <v>PROG. MACROS</v>
      </c>
      <c r="N55" s="7">
        <f>IFERROR(__xludf.DUMMYFUNCTION("""COMPUTED_VALUE"""),46095.0)</f>
        <v>46095</v>
      </c>
      <c r="O55" s="6"/>
      <c r="P55" s="7"/>
      <c r="Q55" s="6" t="str">
        <f>IFERROR(__xludf.DUMMYFUNCTION("""COMPUTED_VALUE"""),"Jhon Lino
Jonathan Sanchez
Carlos Mesta
Julio Ccari")</f>
        <v>Jhon Lino
Jonathan Sanchez
Carlos Mesta
Julio Ccari</v>
      </c>
      <c r="R55" s="5" t="str">
        <f>IFERROR(__xludf.DUMMYFUNCTION("""COMPUTED_VALUE"""),"Sáb")</f>
        <v>Sáb</v>
      </c>
      <c r="S55" s="6" t="str">
        <f>IFERROR(__xludf.DUMMYFUNCTION("""COMPUTED_VALUE"""),"3PM - 6PM")</f>
        <v>3PM - 6PM</v>
      </c>
      <c r="T55" s="7" t="str">
        <f>IFERROR(__xludf.DUMMYFUNCTION("""COMPUTED_VALUE"""),"Sábado 8 Noviembre")</f>
        <v>Sábado 8 Noviembre</v>
      </c>
      <c r="U55" s="7" t="str">
        <f>IFERROR(__xludf.DUMMYFUNCTION("""COMPUTED_VALUE"""),"Sábado 18 Abril")</f>
        <v>Sábado 18 Abril</v>
      </c>
      <c r="V55" s="8">
        <f>IFERROR(__xludf.DUMMYFUNCTION("""COMPUTED_VALUE"""),23.0)</f>
        <v>23</v>
      </c>
      <c r="W55" s="5" t="str">
        <f>IFERROR(__xludf.DUMMYFUNCTION("""COMPUTED_VALUE"""),"pdfs/BROCHURE ESPECIALIZACION DE EXCEL EXPERT.pdf")</f>
        <v>pdfs/BROCHURE ESPECIALIZACION DE EXCEL EXPERT.pdf</v>
      </c>
      <c r="X55" s="5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MOS*
🔹 "&amp;"05 Cursos Online de regalo con acceso ilimitado 📚
🔹 Desarrollo y seguimiento de tu proyecto *(Evaluado)*
🔹 Contenido Integrado con Chat GPT
🔹 Garantía de Aprendizaje 100%
🚨 *Por favor, revisa el BROCHURE* 👇🏻
Aqui encontrarás la información complet"&amp;"a del programa, el TEMARIO (malla curricular) y todos los BENEFICIOS 📚")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55" s="5" t="str">
        <f>IFERROR(__xludf.DUMMYFUNCTION("""COMPUTED_VALUE"""),"images/excelexp.jpg")</f>
        <v>images/excelexp.jpg</v>
      </c>
      <c r="Z55" s="5" t="str">
        <f>IFERROR(__xludf.DUMMYFUNCTION("""COMPUTED_VALUE"""),"Avalado por Microsoft Partner Network")</f>
        <v>Avalado por Microsoft Partner Network</v>
      </c>
      <c r="AA55" s="5" t="str">
        <f>IFERROR(__xludf.DUMMYFUNCTION("""COMPUTED_VALUE"""),"NO")</f>
        <v>NO</v>
      </c>
      <c r="AB55" s="6">
        <f>IFERROR(__xludf.DUMMYFUNCTION("""COMPUTED_VALUE"""),1600.0)</f>
        <v>1600</v>
      </c>
      <c r="AC55" s="6">
        <f>IFERROR(__xludf.DUMMYFUNCTION("""COMPUTED_VALUE"""),1520.0)</f>
        <v>1520</v>
      </c>
      <c r="AD55" s="6">
        <f>IFERROR(__xludf.DUMMYFUNCTION("""COMPUTED_VALUE"""),800.0)</f>
        <v>800</v>
      </c>
      <c r="AE55" s="6">
        <f>IFERROR(__xludf.DUMMYFUNCTION("""COMPUTED_VALUE"""),760.0)</f>
        <v>760</v>
      </c>
      <c r="AF55" s="6">
        <f>IFERROR(__xludf.DUMMYFUNCTION("""COMPUTED_VALUE"""),250.0)</f>
        <v>250</v>
      </c>
      <c r="AG55" s="5">
        <f>IFERROR(__xludf.DUMMYFUNCTION("""COMPUTED_VALUE"""),350.0)</f>
        <v>350</v>
      </c>
      <c r="AH55" s="5"/>
      <c r="AI55" s="5">
        <f>IFERROR(__xludf.DUMMYFUNCTION("""COMPUTED_VALUE"""),684.0)</f>
        <v>684</v>
      </c>
      <c r="AJ55" s="5">
        <f>IFERROR(__xludf.DUMMYFUNCTION("""COMPUTED_VALUE"""),720.0)</f>
        <v>720</v>
      </c>
      <c r="AK55" s="5" t="str">
        <f>IFERROR(__xludf.DUMMYFUNCTION("""COMPUTED_VALUE"""),"El lenguaje de los profesionales competitivos es Excel Experto 🔥
En pocas semanas dominarás funciones avanzadas y automatización aplicada a casos reales de negocio.
Ahora te comparto la información completa 👇🏻")</f>
        <v>El lenguaje de los profesionales competitivos es Excel Experto 🔥
En pocas semanas dominarás funciones avanzadas y automatización aplicada a casos reales de negocio.
Ahora te comparto la información completa 👇🏻</v>
      </c>
      <c r="AL55" s="5" t="str">
        <f>IFERROR(__xludf.DUMMYFUNCTION("""COMPUTED_VALUE"""),"Excelente 🙌, con Excel Experto actualizarás tus habilidades en funciones avanzadas y automatización ⚡, manteniéndote competitivo.")</f>
        <v>Excelente 🙌, con Excel Experto actualizarás tus habilidades en funciones avanzadas y automatización ⚡, manteniéndote competitivo.</v>
      </c>
      <c r="AM55" s="5" t="str">
        <f>IFERROR(__xludf.DUMMYFUNCTION("""COMPUTED_VALUE"""),"Buenísimo 💼, Excel es de las competencias más pedidas 📊. Dominarlo abrirá más oportunidades laborales 🚀.")</f>
        <v>Buenísimo 💼, Excel es de las competencias más pedidas 📊. Dominarlo abrirá más oportunidades laborales 🚀.</v>
      </c>
      <c r="AN55" s="5" t="str">
        <f>IFERROR(__xludf.DUMMYFUNCTION("""COMPUTED_VALUE"""),"¡Excelente! 🎓 Con Excel Experto sumarás una ventaja práctica desde la universidad y destacarás en tus proyectos 📘.")</f>
        <v>¡Excelente! 🎓 Con Excel Experto sumarás una ventaja práctica desde la universidad y destacarás en tus proyectos 📘.</v>
      </c>
      <c r="AO55" s="5" t="str">
        <f>IFERROR(__xludf.DUMMYFUNCTION("""COMPUTED_VALUE"""),"¡Perfecto! 🔑 Saber Excel Experto te dará ventaja frente a otros postulantes, clave para conseguir prácticas 📝.")</f>
        <v>¡Perfecto! 🔑 Saber Excel Experto te dará ventaja frente a otros postulantes, clave para conseguir prácticas 📝.</v>
      </c>
      <c r="AP55" s="5" t="str">
        <f>IFERROR(__xludf.DUMMYFUNCTION("""COMPUTED_VALUE"""),"¡Excelente! 💡 Con Excel Experto podrás manejar y analizar la información de tu negocio 📈 de forma más profesional.")</f>
        <v>¡Excelente! 💡 Con Excel Experto podrás manejar y analizar la información de tu negocio 📈 de forma más profesional.</v>
      </c>
      <c r="AQ55" s="9" t="str">
        <f>IFERROR(__xludf.DUMMYFUNCTION("""COMPUTED_VALUE"""),"https://we-educacion.com/slides/especializacion-en-microsoft-excel-expert-272")</f>
        <v>https://we-educacion.com/slides/especializacion-en-microsoft-excel-expert-272</v>
      </c>
      <c r="AR55" s="5">
        <v>1.0</v>
      </c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</row>
    <row r="56" ht="15.75" customHeight="1">
      <c r="A56" s="5" t="s">
        <v>98</v>
      </c>
      <c r="B56" s="5" t="str">
        <f t="shared" si="1"/>
        <v>NOV. I - ED25</v>
      </c>
      <c r="C56" s="6" t="str">
        <f>IFERROR(__xludf.DUMMYFUNCTION("""COMPUTED_VALUE"""),"EXCEL")</f>
        <v>EXCEL</v>
      </c>
      <c r="D56" s="6" t="str">
        <f>IFERROR(__xludf.DUMMYFUNCTION("""COMPUTED_VALUE"""),"ESP.")</f>
        <v>ESP.</v>
      </c>
      <c r="E56" s="6" t="str">
        <f>IFERROR(__xludf.DUMMYFUNCTION("""COMPUTED_VALUE"""),"ESPEC. EXCEL")</f>
        <v>ESPEC. EXCEL</v>
      </c>
      <c r="F56" s="7">
        <f>IFERROR(__xludf.DUMMYFUNCTION("""COMPUTED_VALUE"""),45969.0)</f>
        <v>45969</v>
      </c>
      <c r="G56" s="6" t="str">
        <f>IFERROR(__xludf.DUMMYFUNCTION("""COMPUTED_VALUE"""),"EXCEL BÁSICO")</f>
        <v>EXCEL BÁSICO</v>
      </c>
      <c r="H56" s="7">
        <f>IFERROR(__xludf.DUMMYFUNCTION("""COMPUTED_VALUE"""),45969.0)</f>
        <v>45969</v>
      </c>
      <c r="I56" s="6" t="str">
        <f>IFERROR(__xludf.DUMMYFUNCTION("""COMPUTED_VALUE"""),"EXCEL INTERM")</f>
        <v>EXCEL INTERM</v>
      </c>
      <c r="J56" s="7">
        <f>IFERROR(__xludf.DUMMYFUNCTION("""COMPUTED_VALUE"""),46011.0)</f>
        <v>46011</v>
      </c>
      <c r="K56" s="6" t="str">
        <f>IFERROR(__xludf.DUMMYFUNCTION("""COMPUTED_VALUE"""),"EXCEL AVANZ")</f>
        <v>EXCEL AVANZ</v>
      </c>
      <c r="L56" s="7">
        <f>IFERROR(__xludf.DUMMYFUNCTION("""COMPUTED_VALUE"""),46053.0)</f>
        <v>46053</v>
      </c>
      <c r="M56" s="6"/>
      <c r="N56" s="7"/>
      <c r="O56" s="6"/>
      <c r="P56" s="7"/>
      <c r="Q56" s="6" t="str">
        <f>IFERROR(__xludf.DUMMYFUNCTION("""COMPUTED_VALUE"""),"Jhon Lino
Jonathan Sanchez
Carlos Mesta")</f>
        <v>Jhon Lino
Jonathan Sanchez
Carlos Mesta</v>
      </c>
      <c r="R56" s="5" t="str">
        <f>IFERROR(__xludf.DUMMYFUNCTION("""COMPUTED_VALUE"""),"Sáb")</f>
        <v>Sáb</v>
      </c>
      <c r="S56" s="6" t="str">
        <f>IFERROR(__xludf.DUMMYFUNCTION("""COMPUTED_VALUE"""),"3PM - 6PM")</f>
        <v>3PM - 6PM</v>
      </c>
      <c r="T56" s="7" t="str">
        <f>IFERROR(__xludf.DUMMYFUNCTION("""COMPUTED_VALUE"""),"Sábado 8 Noviembre")</f>
        <v>Sábado 8 Noviembre</v>
      </c>
      <c r="U56" s="7" t="str">
        <f>IFERROR(__xludf.DUMMYFUNCTION("""COMPUTED_VALUE"""),"Sábado 7 Marzo")</f>
        <v>Sábado 7 Marzo</v>
      </c>
      <c r="V56" s="8">
        <f>IFERROR(__xludf.DUMMYFUNCTION("""COMPUTED_VALUE"""),17.0)</f>
        <v>17</v>
      </c>
      <c r="W56" s="5" t="str">
        <f>IFERROR(__xludf.DUMMYFUNCTION("""COMPUTED_VALUE"""),"pdfs/BROCHURE ESPECIALIZACION DE EXCEL.pdf")</f>
        <v>pdfs/BROCHURE ESPECIALIZACION DE EXCEL.pdf</v>
      </c>
      <c r="X56" s="5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*Por favor, revisa el BROCHURE* 👇🏻
Aqui encontrarás la información completa del programa, el TEMARIO (malla curricular) y todos los BE"&amp;"NEFICIOS 📚")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56" s="5" t="str">
        <f>IFERROR(__xludf.DUMMYFUNCTION("""COMPUTED_VALUE"""),"images/espexcel.jpg")</f>
        <v>images/espexcel.jpg</v>
      </c>
      <c r="Z56" s="5" t="str">
        <f>IFERROR(__xludf.DUMMYFUNCTION("""COMPUTED_VALUE"""),"Avalado por Microsoft Partner Network")</f>
        <v>Avalado por Microsoft Partner Network</v>
      </c>
      <c r="AA56" s="5" t="str">
        <f>IFERROR(__xludf.DUMMYFUNCTION("""COMPUTED_VALUE"""),"NO")</f>
        <v>NO</v>
      </c>
      <c r="AB56" s="6">
        <f>IFERROR(__xludf.DUMMYFUNCTION("""COMPUTED_VALUE"""),1200.0)</f>
        <v>1200</v>
      </c>
      <c r="AC56" s="6">
        <f>IFERROR(__xludf.DUMMYFUNCTION("""COMPUTED_VALUE"""),1140.0)</f>
        <v>1140</v>
      </c>
      <c r="AD56" s="6">
        <f>IFERROR(__xludf.DUMMYFUNCTION("""COMPUTED_VALUE"""),600.0)</f>
        <v>600</v>
      </c>
      <c r="AE56" s="6">
        <f>IFERROR(__xludf.DUMMYFUNCTION("""COMPUTED_VALUE"""),570.0)</f>
        <v>570</v>
      </c>
      <c r="AF56" s="6">
        <f>IFERROR(__xludf.DUMMYFUNCTION("""COMPUTED_VALUE"""),250.0)</f>
        <v>250</v>
      </c>
      <c r="AG56" s="5">
        <f>IFERROR(__xludf.DUMMYFUNCTION("""COMPUTED_VALUE"""),350.0)</f>
        <v>350</v>
      </c>
      <c r="AH56" s="5"/>
      <c r="AI56" s="5">
        <f>IFERROR(__xludf.DUMMYFUNCTION("""COMPUTED_VALUE"""),513.0)</f>
        <v>513</v>
      </c>
      <c r="AJ56" s="5">
        <f>IFERROR(__xludf.DUMMYFUNCTION("""COMPUTED_VALUE"""),540.0)</f>
        <v>540</v>
      </c>
      <c r="AK56" s="5" t="str">
        <f>IFERROR(__xludf.DUMMYFUNCTION("""COMPUTED_VALUE"""),"Hoy el dominio de datos se traduce en oportunidades 🚀
Con la Especialización en Excel aprenderás a manejar información con agilidad y a tomar decisiones estratégicas con base en datos 💼.
Aquí tienes la info a detalle 👇🏻")</f>
        <v>Hoy el dominio de datos se traduce en oportunidades 🚀
Con la Especialización en Excel aprenderás a manejar información con agilidad y a tomar decisiones estratégicas con base en datos 💼.
Aquí tienes la info a detalle 👇🏻</v>
      </c>
      <c r="AL56" s="5" t="str">
        <f>IFERROR(__xludf.DUMMYFUNCTION("""COMPUTED_VALUE"""),"Excelente 🙌, actualízate con la Especialización en Excel y mantén al día tus competencias más demandadas 🔥.")</f>
        <v>Excelente 🙌, actualízate con la Especialización en Excel y mantén al día tus competencias más demandadas 🔥.</v>
      </c>
      <c r="AM56" s="5" t="str">
        <f>IFERROR(__xludf.DUMMYFUNCTION("""COMPUTED_VALUE"""),"Buenísimo 💼, las empresas valoran muchísimo el dominio de Excel. Con esta especialización, aumentarás tus opciones de empleo 🚀")</f>
        <v>Buenísimo 💼, las empresas valoran muchísimo el dominio de Excel. Con esta especialización, aumentarás tus opciones de empleo 🚀</v>
      </c>
      <c r="AN56" s="5" t="str">
        <f>IFERROR(__xludf.DUMMYFUNCTION("""COMPUTED_VALUE"""),"¡Excelente! 🎓 Con Excel aprenderás a manejar datos y reportes 📊, diferenciándote en la universidad.")</f>
        <v>¡Excelente! 🎓 Con Excel aprenderás a manejar datos y reportes 📊, diferenciándote en la universidad.</v>
      </c>
      <c r="AO56" s="5" t="str">
        <f>IFERROR(__xludf.DUMMYFUNCTION("""COMPUTED_VALUE"""),"¡Perfecto! ✅ Saber Excel es un plus muy valorado para acceder a prácticas 👩🏻‍💻👨🏻‍💻.")</f>
        <v>¡Perfecto! ✅ Saber Excel es un plus muy valorado para acceder a prácticas 👩🏻‍💻👨🏻‍💻.</v>
      </c>
      <c r="AP56" s="5" t="str">
        <f>IFERROR(__xludf.DUMMYFUNCTION("""COMPUTED_VALUE"""),"¡Excelente! 💡 Con Excel gestionarás tu negocio con reportes claros 📑 y decisiones inteligentes.")</f>
        <v>¡Excelente! 💡 Con Excel gestionarás tu negocio con reportes claros 📑 y decisiones inteligentes.</v>
      </c>
      <c r="AQ56" s="9" t="str">
        <f>IFERROR(__xludf.DUMMYFUNCTION("""COMPUTED_VALUE"""),"https://we-educacion.com/slides/especializacion-en-microsoft-excel-77")</f>
        <v>https://we-educacion.com/slides/especializacion-en-microsoft-excel-77</v>
      </c>
      <c r="AR56" s="5">
        <v>1.0</v>
      </c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</row>
    <row r="57" ht="15.75" customHeight="1">
      <c r="A57" s="5" t="s">
        <v>99</v>
      </c>
      <c r="B57" s="5" t="str">
        <f t="shared" si="1"/>
        <v>NOV. I - ED25</v>
      </c>
      <c r="C57" s="6" t="str">
        <f>IFERROR(__xludf.DUMMYFUNCTION("""COMPUTED_VALUE"""),"EXCEL")</f>
        <v>EXCEL</v>
      </c>
      <c r="D57" s="6" t="str">
        <f>IFERROR(__xludf.DUMMYFUNCTION("""COMPUTED_VALUE"""),"CURSO")</f>
        <v>CURSO</v>
      </c>
      <c r="E57" s="6" t="str">
        <f>IFERROR(__xludf.DUMMYFUNCTION("""COMPUTED_VALUE"""),"EXCEL BÁSICO")</f>
        <v>EXCEL BÁSICO</v>
      </c>
      <c r="F57" s="7">
        <f>IFERROR(__xludf.DUMMYFUNCTION("""COMPUTED_VALUE"""),45969.0)</f>
        <v>45969</v>
      </c>
      <c r="G57" s="6"/>
      <c r="H57" s="7"/>
      <c r="I57" s="6"/>
      <c r="J57" s="7"/>
      <c r="K57" s="6"/>
      <c r="L57" s="7"/>
      <c r="M57" s="6"/>
      <c r="N57" s="7"/>
      <c r="O57" s="6"/>
      <c r="P57" s="7"/>
      <c r="Q57" s="6" t="str">
        <f>IFERROR(__xludf.DUMMYFUNCTION("""COMPUTED_VALUE"""),"Jhon Lino
")</f>
        <v>Jhon Lino
</v>
      </c>
      <c r="R57" s="5" t="str">
        <f>IFERROR(__xludf.DUMMYFUNCTION("""COMPUTED_VALUE"""),"Sáb")</f>
        <v>Sáb</v>
      </c>
      <c r="S57" s="6" t="str">
        <f>IFERROR(__xludf.DUMMYFUNCTION("""COMPUTED_VALUE"""),"3PM - 6PM")</f>
        <v>3PM - 6PM</v>
      </c>
      <c r="T57" s="7" t="str">
        <f>IFERROR(__xludf.DUMMYFUNCTION("""COMPUTED_VALUE"""),"Sábado 8 Noviembre")</f>
        <v>Sábado 8 Noviembre</v>
      </c>
      <c r="U57" s="7" t="str">
        <f>IFERROR(__xludf.DUMMYFUNCTION("""COMPUTED_VALUE"""),"Sábado 13 Diciembre")</f>
        <v>Sábado 13 Diciembre</v>
      </c>
      <c r="V57" s="8">
        <f>IFERROR(__xludf.DUMMYFUNCTION("""COMPUTED_VALUE"""),5.0)</f>
        <v>5</v>
      </c>
      <c r="W57" s="5" t="str">
        <f>IFERROR(__xludf.DUMMYFUNCTION("""COMPUTED_VALUE"""),"pdfs/BROCHURE EXCEL BÁSICO.pdf")</f>
        <v>pdfs/BROCHURE EXCEL BÁSICO.pdf</v>
      </c>
      <c r="X57" s="5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57" s="5" t="str">
        <f>IFERROR(__xludf.DUMMYFUNCTION("""COMPUTED_VALUE"""),"images/excelbasico.jpg")</f>
        <v>images/excelbasico.jpg</v>
      </c>
      <c r="Z57" s="5" t="str">
        <f>IFERROR(__xludf.DUMMYFUNCTION("""COMPUTED_VALUE"""),"Avalado por Microsoft Partner Network")</f>
        <v>Avalado por Microsoft Partner Network</v>
      </c>
      <c r="AA57" s="5" t="str">
        <f>IFERROR(__xludf.DUMMYFUNCTION("""COMPUTED_VALUE"""),"NO")</f>
        <v>NO</v>
      </c>
      <c r="AB57" s="6">
        <f>IFERROR(__xludf.DUMMYFUNCTION("""COMPUTED_VALUE"""),400.0)</f>
        <v>400</v>
      </c>
      <c r="AC57" s="6">
        <f>IFERROR(__xludf.DUMMYFUNCTION("""COMPUTED_VALUE"""),380.0)</f>
        <v>380</v>
      </c>
      <c r="AD57" s="6">
        <f>IFERROR(__xludf.DUMMYFUNCTION("""COMPUTED_VALUE"""),200.0)</f>
        <v>200</v>
      </c>
      <c r="AE57" s="6">
        <f>IFERROR(__xludf.DUMMYFUNCTION("""COMPUTED_VALUE"""),190.0)</f>
        <v>190</v>
      </c>
      <c r="AF57" s="6">
        <f>IFERROR(__xludf.DUMMYFUNCTION("""COMPUTED_VALUE"""),150.0)</f>
        <v>150</v>
      </c>
      <c r="AG57" s="5">
        <f>IFERROR(__xludf.DUMMYFUNCTION("""COMPUTED_VALUE"""),150.0)</f>
        <v>150</v>
      </c>
      <c r="AH57" s="5"/>
      <c r="AI57" s="5">
        <f>IFERROR(__xludf.DUMMYFUNCTION("""COMPUTED_VALUE"""),171.0)</f>
        <v>171</v>
      </c>
      <c r="AJ57" s="5">
        <f>IFERROR(__xludf.DUMMYFUNCTION("""COMPUTED_VALUE"""),180.0)</f>
        <v>180</v>
      </c>
      <c r="AK57" s="5" t="str">
        <f>IFERROR(__xludf.DUMMYFUNCTION("""COMPUTED_VALUE"""),"Todo gran profesional empieza dominando Excel Básico 📝
En pocas semanas aprenderás a manejar hojas de cálculo y análisis de datos de forma práctica 💼.
Aquí la información completa 👇🏻")</f>
        <v>Todo gran profesional empieza dominando Excel Básico 📝
En pocas semanas aprenderás a manejar hojas de cálculo y análisis de datos de forma práctica 💼.
Aquí la información completa 👇🏻</v>
      </c>
      <c r="AL57" s="5" t="str">
        <f>IFERROR(__xludf.DUMMYFUNCTION("""COMPUTED_VALUE"""),"🔑 *Excelente*, actualízate con *EXCEL BÁSICO* y mantente competitivo en el mercado laboral.")</f>
        <v>🔑 *Excelente*, actualízate con *EXCEL BÁSICO* y mantente competitivo en el mercado laboral.</v>
      </c>
      <c r="AM57" s="5" t="str">
        <f>IFERROR(__xludf.DUMMYFUNCTION("""COMPUTED_VALUE"""),"💼 Buenísimo, *EXCEL BÁSICO* es de las competencias más pedidas por las empresas y aumentará tus oportunidades laborales.")</f>
        <v>💼 Buenísimo, *EXCEL BÁSICO* es de las competencias más pedidas por las empresas y aumentará tus oportunidades laborales.</v>
      </c>
      <c r="AN57" s="5" t="str">
        <f>IFERROR(__xludf.DUMMYFUNCTION("""COMPUTED_VALUE"""),"⚡ ¡Genial! Con *EXCEL BÁSICO* sumarás una habilidad poderosa que te diferenciará desde la universidad.")</f>
        <v>⚡ ¡Genial! Con *EXCEL BÁSICO* sumarás una habilidad poderosa que te diferenciará desde la universidad.</v>
      </c>
      <c r="AO57" s="5" t="str">
        <f>IFERROR(__xludf.DUMMYFUNCTION("""COMPUTED_VALUE"""),"🎓 ¡Perfecto! Saber *EXCEL BÁSICO* te dará ventaja frente a otros postulantes para conseguir prácticas.")</f>
        <v>🎓 ¡Perfecto! Saber *EXCEL BÁSICO* te dará ventaja frente a otros postulantes para conseguir prácticas.</v>
      </c>
      <c r="AP57" s="5" t="str">
        <f>IFERROR(__xludf.DUMMYFUNCTION("""COMPUTED_VALUE"""),"🏆 ¡Excelente! Con *EXCEL BÁSICO* podrás aplicarlo en tu negocio y tomar decisiones más inteligentes.")</f>
        <v>🏆 ¡Excelente! Con *EXCEL BÁSICO* podrás aplicarlo en tu negocio y tomar decisiones más inteligentes.</v>
      </c>
      <c r="AQ57" s="9" t="str">
        <f>IFERROR(__xludf.DUMMYFUNCTION("""COMPUTED_VALUE"""),"https://we-educacion.com/slides/microsoft-excel-basico-221")</f>
        <v>https://we-educacion.com/slides/microsoft-excel-basico-221</v>
      </c>
      <c r="AR57" s="5">
        <v>1.0</v>
      </c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</row>
    <row r="58" ht="15.75" customHeight="1">
      <c r="A58" s="5" t="s">
        <v>100</v>
      </c>
      <c r="B58" s="5" t="str">
        <f t="shared" si="1"/>
        <v>NOV. I - ED25</v>
      </c>
      <c r="C58" s="6" t="str">
        <f>IFERROR(__xludf.DUMMYFUNCTION("""COMPUTED_VALUE"""),"PROYECTOS")</f>
        <v>PROYECTOS</v>
      </c>
      <c r="D58" s="6" t="str">
        <f>IFERROR(__xludf.DUMMYFUNCTION("""COMPUTED_VALUE"""),"CURSO")</f>
        <v>CURSO</v>
      </c>
      <c r="E58" s="6" t="str">
        <f>IFERROR(__xludf.DUMMYFUNCTION("""COMPUTED_VALUE"""),"GEST. ÁGIL PROYECT")</f>
        <v>GEST. ÁGIL PROYECT</v>
      </c>
      <c r="F58" s="7">
        <f>IFERROR(__xludf.DUMMYFUNCTION("""COMPUTED_VALUE"""),45969.0)</f>
        <v>45969</v>
      </c>
      <c r="G58" s="6"/>
      <c r="H58" s="7"/>
      <c r="I58" s="6"/>
      <c r="J58" s="7"/>
      <c r="K58" s="6"/>
      <c r="L58" s="7"/>
      <c r="M58" s="6"/>
      <c r="N58" s="7"/>
      <c r="O58" s="6"/>
      <c r="P58" s="7"/>
      <c r="Q58" s="6" t="str">
        <f>IFERROR(__xludf.DUMMYFUNCTION("""COMPUTED_VALUE"""),"Moisés Zabalbeascoa")</f>
        <v>Moisés Zabalbeascoa</v>
      </c>
      <c r="R58" s="5" t="str">
        <f>IFERROR(__xludf.DUMMYFUNCTION("""COMPUTED_VALUE"""),"Sáb")</f>
        <v>Sáb</v>
      </c>
      <c r="S58" s="6" t="str">
        <f>IFERROR(__xludf.DUMMYFUNCTION("""COMPUTED_VALUE"""),"3PM - 6PM")</f>
        <v>3PM - 6PM</v>
      </c>
      <c r="T58" s="7" t="str">
        <f>IFERROR(__xludf.DUMMYFUNCTION("""COMPUTED_VALUE"""),"Sábado 8 Noviembre")</f>
        <v>Sábado 8 Noviembre</v>
      </c>
      <c r="U58" s="7" t="str">
        <f>IFERROR(__xludf.DUMMYFUNCTION("""COMPUTED_VALUE"""),"Sábado 13 Diciembre")</f>
        <v>Sábado 13 Diciembre</v>
      </c>
      <c r="V58" s="8">
        <f>IFERROR(__xludf.DUMMYFUNCTION("""COMPUTED_VALUE"""),5.0)</f>
        <v>5</v>
      </c>
      <c r="W58" s="5" t="str">
        <f>IFERROR(__xludf.DUMMYFUNCTION("""COMPUTED_VALUE"""),"pdfs/BROCHURE GESTIÓN ÁGIL DE PROYECTOS.pdf")</f>
        <v>pdfs/BROCHURE GESTIÓN ÁGIL DE PROYECTOS.pdf</v>
      </c>
      <c r="X58" s="6" t="str">
        <f>IFERROR(__xludf.DUMMYFUNCTION("""COMPUTED_VALUE"""),"🔵 *¡Certificados Adicionales!* ⭐
👉🏻 Certificado *Scrum Fundamentals*
👉🏻 Certificado *Scrum Master* tiene la inversión de *$50* ~(Normal $150)~
_Incluye material de práctica y 2 intentos del examen_
🚨 *Por favor, revisa el BROCHURE* 👇🏻
Aqui encont"&amp;"rarás la información completa del programa, el TEMARIO (malla curricular) y todos los BENEFICIOS 📚")</f>
        <v>🔵 *¡Certificados Adicionales!* ⭐
👉🏻 Certificado *Scrum Fundamentals*
👉🏻 Certificado *Scrum Master* tiene la inversión de *$50* ~(Normal $150)~
_Incluye material de práctica y 2 intentos del examen_
🚨 *Por favor, revisa el BROCHURE* 👇🏻
Aqui encontrarás la información completa del programa, el TEMARIO (malla curricular) y todos los BENEFICIOS 📚</v>
      </c>
      <c r="Y58" s="5" t="str">
        <f>IFERROR(__xludf.DUMMYFUNCTION("""COMPUTED_VALUE"""),"images/gestagil.jpg")</f>
        <v>images/gestagil.jpg</v>
      </c>
      <c r="Z58" s="5"/>
      <c r="AA58" s="5" t="str">
        <f>IFERROR(__xludf.DUMMYFUNCTION("""COMPUTED_VALUE"""),"SI")</f>
        <v>SI</v>
      </c>
      <c r="AB58" s="6">
        <f>IFERROR(__xludf.DUMMYFUNCTION("""COMPUTED_VALUE"""),640.0)</f>
        <v>640</v>
      </c>
      <c r="AC58" s="6">
        <f>IFERROR(__xludf.DUMMYFUNCTION("""COMPUTED_VALUE"""),550.0)</f>
        <v>550</v>
      </c>
      <c r="AD58" s="6">
        <f>IFERROR(__xludf.DUMMYFUNCTION("""COMPUTED_VALUE"""),320.0)</f>
        <v>320</v>
      </c>
      <c r="AE58" s="6">
        <f>IFERROR(__xludf.DUMMYFUNCTION("""COMPUTED_VALUE"""),275.0)</f>
        <v>275</v>
      </c>
      <c r="AF58" s="6">
        <f>IFERROR(__xludf.DUMMYFUNCTION("""COMPUTED_VALUE"""),150.0)</f>
        <v>150</v>
      </c>
      <c r="AG58" s="5">
        <f>IFERROR(__xludf.DUMMYFUNCTION("""COMPUTED_VALUE"""),150.0)</f>
        <v>150</v>
      </c>
      <c r="AH58" s="5"/>
      <c r="AI58" s="5">
        <f>IFERROR(__xludf.DUMMYFUNCTION("""COMPUTED_VALUE"""),247.5)</f>
        <v>247.5</v>
      </c>
      <c r="AJ58" s="5">
        <f>IFERROR(__xludf.DUMMYFUNCTION("""COMPUTED_VALUE"""),288.0)</f>
        <v>288</v>
      </c>
      <c r="AK58" s="5" t="str">
        <f>IFERROR(__xludf.DUMMYFUNCTION("""COMPUTED_VALUE"""),"El lenguaje de los equipos de alto rendimiento es la agilidad 🚀
Con Gestión Ágil de Proyectos dominarás metodologías como SCRUM y Kanban aplicadas a negocios reales 💼.
Aquí tienes la info 👇🏻")</f>
        <v>El lenguaje de los equipos de alto rendimiento es la agilidad 🚀
Con Gestión Ágil de Proyectos dominarás metodologías como SCRUM y Kanban aplicadas a negocios reales 💼.
Aquí tienes la info 👇🏻</v>
      </c>
      <c r="AL58" s="5" t="str">
        <f>IFERROR(__xludf.DUMMYFUNCTION("""COMPUTED_VALUE"""),"📘 *Excelente*, actualízate con *GEST. ÁGIL PROYECT* y mantente competitivo en el mercado laboral.")</f>
        <v>📘 *Excelente*, actualízate con *GEST. ÁGIL PROYECT* y mantente competitivo en el mercado laboral.</v>
      </c>
      <c r="AM58" s="5" t="str">
        <f>IFERROR(__xludf.DUMMYFUNCTION("""COMPUTED_VALUE"""),"📈 Buenísimo, *GEST. ÁGIL PROYECT* es de las competencias más pedidas por las empresas y aumentará tus oportunidades laborales.")</f>
        <v>📈 Buenísimo, *GEST. ÁGIL PROYECT* es de las competencias más pedidas por las empresas y aumentará tus oportunidades laborales.</v>
      </c>
      <c r="AN58" s="5" t="str">
        <f>IFERROR(__xludf.DUMMYFUNCTION("""COMPUTED_VALUE"""),"📘 ¡Genial! Con *GEST. ÁGIL PROYECT* sumarás una habilidad poderosa que te diferenciará desde la universidad.")</f>
        <v>📘 ¡Genial! Con *GEST. ÁGIL PROYECT* sumarás una habilidad poderosa que te diferenciará desde la universidad.</v>
      </c>
      <c r="AO58" s="5" t="str">
        <f>IFERROR(__xludf.DUMMYFUNCTION("""COMPUTED_VALUE"""),"🔑 ¡Perfecto! Saber *GEST. ÁGIL PROYECT* te dará ventaja frente a otros postulantes para conseguir prácticas.")</f>
        <v>🔑 ¡Perfecto! Saber *GEST. ÁGIL PROYECT* te dará ventaja frente a otros postulantes para conseguir prácticas.</v>
      </c>
      <c r="AP58" s="5" t="str">
        <f>IFERROR(__xludf.DUMMYFUNCTION("""COMPUTED_VALUE"""),"📘 ¡Excelente! Con *GEST. ÁGIL PROYECT* podrás aplicarlo en tu negocio y tomar decisiones más inteligentes.")</f>
        <v>📘 ¡Excelente! Con *GEST. ÁGIL PROYECT* podrás aplicarlo en tu negocio y tomar decisiones más inteligentes.</v>
      </c>
      <c r="AQ58" s="9" t="str">
        <f>IFERROR(__xludf.DUMMYFUNCTION("""COMPUTED_VALUE"""),"https://we-educacion.com/slides/gestion-agil-de-proyectos-515")</f>
        <v>https://we-educacion.com/slides/gestion-agil-de-proyectos-515</v>
      </c>
      <c r="AR58" s="5">
        <v>1.0</v>
      </c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</row>
    <row r="59" ht="15.75" customHeight="1">
      <c r="A59" s="5" t="s">
        <v>101</v>
      </c>
      <c r="B59" s="5" t="str">
        <f t="shared" si="1"/>
        <v>NOV. I - ED25</v>
      </c>
      <c r="C59" s="6" t="str">
        <f>IFERROR(__xludf.DUMMYFUNCTION("""COMPUTED_VALUE"""),"PROCESOS")</f>
        <v>PROCESOS</v>
      </c>
      <c r="D59" s="6" t="str">
        <f>IFERROR(__xludf.DUMMYFUNCTION("""COMPUTED_VALUE"""),"CURSO")</f>
        <v>CURSO</v>
      </c>
      <c r="E59" s="6" t="str">
        <f>IFERROR(__xludf.DUMMYFUNCTION("""COMPUTED_VALUE"""),"POWER APPS AVANZ")</f>
        <v>POWER APPS AVANZ</v>
      </c>
      <c r="F59" s="7">
        <f>IFERROR(__xludf.DUMMYFUNCTION("""COMPUTED_VALUE"""),45969.0)</f>
        <v>45969</v>
      </c>
      <c r="G59" s="6"/>
      <c r="H59" s="7"/>
      <c r="I59" s="6"/>
      <c r="J59" s="7"/>
      <c r="K59" s="6"/>
      <c r="L59" s="7"/>
      <c r="M59" s="6"/>
      <c r="N59" s="7"/>
      <c r="O59" s="6"/>
      <c r="P59" s="7"/>
      <c r="Q59" s="6" t="str">
        <f>IFERROR(__xludf.DUMMYFUNCTION("""COMPUTED_VALUE"""),"Jesús Gaspar")</f>
        <v>Jesús Gaspar</v>
      </c>
      <c r="R59" s="5" t="str">
        <f>IFERROR(__xludf.DUMMYFUNCTION("""COMPUTED_VALUE"""),"Sáb")</f>
        <v>Sáb</v>
      </c>
      <c r="S59" s="6" t="str">
        <f>IFERROR(__xludf.DUMMYFUNCTION("""COMPUTED_VALUE"""),"3PM - 6PM")</f>
        <v>3PM - 6PM</v>
      </c>
      <c r="T59" s="7" t="str">
        <f>IFERROR(__xludf.DUMMYFUNCTION("""COMPUTED_VALUE"""),"Sábado 8 Noviembre")</f>
        <v>Sábado 8 Noviembre</v>
      </c>
      <c r="U59" s="7" t="str">
        <f>IFERROR(__xludf.DUMMYFUNCTION("""COMPUTED_VALUE"""),"Sábado 13 Diciembre")</f>
        <v>Sábado 13 Diciembre</v>
      </c>
      <c r="V59" s="8">
        <f>IFERROR(__xludf.DUMMYFUNCTION("""COMPUTED_VALUE"""),6.0)</f>
        <v>6</v>
      </c>
      <c r="W59" s="5" t="str">
        <f>IFERROR(__xludf.DUMMYFUNCTION("""COMPUTED_VALUE"""),"pdfs/BROCHURE POWER APPS &amp; AUTOMATE AVANZADO.pdf")</f>
        <v>pdfs/BROCHURE POWER APPS &amp; AUTOMATE AVANZADO.pdf</v>
      </c>
      <c r="X59" s="5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59" s="5" t="str">
        <f>IFERROR(__xludf.DUMMYFUNCTION("""COMPUTED_VALUE"""),"images/powerappavanz.jpg")</f>
        <v>images/powerappavanz.jpg</v>
      </c>
      <c r="Z59" s="5" t="str">
        <f>IFERROR(__xludf.DUMMYFUNCTION("""COMPUTED_VALUE"""),"Avalado por Microsoft Partner Network")</f>
        <v>Avalado por Microsoft Partner Network</v>
      </c>
      <c r="AA59" s="5" t="str">
        <f>IFERROR(__xludf.DUMMYFUNCTION("""COMPUTED_VALUE"""),"NO")</f>
        <v>NO</v>
      </c>
      <c r="AB59" s="6">
        <f>IFERROR(__xludf.DUMMYFUNCTION("""COMPUTED_VALUE"""),650.0)</f>
        <v>650</v>
      </c>
      <c r="AC59" s="6">
        <f>IFERROR(__xludf.DUMMYFUNCTION("""COMPUTED_VALUE"""),570.0)</f>
        <v>570</v>
      </c>
      <c r="AD59" s="6">
        <f>IFERROR(__xludf.DUMMYFUNCTION("""COMPUTED_VALUE"""),325.0)</f>
        <v>325</v>
      </c>
      <c r="AE59" s="6">
        <f>IFERROR(__xludf.DUMMYFUNCTION("""COMPUTED_VALUE"""),285.0)</f>
        <v>285</v>
      </c>
      <c r="AF59" s="6">
        <f>IFERROR(__xludf.DUMMYFUNCTION("""COMPUTED_VALUE"""),150.0)</f>
        <v>150</v>
      </c>
      <c r="AG59" s="5">
        <f>IFERROR(__xludf.DUMMYFUNCTION("""COMPUTED_VALUE"""),150.0)</f>
        <v>150</v>
      </c>
      <c r="AH59" s="5"/>
      <c r="AI59" s="5">
        <f>IFERROR(__xludf.DUMMYFUNCTION("""COMPUTED_VALUE"""),256.5)</f>
        <v>256.5</v>
      </c>
      <c r="AJ59" s="5">
        <f>IFERROR(__xludf.DUMMYFUNCTION("""COMPUTED_VALUE"""),292.5)</f>
        <v>292.5</v>
      </c>
      <c r="AK59" s="5" t="str">
        <f>IFERROR(__xludf.DUMMYFUNCTION("""COMPUTED_VALUE"""),"El futuro de los negocios es la automatización sin código 💡
Con Power Apps Avanzado diseñarás aplicaciones prácticas para optimizar procesos reales 📊.
Aquí te comparto la información 👇🏻")</f>
        <v>El futuro de los negocios es la automatización sin código 💡
Con Power Apps Avanzado diseñarás aplicaciones prácticas para optimizar procesos reales 📊.
Aquí te comparto la información 👇🏻</v>
      </c>
      <c r="AL59" s="5" t="str">
        <f>IFERROR(__xludf.DUMMYFUNCTION("""COMPUTED_VALUE"""),"⚡ Excelente, actualízate con Power Apps Avanzado y domina la automatización de procesos.")</f>
        <v>⚡ Excelente, actualízate con Power Apps Avanzado y domina la automatización de procesos.</v>
      </c>
      <c r="AM59" s="5" t="str">
        <f>IFERROR(__xludf.DUMMYFUNCTION("""COMPUTED_VALUE"""),"💼 Buenísimo, Power Apps Avanzado es muy buscado en empresas que digitalizan operaciones.")</f>
        <v>💼 Buenísimo, Power Apps Avanzado es muy buscado en empresas que digitalizan operaciones.</v>
      </c>
      <c r="AN59" s="5" t="str">
        <f>IFERROR(__xludf.DUMMYFUNCTION("""COMPUTED_VALUE"""),"🎓 ¡Genial! Con Power Apps Avanzado aprenderás a crear soluciones prácticas desde la universidad.")</f>
        <v>🎓 ¡Genial! Con Power Apps Avanzado aprenderás a crear soluciones prácticas desde la universidad.</v>
      </c>
      <c r="AO59" s="5" t="str">
        <f>IFERROR(__xludf.DUMMYFUNCTION("""COMPUTED_VALUE"""),"🚀 ¡Perfecto! Saber Power Apps Avanzado te dará ventaja frente a otros en prácticas de TI.")</f>
        <v>🚀 ¡Perfecto! Saber Power Apps Avanzado te dará ventaja frente a otros en prácticas de TI.</v>
      </c>
      <c r="AP59" s="5" t="str">
        <f>IFERROR(__xludf.DUMMYFUNCTION("""COMPUTED_VALUE"""),"📊 ¡Excelente! Con Power Apps Avanzado podrás optimizar tus procesos de negocio con apps propias.")</f>
        <v>📊 ¡Excelente! Con Power Apps Avanzado podrás optimizar tus procesos de negocio con apps propias.</v>
      </c>
      <c r="AQ59" s="9" t="str">
        <f>IFERROR(__xludf.DUMMYFUNCTION("""COMPUTED_VALUE"""),"https://we-educacion.com/slides/power-apps-automate-avanzado-1112")</f>
        <v>https://we-educacion.com/slides/power-apps-automate-avanzado-1112</v>
      </c>
      <c r="AR59" s="5">
        <v>1.0</v>
      </c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</row>
    <row r="60" ht="15.75" customHeight="1">
      <c r="A60" s="5" t="s">
        <v>102</v>
      </c>
      <c r="B60" s="5" t="str">
        <f t="shared" si="1"/>
        <v>NOV. I - ED25</v>
      </c>
      <c r="C60" s="6" t="str">
        <f>IFERROR(__xludf.DUMMYFUNCTION("""COMPUTED_VALUE"""),"SAP")</f>
        <v>SAP</v>
      </c>
      <c r="D60" s="6" t="str">
        <f>IFERROR(__xludf.DUMMYFUNCTION("""COMPUTED_VALUE"""),"CURSO")</f>
        <v>CURSO</v>
      </c>
      <c r="E60" s="6" t="str">
        <f>IFERROR(__xludf.DUMMYFUNCTION("""COMPUTED_VALUE"""),"SAP HANA IN PRESENCIAL")</f>
        <v>SAP HANA IN PRESENCIAL</v>
      </c>
      <c r="F60" s="7">
        <f>IFERROR(__xludf.DUMMYFUNCTION("""COMPUTED_VALUE"""),45969.0)</f>
        <v>45969</v>
      </c>
      <c r="G60" s="6"/>
      <c r="H60" s="7"/>
      <c r="I60" s="6"/>
      <c r="J60" s="7"/>
      <c r="K60" s="6"/>
      <c r="L60" s="7"/>
      <c r="M60" s="6"/>
      <c r="N60" s="7"/>
      <c r="O60" s="6"/>
      <c r="P60" s="7"/>
      <c r="Q60" s="6" t="str">
        <f>IFERROR(__xludf.DUMMYFUNCTION("""COMPUTED_VALUE"""),"David Romero")</f>
        <v>David Romero</v>
      </c>
      <c r="R60" s="5" t="str">
        <f>IFERROR(__xludf.DUMMYFUNCTION("""COMPUTED_VALUE"""),"Sáb")</f>
        <v>Sáb</v>
      </c>
      <c r="S60" s="6" t="str">
        <f>IFERROR(__xludf.DUMMYFUNCTION("""COMPUTED_VALUE"""),"3:30PM - 7.30 PM")</f>
        <v>3:30PM - 7.30 PM</v>
      </c>
      <c r="T60" s="7" t="str">
        <f>IFERROR(__xludf.DUMMYFUNCTION("""COMPUTED_VALUE"""),"Sábado 8 Noviembre")</f>
        <v>Sábado 8 Noviembre</v>
      </c>
      <c r="U60" s="7" t="str">
        <f>IFERROR(__xludf.DUMMYFUNCTION("""COMPUTED_VALUE"""),"Sábado 6 Diciembre")</f>
        <v>Sábado 6 Diciembre</v>
      </c>
      <c r="V60" s="8">
        <f>IFERROR(__xludf.DUMMYFUNCTION("""COMPUTED_VALUE"""),5.0)</f>
        <v>5</v>
      </c>
      <c r="W60" s="5" t="str">
        <f>IFERROR(__xludf.DUMMYFUNCTION("""COMPUTED_VALUE"""),"pdfs/BROCHURE SAP S4 HANA IN PRESENCIAL.pdf")</f>
        <v>pdfs/BROCHURE SAP S4 HANA IN PRESENCIAL.pdf</v>
      </c>
      <c r="X60" s="6" t="str">
        <f>IFERROR(__xludf.DUMMYFUNCTION("""COMPUTED_VALUE"""),"🔵 *Utilizarán SAP HANA* 👩🏻‍💻
👉🏼 Incluye tutorial y manual de instalación
👉🏼 12 meses de Licencia SAP para practicar 🌟
👉🏼 Contarás con Soporte técnico
🚨 *Por favor, revisa el BROCHURE* 👇🏻
Aqui encontrarás la información completa del programa"&amp;", el TEMARIO (malla curricular) y todos los BENEFICIOS 📚")</f>
        <v>🔵 *Utilizarán SAP HANA* 👩🏻‍💻
👉🏼 Incluye tutorial y manual de instalación
👉🏼 12 meses de Licencia SAP para practicar 🌟
👉🏼 Contarás con Soporte técnico
🚨 *Por favor, revisa el BROCHURE* 👇🏻
Aqui encontrarás la información completa del programa, el TEMARIO (malla curricular) y todos los BENEFICIOS 📚</v>
      </c>
      <c r="Y60" s="5" t="str">
        <f>IFERROR(__xludf.DUMMYFUNCTION("""COMPUTED_VALUE"""),"images/sapinprese.jpg")</f>
        <v>images/sapinprese.jpg</v>
      </c>
      <c r="Z60" s="5" t="str">
        <f>IFERROR(__xludf.DUMMYFUNCTION("""COMPUTED_VALUE"""),"Avalado por SAP Partner Open")</f>
        <v>Avalado por SAP Partner Open</v>
      </c>
      <c r="AA60" s="5" t="str">
        <f>IFERROR(__xludf.DUMMYFUNCTION("""COMPUTED_VALUE"""),"NO")</f>
        <v>NO</v>
      </c>
      <c r="AB60" s="6">
        <f>IFERROR(__xludf.DUMMYFUNCTION("""COMPUTED_VALUE"""),1150.0)</f>
        <v>1150</v>
      </c>
      <c r="AC60" s="6">
        <f>IFERROR(__xludf.DUMMYFUNCTION("""COMPUTED_VALUE"""),1000.0)</f>
        <v>1000</v>
      </c>
      <c r="AD60" s="6">
        <f>IFERROR(__xludf.DUMMYFUNCTION("""COMPUTED_VALUE"""),575.0)</f>
        <v>575</v>
      </c>
      <c r="AE60" s="6">
        <f>IFERROR(__xludf.DUMMYFUNCTION("""COMPUTED_VALUE"""),500.0)</f>
        <v>500</v>
      </c>
      <c r="AF60" s="6">
        <f>IFERROR(__xludf.DUMMYFUNCTION("""COMPUTED_VALUE"""),150.0)</f>
        <v>150</v>
      </c>
      <c r="AG60" s="5">
        <f>IFERROR(__xludf.DUMMYFUNCTION("""COMPUTED_VALUE"""),150.0)</f>
        <v>150</v>
      </c>
      <c r="AH60" s="5"/>
      <c r="AI60" s="5">
        <f>IFERROR(__xludf.DUMMYFUNCTION("""COMPUTED_VALUE"""),450.0)</f>
        <v>450</v>
      </c>
      <c r="AJ60" s="5">
        <f>IFERROR(__xludf.DUMMYFUNCTION("""COMPUTED_VALUE"""),517.5)</f>
        <v>517.5</v>
      </c>
      <c r="AK60" s="5" t="str">
        <f>IFERROR(__xludf.DUMMYFUNCTION("""COMPUTED_VALUE"""),"La gestión de producción es aún más efectiva cuando es práctica y en vivo 📌
Con SAP HANA IN Presencial aprenderás a manejar procesos de manufactura directamente en entornos reales 💼.
Aquí la información 👇🏻")</f>
        <v>La gestión de producción es aún más efectiva cuando es práctica y en vivo 📌
Con SAP HANA IN Presencial aprenderás a manejar procesos de manufactura directamente en entornos reales 💼.
Aquí la información 👇🏻</v>
      </c>
      <c r="AL60" s="5" t="str">
        <f>IFERROR(__xludf.DUMMYFUNCTION("""COMPUTED_VALUE"""),"📦 Excelente, actualízate con SAP IN Presencial y aprende gestión de inventarios en vivo.")</f>
        <v>📦 Excelente, actualízate con SAP IN Presencial y aprende gestión de inventarios en vivo.</v>
      </c>
      <c r="AM60" s="5" t="str">
        <f>IFERROR(__xludf.DUMMYFUNCTION("""COMPUTED_VALUE"""),"💼 Buenísimo, SAP IN Presencial te conecta directamente con prácticas reales de empresa.")</f>
        <v>💼 Buenísimo, SAP IN Presencial te conecta directamente con prácticas reales de empresa.</v>
      </c>
      <c r="AN60" s="5" t="str">
        <f>IFERROR(__xludf.DUMMYFUNCTION("""COMPUTED_VALUE"""),"🎓 ¡Genial! De manera presencial aprender SAP IN te diferenciará.")</f>
        <v>🎓 ¡Genial! De manera presencial aprender SAP IN te diferenciará.</v>
      </c>
      <c r="AO60" s="5" t="str">
        <f>IFERROR(__xludf.DUMMYFUNCTION("""COMPUTED_VALUE"""),"🚀 ¡Perfecto! Con SAP IN Presencial tendrás ventaja en prácticas relacionadas con logística.")</f>
        <v>🚀 ¡Perfecto! Con SAP IN Presencial tendrás ventaja en prácticas relacionadas con logística.</v>
      </c>
      <c r="AP60" s="5" t="str">
        <f>IFERROR(__xludf.DUMMYFUNCTION("""COMPUTED_VALUE"""),"📊 ¡Excelente! Con SAP IN Presencial podrás optimizar inventarios en tu propio negocio.")</f>
        <v>📊 ¡Excelente! Con SAP IN Presencial podrás optimizar inventarios en tu propio negocio.</v>
      </c>
      <c r="AQ60" s="9" t="str">
        <f>IFERROR(__xludf.DUMMYFUNCTION("""COMPUTED_VALUE"""),"https://we-educacion.com/slides/sap-hana-integral-presencial-392")</f>
        <v>https://we-educacion.com/slides/sap-hana-integral-presencial-392</v>
      </c>
      <c r="AR60" s="5">
        <v>1.0</v>
      </c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</row>
    <row r="61" ht="15.75" customHeight="1">
      <c r="A61" s="5" t="s">
        <v>103</v>
      </c>
      <c r="B61" s="5" t="str">
        <f t="shared" si="1"/>
        <v>NOV. I - ED25</v>
      </c>
      <c r="C61" s="6" t="str">
        <f>IFERROR(__xludf.DUMMYFUNCTION("""COMPUTED_VALUE"""),"PROYECTOS")</f>
        <v>PROYECTOS</v>
      </c>
      <c r="D61" s="5" t="str">
        <f>IFERROR(__xludf.DUMMYFUNCTION("""COMPUTED_VALUE"""),"CURSO")</f>
        <v>CURSO</v>
      </c>
      <c r="E61" s="6" t="str">
        <f>IFERROR(__xludf.DUMMYFUNCTION("""COMPUTED_VALUE"""),"MS PROJECT")</f>
        <v>MS PROJECT</v>
      </c>
      <c r="F61" s="7">
        <f>IFERROR(__xludf.DUMMYFUNCTION("""COMPUTED_VALUE"""),45970.0)</f>
        <v>45970</v>
      </c>
      <c r="G61" s="6"/>
      <c r="H61" s="7"/>
      <c r="I61" s="6"/>
      <c r="J61" s="7"/>
      <c r="K61" s="6"/>
      <c r="L61" s="7"/>
      <c r="M61" s="6"/>
      <c r="N61" s="7"/>
      <c r="O61" s="6"/>
      <c r="P61" s="7"/>
      <c r="Q61" s="6" t="str">
        <f>IFERROR(__xludf.DUMMYFUNCTION("""COMPUTED_VALUE"""),"Alejandro Mas")</f>
        <v>Alejandro Mas</v>
      </c>
      <c r="R61" s="5" t="str">
        <f>IFERROR(__xludf.DUMMYFUNCTION("""COMPUTED_VALUE"""),"Dom")</f>
        <v>Dom</v>
      </c>
      <c r="S61" s="6" t="str">
        <f>IFERROR(__xludf.DUMMYFUNCTION("""COMPUTED_VALUE"""),"9AM - 12PM")</f>
        <v>9AM - 12PM</v>
      </c>
      <c r="T61" s="7" t="str">
        <f>IFERROR(__xludf.DUMMYFUNCTION("""COMPUTED_VALUE"""),"Domingo 9 Noviembre")</f>
        <v>Domingo 9 Noviembre</v>
      </c>
      <c r="U61" s="7" t="str">
        <f>IFERROR(__xludf.DUMMYFUNCTION("""COMPUTED_VALUE"""),"Domingo 14 Diciembre")</f>
        <v>Domingo 14 Diciembre</v>
      </c>
      <c r="V61" s="8">
        <f>IFERROR(__xludf.DUMMYFUNCTION("""COMPUTED_VALUE"""),6.0)</f>
        <v>6</v>
      </c>
      <c r="W61" s="5" t="str">
        <f>IFERROR(__xludf.DUMMYFUNCTION("""COMPUTED_VALUE"""),"pdfs/BROCHURE MS PROJECT.pdf")</f>
        <v>pdfs/BROCHURE MS PROJECT.pdf</v>
      </c>
      <c r="X61" s="5" t="str">
        <f>IFERROR(__xludf.DUMMYFUNCTION("""COMPUTED_VALUE"""),"🔵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61" s="5" t="str">
        <f>IFERROR(__xludf.DUMMYFUNCTION("""COMPUTED_VALUE"""),"images/msproject.jpg")</f>
        <v>images/msproject.jpg</v>
      </c>
      <c r="Z61" s="5" t="str">
        <f>IFERROR(__xludf.DUMMYFUNCTION("""COMPUTED_VALUE"""),"Avalado por Microsoft Partner Network")</f>
        <v>Avalado por Microsoft Partner Network</v>
      </c>
      <c r="AA61" s="5" t="str">
        <f>IFERROR(__xludf.DUMMYFUNCTION("""COMPUTED_VALUE"""),"SI")</f>
        <v>SI</v>
      </c>
      <c r="AB61" s="6">
        <f>IFERROR(__xludf.DUMMYFUNCTION("""COMPUTED_VALUE"""),610.0)</f>
        <v>610</v>
      </c>
      <c r="AC61" s="6">
        <f>IFERROR(__xludf.DUMMYFUNCTION("""COMPUTED_VALUE"""),550.0)</f>
        <v>550</v>
      </c>
      <c r="AD61" s="6">
        <f>IFERROR(__xludf.DUMMYFUNCTION("""COMPUTED_VALUE"""),305.0)</f>
        <v>305</v>
      </c>
      <c r="AE61" s="6">
        <f>IFERROR(__xludf.DUMMYFUNCTION("""COMPUTED_VALUE"""),275.0)</f>
        <v>275</v>
      </c>
      <c r="AF61" s="6">
        <f>IFERROR(__xludf.DUMMYFUNCTION("""COMPUTED_VALUE"""),150.0)</f>
        <v>150</v>
      </c>
      <c r="AG61" s="5">
        <f>IFERROR(__xludf.DUMMYFUNCTION("""COMPUTED_VALUE"""),150.0)</f>
        <v>150</v>
      </c>
      <c r="AH61" s="5"/>
      <c r="AI61" s="5">
        <f>IFERROR(__xludf.DUMMYFUNCTION("""COMPUTED_VALUE"""),247.5)</f>
        <v>247.5</v>
      </c>
      <c r="AJ61" s="5">
        <f>IFERROR(__xludf.DUMMYFUNCTION("""COMPUTED_VALUE"""),274.5)</f>
        <v>274.5</v>
      </c>
      <c r="AK61" s="5" t="str">
        <f>IFERROR(__xludf.DUMMYFUNCTION("""COMPUTED_VALUE"""),"✨ *Planificar bien es la clave para que todo proyecto tenga éxito.*
Aprende a gestionar tareas, tiempos y recursos con Microsoft Project de forma práctica y profesional 📅
Ahora te adjunto la información a detalle 👇🏻")</f>
        <v>✨ *Planificar bien es la clave para que todo proyecto tenga éxito.*
Aprende a gestionar tareas, tiempos y recursos con Microsoft Project de forma práctica y profesional 📅
Ahora te adjunto la información a detalle 👇🏻</v>
      </c>
      <c r="AL61" s="5" t="str">
        <f>IFERROR(__xludf.DUMMYFUNCTION("""COMPUTED_VALUE"""),"✨ Excelente, actualízate con MS Project y gestiona proyectos de manera más eficiente.")</f>
        <v>✨ Excelente, actualízate con MS Project y gestiona proyectos de manera más eficiente.</v>
      </c>
      <c r="AM61" s="5" t="str">
        <f>IFERROR(__xludf.DUMMYFUNCTION("""COMPUTED_VALUE"""),"💼 Buenísimo, MS Project es muy valorado por las empresas que buscan profesionales de gestión.")</f>
        <v>💼 Buenísimo, MS Project es muy valorado por las empresas que buscan profesionales de gestión.</v>
      </c>
      <c r="AN61" s="5" t="str">
        <f>IFERROR(__xludf.DUMMYFUNCTION("""COMPUTED_VALUE"""),"🎓 ¡Genial! Con MS Project aprenderás a organizar proyectos de forma práctica desde la universidad.")</f>
        <v>🎓 ¡Genial! Con MS Project aprenderás a organizar proyectos de forma práctica desde la universidad.</v>
      </c>
      <c r="AO61" s="5" t="str">
        <f>IFERROR(__xludf.DUMMYFUNCTION("""COMPUTED_VALUE"""),"🚀 ¡Perfecto! Saber MS Project te dará ventaja en prácticas relacionadas a gestión de proyectos.")</f>
        <v>🚀 ¡Perfecto! Saber MS Project te dará ventaja en prácticas relacionadas a gestión de proyectos.</v>
      </c>
      <c r="AP61" s="5" t="str">
        <f>IFERROR(__xludf.DUMMYFUNCTION("""COMPUTED_VALUE"""),"📊 ¡Excelente! Con MS Project podrás planificar y controlar tus propios proyectos de manera profesional.")</f>
        <v>📊 ¡Excelente! Con MS Project podrás planificar y controlar tus propios proyectos de manera profesional.</v>
      </c>
      <c r="AQ61" s="9" t="str">
        <f>IFERROR(__xludf.DUMMYFUNCTION("""COMPUTED_VALUE"""),"https://we-educacion.com/slides/ms-project-basico-intermedio-95")</f>
        <v>https://we-educacion.com/slides/ms-project-basico-intermedio-95</v>
      </c>
      <c r="AR61" s="5">
        <v>1.0</v>
      </c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</row>
    <row r="62" ht="15.75" customHeight="1">
      <c r="A62" s="5" t="s">
        <v>104</v>
      </c>
      <c r="B62" s="5" t="str">
        <f t="shared" si="1"/>
        <v>NOV. I - ED25</v>
      </c>
      <c r="C62" s="6" t="str">
        <f>IFERROR(__xludf.DUMMYFUNCTION("""COMPUTED_VALUE"""),"FINANZ")</f>
        <v>FINANZ</v>
      </c>
      <c r="D62" s="5" t="str">
        <f>IFERROR(__xludf.DUMMYFUNCTION("""COMPUTED_VALUE"""),"CURSO")</f>
        <v>CURSO</v>
      </c>
      <c r="E62" s="6" t="str">
        <f>IFERROR(__xludf.DUMMYFUNCTION("""COMPUTED_VALUE"""),"COST Y PRESUP")</f>
        <v>COST Y PRESUP</v>
      </c>
      <c r="F62" s="7">
        <f>IFERROR(__xludf.DUMMYFUNCTION("""COMPUTED_VALUE"""),45970.0)</f>
        <v>45970</v>
      </c>
      <c r="G62" s="6"/>
      <c r="H62" s="7"/>
      <c r="I62" s="6"/>
      <c r="J62" s="7"/>
      <c r="K62" s="6"/>
      <c r="L62" s="7"/>
      <c r="M62" s="6"/>
      <c r="N62" s="7"/>
      <c r="O62" s="6"/>
      <c r="P62" s="7"/>
      <c r="Q62" s="6" t="str">
        <f>IFERROR(__xludf.DUMMYFUNCTION("""COMPUTED_VALUE"""),"Ralphi Jauregui")</f>
        <v>Ralphi Jauregui</v>
      </c>
      <c r="R62" s="5" t="str">
        <f>IFERROR(__xludf.DUMMYFUNCTION("""COMPUTED_VALUE"""),"Dom")</f>
        <v>Dom</v>
      </c>
      <c r="S62" s="6" t="str">
        <f>IFERROR(__xludf.DUMMYFUNCTION("""COMPUTED_VALUE"""),"9AM - 12PM")</f>
        <v>9AM - 12PM</v>
      </c>
      <c r="T62" s="7" t="str">
        <f>IFERROR(__xludf.DUMMYFUNCTION("""COMPUTED_VALUE"""),"Domingo 9 Noviembre")</f>
        <v>Domingo 9 Noviembre</v>
      </c>
      <c r="U62" s="7" t="str">
        <f>IFERROR(__xludf.DUMMYFUNCTION("""COMPUTED_VALUE"""),"Domingo 14 Diciembre")</f>
        <v>Domingo 14 Diciembre</v>
      </c>
      <c r="V62" s="8">
        <f>IFERROR(__xludf.DUMMYFUNCTION("""COMPUTED_VALUE"""),6.0)</f>
        <v>6</v>
      </c>
      <c r="W62" s="5" t="str">
        <f>IFERROR(__xludf.DUMMYFUNCTION("""COMPUTED_VALUE"""),"pdfs/BROCHURE COSTOS Y PRESUPUESTOS.pdf")</f>
        <v>pdfs/BROCHURE COSTOS Y PRESUPUESTOS.pdf</v>
      </c>
      <c r="X62" s="6" t="str">
        <f>IFERROR(__xludf.DUMMYFUNCTION("""COMPUTED_VALUE"""),"🔵 *Utilizarán Excel Financiero* 👩🏻‍💻
👉🏼 ¡Te regalamos el Curso Online!
👉🏼 Incluye plantillas y formatos
🚨 *Por favor, revisa el BROCHURE* 👇🏻
Aqui encontrarás la información completa del programa, el TEMARIO (malla curricular) y todos los BENEF"&amp;"ICIOS 📚")</f>
        <v>🔵 *Utilizarán Excel Financiero* 👩🏻‍💻
👉🏼 ¡Te regalamos el Curso Online!
👉🏼 Incluye plantillas y formatos
🚨 *Por favor, revisa el BROCHURE* 👇🏻
Aqui encontrarás la información completa del programa, el TEMARIO (malla curricular) y todos los BENEFICIOS 📚</v>
      </c>
      <c r="Y62" s="5" t="str">
        <f>IFERROR(__xludf.DUMMYFUNCTION("""COMPUTED_VALUE"""),"images/costypre.jpg")</f>
        <v>images/costypre.jpg</v>
      </c>
      <c r="Z62" s="5"/>
      <c r="AA62" s="5" t="str">
        <f>IFERROR(__xludf.DUMMYFUNCTION("""COMPUTED_VALUE"""),"NO")</f>
        <v>NO</v>
      </c>
      <c r="AB62" s="6">
        <f>IFERROR(__xludf.DUMMYFUNCTION("""COMPUTED_VALUE"""),750.0)</f>
        <v>750</v>
      </c>
      <c r="AC62" s="6">
        <f>IFERROR(__xludf.DUMMYFUNCTION("""COMPUTED_VALUE"""),700.0)</f>
        <v>700</v>
      </c>
      <c r="AD62" s="6">
        <f>IFERROR(__xludf.DUMMYFUNCTION("""COMPUTED_VALUE"""),375.0)</f>
        <v>375</v>
      </c>
      <c r="AE62" s="6">
        <f>IFERROR(__xludf.DUMMYFUNCTION("""COMPUTED_VALUE"""),350.0)</f>
        <v>350</v>
      </c>
      <c r="AF62" s="6">
        <f>IFERROR(__xludf.DUMMYFUNCTION("""COMPUTED_VALUE"""),150.0)</f>
        <v>150</v>
      </c>
      <c r="AG62" s="5">
        <f>IFERROR(__xludf.DUMMYFUNCTION("""COMPUTED_VALUE"""),150.0)</f>
        <v>150</v>
      </c>
      <c r="AH62" s="5"/>
      <c r="AI62" s="5">
        <f>IFERROR(__xludf.DUMMYFUNCTION("""COMPUTED_VALUE"""),315.0)</f>
        <v>315</v>
      </c>
      <c r="AJ62" s="5">
        <f>IFERROR(__xludf.DUMMYFUNCTION("""COMPUTED_VALUE"""),337.5)</f>
        <v>337.5</v>
      </c>
      <c r="AK62" s="5" t="str">
        <f>IFERROR(__xludf.DUMMYFUNCTION("""COMPUTED_VALUE"""),"Los líderes gestionan recursos con precisión y visión 📊
Con Costos y Presupuestos aprenderás a planificar y controlar gastos de manera práctica 💼.
Aquí te comparto la info 👇🏻")</f>
        <v>Los líderes gestionan recursos con precisión y visión 📊
Con Costos y Presupuestos aprenderás a planificar y controlar gastos de manera práctica 💼.
Aquí te comparto la info 👇🏻</v>
      </c>
      <c r="AL62" s="5" t="str">
        <f>IFERROR(__xludf.DUMMYFUNCTION("""COMPUTED_VALUE"""),"📊 *Excelente*, con *Costos y Presupuestos* te actualizarás en control financiero y gestión de proyectos.")</f>
        <v>📊 *Excelente*, con *Costos y Presupuestos* te actualizarás en control financiero y gestión de proyectos.</v>
      </c>
      <c r="AM62" s="5" t="str">
        <f>IFERROR(__xludf.DUMMYFUNCTION("""COMPUTED_VALUE"""),"💼 Buenísimo, *Costos y Presupuestos* es clave en empresas y muy requerido por empleadores.")</f>
        <v>💼 Buenísimo, *Costos y Presupuestos* es clave en empresas y muy requerido por empleadores.</v>
      </c>
      <c r="AN62" s="5" t="str">
        <f>IFERROR(__xludf.DUMMYFUNCTION("""COMPUTED_VALUE"""),"📘 ¡Perfecto! Aprender *Costos y Presupuestos* te dará una base sólida en gestión financiera.")</f>
        <v>📘 ¡Perfecto! Aprender *Costos y Presupuestos* te dará una base sólida en gestión financiera.</v>
      </c>
      <c r="AO62" s="5" t="str">
        <f>IFERROR(__xludf.DUMMYFUNCTION("""COMPUTED_VALUE"""),"🚀 ¡Genial! Conocer *Costos y Presupuestos* te dará ventaja en prácticas de áreas administrativas.")</f>
        <v>🚀 ¡Genial! Conocer *Costos y Presupuestos* te dará ventaja en prácticas de áreas administrativas.</v>
      </c>
      <c r="AP62" s="5" t="str">
        <f>IFERROR(__xludf.DUMMYFUNCTION("""COMPUTED_VALUE"""),"💰 ¡Muy bien! Como independiente, dominar *Costos y Presupuestos* te permitirá optimizar tus recursos.")</f>
        <v>💰 ¡Muy bien! Como independiente, dominar *Costos y Presupuestos* te permitirá optimizar tus recursos.</v>
      </c>
      <c r="AQ62" s="9" t="str">
        <f>IFERROR(__xludf.DUMMYFUNCTION("""COMPUTED_VALUE"""),"https://we-educacion.com/slides/costos-presupuestos-465")</f>
        <v>https://we-educacion.com/slides/costos-presupuestos-465</v>
      </c>
      <c r="AR62" s="5">
        <v>1.0</v>
      </c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</row>
    <row r="63" ht="15.75" customHeight="1">
      <c r="A63" s="5" t="s">
        <v>105</v>
      </c>
      <c r="B63" s="5" t="str">
        <f t="shared" si="1"/>
        <v>NOV. I - ED25</v>
      </c>
      <c r="C63" s="6" t="str">
        <f>IFERROR(__xludf.DUMMYFUNCTION("""COMPUTED_VALUE"""),"SAP")</f>
        <v>SAP</v>
      </c>
      <c r="D63" s="6" t="str">
        <f>IFERROR(__xludf.DUMMYFUNCTION("""COMPUTED_VALUE"""),"CURSO")</f>
        <v>CURSO</v>
      </c>
      <c r="E63" s="6" t="str">
        <f>IFERROR(__xludf.DUMMYFUNCTION("""COMPUTED_VALUE"""),"SAP HANA FI")</f>
        <v>SAP HANA FI</v>
      </c>
      <c r="F63" s="7">
        <f>IFERROR(__xludf.DUMMYFUNCTION("""COMPUTED_VALUE"""),45970.0)</f>
        <v>45970</v>
      </c>
      <c r="G63" s="6"/>
      <c r="H63" s="7"/>
      <c r="I63" s="6"/>
      <c r="J63" s="7"/>
      <c r="K63" s="6"/>
      <c r="L63" s="7"/>
      <c r="M63" s="6"/>
      <c r="N63" s="7"/>
      <c r="O63" s="6"/>
      <c r="P63" s="7"/>
      <c r="Q63" s="6" t="str">
        <f>IFERROR(__xludf.DUMMYFUNCTION("""COMPUTED_VALUE"""),"Karim Millan")</f>
        <v>Karim Millan</v>
      </c>
      <c r="R63" s="5" t="str">
        <f>IFERROR(__xludf.DUMMYFUNCTION("""COMPUTED_VALUE"""),"Dom")</f>
        <v>Dom</v>
      </c>
      <c r="S63" s="6" t="str">
        <f>IFERROR(__xludf.DUMMYFUNCTION("""COMPUTED_VALUE"""),"9AM - 12PM")</f>
        <v>9AM - 12PM</v>
      </c>
      <c r="T63" s="7" t="str">
        <f>IFERROR(__xludf.DUMMYFUNCTION("""COMPUTED_VALUE"""),"Domingo 9 Noviembre")</f>
        <v>Domingo 9 Noviembre</v>
      </c>
      <c r="U63" s="7" t="str">
        <f>IFERROR(__xludf.DUMMYFUNCTION("""COMPUTED_VALUE"""),"Domingo 14 Diciembre")</f>
        <v>Domingo 14 Diciembre</v>
      </c>
      <c r="V63" s="8">
        <f>IFERROR(__xludf.DUMMYFUNCTION("""COMPUTED_VALUE"""),6.0)</f>
        <v>6</v>
      </c>
      <c r="W63" s="5" t="str">
        <f>IFERROR(__xludf.DUMMYFUNCTION("""COMPUTED_VALUE"""),"pdfs/BROCHURE SAP HANA FI MODULO FINANZAS.pdf")</f>
        <v>pdfs/BROCHURE SAP HANA FI MODULO FINANZAS.pdf</v>
      </c>
      <c r="X63" s="5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63" s="5" t="str">
        <f>IFERROR(__xludf.DUMMYFUNCTION("""COMPUTED_VALUE"""),"images/sapfi.jpg")</f>
        <v>images/sapfi.jpg</v>
      </c>
      <c r="Z63" s="5" t="str">
        <f>IFERROR(__xludf.DUMMYFUNCTION("""COMPUTED_VALUE"""),"Avalado por SAP Partner Open")</f>
        <v>Avalado por SAP Partner Open</v>
      </c>
      <c r="AA63" s="5" t="str">
        <f>IFERROR(__xludf.DUMMYFUNCTION("""COMPUTED_VALUE"""),"NO")</f>
        <v>NO</v>
      </c>
      <c r="AB63" s="6">
        <f>IFERROR(__xludf.DUMMYFUNCTION("""COMPUTED_VALUE"""),900.0)</f>
        <v>900</v>
      </c>
      <c r="AC63" s="6">
        <f>IFERROR(__xludf.DUMMYFUNCTION("""COMPUTED_VALUE"""),750.0)</f>
        <v>750</v>
      </c>
      <c r="AD63" s="6">
        <f>IFERROR(__xludf.DUMMYFUNCTION("""COMPUTED_VALUE"""),450.0)</f>
        <v>450</v>
      </c>
      <c r="AE63" s="6">
        <f>IFERROR(__xludf.DUMMYFUNCTION("""COMPUTED_VALUE"""),375.0)</f>
        <v>375</v>
      </c>
      <c r="AF63" s="6">
        <f>IFERROR(__xludf.DUMMYFUNCTION("""COMPUTED_VALUE"""),150.0)</f>
        <v>150</v>
      </c>
      <c r="AG63" s="5">
        <f>IFERROR(__xludf.DUMMYFUNCTION("""COMPUTED_VALUE"""),150.0)</f>
        <v>150</v>
      </c>
      <c r="AH63" s="5"/>
      <c r="AI63" s="5">
        <f>IFERROR(__xludf.DUMMYFUNCTION("""COMPUTED_VALUE"""),337.5)</f>
        <v>337.5</v>
      </c>
      <c r="AJ63" s="5">
        <f>IFERROR(__xludf.DUMMYFUNCTION("""COMPUTED_VALUE"""),405.0)</f>
        <v>405</v>
      </c>
      <c r="AK63" s="5" t="str">
        <f>IFERROR(__xludf.DUMMYFUNCTION("""COMPUTED_VALUE"""),"El lenguaje financiero global se habla con SAP HANA FI 💼
Con este programa aprenderás a gestionar contabilidad y finanzas de forma práctica en SAP 🚀.
Aquí la información completa 👇🏻")</f>
        <v>El lenguaje financiero global se habla con SAP HANA FI 💼
Con este programa aprenderás a gestionar contabilidad y finanzas de forma práctica en SAP 🚀.
Aquí la información completa 👇🏻</v>
      </c>
      <c r="AL63" s="5" t="str">
        <f>IFERROR(__xludf.DUMMYFUNCTION("""COMPUTED_VALUE"""),"💰 Excelente, actualízate con SAP FI y domina la gestión financiera en SAP.")</f>
        <v>💰 Excelente, actualízate con SAP FI y domina la gestión financiera en SAP.</v>
      </c>
      <c r="AM63" s="5" t="str">
        <f>IFERROR(__xludf.DUMMYFUNCTION("""COMPUTED_VALUE"""),"💼 Buenísimo, SAP FI es clave en empresas que manejan contabilidad y finanzas.")</f>
        <v>💼 Buenísimo, SAP FI es clave en empresas que manejan contabilidad y finanzas.</v>
      </c>
      <c r="AN63" s="5" t="str">
        <f>IFERROR(__xludf.DUMMYFUNCTION("""COMPUTED_VALUE"""),"🎓 ¡Genial! Aprender SAP FI en la universidad fortalecerá tu perfil en finanzas.")</f>
        <v>🎓 ¡Genial! Aprender SAP FI en la universidad fortalecerá tu perfil en finanzas.</v>
      </c>
      <c r="AO63" s="5" t="str">
        <f>IFERROR(__xludf.DUMMYFUNCTION("""COMPUTED_VALUE"""),"🚀 ¡Perfecto! Con SAP FI tendrás ventaja en prácticas de contabilidad y finanzas.")</f>
        <v>🚀 ¡Perfecto! Con SAP FI tendrás ventaja en prácticas de contabilidad y finanzas.</v>
      </c>
      <c r="AP63" s="5" t="str">
        <f>IFERROR(__xludf.DUMMYFUNCTION("""COMPUTED_VALUE"""),"📊 ¡Excelente! Con SAP FI podrás llevar la contabilidad de tu negocio con precisión.")</f>
        <v>📊 ¡Excelente! Con SAP FI podrás llevar la contabilidad de tu negocio con precisión.</v>
      </c>
      <c r="AQ63" s="9" t="str">
        <f>IFERROR(__xludf.DUMMYFUNCTION("""COMPUTED_VALUE"""),"https://we-educacion.com/slides/sap-s-4-hana-fi-54")</f>
        <v>https://we-educacion.com/slides/sap-s-4-hana-fi-54</v>
      </c>
      <c r="AR63" s="5">
        <v>1.0</v>
      </c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</row>
    <row r="64" ht="15.75" customHeight="1">
      <c r="A64" s="5" t="s">
        <v>106</v>
      </c>
      <c r="B64" s="5" t="str">
        <f t="shared" si="1"/>
        <v>NOV. I - ED25</v>
      </c>
      <c r="C64" s="6" t="str">
        <f>IFERROR(__xludf.DUMMYFUNCTION("""COMPUTED_VALUE"""),"PROCESOS")</f>
        <v>PROCESOS</v>
      </c>
      <c r="D64" s="6" t="str">
        <f>IFERROR(__xludf.DUMMYFUNCTION("""COMPUTED_VALUE"""),"CURSO")</f>
        <v>CURSO</v>
      </c>
      <c r="E64" s="6" t="str">
        <f>IFERROR(__xludf.DUMMYFUNCTION("""COMPUTED_VALUE"""),"MODEL BIZ.")</f>
        <v>MODEL BIZ.</v>
      </c>
      <c r="F64" s="7">
        <f>IFERROR(__xludf.DUMMYFUNCTION("""COMPUTED_VALUE"""),45973.0)</f>
        <v>45973</v>
      </c>
      <c r="G64" s="6"/>
      <c r="H64" s="7"/>
      <c r="I64" s="6"/>
      <c r="J64" s="7"/>
      <c r="K64" s="6"/>
      <c r="L64" s="7"/>
      <c r="M64" s="6"/>
      <c r="N64" s="7"/>
      <c r="O64" s="6"/>
      <c r="P64" s="7"/>
      <c r="Q64" s="6" t="str">
        <f>IFERROR(__xludf.DUMMYFUNCTION("""COMPUTED_VALUE"""),"Julio Dávila")</f>
        <v>Julio Dávila</v>
      </c>
      <c r="R64" s="5" t="str">
        <f>IFERROR(__xludf.DUMMYFUNCTION("""COMPUTED_VALUE"""),"Mie")</f>
        <v>Mie</v>
      </c>
      <c r="S64" s="6" t="str">
        <f>IFERROR(__xludf.DUMMYFUNCTION("""COMPUTED_VALUE"""),"7PM - 10PM")</f>
        <v>7PM - 10PM</v>
      </c>
      <c r="T64" s="7" t="str">
        <f>IFERROR(__xludf.DUMMYFUNCTION("""COMPUTED_VALUE"""),"Miércoles 12 Noviembre")</f>
        <v>Miércoles 12 Noviembre</v>
      </c>
      <c r="U64" s="7" t="str">
        <f>IFERROR(__xludf.DUMMYFUNCTION("""COMPUTED_VALUE"""),"Miércoles 17 Diciembre")</f>
        <v>Miércoles 17 Diciembre</v>
      </c>
      <c r="V64" s="8">
        <f>IFERROR(__xludf.DUMMYFUNCTION("""COMPUTED_VALUE"""),6.0)</f>
        <v>6</v>
      </c>
      <c r="W64" s="5" t="str">
        <f>IFERROR(__xludf.DUMMYFUNCTION("""COMPUTED_VALUE"""),"pdfs/BROCHURE MODELAMIENTO DE PROCESOS CON BIZAGI.pdf")</f>
        <v>pdfs/BROCHURE MODELAMIENTO DE PROCESOS CON BIZAGI.pdf</v>
      </c>
      <c r="X64" s="5" t="str">
        <f>IFERROR(__xludf.DUMMYFUNCTION("""COMPUTED_VALUE"""),"🔵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programa"&amp;", el TEMARIO (malla curricular) y todos los BENEFICIOS 📚")</f>
        <v>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programa, el TEMARIO (malla curricular) y todos los BENEFICIOS 📚</v>
      </c>
      <c r="Y64" s="5" t="str">
        <f>IFERROR(__xludf.DUMMYFUNCTION("""COMPUTED_VALUE"""),"images/bizagi.jpg")</f>
        <v>images/bizagi.jpg</v>
      </c>
      <c r="Z64" s="5"/>
      <c r="AA64" s="5" t="str">
        <f>IFERROR(__xludf.DUMMYFUNCTION("""COMPUTED_VALUE"""),"NO")</f>
        <v>NO</v>
      </c>
      <c r="AB64" s="6">
        <f>IFERROR(__xludf.DUMMYFUNCTION("""COMPUTED_VALUE"""),610.0)</f>
        <v>610</v>
      </c>
      <c r="AC64" s="6">
        <f>IFERROR(__xludf.DUMMYFUNCTION("""COMPUTED_VALUE"""),550.0)</f>
        <v>550</v>
      </c>
      <c r="AD64" s="6">
        <f>IFERROR(__xludf.DUMMYFUNCTION("""COMPUTED_VALUE"""),305.0)</f>
        <v>305</v>
      </c>
      <c r="AE64" s="6">
        <f>IFERROR(__xludf.DUMMYFUNCTION("""COMPUTED_VALUE"""),275.0)</f>
        <v>275</v>
      </c>
      <c r="AF64" s="6">
        <f>IFERROR(__xludf.DUMMYFUNCTION("""COMPUTED_VALUE"""),150.0)</f>
        <v>150</v>
      </c>
      <c r="AG64" s="5">
        <f>IFERROR(__xludf.DUMMYFUNCTION("""COMPUTED_VALUE"""),150.0)</f>
        <v>150</v>
      </c>
      <c r="AH64" s="5"/>
      <c r="AI64" s="5">
        <f>IFERROR(__xludf.DUMMYFUNCTION("""COMPUTED_VALUE"""),247.5)</f>
        <v>247.5</v>
      </c>
      <c r="AJ64" s="5">
        <f>IFERROR(__xludf.DUMMYFUNCTION("""COMPUTED_VALUE"""),274.5)</f>
        <v>274.5</v>
      </c>
      <c r="AK64" s="5" t="str">
        <f>IFERROR(__xludf.DUMMYFUNCTION("""COMPUTED_VALUE"""),"*Entender el proceso es clave para cualquier proyecto* 🚀 
Aprende a diseñar, optimizar y automatizar procesos con Bizagi de forma práctica ⚙️
Ahora te adjunto la información a detalle 👇🏻")</f>
        <v>*Entender el proceso es clave para cualquier proyecto* 🚀 
Aprende a diseñar, optimizar y automatizar procesos con Bizagi de forma práctica ⚙️
Ahora te adjunto la información a detalle 👇🏻</v>
      </c>
      <c r="AL64" s="5" t="str">
        <f>IFERROR(__xludf.DUMMYFUNCTION("""COMPUTED_VALUE"""),"📈 Excelente, actualízate con Model Biz. y potencia tu visión estratégica en los negocios.")</f>
        <v>📈 Excelente, actualízate con Model Biz. y potencia tu visión estratégica en los negocios.</v>
      </c>
      <c r="AM64" s="5" t="str">
        <f>IFERROR(__xludf.DUMMYFUNCTION("""COMPUTED_VALUE"""),"💼 Buenísimo, dominar Model Biz. te dará más oportunidades en empresas que buscan perfiles analíticos.")</f>
        <v>💼 Buenísimo, dominar Model Biz. te dará más oportunidades en empresas que buscan perfiles analíticos.</v>
      </c>
      <c r="AN64" s="5" t="str">
        <f>IFERROR(__xludf.DUMMYFUNCTION("""COMPUTED_VALUE"""),"🎓 ¡Genial! Con Model Biz. sumarás una habilidad clave que te diferenciará desde la universidad.")</f>
        <v>🎓 ¡Genial! Con Model Biz. sumarás una habilidad clave que te diferenciará desde la universidad.</v>
      </c>
      <c r="AO64" s="5" t="str">
        <f>IFERROR(__xludf.DUMMYFUNCTION("""COMPUTED_VALUE"""),"🚀 ¡Perfecto! Conocer Model Biz. será un plus para destacar en prácticas profesionales.")</f>
        <v>🚀 ¡Perfecto! Conocer Model Biz. será un plus para destacar en prácticas profesionales.</v>
      </c>
      <c r="AP64" s="5" t="str">
        <f>IFERROR(__xludf.DUMMYFUNCTION("""COMPUTED_VALUE"""),"📊 ¡Excelente! Con Model Biz. podrás optimizar tu propio negocio y tomar decisiones más inteligentes.")</f>
        <v>📊 ¡Excelente! Con Model Biz. podrás optimizar tu propio negocio y tomar decisiones más inteligentes.</v>
      </c>
      <c r="AQ64" s="9" t="str">
        <f>IFERROR(__xludf.DUMMYFUNCTION("""COMPUTED_VALUE"""),"https://we-educacion.com/slides/modelamiento-de-procesos-con-bizagi-118")</f>
        <v>https://we-educacion.com/slides/modelamiento-de-procesos-con-bizagi-118</v>
      </c>
      <c r="AR64" s="5">
        <v>1.0</v>
      </c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</row>
    <row r="65" ht="15.75" customHeight="1">
      <c r="A65" s="5" t="s">
        <v>107</v>
      </c>
      <c r="B65" s="5" t="str">
        <f t="shared" si="1"/>
        <v>NOV. I - ED25</v>
      </c>
      <c r="C65" s="6" t="str">
        <f>IFERROR(__xludf.DUMMYFUNCTION("""COMPUTED_VALUE"""),"SAP")</f>
        <v>SAP</v>
      </c>
      <c r="D65" s="5" t="str">
        <f>IFERROR(__xludf.DUMMYFUNCTION("""COMPUTED_VALUE"""),"CURSO")</f>
        <v>CURSO</v>
      </c>
      <c r="E65" s="6" t="str">
        <f>IFERROR(__xludf.DUMMYFUNCTION("""COMPUTED_VALUE"""),"SAP HANA IN")</f>
        <v>SAP HANA IN</v>
      </c>
      <c r="F65" s="7">
        <f>IFERROR(__xludf.DUMMYFUNCTION("""COMPUTED_VALUE"""),45973.0)</f>
        <v>45973</v>
      </c>
      <c r="G65" s="6"/>
      <c r="H65" s="7"/>
      <c r="I65" s="6"/>
      <c r="J65" s="7"/>
      <c r="K65" s="6"/>
      <c r="L65" s="7"/>
      <c r="M65" s="6"/>
      <c r="N65" s="7"/>
      <c r="O65" s="6"/>
      <c r="P65" s="7"/>
      <c r="Q65" s="6" t="str">
        <f>IFERROR(__xludf.DUMMYFUNCTION("""COMPUTED_VALUE"""),"David Romero")</f>
        <v>David Romero</v>
      </c>
      <c r="R65" s="5" t="str">
        <f>IFERROR(__xludf.DUMMYFUNCTION("""COMPUTED_VALUE"""),"Lun-Mie")</f>
        <v>Lun-Mie</v>
      </c>
      <c r="S65" s="6" t="str">
        <f>IFERROR(__xludf.DUMMYFUNCTION("""COMPUTED_VALUE"""),"7PM - 10PM")</f>
        <v>7PM - 10PM</v>
      </c>
      <c r="T65" s="7" t="str">
        <f>IFERROR(__xludf.DUMMYFUNCTION("""COMPUTED_VALUE"""),"Miércoles 12 Noviembre")</f>
        <v>Miércoles 12 Noviembre</v>
      </c>
      <c r="U65" s="7" t="str">
        <f>IFERROR(__xludf.DUMMYFUNCTION("""COMPUTED_VALUE"""),"Lunes 1 Diciembre")</f>
        <v>Lunes 1 Diciembre</v>
      </c>
      <c r="V65" s="8">
        <f>IFERROR(__xludf.DUMMYFUNCTION("""COMPUTED_VALUE"""),6.0)</f>
        <v>6</v>
      </c>
      <c r="W65" s="5" t="str">
        <f>IFERROR(__xludf.DUMMYFUNCTION("""COMPUTED_VALUE"""),"pdfs/BROCHURE SAP S4 HANA IN.pdf")</f>
        <v>pdfs/BROCHURE SAP S4 HANA IN.pdf</v>
      </c>
      <c r="X65" s="5" t="str">
        <f>IFERROR(__xludf.DUMMYFUNCTION("""COMPUTED_VALUE"""),"🔵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revisa"&amp;"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65" s="5" t="str">
        <f>IFERROR(__xludf.DUMMYFUNCTION("""COMPUTED_VALUE"""),"images/sapin.jpg")</f>
        <v>images/sapin.jpg</v>
      </c>
      <c r="Z65" s="5" t="str">
        <f>IFERROR(__xludf.DUMMYFUNCTION("""COMPUTED_VALUE"""),"Avalado por SAP Partner Open")</f>
        <v>Avalado por SAP Partner Open</v>
      </c>
      <c r="AA65" s="5" t="str">
        <f>IFERROR(__xludf.DUMMYFUNCTION("""COMPUTED_VALUE"""),"NO")</f>
        <v>NO</v>
      </c>
      <c r="AB65" s="6">
        <f>IFERROR(__xludf.DUMMYFUNCTION("""COMPUTED_VALUE"""),950.0)</f>
        <v>950</v>
      </c>
      <c r="AC65" s="6">
        <f>IFERROR(__xludf.DUMMYFUNCTION("""COMPUTED_VALUE"""),820.0)</f>
        <v>820</v>
      </c>
      <c r="AD65" s="6">
        <f>IFERROR(__xludf.DUMMYFUNCTION("""COMPUTED_VALUE"""),475.0)</f>
        <v>475</v>
      </c>
      <c r="AE65" s="6">
        <f>IFERROR(__xludf.DUMMYFUNCTION("""COMPUTED_VALUE"""),410.0)</f>
        <v>410</v>
      </c>
      <c r="AF65" s="6">
        <f>IFERROR(__xludf.DUMMYFUNCTION("""COMPUTED_VALUE"""),150.0)</f>
        <v>150</v>
      </c>
      <c r="AG65" s="5">
        <f>IFERROR(__xludf.DUMMYFUNCTION("""COMPUTED_VALUE"""),150.0)</f>
        <v>150</v>
      </c>
      <c r="AH65" s="5"/>
      <c r="AI65" s="5">
        <f>IFERROR(__xludf.DUMMYFUNCTION("""COMPUTED_VALUE"""),369.0)</f>
        <v>369</v>
      </c>
      <c r="AJ65" s="5">
        <f>IFERROR(__xludf.DUMMYFUNCTION("""COMPUTED_VALUE"""),427.5)</f>
        <v>427.5</v>
      </c>
      <c r="AK65" s="5" t="str">
        <f>IFERROR(__xludf.DUMMYFUNCTION("""COMPUTED_VALUE"""),"La producción eficiente habla con SAP HANA IN ⚙️
Con este programa aprenderás a planificar, controlar y ejecutar procesos de manufactura en SAP 💼.
Aquí te comparto la info 👇🏻")</f>
        <v>La producción eficiente habla con SAP HANA IN ⚙️
Con este programa aprenderás a planificar, controlar y ejecutar procesos de manufactura en SAP 💼.
Aquí te comparto la info 👇🏻</v>
      </c>
      <c r="AL65" s="5" t="str">
        <f>IFERROR(__xludf.DUMMYFUNCTION("""COMPUTED_VALUE"""),"🏭 Excelente, actualízate con SAP IN y domina la gestión de inventarios.")</f>
        <v>🏭 Excelente, actualízate con SAP IN y domina la gestión de inventarios.</v>
      </c>
      <c r="AM65" s="5" t="str">
        <f>IFERROR(__xludf.DUMMYFUNCTION("""COMPUTED_VALUE"""),"💼 Buenísimo, SAP IN es muy requerido en empresas de manufactura y logística.")</f>
        <v>💼 Buenísimo, SAP IN es muy requerido en empresas de manufactura y logística.</v>
      </c>
      <c r="AN65" s="5" t="str">
        <f>IFERROR(__xludf.DUMMYFUNCTION("""COMPUTED_VALUE"""),"🎓 ¡Genial! Con SAP IN aprenderás gestión de inventarios desde la universidad.")</f>
        <v>🎓 ¡Genial! Con SAP IN aprenderás gestión de inventarios desde la universidad.</v>
      </c>
      <c r="AO65" s="5" t="str">
        <f>IFERROR(__xludf.DUMMYFUNCTION("""COMPUTED_VALUE"""),"🚀 ¡Perfecto! Con SAP IN tendrás ventaja en prácticas de gestión de operaciones.")</f>
        <v>🚀 ¡Perfecto! Con SAP IN tendrás ventaja en prácticas de gestión de operaciones.</v>
      </c>
      <c r="AP65" s="5" t="str">
        <f>IFERROR(__xludf.DUMMYFUNCTION("""COMPUTED_VALUE"""),"📊 ¡Excelente! Con SAP IN podrás controlar y optimizar inventarios en tu negocio.")</f>
        <v>📊 ¡Excelente! Con SAP IN podrás controlar y optimizar inventarios en tu negocio.</v>
      </c>
      <c r="AQ65" s="9" t="str">
        <f>IFERROR(__xludf.DUMMYFUNCTION("""COMPUTED_VALUE"""),"https://we-educacion.com/slides/sap-s-4-hana-in-mm-fi-pp-sd-51")</f>
        <v>https://we-educacion.com/slides/sap-s-4-hana-in-mm-fi-pp-sd-51</v>
      </c>
      <c r="AR65" s="5">
        <v>1.0</v>
      </c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</row>
    <row r="66" ht="15.75" customHeight="1">
      <c r="A66" s="5" t="s">
        <v>108</v>
      </c>
      <c r="B66" s="5" t="str">
        <f t="shared" si="1"/>
        <v>NOV. I - ED25</v>
      </c>
      <c r="C66" s="6" t="str">
        <f>IFERROR(__xludf.DUMMYFUNCTION("""COMPUTED_VALUE"""),"SAP")</f>
        <v>SAP</v>
      </c>
      <c r="D66" s="5" t="str">
        <f>IFERROR(__xludf.DUMMYFUNCTION("""COMPUTED_VALUE"""),"CURSO")</f>
        <v>CURSO</v>
      </c>
      <c r="E66" s="6" t="str">
        <f>IFERROR(__xludf.DUMMYFUNCTION("""COMPUTED_VALUE"""),"SAP HANA HCM")</f>
        <v>SAP HANA HCM</v>
      </c>
      <c r="F66" s="7">
        <f>IFERROR(__xludf.DUMMYFUNCTION("""COMPUTED_VALUE"""),45974.0)</f>
        <v>45974</v>
      </c>
      <c r="G66" s="6"/>
      <c r="H66" s="7"/>
      <c r="I66" s="6"/>
      <c r="J66" s="7"/>
      <c r="K66" s="6"/>
      <c r="L66" s="7"/>
      <c r="M66" s="6"/>
      <c r="N66" s="7"/>
      <c r="O66" s="6"/>
      <c r="P66" s="7"/>
      <c r="Q66" s="6" t="str">
        <f>IFERROR(__xludf.DUMMYFUNCTION("""COMPUTED_VALUE"""),"Giancarlo Orbegoso")</f>
        <v>Giancarlo Orbegoso</v>
      </c>
      <c r="R66" s="5" t="str">
        <f>IFERROR(__xludf.DUMMYFUNCTION("""COMPUTED_VALUE"""),"Jue")</f>
        <v>Jue</v>
      </c>
      <c r="S66" s="6" t="str">
        <f>IFERROR(__xludf.DUMMYFUNCTION("""COMPUTED_VALUE"""),"7PM - 10PM")</f>
        <v>7PM - 10PM</v>
      </c>
      <c r="T66" s="7" t="str">
        <f>IFERROR(__xludf.DUMMYFUNCTION("""COMPUTED_VALUE"""),"Jueves 13 Noviembre")</f>
        <v>Jueves 13 Noviembre</v>
      </c>
      <c r="U66" s="7" t="str">
        <f>IFERROR(__xludf.DUMMYFUNCTION("""COMPUTED_VALUE"""),"Jueves 18 Diciembre")</f>
        <v>Jueves 18 Diciembre</v>
      </c>
      <c r="V66" s="8">
        <f>IFERROR(__xludf.DUMMYFUNCTION("""COMPUTED_VALUE"""),6.0)</f>
        <v>6</v>
      </c>
      <c r="W66" s="5" t="str">
        <f>IFERROR(__xludf.DUMMYFUNCTION("""COMPUTED_VALUE"""),"pdfs/BROCHURE SAP S4 HANA HCM.pdf")</f>
        <v>pdfs/BROCHURE SAP S4 HANA HCM.pdf</v>
      </c>
      <c r="X66" s="5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03 Cursos Online de regalo con acceso ilimitado 📚
🔹 Taller de"&amp;" Automatización SAP con RPA
🔹 Garantía de Aprendizaje 100% 
🔹 Desarrollo y seguimiento de tu proyecto *(Evaluado)*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03 Cursos Online de regalo con acceso ilimitado 📚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66" s="5" t="str">
        <f>IFERROR(__xludf.DUMMYFUNCTION("""COMPUTED_VALUE"""),"images/hcm.jpg")</f>
        <v>images/hcm.jpg</v>
      </c>
      <c r="Z66" s="5" t="str">
        <f>IFERROR(__xludf.DUMMYFUNCTION("""COMPUTED_VALUE"""),"Avalado por SAP Partner Open")</f>
        <v>Avalado por SAP Partner Open</v>
      </c>
      <c r="AA66" s="5" t="str">
        <f>IFERROR(__xludf.DUMMYFUNCTION("""COMPUTED_VALUE"""),"NO")</f>
        <v>NO</v>
      </c>
      <c r="AB66" s="6">
        <f>IFERROR(__xludf.DUMMYFUNCTION("""COMPUTED_VALUE"""),900.0)</f>
        <v>900</v>
      </c>
      <c r="AC66" s="6">
        <f>IFERROR(__xludf.DUMMYFUNCTION("""COMPUTED_VALUE"""),750.0)</f>
        <v>750</v>
      </c>
      <c r="AD66" s="6">
        <f>IFERROR(__xludf.DUMMYFUNCTION("""COMPUTED_VALUE"""),450.0)</f>
        <v>450</v>
      </c>
      <c r="AE66" s="6">
        <f>IFERROR(__xludf.DUMMYFUNCTION("""COMPUTED_VALUE"""),375.0)</f>
        <v>375</v>
      </c>
      <c r="AF66" s="6">
        <f>IFERROR(__xludf.DUMMYFUNCTION("""COMPUTED_VALUE"""),150.0)</f>
        <v>150</v>
      </c>
      <c r="AG66" s="5">
        <f>IFERROR(__xludf.DUMMYFUNCTION("""COMPUTED_VALUE"""),150.0)</f>
        <v>150</v>
      </c>
      <c r="AH66" s="5"/>
      <c r="AI66" s="5">
        <f>IFERROR(__xludf.DUMMYFUNCTION("""COMPUTED_VALUE"""),337.5)</f>
        <v>337.5</v>
      </c>
      <c r="AJ66" s="5">
        <f>IFERROR(__xludf.DUMMYFUNCTION("""COMPUTED_VALUE"""),405.0)</f>
        <v>405</v>
      </c>
      <c r="AK66" s="5" t="str">
        <f>IFERROR(__xludf.DUMMYFUNCTION("""COMPUTED_VALUE"""),"El capital más importante son las personas 👤
Con SAP HANA HCM aprenderás a gestionar talento humano, nóminas y procesos de RRHH en entornos reales 📊.
Aquí tienes la info 👇🏻")</f>
        <v>El capital más importante son las personas 👤
Con SAP HANA HCM aprenderás a gestionar talento humano, nóminas y procesos de RRHH en entornos reales 📊.
Aquí tienes la info 👇🏻</v>
      </c>
      <c r="AL66" s="5" t="str">
        <f>IFERROR(__xludf.DUMMYFUNCTION("""COMPUTED_VALUE"""),"👥 Excelente, actualízate con SAP HCM y domina la gestión de talento en SAP.")</f>
        <v>👥 Excelente, actualízate con SAP HCM y domina la gestión de talento en SAP.</v>
      </c>
      <c r="AM66" s="5" t="str">
        <f>IFERROR(__xludf.DUMMYFUNCTION("""COMPUTED_VALUE"""),"💼 Buenísimo, SAP HCM es muy buscado en empresas que manejan recursos humanos.")</f>
        <v>💼 Buenísimo, SAP HCM es muy buscado en empresas que manejan recursos humanos.</v>
      </c>
      <c r="AN66" s="5" t="str">
        <f>IFERROR(__xludf.DUMMYFUNCTION("""COMPUTED_VALUE"""),"🎓 ¡Genial! Con SAP HCM aprenderás gestión de personas desde la universidad.")</f>
        <v>🎓 ¡Genial! Con SAP HCM aprenderás gestión de personas desde la universidad.</v>
      </c>
      <c r="AO66" s="5" t="str">
        <f>IFERROR(__xludf.DUMMYFUNCTION("""COMPUTED_VALUE"""),"🚀 ¡Perfecto! Con SAP HCM podrás acceder a prácticas en recursos humanos.")</f>
        <v>🚀 ¡Perfecto! Con SAP HCM podrás acceder a prácticas en recursos humanos.</v>
      </c>
      <c r="AP66" s="5" t="str">
        <f>IFERROR(__xludf.DUMMYFUNCTION("""COMPUTED_VALUE"""),"📊 ¡Excelente! Con SAP HCM podrás gestionar el talento de tu negocio de forma más estratégica.")</f>
        <v>📊 ¡Excelente! Con SAP HCM podrás gestionar el talento de tu negocio de forma más estratégica.</v>
      </c>
      <c r="AQ66" s="9" t="str">
        <f>IFERROR(__xludf.DUMMYFUNCTION("""COMPUTED_VALUE"""),"https://we-educacion.com/slides/sap-s-4-hana-hcm-1134#")</f>
        <v>https://we-educacion.com/slides/sap-s-4-hana-hcm-1134#</v>
      </c>
      <c r="AR66" s="5">
        <v>1.0</v>
      </c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</row>
    <row r="67" ht="15.75" customHeight="1">
      <c r="A67" s="5" t="s">
        <v>109</v>
      </c>
      <c r="B67" s="5" t="str">
        <f t="shared" si="1"/>
        <v>NOV. I - ED25</v>
      </c>
      <c r="C67" s="6" t="str">
        <f>IFERROR(__xludf.DUMMYFUNCTION("""COMPUTED_VALUE"""),"PROCESOS")</f>
        <v>PROCESOS</v>
      </c>
      <c r="D67" s="5" t="str">
        <f>IFERROR(__xludf.DUMMYFUNCTION("""COMPUTED_VALUE"""),"CURSO")</f>
        <v>CURSO</v>
      </c>
      <c r="E67" s="6" t="str">
        <f>IFERROR(__xludf.DUMMYFUNCTION("""COMPUTED_VALUE"""),"MANTENIMIENTO PRODUCTIVO TOTAL")</f>
        <v>MANTENIMIENTO PRODUCTIVO TOTAL</v>
      </c>
      <c r="F67" s="7">
        <f>IFERROR(__xludf.DUMMYFUNCTION("""COMPUTED_VALUE"""),45974.0)</f>
        <v>45974</v>
      </c>
      <c r="G67" s="6"/>
      <c r="H67" s="7"/>
      <c r="I67" s="6"/>
      <c r="J67" s="7"/>
      <c r="K67" s="6"/>
      <c r="L67" s="7"/>
      <c r="M67" s="6"/>
      <c r="N67" s="7"/>
      <c r="O67" s="6"/>
      <c r="P67" s="7"/>
      <c r="Q67" s="6"/>
      <c r="R67" s="5" t="str">
        <f>IFERROR(__xludf.DUMMYFUNCTION("""COMPUTED_VALUE"""),"Mar-Jue")</f>
        <v>Mar-Jue</v>
      </c>
      <c r="S67" s="6" t="str">
        <f>IFERROR(__xludf.DUMMYFUNCTION("""COMPUTED_VALUE"""),"7PM - 10PM")</f>
        <v>7PM - 10PM</v>
      </c>
      <c r="T67" s="7" t="str">
        <f>IFERROR(__xludf.DUMMYFUNCTION("""COMPUTED_VALUE"""),"Jueves 13 Noviembre")</f>
        <v>Jueves 13 Noviembre</v>
      </c>
      <c r="U67" s="7" t="str">
        <f>IFERROR(__xludf.DUMMYFUNCTION("""COMPUTED_VALUE"""),"Martes 2 Diciembre")</f>
        <v>Martes 2 Diciembre</v>
      </c>
      <c r="V67" s="8">
        <f>IFERROR(__xludf.DUMMYFUNCTION("""COMPUTED_VALUE"""),6.0)</f>
        <v>6</v>
      </c>
      <c r="W67" s="5"/>
      <c r="X67" s="5"/>
      <c r="Y67" s="5"/>
      <c r="Z67" s="5"/>
      <c r="AA67" s="5"/>
      <c r="AB67" s="6"/>
      <c r="AC67" s="6"/>
      <c r="AD67" s="6"/>
      <c r="AE67" s="6"/>
      <c r="AF67" s="6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 t="str">
        <f>IFERROR(__xludf.DUMMYFUNCTION("""COMPUTED_VALUE"""),"#N/A")</f>
        <v>#N/A</v>
      </c>
      <c r="AR67" s="5">
        <v>1.0</v>
      </c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</row>
    <row r="68" ht="15.75" customHeight="1">
      <c r="A68" s="5" t="s">
        <v>110</v>
      </c>
      <c r="B68" s="5" t="str">
        <f t="shared" si="1"/>
        <v>NOV. I - ED25</v>
      </c>
      <c r="C68" s="6" t="str">
        <f>IFERROR(__xludf.DUMMYFUNCTION("""COMPUTED_VALUE"""),"WEB")</f>
        <v>WEB</v>
      </c>
      <c r="D68" s="6" t="str">
        <f>IFERROR(__xludf.DUMMYFUNCTION("""COMPUTED_VALUE"""),"CURSO")</f>
        <v>CURSO</v>
      </c>
      <c r="E68" s="6" t="str">
        <f>IFERROR(__xludf.DUMMYFUNCTION("""COMPUTED_VALUE"""),"REACT JS")</f>
        <v>REACT JS</v>
      </c>
      <c r="F68" s="7">
        <f>IFERROR(__xludf.DUMMYFUNCTION("""COMPUTED_VALUE"""),45976.0)</f>
        <v>45976</v>
      </c>
      <c r="G68" s="6"/>
      <c r="H68" s="7"/>
      <c r="I68" s="6"/>
      <c r="J68" s="7"/>
      <c r="K68" s="6"/>
      <c r="L68" s="7"/>
      <c r="M68" s="6"/>
      <c r="N68" s="7"/>
      <c r="O68" s="6"/>
      <c r="P68" s="7"/>
      <c r="Q68" s="6" t="str">
        <f>IFERROR(__xludf.DUMMYFUNCTION("""COMPUTED_VALUE"""),"Diego Llashag")</f>
        <v>Diego Llashag</v>
      </c>
      <c r="R68" s="5" t="str">
        <f>IFERROR(__xludf.DUMMYFUNCTION("""COMPUTED_VALUE"""),"Sáb")</f>
        <v>Sáb</v>
      </c>
      <c r="S68" s="6" t="str">
        <f>IFERROR(__xludf.DUMMYFUNCTION("""COMPUTED_VALUE"""),"3PM - 6PM")</f>
        <v>3PM - 6PM</v>
      </c>
      <c r="T68" s="7" t="str">
        <f>IFERROR(__xludf.DUMMYFUNCTION("""COMPUTED_VALUE"""),"Sábado 15 Noviembre")</f>
        <v>Sábado 15 Noviembre</v>
      </c>
      <c r="U68" s="7" t="str">
        <f>IFERROR(__xludf.DUMMYFUNCTION("""COMPUTED_VALUE"""),"Sábado 20 Diciembre")</f>
        <v>Sábado 20 Diciembre</v>
      </c>
      <c r="V68" s="8">
        <f>IFERROR(__xludf.DUMMYFUNCTION("""COMPUTED_VALUE"""),6.0)</f>
        <v>6</v>
      </c>
      <c r="W68" s="5" t="str">
        <f>IFERROR(__xludf.DUMMYFUNCTION("""COMPUTED_VALUE"""),"pdfs/BROCHURE REACT JS &amp; REACT NATIVE.pdf")</f>
        <v>pdfs/BROCHURE REACT JS &amp; REACT NATIVE.pdf</v>
      </c>
      <c r="X68" s="5" t="str">
        <f>IFERROR(__xludf.DUMMYFUNCTION("""COMPUTED_VALUE"""),"🔵 *Utilizarán HTML y CSS* 👩🏻‍💻
👉🏼 Incluye tutorial y manual de instalación
🚨 *Por favor, revisa el BROCHURE* 👇🏻
Aqui encontrarás la información completa del programa, el TEMARIO (malla curricular) y todos los BENEFICIOS 📚")</f>
        <v>🔵 *Utilizarán HTML y CSS* 👩🏻‍💻
👉🏼 Incluye tutorial y manual de instalación
🚨 *Por favor, revisa el BROCHURE* 👇🏻
Aqui encontrarás la información completa del programa, el TEMARIO (malla curricular) y todos los BENEFICIOS 📚</v>
      </c>
      <c r="Y68" s="5" t="str">
        <f>IFERROR(__xludf.DUMMYFUNCTION("""COMPUTED_VALUE"""),"images/react.jpg")</f>
        <v>images/react.jpg</v>
      </c>
      <c r="Z68" s="5"/>
      <c r="AA68" s="5" t="str">
        <f>IFERROR(__xludf.DUMMYFUNCTION("""COMPUTED_VALUE"""),"NO")</f>
        <v>NO</v>
      </c>
      <c r="AB68" s="6">
        <f>IFERROR(__xludf.DUMMYFUNCTION("""COMPUTED_VALUE"""),640.0)</f>
        <v>640</v>
      </c>
      <c r="AC68" s="6">
        <f>IFERROR(__xludf.DUMMYFUNCTION("""COMPUTED_VALUE"""),600.0)</f>
        <v>600</v>
      </c>
      <c r="AD68" s="6">
        <f>IFERROR(__xludf.DUMMYFUNCTION("""COMPUTED_VALUE"""),320.0)</f>
        <v>320</v>
      </c>
      <c r="AE68" s="6">
        <f>IFERROR(__xludf.DUMMYFUNCTION("""COMPUTED_VALUE"""),300.0)</f>
        <v>300</v>
      </c>
      <c r="AF68" s="6">
        <f>IFERROR(__xludf.DUMMYFUNCTION("""COMPUTED_VALUE"""),150.0)</f>
        <v>150</v>
      </c>
      <c r="AG68" s="5">
        <f>IFERROR(__xludf.DUMMYFUNCTION("""COMPUTED_VALUE"""),150.0)</f>
        <v>150</v>
      </c>
      <c r="AH68" s="5"/>
      <c r="AI68" s="5">
        <f>IFERROR(__xludf.DUMMYFUNCTION("""COMPUTED_VALUE"""),270.0)</f>
        <v>270</v>
      </c>
      <c r="AJ68" s="5">
        <f>IFERROR(__xludf.DUMMYFUNCTION("""COMPUTED_VALUE"""),288.0)</f>
        <v>288</v>
      </c>
      <c r="AK68" s="5" t="str">
        <f>IFERROR(__xludf.DUMMYFUNCTION("""COMPUTED_VALUE"""),"Las páginas modernas hablan el lenguaje de React JS 💡
Con este programa aprenderás a crear interfaces dinámicas y profesionales, aplicadas a proyectos reales 🌐.
Aquí te comparto la información 👇🏻")</f>
        <v>Las páginas modernas hablan el lenguaje de React JS 💡
Con este programa aprenderás a crear interfaces dinámicas y profesionales, aplicadas a proyectos reales 🌐.
Aquí te comparto la información 👇🏻</v>
      </c>
      <c r="AL68" s="5" t="str">
        <f>IFERROR(__xludf.DUMMYFUNCTION("""COMPUTED_VALUE"""),"⚛️ Excelente, actualízate con React JS y domina el desarrollo frontend más innovador.")</f>
        <v>⚛️ Excelente, actualízate con React JS y domina el desarrollo frontend más innovador.</v>
      </c>
      <c r="AM68" s="5" t="str">
        <f>IFERROR(__xludf.DUMMYFUNCTION("""COMPUTED_VALUE"""),"💼 Buenísimo, React JS es altamente solicitado en empresas tecnológicas.")</f>
        <v>💼 Buenísimo, React JS es altamente solicitado en empresas tecnológicas.</v>
      </c>
      <c r="AN68" s="5" t="str">
        <f>IFERROR(__xludf.DUMMYFUNCTION("""COMPUTED_VALUE"""),"🎓 ¡Genial! Con React JS aprenderás a crear interfaces modernas desde la universidad.")</f>
        <v>🎓 ¡Genial! Con React JS aprenderás a crear interfaces modernas desde la universidad.</v>
      </c>
      <c r="AO68" s="5" t="str">
        <f>IFERROR(__xludf.DUMMYFUNCTION("""COMPUTED_VALUE"""),"🚀 ¡Perfecto! Saber React JS te dará ventaja para conseguir prácticas en desarrollo web.")</f>
        <v>🚀 ¡Perfecto! Saber React JS te dará ventaja para conseguir prácticas en desarrollo web.</v>
      </c>
      <c r="AP68" s="5" t="str">
        <f>IFERROR(__xludf.DUMMYFUNCTION("""COMPUTED_VALUE"""),"📲 ¡Excelente! Con React JS podrás crear aplicaciones interactivas para tu negocio.")</f>
        <v>📲 ¡Excelente! Con React JS podrás crear aplicaciones interactivas para tu negocio.</v>
      </c>
      <c r="AQ68" s="9" t="str">
        <f>IFERROR(__xludf.DUMMYFUNCTION("""COMPUTED_VALUE"""),"https://we-educacion.com/slides/react-js-react-native-1107")</f>
        <v>https://we-educacion.com/slides/react-js-react-native-1107</v>
      </c>
      <c r="AR68" s="5">
        <v>1.0</v>
      </c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</row>
    <row r="69" ht="15.75" customHeight="1">
      <c r="A69" s="5" t="s">
        <v>111</v>
      </c>
      <c r="B69" s="5" t="str">
        <f t="shared" si="1"/>
        <v>NOV. I - ED25</v>
      </c>
      <c r="C69" s="6" t="str">
        <f>IFERROR(__xludf.DUMMYFUNCTION("""COMPUTED_VALUE"""),"LOGÍSTICA")</f>
        <v>LOGÍSTICA</v>
      </c>
      <c r="D69" s="6" t="str">
        <f>IFERROR(__xludf.DUMMYFUNCTION("""COMPUTED_VALUE"""),"CURSO")</f>
        <v>CURSO</v>
      </c>
      <c r="E69" s="6" t="str">
        <f>IFERROR(__xludf.DUMMYFUNCTION("""COMPUTED_VALUE"""),"LEAN LOGISTICS")</f>
        <v>LEAN LOGISTICS</v>
      </c>
      <c r="F69" s="7">
        <f>IFERROR(__xludf.DUMMYFUNCTION("""COMPUTED_VALUE"""),45976.0)</f>
        <v>45976</v>
      </c>
      <c r="G69" s="6"/>
      <c r="H69" s="7"/>
      <c r="I69" s="6"/>
      <c r="J69" s="7"/>
      <c r="K69" s="6"/>
      <c r="L69" s="7"/>
      <c r="M69" s="6"/>
      <c r="N69" s="7"/>
      <c r="O69" s="6"/>
      <c r="P69" s="7"/>
      <c r="Q69" s="6" t="str">
        <f>IFERROR(__xludf.DUMMYFUNCTION("""COMPUTED_VALUE"""),"Hernán Vizcardo")</f>
        <v>Hernán Vizcardo</v>
      </c>
      <c r="R69" s="5" t="str">
        <f>IFERROR(__xludf.DUMMYFUNCTION("""COMPUTED_VALUE"""),"Sáb")</f>
        <v>Sáb</v>
      </c>
      <c r="S69" s="6" t="str">
        <f>IFERROR(__xludf.DUMMYFUNCTION("""COMPUTED_VALUE"""),"3PM - 6PM")</f>
        <v>3PM - 6PM</v>
      </c>
      <c r="T69" s="7" t="str">
        <f>IFERROR(__xludf.DUMMYFUNCTION("""COMPUTED_VALUE"""),"Sábado 15 Noviembre")</f>
        <v>Sábado 15 Noviembre</v>
      </c>
      <c r="U69" s="7" t="str">
        <f>IFERROR(__xludf.DUMMYFUNCTION("""COMPUTED_VALUE"""),"Sábado 13 Diciembre")</f>
        <v>Sábado 13 Diciembre</v>
      </c>
      <c r="V69" s="8">
        <f>IFERROR(__xludf.DUMMYFUNCTION("""COMPUTED_VALUE"""),6.0)</f>
        <v>6</v>
      </c>
      <c r="W69" s="6" t="str">
        <f>IFERROR(__xludf.DUMMYFUNCTION("""COMPUTED_VALUE"""),"pdfs/BROCHURE LEAN LOGISTICS.pdf")</f>
        <v>pdfs/BROCHURE LEAN LOGISTICS.pdf</v>
      </c>
      <c r="X69" s="6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69" s="5" t="str">
        <f>IFERROR(__xludf.DUMMYFUNCTION("""COMPUTED_VALUE"""),"images/leanlogistic.jpg")</f>
        <v>images/leanlogistic.jpg</v>
      </c>
      <c r="Z69" s="5"/>
      <c r="AA69" s="5" t="str">
        <f>IFERROR(__xludf.DUMMYFUNCTION("""COMPUTED_VALUE"""),"NO")</f>
        <v>NO</v>
      </c>
      <c r="AB69" s="6">
        <f>IFERROR(__xludf.DUMMYFUNCTION("""COMPUTED_VALUE"""),820.0)</f>
        <v>820</v>
      </c>
      <c r="AC69" s="6">
        <f>IFERROR(__xludf.DUMMYFUNCTION("""COMPUTED_VALUE"""),710.0)</f>
        <v>710</v>
      </c>
      <c r="AD69" s="6">
        <f>IFERROR(__xludf.DUMMYFUNCTION("""COMPUTED_VALUE"""),410.0)</f>
        <v>410</v>
      </c>
      <c r="AE69" s="6">
        <f>IFERROR(__xludf.DUMMYFUNCTION("""COMPUTED_VALUE"""),355.0)</f>
        <v>355</v>
      </c>
      <c r="AF69" s="6">
        <f>IFERROR(__xludf.DUMMYFUNCTION("""COMPUTED_VALUE"""),150.0)</f>
        <v>150</v>
      </c>
      <c r="AG69" s="5">
        <f>IFERROR(__xludf.DUMMYFUNCTION("""COMPUTED_VALUE"""),150.0)</f>
        <v>150</v>
      </c>
      <c r="AH69" s="5"/>
      <c r="AI69" s="5">
        <f>IFERROR(__xludf.DUMMYFUNCTION("""COMPUTED_VALUE"""),319.5)</f>
        <v>319.5</v>
      </c>
      <c r="AJ69" s="5">
        <f>IFERROR(__xludf.DUMMYFUNCTION("""COMPUTED_VALUE"""),369.0)</f>
        <v>369</v>
      </c>
      <c r="AK69" s="5" t="str">
        <f>IFERROR(__xludf.DUMMYFUNCTION("""COMPUTED_VALUE"""),"La eficiencia en la cadena de suministro empieza con Lean Logistics 🔄
Aprenderás a optimizar costos, tiempos y flujos logísticos con herramientas prácticas 📦.
Aquí te comparto la info 👇🏻")</f>
        <v>La eficiencia en la cadena de suministro empieza con Lean Logistics 🔄
Aprenderás a optimizar costos, tiempos y flujos logísticos con herramientas prácticas 📦.
Aquí te comparto la info 👇🏻</v>
      </c>
      <c r="AL69" s="5" t="str">
        <f>IFERROR(__xludf.DUMMYFUNCTION("""COMPUTED_VALUE"""),"🏆 *Excelente*, actualízate con *LEAN LOGISTICS* y mantente competitivo en el mercado laboral.")</f>
        <v>🏆 *Excelente*, actualízate con *LEAN LOGISTICS* y mantente competitivo en el mercado laboral.</v>
      </c>
      <c r="AM69" s="5" t="str">
        <f>IFERROR(__xludf.DUMMYFUNCTION("""COMPUTED_VALUE"""),"📘 Buenísimo, *LEAN LOGISTICS* es de las competencias más pedidas por las empresas y aumentará tus oportunidades laborales.")</f>
        <v>📘 Buenísimo, *LEAN LOGISTICS* es de las competencias más pedidas por las empresas y aumentará tus oportunidades laborales.</v>
      </c>
      <c r="AN69" s="5" t="str">
        <f>IFERROR(__xludf.DUMMYFUNCTION("""COMPUTED_VALUE"""),"🎓 ¡Genial! Con *LEAN LOGISTICS* sumarás una habilidad poderosa que te diferenciará desde la universidad.")</f>
        <v>🎓 ¡Genial! Con *LEAN LOGISTICS* sumarás una habilidad poderosa que te diferenciará desde la universidad.</v>
      </c>
      <c r="AO69" s="5" t="str">
        <f>IFERROR(__xludf.DUMMYFUNCTION("""COMPUTED_VALUE"""),"✨ ¡Perfecto! Saber *LEAN LOGISTICS* te dará ventaja frente a otros postulantes para conseguir prácticas.")</f>
        <v>✨ ¡Perfecto! Saber *LEAN LOGISTICS* te dará ventaja frente a otros postulantes para conseguir prácticas.</v>
      </c>
      <c r="AP69" s="5" t="str">
        <f>IFERROR(__xludf.DUMMYFUNCTION("""COMPUTED_VALUE"""),"🚀 ¡Excelente! Con *LEAN LOGISTICS* podrás aplicarlo en tu negocio y tomar decisiones más inteligentes.")</f>
        <v>🚀 ¡Excelente! Con *LEAN LOGISTICS* podrás aplicarlo en tu negocio y tomar decisiones más inteligentes.</v>
      </c>
      <c r="AQ69" s="9" t="str">
        <f>IFERROR(__xludf.DUMMYFUNCTION("""COMPUTED_VALUE"""),"https://we-educacion.com/slides/lean-logistics-67")</f>
        <v>https://we-educacion.com/slides/lean-logistics-67</v>
      </c>
      <c r="AR69" s="5">
        <v>1.0</v>
      </c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</row>
    <row r="70" ht="15.75" customHeight="1">
      <c r="A70" s="5" t="s">
        <v>112</v>
      </c>
      <c r="B70" s="5" t="str">
        <f t="shared" si="1"/>
        <v>NOV. I - ED25</v>
      </c>
      <c r="C70" s="6" t="str">
        <f>IFERROR(__xludf.DUMMYFUNCTION("""COMPUTED_VALUE"""),"PROYECTOS")</f>
        <v>PROYECTOS</v>
      </c>
      <c r="D70" s="6" t="str">
        <f>IFERROR(__xludf.DUMMYFUNCTION("""COMPUTED_VALUE"""),"DIPLOMADO")</f>
        <v>DIPLOMADO</v>
      </c>
      <c r="E70" s="6" t="str">
        <f>IFERROR(__xludf.DUMMYFUNCTION("""COMPUTED_VALUE"""),"DIP GEST PROYECTOS V4")</f>
        <v>DIP GEST PROYECTOS V4</v>
      </c>
      <c r="F70" s="7">
        <f>IFERROR(__xludf.DUMMYFUNCTION("""COMPUTED_VALUE"""),45976.0)</f>
        <v>45976</v>
      </c>
      <c r="G70" s="6" t="str">
        <f>IFERROR(__xludf.DUMMYFUNCTION("""COMPUTED_VALUE"""),"GEST PROYECT I")</f>
        <v>GEST PROYECT I</v>
      </c>
      <c r="H70" s="7">
        <f>IFERROR(__xludf.DUMMYFUNCTION("""COMPUTED_VALUE"""),45976.0)</f>
        <v>45976</v>
      </c>
      <c r="I70" s="6" t="str">
        <f>IFERROR(__xludf.DUMMYFUNCTION("""COMPUTED_VALUE"""),"GEST. ÁGIL PROYECT")</f>
        <v>GEST. ÁGIL PROYECT</v>
      </c>
      <c r="J70" s="7">
        <f>IFERROR(__xludf.DUMMYFUNCTION("""COMPUTED_VALUE"""),46018.0)</f>
        <v>46018</v>
      </c>
      <c r="K70" s="6" t="str">
        <f>IFERROR(__xludf.DUMMYFUNCTION("""COMPUTED_VALUE"""),"MS PROJECT")</f>
        <v>MS PROJECT</v>
      </c>
      <c r="L70" s="7">
        <f>IFERROR(__xludf.DUMMYFUNCTION("""COMPUTED_VALUE"""),46053.0)</f>
        <v>46053</v>
      </c>
      <c r="M70" s="6" t="str">
        <f>IFERROR(__xludf.DUMMYFUNCTION("""COMPUTED_VALUE"""),"PMO")</f>
        <v>PMO</v>
      </c>
      <c r="N70" s="7">
        <f>IFERROR(__xludf.DUMMYFUNCTION("""COMPUTED_VALUE"""),46095.0)</f>
        <v>46095</v>
      </c>
      <c r="O70" s="6" t="str">
        <f>IFERROR(__xludf.DUMMYFUNCTION("""COMPUTED_VALUE"""),"GEST FINANC. PROYECT")</f>
        <v>GEST FINANC. PROYECT</v>
      </c>
      <c r="P70" s="7">
        <f>IFERROR(__xludf.DUMMYFUNCTION("""COMPUTED_VALUE"""),46144.0)</f>
        <v>46144</v>
      </c>
      <c r="Q70" s="6" t="str">
        <f>IFERROR(__xludf.DUMMYFUNCTION("""COMPUTED_VALUE"""),"Gonzalo Sevillano
Moisés Zabalbeascoa
Alejandro Mas
Aurio de la Cruz
Elmer León")</f>
        <v>Gonzalo Sevillano
Moisés Zabalbeascoa
Alejandro Mas
Aurio de la Cruz
Elmer León</v>
      </c>
      <c r="R70" s="5" t="str">
        <f>IFERROR(__xludf.DUMMYFUNCTION("""COMPUTED_VALUE"""),"Sáb")</f>
        <v>Sáb</v>
      </c>
      <c r="S70" s="6" t="str">
        <f>IFERROR(__xludf.DUMMYFUNCTION("""COMPUTED_VALUE"""),"3PM - 6PM")</f>
        <v>3PM - 6PM</v>
      </c>
      <c r="T70" s="7" t="str">
        <f>IFERROR(__xludf.DUMMYFUNCTION("""COMPUTED_VALUE"""),"Sábado 15 Noviembre")</f>
        <v>Sábado 15 Noviembre</v>
      </c>
      <c r="U70" s="7" t="str">
        <f>IFERROR(__xludf.DUMMYFUNCTION("""COMPUTED_VALUE"""),"Sábado 6 Junio")</f>
        <v>Sábado 6 Junio</v>
      </c>
      <c r="V70" s="8">
        <f>IFERROR(__xludf.DUMMYFUNCTION("""COMPUTED_VALUE"""),29.0)</f>
        <v>29</v>
      </c>
      <c r="W70" s="5" t="str">
        <f>IFERROR(__xludf.DUMMYFUNCTION("""COMPUTED_VALUE"""),"pdfs/BROCHURE DIPLOMADO GESTION DE PROYECTOS.pdf")</f>
        <v>pdfs/BROCHURE DIPLOMADO GESTION DE PROYECTOS.pdf</v>
      </c>
      <c r="X70" s="5" t="str">
        <f>IFERROR(__xludf.DUMMYFUNCTION("""COMPUTED_VALUE"""),"🔵 Accede a la CERTIFICACIÓN PMI READY 💻⭐
👉🏼 Material de práctica (Previo al examen) 
👉🏼 Glosario: Conceptos en inglés
🔵 Podrás sustentar las 23 horas solicitadas por parte del CAPM
🔹 Utilizarán MS Project, Excel y Power BI 👩🏻‍💻
👉🏼 Incluye t"&amp;"utorial y manual de instalación
💻 Importante: Para la instalación se necesita una Laptop Windows
Por tu inscripción Al Contado, participa del Congreso de Proyectos en Modalidad General 🔝 
🚨 Por favor, revisa el BROCHURE 👇🏻
Aqui encontrarás la infor"&amp;"mación completa del programa: Temario (malla curricular) y todos los BENEFICIOS ")</f>
        <v>🔵 Accede a la CERTIFICACIÓN PMI READY 💻⭐
👉🏼 Material de práctica (Previo al examen) 
👉🏼 Glosario: Conceptos en inglés
🔵 Podrás sustentar las 23 horas solicitadas por parte del CAPM
🔹 Utilizarán MS Project, Excel y Power BI 👩🏻‍💻
👉🏼 Incluye tutorial y manual de instalación
💻 Importante: Para la instalación se necesita una Laptop Windows
Por tu inscripción Al Contado, participa del Congreso de Proyectos en Modalidad General 🔝 
🚨 Por favor, revisa el BROCHURE 👇🏻
Aqui encontrarás la información completa del programa: Temario (malla curricular) y todos los BENEFICIOS </v>
      </c>
      <c r="Y70" s="5" t="str">
        <f>IFERROR(__xludf.DUMMYFUNCTION("""COMPUTED_VALUE"""),"images/dipproyect.jpg")</f>
        <v>images/dipproyect.jpg</v>
      </c>
      <c r="Z70" s="5"/>
      <c r="AA70" s="5"/>
      <c r="AB70" s="6">
        <f>IFERROR(__xludf.DUMMYFUNCTION("""COMPUTED_VALUE"""),3385.0)</f>
        <v>3385</v>
      </c>
      <c r="AC70" s="6">
        <f>IFERROR(__xludf.DUMMYFUNCTION("""COMPUTED_VALUE"""),3010.0)</f>
        <v>3010</v>
      </c>
      <c r="AD70" s="6">
        <f>IFERROR(__xludf.DUMMYFUNCTION("""COMPUTED_VALUE"""),1692.5)</f>
        <v>1692.5</v>
      </c>
      <c r="AE70" s="6">
        <f>IFERROR(__xludf.DUMMYFUNCTION("""COMPUTED_VALUE"""),1505.0)</f>
        <v>1505</v>
      </c>
      <c r="AF70" s="6">
        <f>IFERROR(__xludf.DUMMYFUNCTION("""COMPUTED_VALUE"""),250.0)</f>
        <v>250</v>
      </c>
      <c r="AG70" s="5">
        <f>IFERROR(__xludf.DUMMYFUNCTION("""COMPUTED_VALUE"""),350.0)</f>
        <v>350</v>
      </c>
      <c r="AH70" s="5"/>
      <c r="AI70" s="5">
        <f>IFERROR(__xludf.DUMMYFUNCTION("""COMPUTED_VALUE"""),1354.5)</f>
        <v>1354.5</v>
      </c>
      <c r="AJ70" s="5">
        <f>IFERROR(__xludf.DUMMYFUNCTION("""COMPUTED_VALUE"""),1523.25)</f>
        <v>1523.25</v>
      </c>
      <c r="AK70" s="5" t="str">
        <f>IFERROR(__xludf.DUMMYFUNCTION("""COMPUTED_VALUE"""),"El liderazgo de proyectos es el motor de las organizaciones 🚀
Aprende metodologías ágiles y herramientas de gestión para llevar tus proyectos al éxito 📈
👉🏻 Aquí tienes la información completa.")</f>
        <v>El liderazgo de proyectos es el motor de las organizaciones 🚀
Aprende metodologías ágiles y herramientas de gestión para llevar tus proyectos al éxito 📈
👉🏻 Aquí tienes la información completa.</v>
      </c>
      <c r="AL70" s="5" t="str">
        <f>IFERROR(__xludf.DUMMYFUNCTION("""COMPUTED_VALUE"""),"📂 Excelente, con el Diplomado en Gestión de Proyectos dominarás metodologías ágiles y PMI.")</f>
        <v>📂 Excelente, con el Diplomado en Gestión de Proyectos dominarás metodologías ágiles y PMI.</v>
      </c>
      <c r="AM70" s="5" t="str">
        <f>IFERROR(__xludf.DUMMYFUNCTION("""COMPUTED_VALUE"""),"💼 Buenísimo, este Diplomado abre puertas en empresas que lideran proyectos estratégicos.")</f>
        <v>💼 Buenísimo, este Diplomado abre puertas en empresas que lideran proyectos estratégicos.</v>
      </c>
      <c r="AN70" s="5" t="str">
        <f>IFERROR(__xludf.DUMMYFUNCTION("""COMPUTED_VALUE"""),"🎓 ¡Genial! Desde la universidad, este Diplomado te dará ventaja en planificación y control.")</f>
        <v>🎓 ¡Genial! Desde la universidad, este Diplomado te dará ventaja en planificación y control.</v>
      </c>
      <c r="AO70" s="5" t="str">
        <f>IFERROR(__xludf.DUMMYFUNCTION("""COMPUTED_VALUE"""),"🚀 ¡Perfecto! Con el Diplomado en Proyectos resaltarás en prácticas de gestión e innovación.")</f>
        <v>🚀 ¡Perfecto! Con el Diplomado en Proyectos resaltarás en prácticas de gestión e innovación.</v>
      </c>
      <c r="AP70" s="5" t="str">
        <f>IFERROR(__xludf.DUMMYFUNCTION("""COMPUTED_VALUE"""),"📊 ¡Excelente! Podrás aplicar lo aprendido para dirigir proyectos propios o de tu negocio.")</f>
        <v>📊 ¡Excelente! Podrás aplicar lo aprendido para dirigir proyectos propios o de tu negocio.</v>
      </c>
      <c r="AQ70" s="9" t="str">
        <f>IFERROR(__xludf.DUMMYFUNCTION("""COMPUTED_VALUE"""),"https://we-educacion.com/slides/diplomado-en-gestion-de-proyectos-209")</f>
        <v>https://we-educacion.com/slides/diplomado-en-gestion-de-proyectos-209</v>
      </c>
      <c r="AR70" s="5">
        <v>1.0</v>
      </c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</row>
    <row r="71" ht="15.75" customHeight="1">
      <c r="A71" s="5" t="s">
        <v>113</v>
      </c>
      <c r="B71" s="5" t="str">
        <f t="shared" si="1"/>
        <v>NOV. I - ED25</v>
      </c>
      <c r="C71" s="6" t="str">
        <f>IFERROR(__xludf.DUMMYFUNCTION("""COMPUTED_VALUE"""),"PROYECTOS")</f>
        <v>PROYECTOS</v>
      </c>
      <c r="D71" s="6" t="str">
        <f>IFERROR(__xludf.DUMMYFUNCTION("""COMPUTED_VALUE"""),"PEE")</f>
        <v>PEE</v>
      </c>
      <c r="E71" s="6" t="str">
        <f>IFERROR(__xludf.DUMMYFUNCTION("""COMPUTED_VALUE"""),"PEE ANALIST PROY V4")</f>
        <v>PEE ANALIST PROY V4</v>
      </c>
      <c r="F71" s="7">
        <f>IFERROR(__xludf.DUMMYFUNCTION("""COMPUTED_VALUE"""),45976.0)</f>
        <v>45976</v>
      </c>
      <c r="G71" s="6" t="str">
        <f>IFERROR(__xludf.DUMMYFUNCTION("""COMPUTED_VALUE"""),"GEST PROYECT I")</f>
        <v>GEST PROYECT I</v>
      </c>
      <c r="H71" s="7">
        <f>IFERROR(__xludf.DUMMYFUNCTION("""COMPUTED_VALUE"""),45976.0)</f>
        <v>45976</v>
      </c>
      <c r="I71" s="6" t="str">
        <f>IFERROR(__xludf.DUMMYFUNCTION("""COMPUTED_VALUE"""),"GEST. ÁGIL PROYECT")</f>
        <v>GEST. ÁGIL PROYECT</v>
      </c>
      <c r="J71" s="7">
        <f>IFERROR(__xludf.DUMMYFUNCTION("""COMPUTED_VALUE"""),46018.0)</f>
        <v>46018</v>
      </c>
      <c r="K71" s="6" t="str">
        <f>IFERROR(__xludf.DUMMYFUNCTION("""COMPUTED_VALUE"""),"MS PROJECT")</f>
        <v>MS PROJECT</v>
      </c>
      <c r="L71" s="7">
        <f>IFERROR(__xludf.DUMMYFUNCTION("""COMPUTED_VALUE"""),46053.0)</f>
        <v>46053</v>
      </c>
      <c r="M71" s="6"/>
      <c r="N71" s="7"/>
      <c r="O71" s="6"/>
      <c r="P71" s="7"/>
      <c r="Q71" s="6" t="str">
        <f>IFERROR(__xludf.DUMMYFUNCTION("""COMPUTED_VALUE"""),"Gonzalo Sevillano
Moisés Zabalbeascoa
Alejandro Mas")</f>
        <v>Gonzalo Sevillano
Moisés Zabalbeascoa
Alejandro Mas</v>
      </c>
      <c r="R71" s="5" t="str">
        <f>IFERROR(__xludf.DUMMYFUNCTION("""COMPUTED_VALUE"""),"Sáb")</f>
        <v>Sáb</v>
      </c>
      <c r="S71" s="6" t="str">
        <f>IFERROR(__xludf.DUMMYFUNCTION("""COMPUTED_VALUE"""),"3PM - 6PM")</f>
        <v>3PM - 6PM</v>
      </c>
      <c r="T71" s="7" t="str">
        <f>IFERROR(__xludf.DUMMYFUNCTION("""COMPUTED_VALUE"""),"Sábado 15 Noviembre")</f>
        <v>Sábado 15 Noviembre</v>
      </c>
      <c r="U71" s="7" t="str">
        <f>IFERROR(__xludf.DUMMYFUNCTION("""COMPUTED_VALUE"""),"Sábado 7 Marzo")</f>
        <v>Sábado 7 Marzo</v>
      </c>
      <c r="V71" s="8">
        <f>IFERROR(__xludf.DUMMYFUNCTION("""COMPUTED_VALUE"""),18.0)</f>
        <v>18</v>
      </c>
      <c r="W71" s="5" t="str">
        <f>IFERROR(__xludf.DUMMYFUNCTION("""COMPUTED_VALUE"""),"pdfs/BROCHURE PEE ANALISTA DE PROYECTOS.pdf")</f>
        <v>pdfs/BROCHURE PEE ANALISTA DE PROYECTOS.pdf</v>
      </c>
      <c r="X71" s="6" t="str">
        <f>IFERROR(__xludf.DUMMYFUNCTION("""COMPUTED_VALUE"""),"🔵 *Utilizarán Excel, Ms Project y Power BI*👩🏻‍💻
👉🏼 Incluye tutorial y manual de instalación
👉🏼 ¡Además te regalamos los cursos online!
💻 _*Importante*: Para la instalación se necesita una Laptop *Windows*_
🚨 *Por favor, revisa el BROCHURE* 👇🏻"&amp;"
Aqui encontrarás la información completa del programa, el TEMARIO (malla curricular) y todos los BENEFICIOS 📚")</f>
        <v>🔵 *Utilizarán Excel, Ms Project y Power BI*👩🏻‍💻
👉🏼 Incluye tutorial y manual de instalación
👉🏼 ¡Además te regalamos los cursos online!
💻 _*Importante*: Para la instalación se necesita una Laptop *Windows*_
🚨 *Por favor, revisa el BROCHURE* 👇🏻
Aqui encontrarás la información completa del programa, el TEMARIO (malla curricular) y todos los BENEFICIOS 📚</v>
      </c>
      <c r="Y71" s="5" t="str">
        <f>IFERROR(__xludf.DUMMYFUNCTION("""COMPUTED_VALUE"""),"images/peeproyectos.jpg")</f>
        <v>images/peeproyectos.jpg</v>
      </c>
      <c r="Z71" s="5"/>
      <c r="AA71" s="5"/>
      <c r="AB71" s="6">
        <f>IFERROR(__xludf.DUMMYFUNCTION("""COMPUTED_VALUE"""),1985.0)</f>
        <v>1985</v>
      </c>
      <c r="AC71" s="6">
        <f>IFERROR(__xludf.DUMMYFUNCTION("""COMPUTED_VALUE"""),1810.0)</f>
        <v>1810</v>
      </c>
      <c r="AD71" s="6">
        <f>IFERROR(__xludf.DUMMYFUNCTION("""COMPUTED_VALUE"""),992.5)</f>
        <v>992.5</v>
      </c>
      <c r="AE71" s="6">
        <f>IFERROR(__xludf.DUMMYFUNCTION("""COMPUTED_VALUE"""),905.0)</f>
        <v>905</v>
      </c>
      <c r="AF71" s="6">
        <f>IFERROR(__xludf.DUMMYFUNCTION("""COMPUTED_VALUE"""),250.0)</f>
        <v>250</v>
      </c>
      <c r="AG71" s="5">
        <f>IFERROR(__xludf.DUMMYFUNCTION("""COMPUTED_VALUE"""),350.0)</f>
        <v>350</v>
      </c>
      <c r="AH71" s="5"/>
      <c r="AI71" s="5">
        <f>IFERROR(__xludf.DUMMYFUNCTION("""COMPUTED_VALUE"""),814.5)</f>
        <v>814.5</v>
      </c>
      <c r="AJ71" s="5">
        <f>IFERROR(__xludf.DUMMYFUNCTION("""COMPUTED_VALUE"""),893.25)</f>
        <v>893.25</v>
      </c>
      <c r="AK71" s="5" t="str">
        <f>IFERROR(__xludf.DUMMYFUNCTION("""COMPUTED_VALUE"""),"*La clave del éxito en las empresas hoy es la gestión efectiva de proyectos* 🚀
En pocas semanas dominarás cómo planificar, organizar y ejecutar proyectos con herramientas prácticas y casos reales ⚙️
Ahora te comparto la información a detalle 👇🏻")</f>
        <v>*La clave del éxito en las empresas hoy es la gestión efectiva de proyectos* 🚀
En pocas semanas dominarás cómo planificar, organizar y ejecutar proyectos con herramientas prácticas y casos reales ⚙️
Ahora te comparto la información a detalle 👇🏻</v>
      </c>
      <c r="AL71" s="5" t="str">
        <f>IFERROR(__xludf.DUMMYFUNCTION("""COMPUTED_VALUE"""),"*Excelente*, actualiza tus conocimientos y domina la gestión de proyectos con metodologías modernas 🚀.")</f>
        <v>*Excelente*, actualiza tus conocimientos y domina la gestión de proyectos con metodologías modernas 🚀.</v>
      </c>
      <c r="AM71" s="5" t="str">
        <f>IFERROR(__xludf.DUMMYFUNCTION("""COMPUTED_VALUE"""),"Buenísimo, la gestión de proyectos es muy demandada y te dará un plus en tu CV para más oportunidades laborales 🧳.")</f>
        <v>Buenísimo, la gestión de proyectos es muy demandada y te dará un plus en tu CV para más oportunidades laborales 🧳.</v>
      </c>
      <c r="AN71" s="5" t="str">
        <f>IFERROR(__xludf.DUMMYFUNCTION("""COMPUTED_VALUE""")," ¡Excelente!. podrás complementar lo que ves en la universidad con herramientas prácticas de proyectos y así destacar tu Perfil Profesional 🚀.")</f>
        <v> ¡Excelente!. podrás complementar lo que ves en la universidad con herramientas prácticas de proyectos y así destacar tu Perfil Profesional 🚀.</v>
      </c>
      <c r="AO71" s="5" t="str">
        <f>IFERROR(__xludf.DUMMYFUNCTION("""COMPUTED_VALUE"""),"¡Perfecto!, la gestión de proyectos es muy valorada y te ayudará a sobresalir al postular a prácticas 🧳.")</f>
        <v>¡Perfecto!, la gestión de proyectos es muy valorada y te ayudará a sobresalir al postular a prácticas 🧳.</v>
      </c>
      <c r="AP71" s="5" t="str">
        <f>IFERROR(__xludf.DUMMYFUNCTION("""COMPUTED_VALUE"""),"¡Excelente!, con la gestión de proyectos podrás organizar mejor tus iniciativas y hacer crecer tu negocio 🚀.")</f>
        <v>¡Excelente!, con la gestión de proyectos podrás organizar mejor tus iniciativas y hacer crecer tu negocio 🚀.</v>
      </c>
      <c r="AQ71" s="9" t="str">
        <f>IFERROR(__xludf.DUMMYFUNCTION("""COMPUTED_VALUE"""),"https://we-educacion.com/slides/pee-analista-de-proyectos-163")</f>
        <v>https://we-educacion.com/slides/pee-analista-de-proyectos-163</v>
      </c>
      <c r="AR71" s="5">
        <v>1.0</v>
      </c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</row>
    <row r="72" ht="15.75" customHeight="1">
      <c r="A72" s="5" t="s">
        <v>114</v>
      </c>
      <c r="B72" s="5" t="str">
        <f t="shared" si="1"/>
        <v>NOV. I - ED25</v>
      </c>
      <c r="C72" s="6" t="str">
        <f>IFERROR(__xludf.DUMMYFUNCTION("""COMPUTED_VALUE"""),"PROYECTOS")</f>
        <v>PROYECTOS</v>
      </c>
      <c r="D72" s="6" t="str">
        <f>IFERROR(__xludf.DUMMYFUNCTION("""COMPUTED_VALUE"""),"ESP.")</f>
        <v>ESP.</v>
      </c>
      <c r="E72" s="6" t="str">
        <f>IFERROR(__xludf.DUMMYFUNCTION("""COMPUTED_VALUE"""),"ESP. GEST. PROYECTOS V3")</f>
        <v>ESP. GEST. PROYECTOS V3</v>
      </c>
      <c r="F72" s="7">
        <f>IFERROR(__xludf.DUMMYFUNCTION("""COMPUTED_VALUE"""),45976.0)</f>
        <v>45976</v>
      </c>
      <c r="G72" s="6" t="str">
        <f>IFERROR(__xludf.DUMMYFUNCTION("""COMPUTED_VALUE"""),"GEST PROYECT I")</f>
        <v>GEST PROYECT I</v>
      </c>
      <c r="H72" s="7">
        <f>IFERROR(__xludf.DUMMYFUNCTION("""COMPUTED_VALUE"""),45976.0)</f>
        <v>45976</v>
      </c>
      <c r="I72" s="6" t="str">
        <f>IFERROR(__xludf.DUMMYFUNCTION("""COMPUTED_VALUE"""),"GEST. ÁGIL PROYECT")</f>
        <v>GEST. ÁGIL PROYECT</v>
      </c>
      <c r="J72" s="7">
        <f>IFERROR(__xludf.DUMMYFUNCTION("""COMPUTED_VALUE"""),46018.0)</f>
        <v>46018</v>
      </c>
      <c r="K72" s="6"/>
      <c r="L72" s="7"/>
      <c r="M72" s="6"/>
      <c r="N72" s="7"/>
      <c r="O72" s="6"/>
      <c r="P72" s="7"/>
      <c r="Q72" s="6" t="str">
        <f>IFERROR(__xludf.DUMMYFUNCTION("""COMPUTED_VALUE"""),"Gonzalo Sevillano
Moisés Zabalbeascoa
")</f>
        <v>Gonzalo Sevillano
Moisés Zabalbeascoa
</v>
      </c>
      <c r="R72" s="5" t="str">
        <f>IFERROR(__xludf.DUMMYFUNCTION("""COMPUTED_VALUE"""),"Sáb")</f>
        <v>Sáb</v>
      </c>
      <c r="S72" s="6" t="str">
        <f>IFERROR(__xludf.DUMMYFUNCTION("""COMPUTED_VALUE"""),"3PM - 6PM")</f>
        <v>3PM - 6PM</v>
      </c>
      <c r="T72" s="7" t="str">
        <f>IFERROR(__xludf.DUMMYFUNCTION("""COMPUTED_VALUE"""),"Sábado 15 Noviembre")</f>
        <v>Sábado 15 Noviembre</v>
      </c>
      <c r="U72" s="7" t="str">
        <f>IFERROR(__xludf.DUMMYFUNCTION("""COMPUTED_VALUE"""),"Sábado 24 Enero")</f>
        <v>Sábado 24 Enero</v>
      </c>
      <c r="V72" s="8">
        <f>IFERROR(__xludf.DUMMYFUNCTION("""COMPUTED_VALUE"""),11.0)</f>
        <v>11</v>
      </c>
      <c r="W72" s="5" t="str">
        <f>IFERROR(__xludf.DUMMYFUNCTION("""COMPUTED_VALUE"""),"pdfs/BROCHURE ESPECIALIZACION EN GESTIÓN DE PROYECTOS.pdf")</f>
        <v>pdfs/BROCHURE ESPECIALIZACION EN GESTIÓN DE PROYECTOS.pdf</v>
      </c>
      <c r="X72" s="5" t="str">
        <f>IFERROR(__xludf.DUMMYFUNCTION("""COMPUTED_VALUE"""),"🔹 Utilizarán Excel👩🏻‍💻
👉🏼 Incluye tutorial y manual de instalación
👉🏼 ¡Además te regalamos el curso online!
🚨 Por favor, revisa el BROCHURE 👇🏻
Aqui encontrarás la información completa del programa: Temario (malla curricular) y todos los BENEFI"&amp;"CIOS 📚")</f>
        <v>🔹 Utilizarán Excel👩🏻‍💻
👉🏼 Incluye tutorial y manual de instalación
👉🏼 ¡Además te regalamos el curso online!
🚨 Por favor, revisa el BROCHURE 👇🏻
Aqui encontrarás la información completa del programa: Temario (malla curricular) y todos los BENEFICIOS 📚</v>
      </c>
      <c r="Y72" s="5" t="str">
        <f>IFERROR(__xludf.DUMMYFUNCTION("""COMPUTED_VALUE"""),"images/espproyectos.jpg")</f>
        <v>images/espproyectos.jpg</v>
      </c>
      <c r="Z72" s="5"/>
      <c r="AA72" s="5"/>
      <c r="AB72" s="6">
        <f>IFERROR(__xludf.DUMMYFUNCTION("""COMPUTED_VALUE"""),1420.0)</f>
        <v>1420</v>
      </c>
      <c r="AC72" s="6">
        <f>IFERROR(__xludf.DUMMYFUNCTION("""COMPUTED_VALUE"""),1300.0)</f>
        <v>1300</v>
      </c>
      <c r="AD72" s="6">
        <f>IFERROR(__xludf.DUMMYFUNCTION("""COMPUTED_VALUE"""),710.0)</f>
        <v>710</v>
      </c>
      <c r="AE72" s="6">
        <f>IFERROR(__xludf.DUMMYFUNCTION("""COMPUTED_VALUE"""),650.0)</f>
        <v>650</v>
      </c>
      <c r="AF72" s="6">
        <f>IFERROR(__xludf.DUMMYFUNCTION("""COMPUTED_VALUE"""),250.0)</f>
        <v>250</v>
      </c>
      <c r="AG72" s="5">
        <f>IFERROR(__xludf.DUMMYFUNCTION("""COMPUTED_VALUE"""),350.0)</f>
        <v>350</v>
      </c>
      <c r="AH72" s="5"/>
      <c r="AI72" s="5">
        <f>IFERROR(__xludf.DUMMYFUNCTION("""COMPUTED_VALUE"""),585.0)</f>
        <v>585</v>
      </c>
      <c r="AJ72" s="5">
        <f>IFERROR(__xludf.DUMMYFUNCTION("""COMPUTED_VALUE"""),639.0)</f>
        <v>639</v>
      </c>
      <c r="AK72" s="5" t="str">
        <f>IFERROR(__xludf.DUMMYFUNCTION("""COMPUTED_VALUE"""),"Los proyectos exitosos requieren líderes preparados 🏗️
Domina metodologías y herramientas para gestionar proyectos de forma efectiva 📊
👉🏻 Te envío la información.")</f>
        <v>Los proyectos exitosos requieren líderes preparados 🏗️
Domina metodologías y herramientas para gestionar proyectos de forma efectiva 📊
👉🏻 Te envío la información.</v>
      </c>
      <c r="AL72" s="5" t="str">
        <f>IFERROR(__xludf.DUMMYFUNCTION("""COMPUTED_VALUE"""),"📋 Excelente, actualízate en Gestión de Proyectos y lidera con éxito.")</f>
        <v>📋 Excelente, actualízate en Gestión de Proyectos y lidera con éxito.</v>
      </c>
      <c r="AM72" s="5" t="str">
        <f>IFERROR(__xludf.DUMMYFUNCTION("""COMPUTED_VALUE"""),"💼 Buenísimo, el mercado busca expertos en dirección de proyectos.")</f>
        <v>💼 Buenísimo, el mercado busca expertos en dirección de proyectos.</v>
      </c>
      <c r="AN72" s="5" t="str">
        <f>IFERROR(__xludf.DUMMYFUNCTION("""COMPUTED_VALUE"""),"🚀 Genial, tu perfil sumará una habilidad clave en coordinación de equipos.")</f>
        <v>🚀 Genial, tu perfil sumará una habilidad clave en coordinación de equipos.</v>
      </c>
      <c r="AO72" s="5" t="str">
        <f>IFERROR(__xludf.DUMMYFUNCTION("""COMPUTED_VALUE"""),"🔑 Perfecto, tendrás ventaja en prácticas de gestión y planificación.")</f>
        <v>🔑 Perfecto, tendrás ventaja en prácticas de gestión y planificación.</v>
      </c>
      <c r="AP72" s="5" t="str">
        <f>IFERROR(__xludf.DUMMYFUNCTION("""COMPUTED_VALUE"""),"📊 Excelente, aplicarás gestión de proyectos en tu propio negocio.")</f>
        <v>📊 Excelente, aplicarás gestión de proyectos en tu propio negocio.</v>
      </c>
      <c r="AQ72" s="9" t="str">
        <f>IFERROR(__xludf.DUMMYFUNCTION("""COMPUTED_VALUE"""),"https://we-educacion.com/slides/especializacion-en-gestion-de-proyectos-350")</f>
        <v>https://we-educacion.com/slides/especializacion-en-gestion-de-proyectos-350</v>
      </c>
      <c r="AR72" s="5">
        <v>1.0</v>
      </c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</row>
    <row r="73" ht="15.75" customHeight="1">
      <c r="A73" s="5" t="s">
        <v>115</v>
      </c>
      <c r="B73" s="5" t="str">
        <f t="shared" si="1"/>
        <v>NOV. I - ED25</v>
      </c>
      <c r="C73" s="6" t="str">
        <f>IFERROR(__xludf.DUMMYFUNCTION("""COMPUTED_VALUE"""),"PROYECTOS")</f>
        <v>PROYECTOS</v>
      </c>
      <c r="D73" s="6" t="str">
        <f>IFERROR(__xludf.DUMMYFUNCTION("""COMPUTED_VALUE"""),"CURSO")</f>
        <v>CURSO</v>
      </c>
      <c r="E73" s="6" t="str">
        <f>IFERROR(__xludf.DUMMYFUNCTION("""COMPUTED_VALUE"""),"GEST PROYECT I")</f>
        <v>GEST PROYECT I</v>
      </c>
      <c r="F73" s="7">
        <f>IFERROR(__xludf.DUMMYFUNCTION("""COMPUTED_VALUE"""),45976.0)</f>
        <v>45976</v>
      </c>
      <c r="G73" s="6"/>
      <c r="H73" s="7"/>
      <c r="I73" s="6"/>
      <c r="J73" s="7"/>
      <c r="K73" s="6"/>
      <c r="L73" s="7"/>
      <c r="M73" s="6"/>
      <c r="N73" s="7"/>
      <c r="O73" s="6"/>
      <c r="P73" s="7"/>
      <c r="Q73" s="6" t="str">
        <f>IFERROR(__xludf.DUMMYFUNCTION("""COMPUTED_VALUE"""),"Gonzalo Sevillano")</f>
        <v>Gonzalo Sevillano</v>
      </c>
      <c r="R73" s="5" t="str">
        <f>IFERROR(__xludf.DUMMYFUNCTION("""COMPUTED_VALUE"""),"Sáb")</f>
        <v>Sáb</v>
      </c>
      <c r="S73" s="6" t="str">
        <f>IFERROR(__xludf.DUMMYFUNCTION("""COMPUTED_VALUE"""),"3PM - 6PM")</f>
        <v>3PM - 6PM</v>
      </c>
      <c r="T73" s="7" t="str">
        <f>IFERROR(__xludf.DUMMYFUNCTION("""COMPUTED_VALUE"""),"Sábado 15 Noviembre")</f>
        <v>Sábado 15 Noviembre</v>
      </c>
      <c r="U73" s="7" t="str">
        <f>IFERROR(__xludf.DUMMYFUNCTION("""COMPUTED_VALUE"""),"Sábado 20 Diciembre")</f>
        <v>Sábado 20 Diciembre</v>
      </c>
      <c r="V73" s="8">
        <f>IFERROR(__xludf.DUMMYFUNCTION("""COMPUTED_VALUE"""),6.0)</f>
        <v>6</v>
      </c>
      <c r="W73" s="5" t="str">
        <f>IFERROR(__xludf.DUMMYFUNCTION("""COMPUTED_VALUE"""),"pdfs/BROCHURE GESTION DE PROYECTOS I.pdf")</f>
        <v>pdfs/BROCHURE GESTION DE PROYECTOS I.pdf</v>
      </c>
      <c r="X73" s="5" t="str">
        <f>IFERROR(__xludf.DUMMYFUNCTION("""COMPUTED_VALUE"""),"🔵 *Utilizarán Excel*
🚨 *Por favor, revisa el BROCHURE* 👇🏻
Aqui encontrarás la información completa del programa, el TEMARIO (malla curricular) y todos los BENEFICIOS 📚")</f>
        <v>🔵 *Utilizarán Excel*
🚨 *Por favor, revisa el BROCHURE* 👇🏻
Aqui encontrarás la información completa del programa, el TEMARIO (malla curricular) y todos los BENEFICIOS 📚</v>
      </c>
      <c r="Y73" s="5" t="str">
        <f>IFERROR(__xludf.DUMMYFUNCTION("""COMPUTED_VALUE"""),"images/gestproyect.jpg")</f>
        <v>images/gestproyect.jpg</v>
      </c>
      <c r="Z73" s="5"/>
      <c r="AA73" s="5" t="str">
        <f>IFERROR(__xludf.DUMMYFUNCTION("""COMPUTED_VALUE"""),"NO")</f>
        <v>NO</v>
      </c>
      <c r="AB73" s="6">
        <f>IFERROR(__xludf.DUMMYFUNCTION("""COMPUTED_VALUE"""),860.0)</f>
        <v>860</v>
      </c>
      <c r="AC73" s="6">
        <f>IFERROR(__xludf.DUMMYFUNCTION("""COMPUTED_VALUE"""),750.0)</f>
        <v>750</v>
      </c>
      <c r="AD73" s="6">
        <f>IFERROR(__xludf.DUMMYFUNCTION("""COMPUTED_VALUE"""),430.0)</f>
        <v>430</v>
      </c>
      <c r="AE73" s="6">
        <f>IFERROR(__xludf.DUMMYFUNCTION("""COMPUTED_VALUE"""),375.0)</f>
        <v>375</v>
      </c>
      <c r="AF73" s="6">
        <f>IFERROR(__xludf.DUMMYFUNCTION("""COMPUTED_VALUE"""),150.0)</f>
        <v>150</v>
      </c>
      <c r="AG73" s="5">
        <f>IFERROR(__xludf.DUMMYFUNCTION("""COMPUTED_VALUE"""),150.0)</f>
        <v>150</v>
      </c>
      <c r="AH73" s="5"/>
      <c r="AI73" s="5">
        <f>IFERROR(__xludf.DUMMYFUNCTION("""COMPUTED_VALUE"""),337.5)</f>
        <v>337.5</v>
      </c>
      <c r="AJ73" s="5">
        <f>IFERROR(__xludf.DUMMYFUNCTION("""COMPUTED_VALUE"""),387.0)</f>
        <v>387</v>
      </c>
      <c r="AK73" s="5" t="str">
        <f>IFERROR(__xludf.DUMMYFUNCTION("""COMPUTED_VALUE"""),"El liderazgo moderno comienza con la planificación efectiva 🗂️
Con Gestión de Proyectos I aprenderás las bases y herramientas clave para dirigir proyectos con éxito 🚀.
Aquí la información completa 👇🏻")</f>
        <v>El liderazgo moderno comienza con la planificación efectiva 🗂️
Con Gestión de Proyectos I aprenderás las bases y herramientas clave para dirigir proyectos con éxito 🚀.
Aquí la información completa 👇🏻</v>
      </c>
      <c r="AL73" s="5" t="str">
        <f>IFERROR(__xludf.DUMMYFUNCTION("""COMPUTED_VALUE"""),"*Excelente*, actualiza tus conocimientos y domina la gestión de proyectos 🚀.")</f>
        <v>*Excelente*, actualiza tus conocimientos y domina la gestión de proyectos 🚀.</v>
      </c>
      <c r="AM73" s="5" t="str">
        <f>IFERROR(__xludf.DUMMYFUNCTION("""COMPUTED_VALUE"""),"Buenísimo, la *gestión de proyectos* es muy demandada y te dará un plus en tu CV y más oportunidades laborales 🧳")</f>
        <v>Buenísimo, la *gestión de proyectos* es muy demandada y te dará un plus en tu CV y más oportunidades laborales 🧳</v>
      </c>
      <c r="AN73" s="5" t="str">
        <f>IFERROR(__xludf.DUMMYFUNCTION("""COMPUTED_VALUE"""),"¡Excelente!. podrás complementar lo que ves en la universidad con herramientas prácticas y aplicables, y así destacar tu *Perfil Profesional* 🚀. ")</f>
        <v>¡Excelente!. podrás complementar lo que ves en la universidad con herramientas prácticas y aplicables, y así destacar tu *Perfil Profesional* 🚀. </v>
      </c>
      <c r="AO73" s="5" t="str">
        <f>IFERROR(__xludf.DUMMYFUNCTION("""COMPUTED_VALUE"""),"¡Perfecto!, la gestión de proyectos es muy valorada por las empresas y te hará destacar al postular a prácticas 🧳")</f>
        <v>¡Perfecto!, la gestión de proyectos es muy valorada por las empresas y te hará destacar al postular a prácticas 🧳</v>
      </c>
      <c r="AP73" s="5" t="str">
        <f>IFERROR(__xludf.DUMMYFUNCTION("""COMPUTED_VALUE"""),"¡Excelente!, con la gestión de proyectos podrás organizar mejor tus proyectos y hacer crecer tu negocio 🚀.")</f>
        <v>¡Excelente!, con la gestión de proyectos podrás organizar mejor tus proyectos y hacer crecer tu negocio 🚀.</v>
      </c>
      <c r="AQ73" s="9" t="str">
        <f>IFERROR(__xludf.DUMMYFUNCTION("""COMPUTED_VALUE"""),"https://we-educacion.com/slides/gestion-de-proyectos-162")</f>
        <v>https://we-educacion.com/slides/gestion-de-proyectos-162</v>
      </c>
      <c r="AR73" s="5">
        <v>1.0</v>
      </c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</row>
    <row r="74" ht="15.75" customHeight="1">
      <c r="A74" s="5" t="s">
        <v>116</v>
      </c>
      <c r="B74" s="5" t="str">
        <f t="shared" si="1"/>
        <v>NOV. I - ED25</v>
      </c>
      <c r="C74" s="6" t="str">
        <f>IFERROR(__xludf.DUMMYFUNCTION("""COMPUTED_VALUE"""),"LOGÍSTICA")</f>
        <v>LOGÍSTICA</v>
      </c>
      <c r="D74" s="6" t="str">
        <f>IFERROR(__xludf.DUMMYFUNCTION("""COMPUTED_VALUE"""),"CURSO")</f>
        <v>CURSO</v>
      </c>
      <c r="E74" s="6" t="str">
        <f>IFERROR(__xludf.DUMMYFUNCTION("""COMPUTED_VALUE"""),"SUPPLY CHAIN ANALYTICS")</f>
        <v>SUPPLY CHAIN ANALYTICS</v>
      </c>
      <c r="F74" s="7">
        <f>IFERROR(__xludf.DUMMYFUNCTION("""COMPUTED_VALUE"""),45976.0)</f>
        <v>45976</v>
      </c>
      <c r="G74" s="6"/>
      <c r="H74" s="7"/>
      <c r="I74" s="6"/>
      <c r="J74" s="7"/>
      <c r="K74" s="6"/>
      <c r="L74" s="7"/>
      <c r="M74" s="6"/>
      <c r="N74" s="7"/>
      <c r="O74" s="6"/>
      <c r="P74" s="7"/>
      <c r="Q74" s="6" t="str">
        <f>IFERROR(__xludf.DUMMYFUNCTION("""COMPUTED_VALUE"""),"Franz Valdivia")</f>
        <v>Franz Valdivia</v>
      </c>
      <c r="R74" s="5" t="str">
        <f>IFERROR(__xludf.DUMMYFUNCTION("""COMPUTED_VALUE"""),"Sáb")</f>
        <v>Sáb</v>
      </c>
      <c r="S74" s="6" t="str">
        <f>IFERROR(__xludf.DUMMYFUNCTION("""COMPUTED_VALUE"""),"3PM - 6PM")</f>
        <v>3PM - 6PM</v>
      </c>
      <c r="T74" s="7" t="str">
        <f>IFERROR(__xludf.DUMMYFUNCTION("""COMPUTED_VALUE"""),"Sábado 15 Noviembre")</f>
        <v>Sábado 15 Noviembre</v>
      </c>
      <c r="U74" s="7" t="str">
        <f>IFERROR(__xludf.DUMMYFUNCTION("""COMPUTED_VALUE"""),"Sábado 20 Diciembre")</f>
        <v>Sábado 20 Diciembre</v>
      </c>
      <c r="V74" s="8">
        <f>IFERROR(__xludf.DUMMYFUNCTION("""COMPUTED_VALUE"""),6.0)</f>
        <v>6</v>
      </c>
      <c r="W74" s="5" t="str">
        <f>IFERROR(__xludf.DUMMYFUNCTION("""COMPUTED_VALUE"""),"pdfs/BROCHURE SUPPLY CHAIN ANALYTICS.pdf")</f>
        <v>pdfs/BROCHURE SUPPLY CHAIN ANALYTICS.pdf</v>
      </c>
      <c r="X74" s="5" t="str">
        <f>IFERROR(__xludf.DUMMYFUNCTION("""COMPUTED_VALUE"""),"🔵 *Conoce TODOS los BENEFICIOS a los que accedes*
🧑🏻‍🏫 *Docente* Supervisor de Cadena de Suministros En *Samsung* 
🔹 Acceso a *Campus Virtual* WE 👩🏻‍🏫
🔹 Material digital y grabación de clases 
🔹 Certificado digital incluido
🔹 05 Cursos Online "&amp;"de regalo con acceso ilimitado 📚
🔹 Desarrollo y seguimiento de tu proyecto *(Evaluado)*
🔹 Garantía de Aprendizaje 100%
🔹 Utilizarán Python👩🏻‍💻
👉🏼 *¡Te regalamos el Curso Python Online!*
👉🏼 Incluye videotutorial y manual de Instalación
💻 _*Imp"&amp;"ortante*: Para la instalación se necesita una Laptop *Windows*_
🚨 *Por favor, revisa el BROCHURE* 👇🏻
Aqui encontrarás la información completa del programa, el TEMARIO (malla curricular) y todos los BENEFICIOS 📚")</f>
        <v>🔵 *Conoce TODOS los BENEFICIOS a los que accedes*
🧑🏻‍🏫 *Docente* Supervisor de Cadena de Suministros En *Samsung* 
🔹 Acceso a *Campus Virtual* WE 👩🏻‍🏫
🔹 Material digital y grabación de clases 
🔹 Certificado digital incluido
🔹 05 Cursos Online de regalo con acceso ilimitado 📚
🔹 Desarrollo y seguimiento de tu proyecto *(Evaluado)*
🔹 Garantía de Aprendizaje 100%
🔹 Utilizarán Python👩🏻‍💻
👉🏼 *¡Te regalamos el Curso Python Online!*
👉🏼 Incluye videotutorial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74" s="5"/>
      <c r="Z74" s="5" t="str">
        <f>IFERROR(__xludf.DUMMYFUNCTION("""COMPUTED_VALUE"""),"Avalado por IBM® Partner World")</f>
        <v>Avalado por IBM® Partner World</v>
      </c>
      <c r="AA74" s="5" t="str">
        <f>IFERROR(__xludf.DUMMYFUNCTION("""COMPUTED_VALUE"""),"NO")</f>
        <v>NO</v>
      </c>
      <c r="AB74" s="6">
        <f>IFERROR(__xludf.DUMMYFUNCTION("""COMPUTED_VALUE"""),640.0)</f>
        <v>640</v>
      </c>
      <c r="AC74" s="6">
        <f>IFERROR(__xludf.DUMMYFUNCTION("""COMPUTED_VALUE"""),610.0)</f>
        <v>610</v>
      </c>
      <c r="AD74" s="6">
        <f>IFERROR(__xludf.DUMMYFUNCTION("""COMPUTED_VALUE"""),320.0)</f>
        <v>320</v>
      </c>
      <c r="AE74" s="6">
        <f>IFERROR(__xludf.DUMMYFUNCTION("""COMPUTED_VALUE"""),305.0)</f>
        <v>305</v>
      </c>
      <c r="AF74" s="6">
        <f>IFERROR(__xludf.DUMMYFUNCTION("""COMPUTED_VALUE"""),150.0)</f>
        <v>150</v>
      </c>
      <c r="AG74" s="5">
        <f>IFERROR(__xludf.DUMMYFUNCTION("""COMPUTED_VALUE"""),150.0)</f>
        <v>150</v>
      </c>
      <c r="AH74" s="5"/>
      <c r="AI74" s="5">
        <f>IFERROR(__xludf.DUMMYFUNCTION("""COMPUTED_VALUE"""),274.5)</f>
        <v>274.5</v>
      </c>
      <c r="AJ74" s="5">
        <f>IFERROR(__xludf.DUMMYFUNCTION("""COMPUTED_VALUE"""),288.0)</f>
        <v>288</v>
      </c>
      <c r="AK74" s="5" t="str">
        <f>IFERROR(__xludf.DUMMYFUNCTION("""COMPUTED_VALUE"""),"La competitividad global se gana con Supply Chain Analytics 🌐
Aprenderás a analizar y optimizar cadenas de suministro usando datos estratégicos 📊.
Aquí tienes la información 👇🏻")</f>
        <v>La competitividad global se gana con Supply Chain Analytics 🌐
Aprenderás a analizar y optimizar cadenas de suministro usando datos estratégicos 📊.
Aquí tienes la información 👇🏻</v>
      </c>
      <c r="AL74" s="5" t="str">
        <f>IFERROR(__xludf.DUMMYFUNCTION("""COMPUTED_VALUE"""),"📦 Excelente, actualízate con Supply Chain Analytics y domina el análisis de cadenas de suministro.")</f>
        <v>📦 Excelente, actualízate con Supply Chain Analytics y domina el análisis de cadenas de suministro.</v>
      </c>
      <c r="AM74" s="5" t="str">
        <f>IFERROR(__xludf.DUMMYFUNCTION("""COMPUTED_VALUE"""),"💼 Buenísimo, Supply Chain Analytics es clave en empresas de logística y distribución.")</f>
        <v>💼 Buenísimo, Supply Chain Analytics es clave en empresas de logística y distribución.</v>
      </c>
      <c r="AN74" s="5" t="str">
        <f>IFERROR(__xludf.DUMMYFUNCTION("""COMPUTED_VALUE"""),"🎓 ¡Genial! Con Supply Chain Analytics aprenderás herramientas de análisis desde la universidad.")</f>
        <v>🎓 ¡Genial! Con Supply Chain Analytics aprenderás herramientas de análisis desde la universidad.</v>
      </c>
      <c r="AO74" s="5" t="str">
        <f>IFERROR(__xludf.DUMMYFUNCTION("""COMPUTED_VALUE"""),"🚀 ¡Perfecto! Saber Supply Chain Analytics te dará ventaja en prácticas de logística.")</f>
        <v>🚀 ¡Perfecto! Saber Supply Chain Analytics te dará ventaja en prácticas de logística.</v>
      </c>
      <c r="AP74" s="5" t="str">
        <f>IFERROR(__xludf.DUMMYFUNCTION("""COMPUTED_VALUE"""),"📊 ¡Excelente! Con Supply Chain Analytics podrás optimizar operaciones en tu propio negocio.")</f>
        <v>📊 ¡Excelente! Con Supply Chain Analytics podrás optimizar operaciones en tu propio negocio.</v>
      </c>
      <c r="AQ74" s="5"/>
      <c r="AR74" s="5">
        <v>1.0</v>
      </c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</row>
    <row r="75" ht="15.75" customHeight="1">
      <c r="A75" s="5" t="s">
        <v>117</v>
      </c>
      <c r="B75" s="5" t="str">
        <f t="shared" si="1"/>
        <v>NOV. I - ED25</v>
      </c>
      <c r="C75" s="6" t="str">
        <f>IFERROR(__xludf.DUMMYFUNCTION("""COMPUTED_VALUE"""),"BI")</f>
        <v>BI</v>
      </c>
      <c r="D75" s="5" t="str">
        <f>IFERROR(__xludf.DUMMYFUNCTION("""COMPUTED_VALUE"""),"CURSO")</f>
        <v>CURSO</v>
      </c>
      <c r="E75" s="6" t="str">
        <f>IFERROR(__xludf.DUMMYFUNCTION("""COMPUTED_VALUE"""),"SQL PRESENCIAL")</f>
        <v>SQL PRESENCIAL</v>
      </c>
      <c r="F75" s="7">
        <f>IFERROR(__xludf.DUMMYFUNCTION("""COMPUTED_VALUE"""),45976.0)</f>
        <v>45976</v>
      </c>
      <c r="G75" s="6"/>
      <c r="H75" s="7"/>
      <c r="I75" s="6"/>
      <c r="J75" s="7"/>
      <c r="K75" s="6"/>
      <c r="L75" s="7"/>
      <c r="M75" s="6"/>
      <c r="N75" s="7"/>
      <c r="O75" s="6"/>
      <c r="P75" s="7"/>
      <c r="Q75" s="6" t="str">
        <f>IFERROR(__xludf.DUMMYFUNCTION("""COMPUTED_VALUE"""),"Mijael Pampas")</f>
        <v>Mijael Pampas</v>
      </c>
      <c r="R75" s="5" t="str">
        <f>IFERROR(__xludf.DUMMYFUNCTION("""COMPUTED_VALUE"""),"Sáb")</f>
        <v>Sáb</v>
      </c>
      <c r="S75" s="6" t="str">
        <f>IFERROR(__xludf.DUMMYFUNCTION("""COMPUTED_VALUE"""),"9AM - 1PM")</f>
        <v>9AM - 1PM</v>
      </c>
      <c r="T75" s="7" t="str">
        <f>IFERROR(__xludf.DUMMYFUNCTION("""COMPUTED_VALUE"""),"Sábado 15 Noviembre")</f>
        <v>Sábado 15 Noviembre</v>
      </c>
      <c r="U75" s="7" t="str">
        <f>IFERROR(__xludf.DUMMYFUNCTION("""COMPUTED_VALUE"""),"Sábado 13 Diciembre")</f>
        <v>Sábado 13 Diciembre</v>
      </c>
      <c r="V75" s="8">
        <f>IFERROR(__xludf.DUMMYFUNCTION("""COMPUTED_VALUE"""),5.0)</f>
        <v>5</v>
      </c>
      <c r="W75" s="5" t="str">
        <f>IFERROR(__xludf.DUMMYFUNCTION("""COMPUTED_VALUE"""),"pdfs/BROCHURE SQL PRESENCIAL.pdf")</f>
        <v>pdfs/BROCHURE SQL PRESENCIAL.pdf</v>
      </c>
      <c r="X75" s="5" t="str">
        <f>IFERROR(__xludf.DUMMYFUNCTION("""COMPUTED_VALUE"""),"🔵 *Conoce TODOS los BENEFICIOS a los que accedes* 
🔹 Laptop con el sistema SQL Server incluido 👩🏻‍💻
👉🏼 Si traes tu propia laptop, *obtén un descuento de S/50* 
🔹 Acceso a tu *Campus Virtual* WE 👩🏻‍🏫
🔹 *Material digital y grabación* de clases"&amp;".
🔹 Certificado digital con *respaldo Microsoft Partner Network*
🔹 03 Curso Online de regalo con acceso ilimitado 📚
🔹 Desarrollo y seguimiento de tu proyecto *(Evaluado)*
🔹 Garantía de Aprendizaje 100%
🚨 *Por favor, revisa el BROCHURE* 👇🏻
Aqui en"&amp;"contrarás la información completa del programa, el TEMARIO (malla curricular) y todos los BENEFICIOS 📚")</f>
        <v>🔵 *Conoce TODOS los BENEFICIOS a los que accedes* 
🔹 Laptop con el sistema SQL Server incluido 👩🏻‍💻
👉🏼 Si traes tu propia laptop, *obtén un descuento de S/50* 
🔹 Acceso a tu *Campus Virtual* WE 👩🏻‍🏫
🔹 *Material digital y grabación* de clases.
🔹 Certificado digital con *respaldo Microsoft Partner Network*
🔹 03 Curso Online de regalo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75" s="5" t="str">
        <f>IFERROR(__xludf.DUMMYFUNCTION("""COMPUTED_VALUE"""),"images/sqlprese.jpg")</f>
        <v>images/sqlprese.jpg</v>
      </c>
      <c r="Z75" s="5" t="str">
        <f>IFERROR(__xludf.DUMMYFUNCTION("""COMPUTED_VALUE"""),"Avalado por Microsoft Partner Network")</f>
        <v>Avalado por Microsoft Partner Network</v>
      </c>
      <c r="AA75" s="5" t="str">
        <f>IFERROR(__xludf.DUMMYFUNCTION("""COMPUTED_VALUE"""),"NO")</f>
        <v>NO</v>
      </c>
      <c r="AB75" s="6">
        <f>IFERROR(__xludf.DUMMYFUNCTION("""COMPUTED_VALUE"""),940.0)</f>
        <v>940</v>
      </c>
      <c r="AC75" s="6">
        <f>IFERROR(__xludf.DUMMYFUNCTION("""COMPUTED_VALUE"""),860.0)</f>
        <v>860</v>
      </c>
      <c r="AD75" s="6">
        <f>IFERROR(__xludf.DUMMYFUNCTION("""COMPUTED_VALUE"""),470.0)</f>
        <v>470</v>
      </c>
      <c r="AE75" s="6">
        <f>IFERROR(__xludf.DUMMYFUNCTION("""COMPUTED_VALUE"""),430.0)</f>
        <v>430</v>
      </c>
      <c r="AF75" s="6">
        <f>IFERROR(__xludf.DUMMYFUNCTION("""COMPUTED_VALUE"""),150.0)</f>
        <v>150</v>
      </c>
      <c r="AG75" s="5">
        <f>IFERROR(__xludf.DUMMYFUNCTION("""COMPUTED_VALUE"""),150.0)</f>
        <v>150</v>
      </c>
      <c r="AH75" s="5"/>
      <c r="AI75" s="5">
        <f>IFERROR(__xludf.DUMMYFUNCTION("""COMPUTED_VALUE"""),387.0)</f>
        <v>387</v>
      </c>
      <c r="AJ75" s="5">
        <f>IFERROR(__xludf.DUMMYFUNCTION("""COMPUTED_VALUE"""),423.0)</f>
        <v>423</v>
      </c>
      <c r="AK75" s="5" t="str">
        <f>IFERROR(__xludf.DUMMYFUNCTION("""COMPUTED_VALUE"""),"El dominio de datos es aún más efectivo cuando es práctico y en vivo 🚀
Con SQL Presencial aprenderás a manejar bases de datos de forma directa en entornos reales 💼.
Aquí la info 👇🏻")</f>
        <v>El dominio de datos es aún más efectivo cuando es práctico y en vivo 🚀
Con SQL Presencial aprenderás a manejar bases de datos de forma directa en entornos reales 💼.
Aquí la info 👇🏻</v>
      </c>
      <c r="AL75" s="5" t="str">
        <f>IFERROR(__xludf.DUMMYFUNCTION("""COMPUTED_VALUE"""),"📊 Excelente, actualízate con SQL Presencial y aprende a manejar bases de datos en vivo.")</f>
        <v>📊 Excelente, actualízate con SQL Presencial y aprende a manejar bases de datos en vivo.</v>
      </c>
      <c r="AM75" s="5" t="str">
        <f>IFERROR(__xludf.DUMMYFUNCTION("""COMPUTED_VALUE"""),"💼 Buenísimo, SQL es requerido por empresas que gestionan información crítica.")</f>
        <v>💼 Buenísimo, SQL es requerido por empresas que gestionan información crítica.</v>
      </c>
      <c r="AN75" s="5" t="str">
        <f>IFERROR(__xludf.DUMMYFUNCTION("""COMPUTED_VALUE"""),"🎓 ¡Genial! Con SQL Presencial aprenderás de forma práctica.")</f>
        <v>🎓 ¡Genial! Con SQL Presencial aprenderás de forma práctica.</v>
      </c>
      <c r="AO75" s="5" t="str">
        <f>IFERROR(__xludf.DUMMYFUNCTION("""COMPUTED_VALUE"""),"🚀 ¡Perfecto! Con SQL tendrás ventaja en prácticas relacionadas con análisis de datos.")</f>
        <v>🚀 ¡Perfecto! Con SQL tendrás ventaja en prácticas relacionadas con análisis de datos.</v>
      </c>
      <c r="AP75" s="5" t="str">
        <f>IFERROR(__xludf.DUMMYFUNCTION("""COMPUTED_VALUE"""),"📑 ¡Excelente! Con SQL Presencial podrás estructurar mejor la información de tu negocio.")</f>
        <v>📑 ¡Excelente! Con SQL Presencial podrás estructurar mejor la información de tu negocio.</v>
      </c>
      <c r="AQ75" s="9" t="str">
        <f>IFERROR(__xludf.DUMMYFUNCTION("""COMPUTED_VALUE"""),"https://we-educacion.com/slides/sql-server-for-analytics-presencial-1105")</f>
        <v>https://we-educacion.com/slides/sql-server-for-analytics-presencial-1105</v>
      </c>
      <c r="AR75" s="5">
        <v>1.0</v>
      </c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</row>
    <row r="76" ht="15.75" customHeight="1">
      <c r="A76" s="5" t="s">
        <v>118</v>
      </c>
      <c r="B76" s="5" t="str">
        <f t="shared" si="1"/>
        <v>NOV. I - ED25</v>
      </c>
      <c r="C76" s="6" t="str">
        <f>IFERROR(__xludf.DUMMYFUNCTION("""COMPUTED_VALUE"""),"BI")</f>
        <v>BI</v>
      </c>
      <c r="D76" s="6" t="str">
        <f>IFERROR(__xludf.DUMMYFUNCTION("""COMPUTED_VALUE"""),"DIPLOMADO")</f>
        <v>DIPLOMADO</v>
      </c>
      <c r="E76" s="6" t="str">
        <f>IFERROR(__xludf.DUMMYFUNCTION("""COMPUTED_VALUE"""),"DIP INTELIG. Y ANALIST. DATOS V2")</f>
        <v>DIP INTELIG. Y ANALIST. DATOS V2</v>
      </c>
      <c r="F76" s="7">
        <f>IFERROR(__xludf.DUMMYFUNCTION("""COMPUTED_VALUE"""),45977.0)</f>
        <v>45977</v>
      </c>
      <c r="G76" s="6" t="str">
        <f>IFERROR(__xludf.DUMMYFUNCTION("""COMPUTED_VALUE"""),"DATA ANALYTICS")</f>
        <v>DATA ANALYTICS</v>
      </c>
      <c r="H76" s="7">
        <f>IFERROR(__xludf.DUMMYFUNCTION("""COMPUTED_VALUE"""),45977.0)</f>
        <v>45977</v>
      </c>
      <c r="I76" s="6" t="str">
        <f>IFERROR(__xludf.DUMMYFUNCTION("""COMPUTED_VALUE"""),"SQL SERVER")</f>
        <v>SQL SERVER</v>
      </c>
      <c r="J76" s="7">
        <f>IFERROR(__xludf.DUMMYFUNCTION("""COMPUTED_VALUE"""),46019.0)</f>
        <v>46019</v>
      </c>
      <c r="K76" s="6" t="str">
        <f>IFERROR(__xludf.DUMMYFUNCTION("""COMPUTED_VALUE"""),"POWER BI")</f>
        <v>POWER BI</v>
      </c>
      <c r="L76" s="7">
        <f>IFERROR(__xludf.DUMMYFUNCTION("""COMPUTED_VALUE"""),46061.0)</f>
        <v>46061</v>
      </c>
      <c r="M76" s="6" t="str">
        <f>IFERROR(__xludf.DUMMYFUNCTION("""COMPUTED_VALUE"""),"PYTHON. DATOS")</f>
        <v>PYTHON. DATOS</v>
      </c>
      <c r="N76" s="7">
        <f>IFERROR(__xludf.DUMMYFUNCTION("""COMPUTED_VALUE"""),46103.0)</f>
        <v>46103</v>
      </c>
      <c r="O76" s="6" t="str">
        <f>IFERROR(__xludf.DUMMYFUNCTION("""COMPUTED_VALUE"""),"PYTHON AVANZ.")</f>
        <v>PYTHON AVANZ.</v>
      </c>
      <c r="P76" s="7">
        <f>IFERROR(__xludf.DUMMYFUNCTION("""COMPUTED_VALUE"""),46159.0)</f>
        <v>46159</v>
      </c>
      <c r="Q76" s="6" t="str">
        <f>IFERROR(__xludf.DUMMYFUNCTION("""COMPUTED_VALUE"""),"Ana Lucia Palacios
David Llaja
Moisés Bautista
Brigitt Ramirez
Paul Gabino")</f>
        <v>Ana Lucia Palacios
David Llaja
Moisés Bautista
Brigitt Ramirez
Paul Gabino</v>
      </c>
      <c r="R76" s="5" t="str">
        <f>IFERROR(__xludf.DUMMYFUNCTION("""COMPUTED_VALUE"""),"Dom")</f>
        <v>Dom</v>
      </c>
      <c r="S76" s="6" t="str">
        <f>IFERROR(__xludf.DUMMYFUNCTION("""COMPUTED_VALUE"""),"9AM - 12PM")</f>
        <v>9AM - 12PM</v>
      </c>
      <c r="T76" s="7" t="str">
        <f>IFERROR(__xludf.DUMMYFUNCTION("""COMPUTED_VALUE"""),"Domingo 16 Noviembre")</f>
        <v>Domingo 16 Noviembre</v>
      </c>
      <c r="U76" s="7" t="str">
        <f>IFERROR(__xludf.DUMMYFUNCTION("""COMPUTED_VALUE"""),"Domingo 28 Junio")</f>
        <v>Domingo 28 Junio</v>
      </c>
      <c r="V76" s="8">
        <f>IFERROR(__xludf.DUMMYFUNCTION("""COMPUTED_VALUE"""),30.0)</f>
        <v>30</v>
      </c>
      <c r="W76" s="5" t="str">
        <f>IFERROR(__xludf.DUMMYFUNCTION("""COMPUTED_VALUE"""),"pdfs/BROCHURE DIPLOMADO INTELIGENCIA Y ANALISIS DE DATOS.pdf")</f>
        <v>pdfs/BROCHURE DIPLOMADO INTELIGENCIA Y ANALISIS DE DATOS.pdf</v>
      </c>
      <c r="X76" s="5" t="str">
        <f>IFERROR(__xludf.DUMMYFUNCTION("""COMPUTED_VALUE"""),"🔵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inf"&amp;"ormación completa del programa, el TEMARIO (malla curricular) y todos los BENEFICIOS 📚")</f>
        <v>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76" s="5" t="str">
        <f>IFERROR(__xludf.DUMMYFUNCTION("""COMPUTED_VALUE"""),"images/dipdatos.jpg")</f>
        <v>images/dipdatos.jpg</v>
      </c>
      <c r="Z76" s="5"/>
      <c r="AA76" s="5" t="str">
        <f>IFERROR(__xludf.DUMMYFUNCTION("""COMPUTED_VALUE"""),"NO")</f>
        <v>NO</v>
      </c>
      <c r="AB76" s="6">
        <f>IFERROR(__xludf.DUMMYFUNCTION("""COMPUTED_VALUE"""),3990.0)</f>
        <v>3990</v>
      </c>
      <c r="AC76" s="6">
        <f>IFERROR(__xludf.DUMMYFUNCTION("""COMPUTED_VALUE"""),3595.0)</f>
        <v>3595</v>
      </c>
      <c r="AD76" s="6">
        <f>IFERROR(__xludf.DUMMYFUNCTION("""COMPUTED_VALUE"""),1995.0)</f>
        <v>1995</v>
      </c>
      <c r="AE76" s="6">
        <f>IFERROR(__xludf.DUMMYFUNCTION("""COMPUTED_VALUE"""),1797.5)</f>
        <v>1797.5</v>
      </c>
      <c r="AF76" s="6">
        <f>IFERROR(__xludf.DUMMYFUNCTION("""COMPUTED_VALUE"""),250.0)</f>
        <v>250</v>
      </c>
      <c r="AG76" s="5">
        <f>IFERROR(__xludf.DUMMYFUNCTION("""COMPUTED_VALUE"""),350.0)</f>
        <v>350</v>
      </c>
      <c r="AH76" s="5"/>
      <c r="AI76" s="5">
        <f>IFERROR(__xludf.DUMMYFUNCTION("""COMPUTED_VALUE"""),1617.75)</f>
        <v>1617.75</v>
      </c>
      <c r="AJ76" s="5">
        <f>IFERROR(__xludf.DUMMYFUNCTION("""COMPUTED_VALUE"""),1795.5)</f>
        <v>1795.5</v>
      </c>
      <c r="AK76" s="5" t="str">
        <f>IFERROR(__xludf.DUMMYFUNCTION("""COMPUTED_VALUE"""),"Los datos son el nuevo petróleo ⛽
Conviértete en especialista en inteligencia de datos y analítica avanzada para la toma de decisiones estratégicas 📊
👉🏻 Te paso la información detallada.")</f>
        <v>Los datos son el nuevo petróleo ⛽
Conviértete en especialista en inteligencia de datos y analítica avanzada para la toma de decisiones estratégicas 📊
👉🏻 Te paso la información detallada.</v>
      </c>
      <c r="AL76" s="5" t="str">
        <f>IFERROR(__xludf.DUMMYFUNCTION("""COMPUTED_VALUE"""),"📊 Excelente, con el Diplomado en Análisis de Datos aprenderás a dominar BI y Big Data.")</f>
        <v>📊 Excelente, con el Diplomado en Análisis de Datos aprenderás a dominar BI y Big Data.</v>
      </c>
      <c r="AM76" s="5" t="str">
        <f>IFERROR(__xludf.DUMMYFUNCTION("""COMPUTED_VALUE"""),"💼 Súper, este Diplomado es clave para trabajar en áreas de inteligencia empresarial.")</f>
        <v>💼 Súper, este Diplomado es clave para trabajar en áreas de inteligencia empresarial.</v>
      </c>
      <c r="AN76" s="5" t="str">
        <f>IFERROR(__xludf.DUMMYFUNCTION("""COMPUTED_VALUE"""),"📚 ¡Genial! Desde la universidad, este Diplomado en Datos te dará un perfil altamente competitivo.")</f>
        <v>📚 ¡Genial! Desde la universidad, este Diplomado en Datos te dará un perfil altamente competitivo.</v>
      </c>
      <c r="AO76" s="5" t="str">
        <f>IFERROR(__xludf.DUMMYFUNCTION("""COMPUTED_VALUE"""),"🚀 ¡Perfecto! Con el Diplomado en Análisis de Datos tendrás ventaja en prácticas de tecnología.")</f>
        <v>🚀 ¡Perfecto! Con el Diplomado en Análisis de Datos tendrás ventaja en prácticas de tecnología.</v>
      </c>
      <c r="AP76" s="5" t="str">
        <f>IFERROR(__xludf.DUMMYFUNCTION("""COMPUTED_VALUE"""),"🤖 ¡Excelente! Lo aprendido te permitirá tomar decisiones estratégicas basadas en datos.")</f>
        <v>🤖 ¡Excelente! Lo aprendido te permitirá tomar decisiones estratégicas basadas en datos.</v>
      </c>
      <c r="AQ76" s="9" t="str">
        <f>IFERROR(__xludf.DUMMYFUNCTION("""COMPUTED_VALUE"""),"https://we-educacion.com/slides/diplomado-en-inteligencia-y-analisis-de-datos-261")</f>
        <v>https://we-educacion.com/slides/diplomado-en-inteligencia-y-analisis-de-datos-261</v>
      </c>
      <c r="AR76" s="5">
        <v>1.0</v>
      </c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</row>
    <row r="77" ht="15.75" customHeight="1">
      <c r="A77" s="5" t="s">
        <v>119</v>
      </c>
      <c r="B77" s="5" t="str">
        <f t="shared" si="1"/>
        <v>NOV. I - ED25</v>
      </c>
      <c r="C77" s="6" t="str">
        <f>IFERROR(__xludf.DUMMYFUNCTION("""COMPUTED_VALUE"""),"BI")</f>
        <v>BI</v>
      </c>
      <c r="D77" s="5" t="str">
        <f>IFERROR(__xludf.DUMMYFUNCTION("""COMPUTED_VALUE"""),"CURSO")</f>
        <v>CURSO</v>
      </c>
      <c r="E77" s="6" t="str">
        <f>IFERROR(__xludf.DUMMYFUNCTION("""COMPUTED_VALUE"""),"DATA ANALYTICS")</f>
        <v>DATA ANALYTICS</v>
      </c>
      <c r="F77" s="7">
        <f>IFERROR(__xludf.DUMMYFUNCTION("""COMPUTED_VALUE"""),45977.0)</f>
        <v>45977</v>
      </c>
      <c r="G77" s="6"/>
      <c r="H77" s="7"/>
      <c r="I77" s="6"/>
      <c r="J77" s="7"/>
      <c r="K77" s="6"/>
      <c r="L77" s="7"/>
      <c r="M77" s="6"/>
      <c r="N77" s="7"/>
      <c r="O77" s="6"/>
      <c r="P77" s="7"/>
      <c r="Q77" s="6" t="str">
        <f>IFERROR(__xludf.DUMMYFUNCTION("""COMPUTED_VALUE"""),"Ana Lucia Palacios")</f>
        <v>Ana Lucia Palacios</v>
      </c>
      <c r="R77" s="5" t="str">
        <f>IFERROR(__xludf.DUMMYFUNCTION("""COMPUTED_VALUE"""),"Dom")</f>
        <v>Dom</v>
      </c>
      <c r="S77" s="6" t="str">
        <f>IFERROR(__xludf.DUMMYFUNCTION("""COMPUTED_VALUE"""),"9AM - 12PM")</f>
        <v>9AM - 12PM</v>
      </c>
      <c r="T77" s="7" t="str">
        <f>IFERROR(__xludf.DUMMYFUNCTION("""COMPUTED_VALUE"""),"Domingo 16 Noviembre")</f>
        <v>Domingo 16 Noviembre</v>
      </c>
      <c r="U77" s="7" t="str">
        <f>IFERROR(__xludf.DUMMYFUNCTION("""COMPUTED_VALUE"""),"Domingo 21 Diciembre")</f>
        <v>Domingo 21 Diciembre</v>
      </c>
      <c r="V77" s="8">
        <f>IFERROR(__xludf.DUMMYFUNCTION("""COMPUTED_VALUE"""),6.0)</f>
        <v>6</v>
      </c>
      <c r="W77" s="5" t="str">
        <f>IFERROR(__xludf.DUMMYFUNCTION("""COMPUTED_VALUE"""),"pdfs/BROCHURE Data Analytics.pdf")</f>
        <v>pdfs/BROCHURE Data Analytics.pdf</v>
      </c>
      <c r="X77" s="5" t="str">
        <f>IFERROR(__xludf.DUMMYFUNCTION("""COMPUTED_VALUE"""),"🔵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programa"&amp;", el TEMARIO (malla curricular) y todos los BENEFICIOS 📚")</f>
        <v>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77" s="5" t="str">
        <f>IFERROR(__xludf.DUMMYFUNCTION("""COMPUTED_VALUE"""),"images/data.jpg")</f>
        <v>images/data.jpg</v>
      </c>
      <c r="Z77" s="5"/>
      <c r="AA77" s="5" t="str">
        <f>IFERROR(__xludf.DUMMYFUNCTION("""COMPUTED_VALUE"""),"NO")</f>
        <v>NO</v>
      </c>
      <c r="AB77" s="6">
        <f>IFERROR(__xludf.DUMMYFUNCTION("""COMPUTED_VALUE"""),820.0)</f>
        <v>820</v>
      </c>
      <c r="AC77" s="6">
        <f>IFERROR(__xludf.DUMMYFUNCTION("""COMPUTED_VALUE"""),760.0)</f>
        <v>760</v>
      </c>
      <c r="AD77" s="6">
        <f>IFERROR(__xludf.DUMMYFUNCTION("""COMPUTED_VALUE"""),410.0)</f>
        <v>410</v>
      </c>
      <c r="AE77" s="6">
        <f>IFERROR(__xludf.DUMMYFUNCTION("""COMPUTED_VALUE"""),380.0)</f>
        <v>380</v>
      </c>
      <c r="AF77" s="6">
        <f>IFERROR(__xludf.DUMMYFUNCTION("""COMPUTED_VALUE"""),150.0)</f>
        <v>150</v>
      </c>
      <c r="AG77" s="5">
        <f>IFERROR(__xludf.DUMMYFUNCTION("""COMPUTED_VALUE"""),150.0)</f>
        <v>150</v>
      </c>
      <c r="AH77" s="5"/>
      <c r="AI77" s="5">
        <f>IFERROR(__xludf.DUMMYFUNCTION("""COMPUTED_VALUE"""),342.0)</f>
        <v>342</v>
      </c>
      <c r="AJ77" s="5">
        <f>IFERROR(__xludf.DUMMYFUNCTION("""COMPUTED_VALUE"""),369.0)</f>
        <v>369</v>
      </c>
      <c r="AK77" s="5" t="str">
        <f>IFERROR(__xludf.DUMMYFUNCTION("""COMPUTED_VALUE"""),"📊 *Los datos son el nuevo motor de las empresas* 🚀
En pocas semanas aprenderás a analizar, interpretar y visualizar información con herramientas prácticas de Data Analytics, transformando datos en decisiones estratégicas 💡📈
Ahora te comparto la inform"&amp;"ación a detalle 👇🏻")</f>
        <v>📊 *Los datos son el nuevo motor de las empresas* 🚀
En pocas semanas aprenderás a analizar, interpretar y visualizar información con herramientas prácticas de Data Analytics, transformando datos en decisiones estratégicas 💡📈
Ahora te comparto la información a detalle 👇🏻</v>
      </c>
      <c r="AL77" s="5" t="str">
        <f>IFERROR(__xludf.DUMMYFUNCTION("""COMPUTED_VALUE"""),"🔑 *Excelente*, actualízate con *DATA ANALYTICS* y mantente competitivo en el mercado laboral.")</f>
        <v>🔑 *Excelente*, actualízate con *DATA ANALYTICS* y mantente competitivo en el mercado laboral.</v>
      </c>
      <c r="AM77" s="5" t="str">
        <f>IFERROR(__xludf.DUMMYFUNCTION("""COMPUTED_VALUE"""),"🛠️ Buenísimo, *DATA ANALYTICS* es de las competencias más pedidas por las empresas y aumentará tus oportunidades laborales.")</f>
        <v>🛠️ Buenísimo, *DATA ANALYTICS* es de las competencias más pedidas por las empresas y aumentará tus oportunidades laborales.</v>
      </c>
      <c r="AN77" s="5" t="str">
        <f>IFERROR(__xludf.DUMMYFUNCTION("""COMPUTED_VALUE"""),"📈 ¡Genial! Con *DATA ANALYTICS* sumarás una habilidad poderosa que te diferenciará desde la universidad.")</f>
        <v>📈 ¡Genial! Con *DATA ANALYTICS* sumarás una habilidad poderosa que te diferenciará desde la universidad.</v>
      </c>
      <c r="AO77" s="5" t="str">
        <f>IFERROR(__xludf.DUMMYFUNCTION("""COMPUTED_VALUE"""),"🌍 ¡Perfecto! Saber *DATA ANALYTICS* te dará ventaja frente a otros postulantes para conseguir prácticas.")</f>
        <v>🌍 ¡Perfecto! Saber *DATA ANALYTICS* te dará ventaja frente a otros postulantes para conseguir prácticas.</v>
      </c>
      <c r="AP77" s="5" t="str">
        <f>IFERROR(__xludf.DUMMYFUNCTION("""COMPUTED_VALUE"""),"🎓 ¡Excelente! Con *DATA ANALYTICS* podrás aplicarlo en tu negocio y tomar decisiones más inteligentes.")</f>
        <v>🎓 ¡Excelente! Con *DATA ANALYTICS* podrás aplicarlo en tu negocio y tomar decisiones más inteligentes.</v>
      </c>
      <c r="AQ77" s="9" t="str">
        <f>IFERROR(__xludf.DUMMYFUNCTION("""COMPUTED_VALUE"""),"https://we-educacion.com/slides/data-analytics-262")</f>
        <v>https://we-educacion.com/slides/data-analytics-262</v>
      </c>
      <c r="AR77" s="5">
        <v>1.0</v>
      </c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</row>
    <row r="78" ht="15.75" customHeight="1">
      <c r="A78" s="5" t="s">
        <v>120</v>
      </c>
      <c r="B78" s="5" t="str">
        <f t="shared" si="1"/>
        <v>NOV. II - ED25</v>
      </c>
      <c r="C78" s="6" t="str">
        <f>IFERROR(__xludf.DUMMYFUNCTION("""COMPUTED_VALUE"""),"PROCESOS")</f>
        <v>PROCESOS</v>
      </c>
      <c r="D78" s="5" t="str">
        <f>IFERROR(__xludf.DUMMYFUNCTION("""COMPUTED_VALUE"""),"CURSO")</f>
        <v>CURSO</v>
      </c>
      <c r="E78" s="6" t="str">
        <f>IFERROR(__xludf.DUMMYFUNCTION("""COMPUTED_VALUE"""),"POWER APPS AVANZ")</f>
        <v>POWER APPS AVANZ</v>
      </c>
      <c r="F78" s="7">
        <f>IFERROR(__xludf.DUMMYFUNCTION("""COMPUTED_VALUE"""),45980.0)</f>
        <v>45980</v>
      </c>
      <c r="G78" s="6"/>
      <c r="H78" s="7"/>
      <c r="I78" s="6"/>
      <c r="J78" s="7"/>
      <c r="K78" s="6"/>
      <c r="L78" s="7"/>
      <c r="M78" s="6"/>
      <c r="N78" s="7"/>
      <c r="O78" s="6"/>
      <c r="P78" s="7"/>
      <c r="Q78" s="6" t="str">
        <f>IFERROR(__xludf.DUMMYFUNCTION("""COMPUTED_VALUE"""),"Jesús Gaspar")</f>
        <v>Jesús Gaspar</v>
      </c>
      <c r="R78" s="5" t="str">
        <f>IFERROR(__xludf.DUMMYFUNCTION("""COMPUTED_VALUE"""),"Lun-Mie")</f>
        <v>Lun-Mie</v>
      </c>
      <c r="S78" s="6" t="str">
        <f>IFERROR(__xludf.DUMMYFUNCTION("""COMPUTED_VALUE"""),"7PM - 10PM")</f>
        <v>7PM - 10PM</v>
      </c>
      <c r="T78" s="7" t="str">
        <f>IFERROR(__xludf.DUMMYFUNCTION("""COMPUTED_VALUE"""),"Miércoles 19 Noviembre")</f>
        <v>Miércoles 19 Noviembre</v>
      </c>
      <c r="U78" s="7" t="str">
        <f>IFERROR(__xludf.DUMMYFUNCTION("""COMPUTED_VALUE"""),"Miércoles 10 Diciembre")</f>
        <v>Miércoles 10 Diciembre</v>
      </c>
      <c r="V78" s="8">
        <f>IFERROR(__xludf.DUMMYFUNCTION("""COMPUTED_VALUE"""),6.0)</f>
        <v>6</v>
      </c>
      <c r="W78" s="5" t="str">
        <f>IFERROR(__xludf.DUMMYFUNCTION("""COMPUTED_VALUE"""),"pdfs/BROCHURE POWER APPS &amp; AUTOMATE AVANZADO.pdf")</f>
        <v>pdfs/BROCHURE POWER APPS &amp; AUTOMATE AVANZADO.pdf</v>
      </c>
      <c r="X78" s="5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78" s="5" t="str">
        <f>IFERROR(__xludf.DUMMYFUNCTION("""COMPUTED_VALUE"""),"images/powerappavanz.jpg")</f>
        <v>images/powerappavanz.jpg</v>
      </c>
      <c r="Z78" s="5" t="str">
        <f>IFERROR(__xludf.DUMMYFUNCTION("""COMPUTED_VALUE"""),"Avalado por Microsoft Partner Network")</f>
        <v>Avalado por Microsoft Partner Network</v>
      </c>
      <c r="AA78" s="5" t="str">
        <f>IFERROR(__xludf.DUMMYFUNCTION("""COMPUTED_VALUE"""),"NO")</f>
        <v>NO</v>
      </c>
      <c r="AB78" s="6">
        <f>IFERROR(__xludf.DUMMYFUNCTION("""COMPUTED_VALUE"""),650.0)</f>
        <v>650</v>
      </c>
      <c r="AC78" s="6">
        <f>IFERROR(__xludf.DUMMYFUNCTION("""COMPUTED_VALUE"""),570.0)</f>
        <v>570</v>
      </c>
      <c r="AD78" s="6">
        <f>IFERROR(__xludf.DUMMYFUNCTION("""COMPUTED_VALUE"""),325.0)</f>
        <v>325</v>
      </c>
      <c r="AE78" s="6">
        <f>IFERROR(__xludf.DUMMYFUNCTION("""COMPUTED_VALUE"""),285.0)</f>
        <v>285</v>
      </c>
      <c r="AF78" s="6">
        <f>IFERROR(__xludf.DUMMYFUNCTION("""COMPUTED_VALUE"""),150.0)</f>
        <v>150</v>
      </c>
      <c r="AG78" s="5">
        <f>IFERROR(__xludf.DUMMYFUNCTION("""COMPUTED_VALUE"""),150.0)</f>
        <v>150</v>
      </c>
      <c r="AH78" s="5"/>
      <c r="AI78" s="5">
        <f>IFERROR(__xludf.DUMMYFUNCTION("""COMPUTED_VALUE"""),256.5)</f>
        <v>256.5</v>
      </c>
      <c r="AJ78" s="5">
        <f>IFERROR(__xludf.DUMMYFUNCTION("""COMPUTED_VALUE"""),292.5)</f>
        <v>292.5</v>
      </c>
      <c r="AK78" s="5" t="str">
        <f>IFERROR(__xludf.DUMMYFUNCTION("""COMPUTED_VALUE"""),"El futuro de los negocios es la automatización sin código 💡
Con Power Apps Avanzado diseñarás aplicaciones prácticas para optimizar procesos reales 📊.
Aquí te comparto la información 👇🏻")</f>
        <v>El futuro de los negocios es la automatización sin código 💡
Con Power Apps Avanzado diseñarás aplicaciones prácticas para optimizar procesos reales 📊.
Aquí te comparto la información 👇🏻</v>
      </c>
      <c r="AL78" s="5" t="str">
        <f>IFERROR(__xludf.DUMMYFUNCTION("""COMPUTED_VALUE"""),"⚡ Excelente, actualízate con Power Apps Avanzado y domina la automatización de procesos.")</f>
        <v>⚡ Excelente, actualízate con Power Apps Avanzado y domina la automatización de procesos.</v>
      </c>
      <c r="AM78" s="5" t="str">
        <f>IFERROR(__xludf.DUMMYFUNCTION("""COMPUTED_VALUE"""),"💼 Buenísimo, Power Apps Avanzado es muy buscado en empresas que digitalizan operaciones.")</f>
        <v>💼 Buenísimo, Power Apps Avanzado es muy buscado en empresas que digitalizan operaciones.</v>
      </c>
      <c r="AN78" s="5" t="str">
        <f>IFERROR(__xludf.DUMMYFUNCTION("""COMPUTED_VALUE"""),"🎓 ¡Genial! Con Power Apps Avanzado aprenderás a crear soluciones prácticas desde la universidad.")</f>
        <v>🎓 ¡Genial! Con Power Apps Avanzado aprenderás a crear soluciones prácticas desde la universidad.</v>
      </c>
      <c r="AO78" s="5" t="str">
        <f>IFERROR(__xludf.DUMMYFUNCTION("""COMPUTED_VALUE"""),"🚀 ¡Perfecto! Saber Power Apps Avanzado te dará ventaja frente a otros en prácticas de TI.")</f>
        <v>🚀 ¡Perfecto! Saber Power Apps Avanzado te dará ventaja frente a otros en prácticas de TI.</v>
      </c>
      <c r="AP78" s="5" t="str">
        <f>IFERROR(__xludf.DUMMYFUNCTION("""COMPUTED_VALUE"""),"📊 ¡Excelente! Con Power Apps Avanzado podrás optimizar tus procesos de negocio con apps propias.")</f>
        <v>📊 ¡Excelente! Con Power Apps Avanzado podrás optimizar tus procesos de negocio con apps propias.</v>
      </c>
      <c r="AQ78" s="9" t="str">
        <f>IFERROR(__xludf.DUMMYFUNCTION("""COMPUTED_VALUE"""),"https://we-educacion.com/slides/power-apps-automate-avanzado-1112")</f>
        <v>https://we-educacion.com/slides/power-apps-automate-avanzado-1112</v>
      </c>
      <c r="AR78" s="5">
        <v>1.0</v>
      </c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</row>
    <row r="79" ht="15.75" customHeight="1">
      <c r="A79" s="5" t="s">
        <v>121</v>
      </c>
      <c r="B79" s="5" t="str">
        <f t="shared" si="1"/>
        <v>NOV. I - ED25</v>
      </c>
      <c r="C79" s="6" t="str">
        <f>IFERROR(__xludf.DUMMYFUNCTION("""COMPUTED_VALUE"""),"PROCESOS")</f>
        <v>PROCESOS</v>
      </c>
      <c r="D79" s="5" t="str">
        <f>IFERROR(__xludf.DUMMYFUNCTION("""COMPUTED_VALUE"""),"ESP.")</f>
        <v>ESP.</v>
      </c>
      <c r="E79" s="6" t="str">
        <f>IFERROR(__xludf.DUMMYFUNCTION("""COMPUTED_VALUE"""),"ESP. POWER APPS Y AUT.")</f>
        <v>ESP. POWER APPS Y AUT.</v>
      </c>
      <c r="F79" s="7">
        <f>IFERROR(__xludf.DUMMYFUNCTION("""COMPUTED_VALUE"""),45983.0)</f>
        <v>45983</v>
      </c>
      <c r="G79" s="6" t="str">
        <f>IFERROR(__xludf.DUMMYFUNCTION("""COMPUTED_VALUE"""),"POWER APPS Y AUT.")</f>
        <v>POWER APPS Y AUT.</v>
      </c>
      <c r="H79" s="7">
        <f>IFERROR(__xludf.DUMMYFUNCTION("""COMPUTED_VALUE"""),45983.0)</f>
        <v>45983</v>
      </c>
      <c r="I79" s="6" t="str">
        <f>IFERROR(__xludf.DUMMYFUNCTION("""COMPUTED_VALUE"""),"POWER APPS AVANZ")</f>
        <v>POWER APPS AVANZ</v>
      </c>
      <c r="J79" s="7">
        <f>IFERROR(__xludf.DUMMYFUNCTION("""COMPUTED_VALUE"""),46025.0)</f>
        <v>46025</v>
      </c>
      <c r="K79" s="6"/>
      <c r="L79" s="7"/>
      <c r="M79" s="6"/>
      <c r="N79" s="7"/>
      <c r="O79" s="6"/>
      <c r="P79" s="7"/>
      <c r="Q79" s="6" t="str">
        <f>IFERROR(__xludf.DUMMYFUNCTION("""COMPUTED_VALUE"""),"Luis Espejo
Jesús Gaspar")</f>
        <v>Luis Espejo
Jesús Gaspar</v>
      </c>
      <c r="R79" s="5" t="str">
        <f>IFERROR(__xludf.DUMMYFUNCTION("""COMPUTED_VALUE"""),"Sáb")</f>
        <v>Sáb</v>
      </c>
      <c r="S79" s="6" t="str">
        <f>IFERROR(__xludf.DUMMYFUNCTION("""COMPUTED_VALUE"""),"3PM - 6PM")</f>
        <v>3PM - 6PM</v>
      </c>
      <c r="T79" s="7" t="str">
        <f>IFERROR(__xludf.DUMMYFUNCTION("""COMPUTED_VALUE"""),"Sábado 22 Noviembre")</f>
        <v>Sábado 22 Noviembre</v>
      </c>
      <c r="U79" s="7" t="str">
        <f>IFERROR(__xludf.DUMMYFUNCTION("""COMPUTED_VALUE"""),"Sábado 7 Febrero")</f>
        <v>Sábado 7 Febrero</v>
      </c>
      <c r="V79" s="8">
        <f>IFERROR(__xludf.DUMMYFUNCTION("""COMPUTED_VALUE"""),12.0)</f>
        <v>12</v>
      </c>
      <c r="W79" s="5" t="str">
        <f>IFERROR(__xludf.DUMMYFUNCTION("""COMPUTED_VALUE"""),"pdfs/BROCHURE ESPECIALIZACION DE POWER APSS Y POWER AUTOMATE")</f>
        <v>pdfs/BROCHURE ESPECIALIZACION DE POWER APSS Y POWER AUTOMATE</v>
      </c>
      <c r="X79" s="5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79" s="5" t="str">
        <f>IFERROR(__xludf.DUMMYFUNCTION("""COMPUTED_VALUE"""),"images/esppowerapp.jpg")</f>
        <v>images/esppowerapp.jpg</v>
      </c>
      <c r="Z79" s="5" t="str">
        <f>IFERROR(__xludf.DUMMYFUNCTION("""COMPUTED_VALUE"""),"Avalado por Microsoft Partner Network")</f>
        <v>Avalado por Microsoft Partner Network</v>
      </c>
      <c r="AA79" s="5" t="str">
        <f>IFERROR(__xludf.DUMMYFUNCTION("""COMPUTED_VALUE"""),"NO")</f>
        <v>NO</v>
      </c>
      <c r="AB79" s="6">
        <f>IFERROR(__xludf.DUMMYFUNCTION("""COMPUTED_VALUE"""),1300.0)</f>
        <v>1300</v>
      </c>
      <c r="AC79" s="6">
        <f>IFERROR(__xludf.DUMMYFUNCTION("""COMPUTED_VALUE"""),1140.0)</f>
        <v>1140</v>
      </c>
      <c r="AD79" s="6">
        <f>IFERROR(__xludf.DUMMYFUNCTION("""COMPUTED_VALUE"""),650.0)</f>
        <v>650</v>
      </c>
      <c r="AE79" s="6">
        <f>IFERROR(__xludf.DUMMYFUNCTION("""COMPUTED_VALUE"""),570.0)</f>
        <v>570</v>
      </c>
      <c r="AF79" s="6">
        <f>IFERROR(__xludf.DUMMYFUNCTION("""COMPUTED_VALUE"""),250.0)</f>
        <v>250</v>
      </c>
      <c r="AG79" s="5">
        <f>IFERROR(__xludf.DUMMYFUNCTION("""COMPUTED_VALUE"""),350.0)</f>
        <v>350</v>
      </c>
      <c r="AH79" s="5"/>
      <c r="AI79" s="5">
        <f>IFERROR(__xludf.DUMMYFUNCTION("""COMPUTED_VALUE"""),513.0)</f>
        <v>513</v>
      </c>
      <c r="AJ79" s="5">
        <f>IFERROR(__xludf.DUMMYFUNCTION("""COMPUTED_VALUE"""),585.0)</f>
        <v>585</v>
      </c>
      <c r="AK79" s="5" t="str">
        <f>IFERROR(__xludf.DUMMYFUNCTION("""COMPUTED_VALUE"""),"La transformación digital está en tus manos 📲
Domina Power Apps y Power Automate para crear soluciones ágiles sin necesidad de programar 🤖
👉🏻 Te paso la información.")</f>
        <v>La transformación digital está en tus manos 📲
Domina Power Apps y Power Automate para crear soluciones ágiles sin necesidad de programar 🤖
👉🏻 Te paso la información.</v>
      </c>
      <c r="AL79" s="5" t="str">
        <f>IFERROR(__xludf.DUMMYFUNCTION("""COMPUTED_VALUE"""),"⚡ Excelente, actualízate en Power Apps y Automatización y crea soluciones innovadoras.")</f>
        <v>⚡ Excelente, actualízate en Power Apps y Automatización y crea soluciones innovadoras.</v>
      </c>
      <c r="AM79" s="5" t="str">
        <f>IFERROR(__xludf.DUMMYFUNCTION("""COMPUTED_VALUE"""),"🚀 Buenísimo, empresas buscan expertos en digitalización de procesos.")</f>
        <v>🚀 Buenísimo, empresas buscan expertos en digitalización de procesos.</v>
      </c>
      <c r="AN79" s="5" t="str">
        <f>IFERROR(__xludf.DUMMYFUNCTION("""COMPUTED_VALUE"""),"💡 Genial, estas herramientas harán tu perfil altamente competitivo.")</f>
        <v>💡 Genial, estas herramientas harán tu perfil altamente competitivo.</v>
      </c>
      <c r="AO79" s="5" t="str">
        <f>IFERROR(__xludf.DUMMYFUNCTION("""COMPUTED_VALUE"""),"📋 Perfecto, tendrás ventaja inmediata en prácticas de automatización.")</f>
        <v>📋 Perfecto, tendrás ventaja inmediata en prácticas de automatización.</v>
      </c>
      <c r="AP79" s="5" t="str">
        <f>IFERROR(__xludf.DUMMYFUNCTION("""COMPUTED_VALUE"""),"📊 Excelente, podrás crear apps propias y automatizar tu negocio.")</f>
        <v>📊 Excelente, podrás crear apps propias y automatizar tu negocio.</v>
      </c>
      <c r="AQ79" s="9" t="str">
        <f>IFERROR(__xludf.DUMMYFUNCTION("""COMPUTED_VALUE"""),"https://we-educacion.com/slides/especializacion-en-power-apps-automate-1113")</f>
        <v>https://we-educacion.com/slides/especializacion-en-power-apps-automate-1113</v>
      </c>
      <c r="AR79" s="5">
        <v>1.0</v>
      </c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</row>
    <row r="80" ht="15.75" customHeight="1">
      <c r="A80" s="5" t="s">
        <v>122</v>
      </c>
      <c r="B80" s="5" t="str">
        <f t="shared" si="1"/>
        <v>NOV. I - ED25</v>
      </c>
      <c r="C80" s="6" t="str">
        <f>IFERROR(__xludf.DUMMYFUNCTION("""COMPUTED_VALUE"""),"PROCESOS")</f>
        <v>PROCESOS</v>
      </c>
      <c r="D80" s="5" t="str">
        <f>IFERROR(__xludf.DUMMYFUNCTION("""COMPUTED_VALUE"""),"CURSO")</f>
        <v>CURSO</v>
      </c>
      <c r="E80" s="6" t="str">
        <f>IFERROR(__xludf.DUMMYFUNCTION("""COMPUTED_VALUE"""),"POWER APPS Y AUT.")</f>
        <v>POWER APPS Y AUT.</v>
      </c>
      <c r="F80" s="7">
        <f>IFERROR(__xludf.DUMMYFUNCTION("""COMPUTED_VALUE"""),45983.0)</f>
        <v>45983</v>
      </c>
      <c r="G80" s="6"/>
      <c r="H80" s="7"/>
      <c r="I80" s="6"/>
      <c r="J80" s="7"/>
      <c r="K80" s="6"/>
      <c r="L80" s="7"/>
      <c r="M80" s="6"/>
      <c r="N80" s="7"/>
      <c r="O80" s="6"/>
      <c r="P80" s="7"/>
      <c r="Q80" s="6" t="str">
        <f>IFERROR(__xludf.DUMMYFUNCTION("""COMPUTED_VALUE"""),"Luis Espejo")</f>
        <v>Luis Espejo</v>
      </c>
      <c r="R80" s="5" t="str">
        <f>IFERROR(__xludf.DUMMYFUNCTION("""COMPUTED_VALUE"""),"Sáb")</f>
        <v>Sáb</v>
      </c>
      <c r="S80" s="6" t="str">
        <f>IFERROR(__xludf.DUMMYFUNCTION("""COMPUTED_VALUE"""),"3PM - 6PM")</f>
        <v>3PM - 6PM</v>
      </c>
      <c r="T80" s="7" t="str">
        <f>IFERROR(__xludf.DUMMYFUNCTION("""COMPUTED_VALUE"""),"Sábado 22 Noviembre")</f>
        <v>Sábado 22 Noviembre</v>
      </c>
      <c r="U80" s="7" t="str">
        <f>IFERROR(__xludf.DUMMYFUNCTION("""COMPUTED_VALUE"""),"Sábado 27 Diciembre")</f>
        <v>Sábado 27 Diciembre</v>
      </c>
      <c r="V80" s="8">
        <f>IFERROR(__xludf.DUMMYFUNCTION("""COMPUTED_VALUE"""),6.0)</f>
        <v>6</v>
      </c>
      <c r="W80" s="5" t="str">
        <f>IFERROR(__xludf.DUMMYFUNCTION("""COMPUTED_VALUE"""),"pdfs/BROCHURE POWER APPS &amp; AUTOMATE.pdf")</f>
        <v>pdfs/BROCHURE POWER APPS &amp; AUTOMATE.pdf</v>
      </c>
      <c r="X80" s="5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80" s="5" t="str">
        <f>IFERROR(__xludf.DUMMYFUNCTION("""COMPUTED_VALUE"""),"images/powerapp.jpg")</f>
        <v>images/powerapp.jpg</v>
      </c>
      <c r="Z80" s="5" t="str">
        <f>IFERROR(__xludf.DUMMYFUNCTION("""COMPUTED_VALUE"""),"Avalado por Microsoft Partner Network")</f>
        <v>Avalado por Microsoft Partner Network</v>
      </c>
      <c r="AA80" s="5" t="str">
        <f>IFERROR(__xludf.DUMMYFUNCTION("""COMPUTED_VALUE"""),"NO")</f>
        <v>NO</v>
      </c>
      <c r="AB80" s="6">
        <f>IFERROR(__xludf.DUMMYFUNCTION("""COMPUTED_VALUE"""),650.0)</f>
        <v>650</v>
      </c>
      <c r="AC80" s="6">
        <f>IFERROR(__xludf.DUMMYFUNCTION("""COMPUTED_VALUE"""),570.0)</f>
        <v>570</v>
      </c>
      <c r="AD80" s="6">
        <f>IFERROR(__xludf.DUMMYFUNCTION("""COMPUTED_VALUE"""),325.0)</f>
        <v>325</v>
      </c>
      <c r="AE80" s="6">
        <f>IFERROR(__xludf.DUMMYFUNCTION("""COMPUTED_VALUE"""),285.0)</f>
        <v>285</v>
      </c>
      <c r="AF80" s="6">
        <f>IFERROR(__xludf.DUMMYFUNCTION("""COMPUTED_VALUE"""),150.0)</f>
        <v>150</v>
      </c>
      <c r="AG80" s="5">
        <f>IFERROR(__xludf.DUMMYFUNCTION("""COMPUTED_VALUE"""),150.0)</f>
        <v>150</v>
      </c>
      <c r="AH80" s="5"/>
      <c r="AI80" s="5">
        <f>IFERROR(__xludf.DUMMYFUNCTION("""COMPUTED_VALUE"""),256.5)</f>
        <v>256.5</v>
      </c>
      <c r="AJ80" s="5">
        <f>IFERROR(__xludf.DUMMYFUNCTION("""COMPUTED_VALUE"""),292.5)</f>
        <v>292.5</v>
      </c>
      <c r="AK80" s="5" t="str">
        <f>IFERROR(__xludf.DUMMYFUNCTION("""COMPUTED_VALUE"""),"Los líderes modernos impulsan la eficiencia con automatización inteligente 🤖
Con este programa dominarás Power Apps y Power Automate para transformar procesos empresariales 🚀.
Aquí la info completa 👇🏻")</f>
        <v>Los líderes modernos impulsan la eficiencia con automatización inteligente 🤖
Con este programa dominarás Power Apps y Power Automate para transformar procesos empresariales 🚀.
Aquí la info completa 👇🏻</v>
      </c>
      <c r="AL80" s="5" t="str">
        <f>IFERROR(__xludf.DUMMYFUNCTION("""COMPUTED_VALUE"""),"⚡ Excelente, actualízate con Power Apps y Automatización, la clave para transformar procesos digitales.")</f>
        <v>⚡ Excelente, actualízate con Power Apps y Automatización, la clave para transformar procesos digitales.</v>
      </c>
      <c r="AM80" s="5" t="str">
        <f>IFERROR(__xludf.DUMMYFUNCTION("""COMPUTED_VALUE"""),"💼 Buenísimo, Power Apps y Automatización es muy demandado en empresas que buscan eficiencia.")</f>
        <v>💼 Buenísimo, Power Apps y Automatización es muy demandado en empresas que buscan eficiencia.</v>
      </c>
      <c r="AN80" s="5" t="str">
        <f>IFERROR(__xludf.DUMMYFUNCTION("""COMPUTED_VALUE"""),"🎓 ¡Genial! Aprender automatización desde la universidad te dará una gran ventaja en el futuro.")</f>
        <v>🎓 ¡Genial! Aprender automatización desde la universidad te dará una gran ventaja en el futuro.</v>
      </c>
      <c r="AO80" s="5" t="str">
        <f>IFERROR(__xludf.DUMMYFUNCTION("""COMPUTED_VALUE"""),"🚀 ¡Perfecto! Con Power Apps y Automatización destacarás en prácticas en áreas de innovación.")</f>
        <v>🚀 ¡Perfecto! Con Power Apps y Automatización destacarás en prácticas en áreas de innovación.</v>
      </c>
      <c r="AP80" s="5" t="str">
        <f>IFERROR(__xludf.DUMMYFUNCTION("""COMPUTED_VALUE"""),"📊 ¡Excelente! Podrás crear soluciones automáticas para tu negocio y optimizar tu tiempo.")</f>
        <v>📊 ¡Excelente! Podrás crear soluciones automáticas para tu negocio y optimizar tu tiempo.</v>
      </c>
      <c r="AQ80" s="9" t="str">
        <f>IFERROR(__xludf.DUMMYFUNCTION("""COMPUTED_VALUE"""),"https://we-educacion.com/slides/power-apps-automate-1073")</f>
        <v>https://we-educacion.com/slides/power-apps-automate-1073</v>
      </c>
      <c r="AR80" s="5">
        <v>1.0</v>
      </c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</row>
    <row r="81" ht="15.75" customHeight="1">
      <c r="A81" s="5" t="s">
        <v>123</v>
      </c>
      <c r="B81" s="5" t="str">
        <f t="shared" si="1"/>
        <v>NOV. I - ED25</v>
      </c>
      <c r="C81" s="6" t="str">
        <f>IFERROR(__xludf.DUMMYFUNCTION("""COMPUTED_VALUE"""),"PROCESOS")</f>
        <v>PROCESOS</v>
      </c>
      <c r="D81" s="6" t="str">
        <f>IFERROR(__xludf.DUMMYFUNCTION("""COMPUTED_VALUE"""),"CURSO")</f>
        <v>CURSO</v>
      </c>
      <c r="E81" s="6" t="str">
        <f>IFERROR(__xludf.DUMMYFUNCTION("""COMPUTED_VALUE"""),"LEAN SIX SIGMA YELLOW")</f>
        <v>LEAN SIX SIGMA YELLOW</v>
      </c>
      <c r="F81" s="7">
        <f>IFERROR(__xludf.DUMMYFUNCTION("""COMPUTED_VALUE"""),45984.0)</f>
        <v>45984</v>
      </c>
      <c r="G81" s="6"/>
      <c r="H81" s="7"/>
      <c r="I81" s="6"/>
      <c r="J81" s="7"/>
      <c r="K81" s="6"/>
      <c r="L81" s="7"/>
      <c r="M81" s="6"/>
      <c r="N81" s="7"/>
      <c r="O81" s="6"/>
      <c r="P81" s="7"/>
      <c r="Q81" s="6" t="str">
        <f>IFERROR(__xludf.DUMMYFUNCTION("""COMPUTED_VALUE"""),"Monica Olivas")</f>
        <v>Monica Olivas</v>
      </c>
      <c r="R81" s="5" t="str">
        <f>IFERROR(__xludf.DUMMYFUNCTION("""COMPUTED_VALUE"""),"Dom")</f>
        <v>Dom</v>
      </c>
      <c r="S81" s="6" t="str">
        <f>IFERROR(__xludf.DUMMYFUNCTION("""COMPUTED_VALUE"""),"9AM - 12PM")</f>
        <v>9AM - 12PM</v>
      </c>
      <c r="T81" s="7" t="str">
        <f>IFERROR(__xludf.DUMMYFUNCTION("""COMPUTED_VALUE"""),"Domingo 23 Noviembre")</f>
        <v>Domingo 23 Noviembre</v>
      </c>
      <c r="U81" s="7" t="str">
        <f>IFERROR(__xludf.DUMMYFUNCTION("""COMPUTED_VALUE"""),"Domingo 28 Diciembre")</f>
        <v>Domingo 28 Diciembre</v>
      </c>
      <c r="V81" s="8">
        <f>IFERROR(__xludf.DUMMYFUNCTION("""COMPUTED_VALUE"""),6.0)</f>
        <v>6</v>
      </c>
      <c r="W81" s="5" t="str">
        <f>IFERROR(__xludf.DUMMYFUNCTION("""COMPUTED_VALUE"""),"pdfs/BROCHURE LEAN SIX SIGMA YELLOW BELT.pdf")</f>
        <v>pdfs/BROCHURE LEAN SIX SIGMA YELLOW BELT.pdf</v>
      </c>
      <c r="X81" s="5" t="str">
        <f>IFERROR(__xludf.DUMMYFUNCTION("""COMPUTED_VALUE"""),"🔵  *Utilizarán Minitab* 👩🏻‍💻
👉🏻 Incluye tutorial y manual de instalación
💻 _*Importante*: Para la instalación se necesita una Laptop *Windows*_
🚨 *Por favor, revisa el BROCHURE* 👇🏻
Aqui encontrarás la información completa del programa, el TEMAR"&amp;"IO (malla curricular) y todos los BENEFICIOS 📚")</f>
        <v>🔵  *Utilizarán Minitab* 👩🏻‍💻
👉🏻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81" s="5" t="str">
        <f>IFERROR(__xludf.DUMMYFUNCTION("""COMPUTED_VALUE"""),"images/leansix.jpg")</f>
        <v>images/leansix.jpg</v>
      </c>
      <c r="Z81" s="5"/>
      <c r="AA81" s="5" t="str">
        <f>IFERROR(__xludf.DUMMYFUNCTION("""COMPUTED_VALUE"""),"NO")</f>
        <v>NO</v>
      </c>
      <c r="AB81" s="6">
        <f>IFERROR(__xludf.DUMMYFUNCTION("""COMPUTED_VALUE"""),820.0)</f>
        <v>820</v>
      </c>
      <c r="AC81" s="6">
        <f>IFERROR(__xludf.DUMMYFUNCTION("""COMPUTED_VALUE"""),750.0)</f>
        <v>750</v>
      </c>
      <c r="AD81" s="6">
        <f>IFERROR(__xludf.DUMMYFUNCTION("""COMPUTED_VALUE"""),410.0)</f>
        <v>410</v>
      </c>
      <c r="AE81" s="6">
        <f>IFERROR(__xludf.DUMMYFUNCTION("""COMPUTED_VALUE"""),375.0)</f>
        <v>375</v>
      </c>
      <c r="AF81" s="6">
        <f>IFERROR(__xludf.DUMMYFUNCTION("""COMPUTED_VALUE"""),150.0)</f>
        <v>150</v>
      </c>
      <c r="AG81" s="5">
        <f>IFERROR(__xludf.DUMMYFUNCTION("""COMPUTED_VALUE"""),150.0)</f>
        <v>150</v>
      </c>
      <c r="AH81" s="5"/>
      <c r="AI81" s="5">
        <f>IFERROR(__xludf.DUMMYFUNCTION("""COMPUTED_VALUE"""),337.5)</f>
        <v>337.5</v>
      </c>
      <c r="AJ81" s="5">
        <f>IFERROR(__xludf.DUMMYFUNCTION("""COMPUTED_VALUE"""),369.0)</f>
        <v>369</v>
      </c>
      <c r="AK81" s="5" t="str">
        <f>IFERROR(__xludf.DUMMYFUNCTION("""COMPUTED_VALUE"""),"El primer paso hacia la excelencia es Lean Six Sigma Yellow Belt 🚀
Dominarás las bases de mejora continua y herramientas clave para procesos más eficientes 📊.
Aquí te comparto la información 👇🏻")</f>
        <v>El primer paso hacia la excelencia es Lean Six Sigma Yellow Belt 🚀
Dominarás las bases de mejora continua y herramientas clave para procesos más eficientes 📊.
Aquí te comparto la información 👇🏻</v>
      </c>
      <c r="AL81" s="5" t="str">
        <f>IFERROR(__xludf.DUMMYFUNCTION("""COMPUTED_VALUE"""),"📘 *Excelente*, actualízate con *LEAN SIX SIGMA YELLOW* y mantente competitivo en el mercado laboral.")</f>
        <v>📘 *Excelente*, actualízate con *LEAN SIX SIGMA YELLOW* y mantente competitivo en el mercado laboral.</v>
      </c>
      <c r="AM81" s="5" t="str">
        <f>IFERROR(__xludf.DUMMYFUNCTION("""COMPUTED_VALUE"""),"📈 Buenísimo, *LEAN SIX SIGMA YELLOW* es de las competencias más pedidas por las empresas y aumentará tus oportunidades laborales.")</f>
        <v>📈 Buenísimo, *LEAN SIX SIGMA YELLOW* es de las competencias más pedidas por las empresas y aumentará tus oportunidades laborales.</v>
      </c>
      <c r="AN81" s="5" t="str">
        <f>IFERROR(__xludf.DUMMYFUNCTION("""COMPUTED_VALUE"""),"⚡ ¡Genial! Con *LEAN SIX SIGMA YELLOW* sumarás una habilidad poderosa que te diferenciará desde la universidad.")</f>
        <v>⚡ ¡Genial! Con *LEAN SIX SIGMA YELLOW* sumarás una habilidad poderosa que te diferenciará desde la universidad.</v>
      </c>
      <c r="AO81" s="5" t="str">
        <f>IFERROR(__xludf.DUMMYFUNCTION("""COMPUTED_VALUE"""),"💼 ¡Perfecto! Saber *LEAN SIX SIGMA YELLOW* te dará ventaja frente a otros postulantes para conseguir prácticas.")</f>
        <v>💼 ¡Perfecto! Saber *LEAN SIX SIGMA YELLOW* te dará ventaja frente a otros postulantes para conseguir prácticas.</v>
      </c>
      <c r="AP81" s="5" t="str">
        <f>IFERROR(__xludf.DUMMYFUNCTION("""COMPUTED_VALUE"""),"📘 ¡Excelente! Con *LEAN SIX SIGMA YELLOW* podrás aplicarlo en tu negocio y tomar decisiones más inteligentes.")</f>
        <v>📘 ¡Excelente! Con *LEAN SIX SIGMA YELLOW* podrás aplicarlo en tu negocio y tomar decisiones más inteligentes.</v>
      </c>
      <c r="AQ81" s="9" t="str">
        <f>IFERROR(__xludf.DUMMYFUNCTION("""COMPUTED_VALUE"""),"https://we-educacion.com/slides/lean-six-sigma-yellow-belt-119")</f>
        <v>https://we-educacion.com/slides/lean-six-sigma-yellow-belt-119</v>
      </c>
      <c r="AR81" s="5">
        <v>1.0</v>
      </c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</row>
    <row r="82" ht="15.75" customHeight="1">
      <c r="A82" s="5" t="s">
        <v>124</v>
      </c>
      <c r="B82" s="5" t="str">
        <f t="shared" si="1"/>
        <v>NOV. I - ED25</v>
      </c>
      <c r="C82" s="6" t="str">
        <f>IFERROR(__xludf.DUMMYFUNCTION("""COMPUTED_VALUE"""),"BI")</f>
        <v>BI</v>
      </c>
      <c r="D82" s="5" t="str">
        <f>IFERROR(__xludf.DUMMYFUNCTION("""COMPUTED_VALUE"""),"CURSO")</f>
        <v>CURSO</v>
      </c>
      <c r="E82" s="6" t="str">
        <f>IFERROR(__xludf.DUMMYFUNCTION("""COMPUTED_VALUE"""),"IA &amp; DEEP LEARNING V2")</f>
        <v>IA &amp; DEEP LEARNING V2</v>
      </c>
      <c r="F82" s="7">
        <f>IFERROR(__xludf.DUMMYFUNCTION("""COMPUTED_VALUE"""),45984.0)</f>
        <v>45984</v>
      </c>
      <c r="G82" s="6"/>
      <c r="H82" s="7"/>
      <c r="I82" s="6"/>
      <c r="J82" s="7"/>
      <c r="K82" s="6"/>
      <c r="L82" s="7"/>
      <c r="M82" s="6"/>
      <c r="N82" s="7"/>
      <c r="O82" s="6"/>
      <c r="P82" s="7"/>
      <c r="Q82" s="6" t="str">
        <f>IFERROR(__xludf.DUMMYFUNCTION("""COMPUTED_VALUE"""),"Joselin Diestra")</f>
        <v>Joselin Diestra</v>
      </c>
      <c r="R82" s="5" t="str">
        <f>IFERROR(__xludf.DUMMYFUNCTION("""COMPUTED_VALUE"""),"Dom")</f>
        <v>Dom</v>
      </c>
      <c r="S82" s="6" t="str">
        <f>IFERROR(__xludf.DUMMYFUNCTION("""COMPUTED_VALUE"""),"9AM - 12PM")</f>
        <v>9AM - 12PM</v>
      </c>
      <c r="T82" s="7" t="str">
        <f>IFERROR(__xludf.DUMMYFUNCTION("""COMPUTED_VALUE"""),"Domingo 23 Noviembre")</f>
        <v>Domingo 23 Noviembre</v>
      </c>
      <c r="U82" s="7" t="str">
        <f>IFERROR(__xludf.DUMMYFUNCTION("""COMPUTED_VALUE"""),"Domingo 28 Diciembre")</f>
        <v>Domingo 28 Diciembre</v>
      </c>
      <c r="V82" s="8">
        <f>IFERROR(__xludf.DUMMYFUNCTION("""COMPUTED_VALUE"""),6.0)</f>
        <v>6</v>
      </c>
      <c r="W82" s="5" t="str">
        <f>IFERROR(__xludf.DUMMYFUNCTION("""COMPUTED_VALUE"""),"pdfs/BROCHURE IA &amp; DEEP LEARNING.pdf")</f>
        <v>pdfs/BROCHURE IA &amp; DEEP LEARNING.pdf</v>
      </c>
      <c r="X82" s="5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02 Cursos Online de regalo con acceso ilimitado 📚
🔹 Desarro"&amp;"llo y seguimiento de tu proyecto *(Evaluado)*
🔹 Garantía de Aprendizaje 100% 
🔹 *Necesitas tener conocimientos en PYTHON* 👩🏻‍💻
👉🏼 ¡Te regalamos el Curso Online Certificado!
👉🏼 Incluye tutorial y manual de instalación
*¡Certificado Adicio"&amp;"nal!* ⭐
👉🏻 Certificado *Artificial Intelligence Professional* tiene la inversión de *$50* ~(Normal $150)~
_Incluye material de práctica y 2 intentos del examen_
🚨 *Revisa el BROCHURE* 👇🏻")</f>
        <v>🔵 *Conoce TODOS los BENEFICIOS a los que accedes*
🔹 Acceso a *Campus Virtual* WE 👩🏻‍🏫
🔹 Material digital y grabación de clases 
🔹 Certificado digital con respaldo *IBM Partner*
🔹 02 Cursos Online de regalo con acceso ilimitado 📚
🔹 Desarrollo y seguimiento de tu proyecto *(Evaluado)*
🔹 Garantía de Aprendizaje 100% 
🔹 *Necesitas tener conocimientos en PYTHON* 👩🏻‍💻
👉🏼 ¡Te regalamos el Curso Online Certificado!
👉🏼 Incluye tutorial y manual de instalación
*¡Certificado Adicional!* ⭐
👉🏻 Certificado *Artificial Intelligence Professional* tiene la inversión de *$50* ~(Normal $150)~
_Incluye material de práctica y 2 intentos del examen_
🚨 *Revisa el BROCHURE* 👇🏻</v>
      </c>
      <c r="Y82" s="5" t="str">
        <f>IFERROR(__xludf.DUMMYFUNCTION("""COMPUTED_VALUE"""),"images/iadeep.jpg")</f>
        <v>images/iadeep.jpg</v>
      </c>
      <c r="Z82" s="5" t="str">
        <f>IFERROR(__xludf.DUMMYFUNCTION("""COMPUTED_VALUE"""),"Avalado por IBM® Partner World")</f>
        <v>Avalado por IBM® Partner World</v>
      </c>
      <c r="AA82" s="5" t="str">
        <f>IFERROR(__xludf.DUMMYFUNCTION("""COMPUTED_VALUE"""),"SI")</f>
        <v>SI</v>
      </c>
      <c r="AB82" s="6">
        <f>IFERROR(__xludf.DUMMYFUNCTION("""COMPUTED_VALUE"""),690.0)</f>
        <v>690</v>
      </c>
      <c r="AC82" s="6">
        <f>IFERROR(__xludf.DUMMYFUNCTION("""COMPUTED_VALUE"""),640.0)</f>
        <v>640</v>
      </c>
      <c r="AD82" s="6">
        <f>IFERROR(__xludf.DUMMYFUNCTION("""COMPUTED_VALUE"""),345.0)</f>
        <v>345</v>
      </c>
      <c r="AE82" s="6">
        <f>IFERROR(__xludf.DUMMYFUNCTION("""COMPUTED_VALUE"""),320.0)</f>
        <v>320</v>
      </c>
      <c r="AF82" s="6">
        <f>IFERROR(__xludf.DUMMYFUNCTION("""COMPUTED_VALUE"""),150.0)</f>
        <v>150</v>
      </c>
      <c r="AG82" s="5">
        <f>IFERROR(__xludf.DUMMYFUNCTION("""COMPUTED_VALUE"""),150.0)</f>
        <v>150</v>
      </c>
      <c r="AH82" s="5"/>
      <c r="AI82" s="5">
        <f>IFERROR(__xludf.DUMMYFUNCTION("""COMPUTED_VALUE"""),288.0)</f>
        <v>288</v>
      </c>
      <c r="AJ82" s="5">
        <f>IFERROR(__xludf.DUMMYFUNCTION("""COMPUTED_VALUE"""),310.5)</f>
        <v>310.5</v>
      </c>
      <c r="AK82" s="5" t="str">
        <f>IFERROR(__xludf.DUMMYFUNCTION("""COMPUTED_VALUE"""),"El futuro se diseña con Inteligencia Artificial 🚀
Con IA &amp; Deep Learning V2 aprenderás a crear modelos avanzados de predicción y análisis aplicados en proyectos reales 💻.
Aquí tienes la información 👇🏻")</f>
        <v>El futuro se diseña con Inteligencia Artificial 🚀
Con IA &amp; Deep Learning V2 aprenderás a crear modelos avanzados de predicción y análisis aplicados en proyectos reales 💻.
Aquí tienes la información 👇🏻</v>
      </c>
      <c r="AL82" s="5" t="str">
        <f>IFERROR(__xludf.DUMMYFUNCTION("""COMPUTED_VALUE"""),"🔑 *Excelente*, actualízate con *IA &amp; DEEP LEARNING V2* y mantente competitivo en el mercado laboral.")</f>
        <v>🔑 *Excelente*, actualízate con *IA &amp; DEEP LEARNING V2* y mantente competitivo en el mercado laboral.</v>
      </c>
      <c r="AM82" s="5" t="str">
        <f>IFERROR(__xludf.DUMMYFUNCTION("""COMPUTED_VALUE"""),"⚡ Buenísimo, *IA &amp; DEEP LEARNING V2* es de las competencias más pedidas por las empresas y aumentará tus oportunidades laborales.")</f>
        <v>⚡ Buenísimo, *IA &amp; DEEP LEARNING V2* es de las competencias más pedidas por las empresas y aumentará tus oportunidades laborales.</v>
      </c>
      <c r="AN82" s="5" t="str">
        <f>IFERROR(__xludf.DUMMYFUNCTION("""COMPUTED_VALUE"""),"⚡ ¡Genial! Con *IA &amp; DEEP LEARNING V2* sumarás una habilidad poderosa que te diferenciará desde la universidad.")</f>
        <v>⚡ ¡Genial! Con *IA &amp; DEEP LEARNING V2* sumarás una habilidad poderosa que te diferenciará desde la universidad.</v>
      </c>
      <c r="AO82" s="5" t="str">
        <f>IFERROR(__xludf.DUMMYFUNCTION("""COMPUTED_VALUE"""),"🛠️ ¡Perfecto! Saber *IA &amp; DEEP LEARNING V2* te dará ventaja frente a otros postulantes para conseguir prácticas.")</f>
        <v>🛠️ ¡Perfecto! Saber *IA &amp; DEEP LEARNING V2* te dará ventaja frente a otros postulantes para conseguir prácticas.</v>
      </c>
      <c r="AP82" s="5" t="str">
        <f>IFERROR(__xludf.DUMMYFUNCTION("""COMPUTED_VALUE"""),"🌍 ¡Excelente! Con *IA &amp; DEEP LEARNING V2* podrás aplicarlo en tu negocio y tomar decisiones más inteligentes.")</f>
        <v>🌍 ¡Excelente! Con *IA &amp; DEEP LEARNING V2* podrás aplicarlo en tu negocio y tomar decisiones más inteligentes.</v>
      </c>
      <c r="AQ82" s="9" t="str">
        <f>IFERROR(__xludf.DUMMYFUNCTION("""COMPUTED_VALUE"""),"https://we-educacion.com/slides/ia-deep-learning-1071#")</f>
        <v>https://we-educacion.com/slides/ia-deep-learning-1071#</v>
      </c>
      <c r="AR82" s="5">
        <v>1.0</v>
      </c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</row>
    <row r="83" ht="15.75" customHeight="1">
      <c r="A83" s="5" t="s">
        <v>125</v>
      </c>
      <c r="B83" s="5" t="str">
        <f t="shared" si="1"/>
        <v>NOV. II - ED25</v>
      </c>
      <c r="C83" s="6" t="str">
        <f>IFERROR(__xludf.DUMMYFUNCTION("""COMPUTED_VALUE"""),"PROYECTOS")</f>
        <v>PROYECTOS</v>
      </c>
      <c r="D83" s="5" t="str">
        <f>IFERROR(__xludf.DUMMYFUNCTION("""COMPUTED_VALUE"""),"CURSO")</f>
        <v>CURSO</v>
      </c>
      <c r="E83" s="6" t="str">
        <f>IFERROR(__xludf.DUMMYFUNCTION("""COMPUTED_VALUE"""),"GEST. ÁGIL PROYECT")</f>
        <v>GEST. ÁGIL PROYECT</v>
      </c>
      <c r="F83" s="7">
        <f>IFERROR(__xludf.DUMMYFUNCTION("""COMPUTED_VALUE"""),45984.0)</f>
        <v>45984</v>
      </c>
      <c r="G83" s="6"/>
      <c r="H83" s="7"/>
      <c r="I83" s="6"/>
      <c r="J83" s="7"/>
      <c r="K83" s="6"/>
      <c r="L83" s="7"/>
      <c r="M83" s="6"/>
      <c r="N83" s="7"/>
      <c r="O83" s="6"/>
      <c r="P83" s="7"/>
      <c r="Q83" s="6" t="str">
        <f>IFERROR(__xludf.DUMMYFUNCTION("""COMPUTED_VALUE"""),"Moisés Zabalbeascoa")</f>
        <v>Moisés Zabalbeascoa</v>
      </c>
      <c r="R83" s="5" t="str">
        <f>IFERROR(__xludf.DUMMYFUNCTION("""COMPUTED_VALUE"""),"Dom")</f>
        <v>Dom</v>
      </c>
      <c r="S83" s="6" t="str">
        <f>IFERROR(__xludf.DUMMYFUNCTION("""COMPUTED_VALUE"""),"9AM - 12PM")</f>
        <v>9AM - 12PM</v>
      </c>
      <c r="T83" s="7" t="str">
        <f>IFERROR(__xludf.DUMMYFUNCTION("""COMPUTED_VALUE"""),"Domingo 23 Noviembre")</f>
        <v>Domingo 23 Noviembre</v>
      </c>
      <c r="U83" s="7" t="str">
        <f>IFERROR(__xludf.DUMMYFUNCTION("""COMPUTED_VALUE"""),"Domingo 28 Diciembre")</f>
        <v>Domingo 28 Diciembre</v>
      </c>
      <c r="V83" s="8">
        <f>IFERROR(__xludf.DUMMYFUNCTION("""COMPUTED_VALUE"""),5.0)</f>
        <v>5</v>
      </c>
      <c r="W83" s="5" t="str">
        <f>IFERROR(__xludf.DUMMYFUNCTION("""COMPUTED_VALUE"""),"pdfs/BROCHURE GESTIÓN ÁGIL DE PROYECTOS.pdf")</f>
        <v>pdfs/BROCHURE GESTIÓN ÁGIL DE PROYECTOS.pdf</v>
      </c>
      <c r="X83" s="6" t="str">
        <f>IFERROR(__xludf.DUMMYFUNCTION("""COMPUTED_VALUE"""),"🔵 *¡Certificados Adicionales!* ⭐
👉🏻 Certificado *Scrum Fundamentals*
👉🏻 Certificado *Scrum Master* tiene la inversión de *$50* ~(Normal $150)~
_Incluye material de práctica y 2 intentos del examen_
🚨 *Por favor, revisa el BROCHURE* 👇🏻
Aqui encont"&amp;"rarás la información completa del programa, el TEMARIO (malla curricular) y todos los BENEFICIOS 📚")</f>
        <v>🔵 *¡Certificados Adicionales!* ⭐
👉🏻 Certificado *Scrum Fundamentals*
👉🏻 Certificado *Scrum Master* tiene la inversión de *$50* ~(Normal $150)~
_Incluye material de práctica y 2 intentos del examen_
🚨 *Por favor, revisa el BROCHURE* 👇🏻
Aqui encontrarás la información completa del programa, el TEMARIO (malla curricular) y todos los BENEFICIOS 📚</v>
      </c>
      <c r="Y83" s="5" t="str">
        <f>IFERROR(__xludf.DUMMYFUNCTION("""COMPUTED_VALUE"""),"images/gestagil.jpg")</f>
        <v>images/gestagil.jpg</v>
      </c>
      <c r="Z83" s="5"/>
      <c r="AA83" s="5" t="str">
        <f>IFERROR(__xludf.DUMMYFUNCTION("""COMPUTED_VALUE"""),"SI")</f>
        <v>SI</v>
      </c>
      <c r="AB83" s="6">
        <f>IFERROR(__xludf.DUMMYFUNCTION("""COMPUTED_VALUE"""),640.0)</f>
        <v>640</v>
      </c>
      <c r="AC83" s="6">
        <f>IFERROR(__xludf.DUMMYFUNCTION("""COMPUTED_VALUE"""),550.0)</f>
        <v>550</v>
      </c>
      <c r="AD83" s="6">
        <f>IFERROR(__xludf.DUMMYFUNCTION("""COMPUTED_VALUE"""),320.0)</f>
        <v>320</v>
      </c>
      <c r="AE83" s="6">
        <f>IFERROR(__xludf.DUMMYFUNCTION("""COMPUTED_VALUE"""),275.0)</f>
        <v>275</v>
      </c>
      <c r="AF83" s="6">
        <f>IFERROR(__xludf.DUMMYFUNCTION("""COMPUTED_VALUE"""),150.0)</f>
        <v>150</v>
      </c>
      <c r="AG83" s="5">
        <f>IFERROR(__xludf.DUMMYFUNCTION("""COMPUTED_VALUE"""),150.0)</f>
        <v>150</v>
      </c>
      <c r="AH83" s="5"/>
      <c r="AI83" s="5">
        <f>IFERROR(__xludf.DUMMYFUNCTION("""COMPUTED_VALUE"""),247.5)</f>
        <v>247.5</v>
      </c>
      <c r="AJ83" s="5">
        <f>IFERROR(__xludf.DUMMYFUNCTION("""COMPUTED_VALUE"""),288.0)</f>
        <v>288</v>
      </c>
      <c r="AK83" s="5" t="str">
        <f>IFERROR(__xludf.DUMMYFUNCTION("""COMPUTED_VALUE"""),"El lenguaje de los equipos de alto rendimiento es la agilidad 🚀
Con Gestión Ágil de Proyectos dominarás metodologías como SCRUM y Kanban aplicadas a negocios reales 💼.
Aquí tienes la info 👇🏻")</f>
        <v>El lenguaje de los equipos de alto rendimiento es la agilidad 🚀
Con Gestión Ágil de Proyectos dominarás metodologías como SCRUM y Kanban aplicadas a negocios reales 💼.
Aquí tienes la info 👇🏻</v>
      </c>
      <c r="AL83" s="5" t="str">
        <f>IFERROR(__xludf.DUMMYFUNCTION("""COMPUTED_VALUE"""),"📘 *Excelente*, actualízate con *GEST. ÁGIL PROYECT* y mantente competitivo en el mercado laboral.")</f>
        <v>📘 *Excelente*, actualízate con *GEST. ÁGIL PROYECT* y mantente competitivo en el mercado laboral.</v>
      </c>
      <c r="AM83" s="5" t="str">
        <f>IFERROR(__xludf.DUMMYFUNCTION("""COMPUTED_VALUE"""),"📈 Buenísimo, *GEST. ÁGIL PROYECT* es de las competencias más pedidas por las empresas y aumentará tus oportunidades laborales.")</f>
        <v>📈 Buenísimo, *GEST. ÁGIL PROYECT* es de las competencias más pedidas por las empresas y aumentará tus oportunidades laborales.</v>
      </c>
      <c r="AN83" s="5" t="str">
        <f>IFERROR(__xludf.DUMMYFUNCTION("""COMPUTED_VALUE"""),"📘 ¡Genial! Con *GEST. ÁGIL PROYECT* sumarás una habilidad poderosa que te diferenciará desde la universidad.")</f>
        <v>📘 ¡Genial! Con *GEST. ÁGIL PROYECT* sumarás una habilidad poderosa que te diferenciará desde la universidad.</v>
      </c>
      <c r="AO83" s="5" t="str">
        <f>IFERROR(__xludf.DUMMYFUNCTION("""COMPUTED_VALUE"""),"🔑 ¡Perfecto! Saber *GEST. ÁGIL PROYECT* te dará ventaja frente a otros postulantes para conseguir prácticas.")</f>
        <v>🔑 ¡Perfecto! Saber *GEST. ÁGIL PROYECT* te dará ventaja frente a otros postulantes para conseguir prácticas.</v>
      </c>
      <c r="AP83" s="5" t="str">
        <f>IFERROR(__xludf.DUMMYFUNCTION("""COMPUTED_VALUE"""),"📘 ¡Excelente! Con *GEST. ÁGIL PROYECT* podrás aplicarlo en tu negocio y tomar decisiones más inteligentes.")</f>
        <v>📘 ¡Excelente! Con *GEST. ÁGIL PROYECT* podrás aplicarlo en tu negocio y tomar decisiones más inteligentes.</v>
      </c>
      <c r="AQ83" s="9" t="str">
        <f>IFERROR(__xludf.DUMMYFUNCTION("""COMPUTED_VALUE"""),"https://we-educacion.com/slides/gestion-agil-de-proyectos-515")</f>
        <v>https://we-educacion.com/slides/gestion-agil-de-proyectos-515</v>
      </c>
      <c r="AR83" s="5">
        <v>1.0</v>
      </c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</row>
    <row r="84" ht="15.75" customHeight="1">
      <c r="A84" s="5" t="s">
        <v>126</v>
      </c>
      <c r="B84" s="5" t="str">
        <f t="shared" si="1"/>
        <v>NOV. I - ED25</v>
      </c>
      <c r="C84" s="6" t="str">
        <f>IFERROR(__xludf.DUMMYFUNCTION("""COMPUTED_VALUE"""),"PROYECTOS")</f>
        <v>PROYECTOS</v>
      </c>
      <c r="D84" s="6" t="str">
        <f>IFERROR(__xludf.DUMMYFUNCTION("""COMPUTED_VALUE"""),"CURSO")</f>
        <v>CURSO</v>
      </c>
      <c r="E84" s="6" t="str">
        <f>IFERROR(__xludf.DUMMYFUNCTION("""COMPUTED_VALUE"""),"GEST FINANC. PROYECT")</f>
        <v>GEST FINANC. PROYECT</v>
      </c>
      <c r="F84" s="7">
        <f>IFERROR(__xludf.DUMMYFUNCTION("""COMPUTED_VALUE"""),45984.0)</f>
        <v>45984</v>
      </c>
      <c r="G84" s="6"/>
      <c r="H84" s="7"/>
      <c r="I84" s="6"/>
      <c r="J84" s="7"/>
      <c r="K84" s="6"/>
      <c r="L84" s="7"/>
      <c r="M84" s="6"/>
      <c r="N84" s="7"/>
      <c r="O84" s="6"/>
      <c r="P84" s="7"/>
      <c r="Q84" s="6" t="str">
        <f>IFERROR(__xludf.DUMMYFUNCTION("""COMPUTED_VALUE"""),"Maria Palacios")</f>
        <v>Maria Palacios</v>
      </c>
      <c r="R84" s="5" t="str">
        <f>IFERROR(__xludf.DUMMYFUNCTION("""COMPUTED_VALUE"""),"Dom")</f>
        <v>Dom</v>
      </c>
      <c r="S84" s="6" t="str">
        <f>IFERROR(__xludf.DUMMYFUNCTION("""COMPUTED_VALUE"""),"3PM - 6PM")</f>
        <v>3PM - 6PM</v>
      </c>
      <c r="T84" s="7" t="str">
        <f>IFERROR(__xludf.DUMMYFUNCTION("""COMPUTED_VALUE"""),"Domingo 23 Noviembre")</f>
        <v>Domingo 23 Noviembre</v>
      </c>
      <c r="U84" s="7" t="str">
        <f>IFERROR(__xludf.DUMMYFUNCTION("""COMPUTED_VALUE"""),"Domingo 28 Diciembre")</f>
        <v>Domingo 28 Diciembre</v>
      </c>
      <c r="V84" s="8">
        <f>IFERROR(__xludf.DUMMYFUNCTION("""COMPUTED_VALUE"""),6.0)</f>
        <v>6</v>
      </c>
      <c r="W84" s="6" t="str">
        <f>IFERROR(__xludf.DUMMYFUNCTION("""COMPUTED_VALUE"""),"pdfs/BROCHURE GESTIÓN FINANCIERA DE PROYECTOS.pdf")</f>
        <v>pdfs/BROCHURE GESTIÓN FINANCIERA DE PROYECTOS.pdf</v>
      </c>
      <c r="X84" s="6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*Por favor, revisa el BROCHURE* 👇🏻
Aqui encontrarás la información completa del programa, el TEMARIO (malla curricular) y todos los BENEFICIOS 📚</v>
      </c>
      <c r="Y84" s="5" t="str">
        <f>IFERROR(__xludf.DUMMYFUNCTION("""COMPUTED_VALUE"""),"images/gestfinanc.jpg")</f>
        <v>images/gestfinanc.jpg</v>
      </c>
      <c r="Z84" s="5"/>
      <c r="AA84" s="5" t="str">
        <f>IFERROR(__xludf.DUMMYFUNCTION("""COMPUTED_VALUE"""),"NO")</f>
        <v>NO</v>
      </c>
      <c r="AB84" s="6">
        <f>IFERROR(__xludf.DUMMYFUNCTION("""COMPUTED_VALUE"""),710.0)</f>
        <v>710</v>
      </c>
      <c r="AC84" s="6">
        <f>IFERROR(__xludf.DUMMYFUNCTION("""COMPUTED_VALUE"""),610.0)</f>
        <v>610</v>
      </c>
      <c r="AD84" s="6">
        <f>IFERROR(__xludf.DUMMYFUNCTION("""COMPUTED_VALUE"""),355.0)</f>
        <v>355</v>
      </c>
      <c r="AE84" s="6">
        <f>IFERROR(__xludf.DUMMYFUNCTION("""COMPUTED_VALUE"""),305.0)</f>
        <v>305</v>
      </c>
      <c r="AF84" s="6">
        <f>IFERROR(__xludf.DUMMYFUNCTION("""COMPUTED_VALUE"""),150.0)</f>
        <v>150</v>
      </c>
      <c r="AG84" s="5">
        <f>IFERROR(__xludf.DUMMYFUNCTION("""COMPUTED_VALUE"""),150.0)</f>
        <v>150</v>
      </c>
      <c r="AH84" s="5"/>
      <c r="AI84" s="5">
        <f>IFERROR(__xludf.DUMMYFUNCTION("""COMPUTED_VALUE"""),274.5)</f>
        <v>274.5</v>
      </c>
      <c r="AJ84" s="5">
        <f>IFERROR(__xludf.DUMMYFUNCTION("""COMPUTED_VALUE"""),319.5)</f>
        <v>319.5</v>
      </c>
      <c r="AK84" s="5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84" s="5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84" s="5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84" s="5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84" s="5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84" s="5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84" s="9" t="str">
        <f>IFERROR(__xludf.DUMMYFUNCTION("""COMPUTED_VALUE"""),"https://we-educacion.com/slides/gestion-financiera-de-proyectos-637")</f>
        <v>https://we-educacion.com/slides/gestion-financiera-de-proyectos-637</v>
      </c>
      <c r="AR84" s="5">
        <v>1.0</v>
      </c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</row>
    <row r="85" ht="15.75" customHeight="1">
      <c r="A85" s="5" t="s">
        <v>127</v>
      </c>
      <c r="B85" s="5" t="str">
        <f t="shared" si="1"/>
        <v>NOV. I - ED25</v>
      </c>
      <c r="C85" s="6" t="str">
        <f>IFERROR(__xludf.DUMMYFUNCTION("""COMPUTED_VALUE"""),"BI")</f>
        <v>BI</v>
      </c>
      <c r="D85" s="5" t="str">
        <f>IFERROR(__xludf.DUMMYFUNCTION("""COMPUTED_VALUE"""),"CURSO")</f>
        <v>CURSO</v>
      </c>
      <c r="E85" s="6" t="str">
        <f>IFERROR(__xludf.DUMMYFUNCTION("""COMPUTED_VALUE"""),"SQL AVANZ")</f>
        <v>SQL AVANZ</v>
      </c>
      <c r="F85" s="7">
        <f>IFERROR(__xludf.DUMMYFUNCTION("""COMPUTED_VALUE"""),45984.0)</f>
        <v>45984</v>
      </c>
      <c r="G85" s="6"/>
      <c r="H85" s="7"/>
      <c r="I85" s="6"/>
      <c r="J85" s="7"/>
      <c r="K85" s="6"/>
      <c r="L85" s="7"/>
      <c r="M85" s="6"/>
      <c r="N85" s="7"/>
      <c r="O85" s="6"/>
      <c r="P85" s="7"/>
      <c r="Q85" s="6" t="str">
        <f>IFERROR(__xludf.DUMMYFUNCTION("""COMPUTED_VALUE"""),"Oscar Moreno")</f>
        <v>Oscar Moreno</v>
      </c>
      <c r="R85" s="5" t="str">
        <f>IFERROR(__xludf.DUMMYFUNCTION("""COMPUTED_VALUE"""),"Dom")</f>
        <v>Dom</v>
      </c>
      <c r="S85" s="6" t="str">
        <f>IFERROR(__xludf.DUMMYFUNCTION("""COMPUTED_VALUE"""),"9AM - 12PM")</f>
        <v>9AM - 12PM</v>
      </c>
      <c r="T85" s="7" t="str">
        <f>IFERROR(__xludf.DUMMYFUNCTION("""COMPUTED_VALUE"""),"Domingo 23 Noviembre")</f>
        <v>Domingo 23 Noviembre</v>
      </c>
      <c r="U85" s="7" t="str">
        <f>IFERROR(__xludf.DUMMYFUNCTION("""COMPUTED_VALUE"""),"Domingo 28 Diciembre")</f>
        <v>Domingo 28 Diciembre</v>
      </c>
      <c r="V85" s="8">
        <f>IFERROR(__xludf.DUMMYFUNCTION("""COMPUTED_VALUE"""),6.0)</f>
        <v>6</v>
      </c>
      <c r="W85" s="5" t="str">
        <f>IFERROR(__xludf.DUMMYFUNCTION("""COMPUTED_VALUE"""),"pdfs/BROCHURE SQL SERVER AVANZADO.pdf")</f>
        <v>pdfs/BROCHURE SQL SERVER AVANZADO.pdf</v>
      </c>
      <c r="X85" s="5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85" s="5" t="str">
        <f>IFERROR(__xludf.DUMMYFUNCTION("""COMPUTED_VALUE"""),"images/sqlavanz.jpg")</f>
        <v>images/sqlavanz.jpg</v>
      </c>
      <c r="Z85" s="5" t="str">
        <f>IFERROR(__xludf.DUMMYFUNCTION("""COMPUTED_VALUE"""),"Avalado por Microsoft Partner Network")</f>
        <v>Avalado por Microsoft Partner Network</v>
      </c>
      <c r="AA85" s="5" t="str">
        <f>IFERROR(__xludf.DUMMYFUNCTION("""COMPUTED_VALUE"""),"NO")</f>
        <v>NO</v>
      </c>
      <c r="AB85" s="6">
        <f>IFERROR(__xludf.DUMMYFUNCTION("""COMPUTED_VALUE"""),830.0)</f>
        <v>830</v>
      </c>
      <c r="AC85" s="6">
        <f>IFERROR(__xludf.DUMMYFUNCTION("""COMPUTED_VALUE"""),740.0)</f>
        <v>740</v>
      </c>
      <c r="AD85" s="6">
        <f>IFERROR(__xludf.DUMMYFUNCTION("""COMPUTED_VALUE"""),415.0)</f>
        <v>415</v>
      </c>
      <c r="AE85" s="6">
        <f>IFERROR(__xludf.DUMMYFUNCTION("""COMPUTED_VALUE"""),370.0)</f>
        <v>370</v>
      </c>
      <c r="AF85" s="6">
        <f>IFERROR(__xludf.DUMMYFUNCTION("""COMPUTED_VALUE"""),150.0)</f>
        <v>150</v>
      </c>
      <c r="AG85" s="5">
        <f>IFERROR(__xludf.DUMMYFUNCTION("""COMPUTED_VALUE"""),150.0)</f>
        <v>150</v>
      </c>
      <c r="AH85" s="5"/>
      <c r="AI85" s="5">
        <f>IFERROR(__xludf.DUMMYFUNCTION("""COMPUTED_VALUE"""),333.0)</f>
        <v>333</v>
      </c>
      <c r="AJ85" s="5">
        <f>IFERROR(__xludf.DUMMYFUNCTION("""COMPUTED_VALUE"""),373.5)</f>
        <v>373.5</v>
      </c>
      <c r="AK85" s="5" t="str">
        <f>IFERROR(__xludf.DUMMYFUNCTION("""COMPUTED_VALUE"""),"El poder de los datos se libera con SQL Avanzado 🔎
Aprenderás consultas complejas y análisis de bases de datos aplicables a proyectos reales 💻.
Aquí tienes la info completa 👇🏻")</f>
        <v>El poder de los datos se libera con SQL Avanzado 🔎
Aprenderás consultas complejas y análisis de bases de datos aplicables a proyectos reales 💻.
Aquí tienes la info completa 👇🏻</v>
      </c>
      <c r="AL85" s="5" t="str">
        <f>IFERROR(__xludf.DUMMYFUNCTION("""COMPUTED_VALUE"""),"💻 Excelente, actualízate con SQL Avanzado y domina la gestión de bases de datos.")</f>
        <v>💻 Excelente, actualízate con SQL Avanzado y domina la gestión de bases de datos.</v>
      </c>
      <c r="AM85" s="5" t="str">
        <f>IFERROR(__xludf.DUMMYFUNCTION("""COMPUTED_VALUE"""),"💼 Buenísimo, SQL es muy demandado en empresas que manejan grandes volúmenes de datos.")</f>
        <v>💼 Buenísimo, SQL es muy demandado en empresas que manejan grandes volúmenes de datos.</v>
      </c>
      <c r="AN85" s="5" t="str">
        <f>IFERROR(__xludf.DUMMYFUNCTION("""COMPUTED_VALUE"""),"🎓 ¡Genial! Con SQL Avanzado aprenderás análisis de datos desde la universidad.")</f>
        <v>🎓 ¡Genial! Con SQL Avanzado aprenderás análisis de datos desde la universidad.</v>
      </c>
      <c r="AO85" s="5" t="str">
        <f>IFERROR(__xludf.DUMMYFUNCTION("""COMPUTED_VALUE"""),"🚀 ¡Perfecto! Saber SQL te dará ventaja en prácticas de análisis e inteligencia de negocios.")</f>
        <v>🚀 ¡Perfecto! Saber SQL te dará ventaja en prácticas de análisis e inteligencia de negocios.</v>
      </c>
      <c r="AP85" s="5" t="str">
        <f>IFERROR(__xludf.DUMMYFUNCTION("""COMPUTED_VALUE"""),"📊 ¡Excelente! Con SQL Avanzado podrás manejar la información de tu negocio con precisión.")</f>
        <v>📊 ¡Excelente! Con SQL Avanzado podrás manejar la información de tu negocio con precisión.</v>
      </c>
      <c r="AQ85" s="9" t="str">
        <f>IFERROR(__xludf.DUMMYFUNCTION("""COMPUTED_VALUE"""),"https://we-educacion.com/slides/sql-server-avanzado-93")</f>
        <v>https://we-educacion.com/slides/sql-server-avanzado-93</v>
      </c>
      <c r="AR85" s="5">
        <v>1.0</v>
      </c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</row>
    <row r="86" ht="15.75" customHeight="1">
      <c r="A86" s="5" t="s">
        <v>128</v>
      </c>
      <c r="B86" s="5" t="str">
        <f t="shared" si="1"/>
        <v>NOV. I - ED25</v>
      </c>
      <c r="C86" s="6" t="str">
        <f>IFERROR(__xludf.DUMMYFUNCTION("""COMPUTED_VALUE"""),"BI")</f>
        <v>BI</v>
      </c>
      <c r="D86" s="6" t="str">
        <f>IFERROR(__xludf.DUMMYFUNCTION("""COMPUTED_VALUE"""),"ESP.")</f>
        <v>ESP.</v>
      </c>
      <c r="E86" s="6" t="str">
        <f>IFERROR(__xludf.DUMMYFUNCTION("""COMPUTED_VALUE"""),"ESP. POWER BI")</f>
        <v>ESP. POWER BI</v>
      </c>
      <c r="F86" s="7">
        <f>IFERROR(__xludf.DUMMYFUNCTION("""COMPUTED_VALUE"""),45984.0)</f>
        <v>45984</v>
      </c>
      <c r="G86" s="6" t="str">
        <f>IFERROR(__xludf.DUMMYFUNCTION("""COMPUTED_VALUE"""),"POWER BI")</f>
        <v>POWER BI</v>
      </c>
      <c r="H86" s="7">
        <f>IFERROR(__xludf.DUMMYFUNCTION("""COMPUTED_VALUE"""),45984.0)</f>
        <v>45984</v>
      </c>
      <c r="I86" s="6" t="str">
        <f>IFERROR(__xludf.DUMMYFUNCTION("""COMPUTED_VALUE"""),"POWER BI AVANZ")</f>
        <v>POWER BI AVANZ</v>
      </c>
      <c r="J86" s="7">
        <f>IFERROR(__xludf.DUMMYFUNCTION("""COMPUTED_VALUE"""),46026.0)</f>
        <v>46026</v>
      </c>
      <c r="K86" s="6"/>
      <c r="L86" s="7"/>
      <c r="M86" s="6"/>
      <c r="N86" s="7"/>
      <c r="O86" s="6"/>
      <c r="P86" s="7"/>
      <c r="Q86" s="6" t="str">
        <f>IFERROR(__xludf.DUMMYFUNCTION("""COMPUTED_VALUE"""),"Moisés Bautista
Diego Castillo")</f>
        <v>Moisés Bautista
Diego Castillo</v>
      </c>
      <c r="R86" s="5" t="str">
        <f>IFERROR(__xludf.DUMMYFUNCTION("""COMPUTED_VALUE"""),"Dom")</f>
        <v>Dom</v>
      </c>
      <c r="S86" s="6" t="str">
        <f>IFERROR(__xludf.DUMMYFUNCTION("""COMPUTED_VALUE"""),"9AM - 12PM")</f>
        <v>9AM - 12PM</v>
      </c>
      <c r="T86" s="7" t="str">
        <f>IFERROR(__xludf.DUMMYFUNCTION("""COMPUTED_VALUE"""),"Domingo 23 Noviembre")</f>
        <v>Domingo 23 Noviembre</v>
      </c>
      <c r="U86" s="7" t="str">
        <f>IFERROR(__xludf.DUMMYFUNCTION("""COMPUTED_VALUE"""),"Domingo 8 Febrero")</f>
        <v>Domingo 8 Febrero</v>
      </c>
      <c r="V86" s="8">
        <f>IFERROR(__xludf.DUMMYFUNCTION("""COMPUTED_VALUE"""),12.0)</f>
        <v>12</v>
      </c>
      <c r="W86" s="5" t="str">
        <f>IFERROR(__xludf.DUMMYFUNCTION("""COMPUTED_VALUE"""),"pdfs/BROCHURE ESPECIALIZACION DE POWER BI.pdf")</f>
        <v>pdfs/BROCHURE ESPECIALIZACION DE POWER BI.pdf</v>
      </c>
      <c r="X86" s="5" t="str">
        <f>IFERROR(__xludf.DUMMYFUNCTION("""COMPUTED_VALUE"""),"🔵 *Utilizarán Power BI Desktop y Power BI Pro* 👩🏻‍💻
👉🏼 Incluye tutorial y manual de instalación
👉🏼 Manual de Lenguaje DAX en Power BI
💻 _*Importante*: Para la instalación se necesita una Laptop *Windows*_
🚨 *Por favor, revisa el BROCHURE* 👇🏻
"&amp;"Aqui encontrarás la información completa del programa, el TEMARIO (malla curricular) y todos los BENEFICIOS 📚")</f>
        <v>🔵 *Utilizarán Power BI Desktop y Power BI Pro*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86" s="5" t="str">
        <f>IFERROR(__xludf.DUMMYFUNCTION("""COMPUTED_VALUE"""),"images/esppowerbi.jpg")</f>
        <v>images/esppowerbi.jpg</v>
      </c>
      <c r="Z86" s="5" t="str">
        <f>IFERROR(__xludf.DUMMYFUNCTION("""COMPUTED_VALUE"""),"Avalado por Microsoft Partner Network")</f>
        <v>Avalado por Microsoft Partner Network</v>
      </c>
      <c r="AA86" s="5" t="str">
        <f>IFERROR(__xludf.DUMMYFUNCTION("""COMPUTED_VALUE"""),"NO")</f>
        <v>NO</v>
      </c>
      <c r="AB86" s="6">
        <f>IFERROR(__xludf.DUMMYFUNCTION("""COMPUTED_VALUE"""),1600.0)</f>
        <v>1600</v>
      </c>
      <c r="AC86" s="6">
        <f>IFERROR(__xludf.DUMMYFUNCTION("""COMPUTED_VALUE"""),1400.0)</f>
        <v>1400</v>
      </c>
      <c r="AD86" s="6">
        <f>IFERROR(__xludf.DUMMYFUNCTION("""COMPUTED_VALUE"""),800.0)</f>
        <v>800</v>
      </c>
      <c r="AE86" s="6">
        <f>IFERROR(__xludf.DUMMYFUNCTION("""COMPUTED_VALUE"""),700.0)</f>
        <v>700</v>
      </c>
      <c r="AF86" s="6">
        <f>IFERROR(__xludf.DUMMYFUNCTION("""COMPUTED_VALUE"""),250.0)</f>
        <v>250</v>
      </c>
      <c r="AG86" s="5">
        <f>IFERROR(__xludf.DUMMYFUNCTION("""COMPUTED_VALUE"""),350.0)</f>
        <v>350</v>
      </c>
      <c r="AH86" s="5"/>
      <c r="AI86" s="5">
        <f>IFERROR(__xludf.DUMMYFUNCTION("""COMPUTED_VALUE"""),630.0)</f>
        <v>630</v>
      </c>
      <c r="AJ86" s="5">
        <f>IFERROR(__xludf.DUMMYFUNCTION("""COMPUTED_VALUE"""),720.0)</f>
        <v>720</v>
      </c>
      <c r="AK86" s="5" t="str">
        <f>IFERROR(__xludf.DUMMYFUNCTION("""COMPUTED_VALUE"""),"El lenguaje de las empresas hoy son los datos 🚀
Conviértete en especialista en Power BI y domina la visualización de información estratégica 📊
👉🏻 Aquí tienes el detalle.")</f>
        <v>El lenguaje de las empresas hoy son los datos 🚀
Conviértete en especialista en Power BI y domina la visualización de información estratégica 📊
👉🏻 Aquí tienes el detalle.</v>
      </c>
      <c r="AL86" s="5" t="str">
        <f>IFERROR(__xludf.DUMMYFUNCTION("""COMPUTED_VALUE"""),"📈 Excelente, actualízate con Power BI y domina la inteligencia de negocios.")</f>
        <v>📈 Excelente, actualízate con Power BI y domina la inteligencia de negocios.</v>
      </c>
      <c r="AM86" s="5" t="str">
        <f>IFERROR(__xludf.DUMMYFUNCTION("""COMPUTED_VALUE"""),"💼 Buenísimo, muy buscado en empresas que requieren análisis y dashboards.")</f>
        <v>💼 Buenísimo, muy buscado en empresas que requieren análisis y dashboards.</v>
      </c>
      <c r="AN86" s="5" t="str">
        <f>IFERROR(__xludf.DUMMYFUNCTION("""COMPUTED_VALUE"""),"🚀 Genial, será tu diferencial en el mercado laboral.")</f>
        <v>🚀 Genial, será tu diferencial en el mercado laboral.</v>
      </c>
      <c r="AO86" s="5" t="str">
        <f>IFERROR(__xludf.DUMMYFUNCTION("""COMPUTED_VALUE"""),"📊 Perfecto, Power BI te dará ventaja en reportes y decisiones en prácticas.")</f>
        <v>📊 Perfecto, Power BI te dará ventaja en reportes y decisiones en prácticas.</v>
      </c>
      <c r="AP86" s="5" t="str">
        <f>IFERROR(__xludf.DUMMYFUNCTION("""COMPUTED_VALUE"""),"🔑 Excelente, con Power BI podrás visualizar tu negocio con datos claros.")</f>
        <v>🔑 Excelente, con Power BI podrás visualizar tu negocio con datos claros.</v>
      </c>
      <c r="AQ86" s="9" t="str">
        <f>IFERROR(__xludf.DUMMYFUNCTION("""COMPUTED_VALUE"""),"https://we-educacion.com/slides/especializacion-en-power-bi-106")</f>
        <v>https://we-educacion.com/slides/especializacion-en-power-bi-106</v>
      </c>
      <c r="AR86" s="5">
        <v>1.0</v>
      </c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</row>
    <row r="87" ht="15.75" customHeight="1">
      <c r="A87" s="5" t="s">
        <v>129</v>
      </c>
      <c r="B87" s="5" t="str">
        <f t="shared" si="1"/>
        <v>NOV. I - ED25</v>
      </c>
      <c r="C87" s="6" t="str">
        <f>IFERROR(__xludf.DUMMYFUNCTION("""COMPUTED_VALUE"""),"BI")</f>
        <v>BI</v>
      </c>
      <c r="D87" s="5" t="str">
        <f>IFERROR(__xludf.DUMMYFUNCTION("""COMPUTED_VALUE"""),"CURSO")</f>
        <v>CURSO</v>
      </c>
      <c r="E87" s="6" t="str">
        <f>IFERROR(__xludf.DUMMYFUNCTION("""COMPUTED_VALUE"""),"POWER BI")</f>
        <v>POWER BI</v>
      </c>
      <c r="F87" s="7">
        <f>IFERROR(__xludf.DUMMYFUNCTION("""COMPUTED_VALUE"""),45984.0)</f>
        <v>45984</v>
      </c>
      <c r="G87" s="6"/>
      <c r="H87" s="7"/>
      <c r="I87" s="6"/>
      <c r="J87" s="7"/>
      <c r="K87" s="6"/>
      <c r="L87" s="7"/>
      <c r="M87" s="6"/>
      <c r="N87" s="7"/>
      <c r="O87" s="6"/>
      <c r="P87" s="7"/>
      <c r="Q87" s="6" t="str">
        <f>IFERROR(__xludf.DUMMYFUNCTION("""COMPUTED_VALUE"""),"Moisés Bautista")</f>
        <v>Moisés Bautista</v>
      </c>
      <c r="R87" s="5" t="str">
        <f>IFERROR(__xludf.DUMMYFUNCTION("""COMPUTED_VALUE"""),"Dom")</f>
        <v>Dom</v>
      </c>
      <c r="S87" s="6" t="str">
        <f>IFERROR(__xludf.DUMMYFUNCTION("""COMPUTED_VALUE"""),"9AM - 12PM")</f>
        <v>9AM - 12PM</v>
      </c>
      <c r="T87" s="7" t="str">
        <f>IFERROR(__xludf.DUMMYFUNCTION("""COMPUTED_VALUE"""),"Domingo 23 Noviembre")</f>
        <v>Domingo 23 Noviembre</v>
      </c>
      <c r="U87" s="7" t="str">
        <f>IFERROR(__xludf.DUMMYFUNCTION("""COMPUTED_VALUE"""),"Domingo 28 Diciembre")</f>
        <v>Domingo 28 Diciembre</v>
      </c>
      <c r="V87" s="8">
        <f>IFERROR(__xludf.DUMMYFUNCTION("""COMPUTED_VALUE"""),6.0)</f>
        <v>6</v>
      </c>
      <c r="W87" s="5" t="str">
        <f>IFERROR(__xludf.DUMMYFUNCTION("""COMPUTED_VALUE"""),"pdfs/BROCHURE POWER BI.pdf")</f>
        <v>pdfs/BROCHURE POWER BI.pdf</v>
      </c>
      <c r="X87" s="5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87" s="5" t="str">
        <f>IFERROR(__xludf.DUMMYFUNCTION("""COMPUTED_VALUE"""),"images/powerbi.jpg")</f>
        <v>images/powerbi.jpg</v>
      </c>
      <c r="Z87" s="5" t="str">
        <f>IFERROR(__xludf.DUMMYFUNCTION("""COMPUTED_VALUE"""),"Avalado por Microsoft Partner Network")</f>
        <v>Avalado por Microsoft Partner Network</v>
      </c>
      <c r="AA87" s="5" t="str">
        <f>IFERROR(__xludf.DUMMYFUNCTION("""COMPUTED_VALUE"""),"NO")</f>
        <v>NO</v>
      </c>
      <c r="AB87" s="6">
        <f>IFERROR(__xludf.DUMMYFUNCTION("""COMPUTED_VALUE"""),830.0)</f>
        <v>830</v>
      </c>
      <c r="AC87" s="6">
        <f>IFERROR(__xludf.DUMMYFUNCTION("""COMPUTED_VALUE"""),740.0)</f>
        <v>740</v>
      </c>
      <c r="AD87" s="6">
        <f>IFERROR(__xludf.DUMMYFUNCTION("""COMPUTED_VALUE"""),415.0)</f>
        <v>415</v>
      </c>
      <c r="AE87" s="6">
        <f>IFERROR(__xludf.DUMMYFUNCTION("""COMPUTED_VALUE"""),370.0)</f>
        <v>370</v>
      </c>
      <c r="AF87" s="6">
        <f>IFERROR(__xludf.DUMMYFUNCTION("""COMPUTED_VALUE"""),150.0)</f>
        <v>150</v>
      </c>
      <c r="AG87" s="5">
        <f>IFERROR(__xludf.DUMMYFUNCTION("""COMPUTED_VALUE"""),150.0)</f>
        <v>150</v>
      </c>
      <c r="AH87" s="5"/>
      <c r="AI87" s="5">
        <f>IFERROR(__xludf.DUMMYFUNCTION("""COMPUTED_VALUE"""),333.0)</f>
        <v>333</v>
      </c>
      <c r="AJ87" s="5">
        <f>IFERROR(__xludf.DUMMYFUNCTION("""COMPUTED_VALUE"""),373.5)</f>
        <v>373.5</v>
      </c>
      <c r="AK87" s="5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87" s="5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87" s="5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87" s="5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87" s="5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87" s="5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87" s="9" t="str">
        <f>IFERROR(__xludf.DUMMYFUNCTION("""COMPUTED_VALUE"""),"https://we-educacion.com/slides/power-bi-46")</f>
        <v>https://we-educacion.com/slides/power-bi-46</v>
      </c>
      <c r="AR87" s="5">
        <v>1.0</v>
      </c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</row>
    <row r="88" ht="15.75" customHeight="1">
      <c r="A88" s="5" t="s">
        <v>130</v>
      </c>
      <c r="B88" s="5" t="str">
        <f t="shared" si="1"/>
        <v>NOV. I - ED25</v>
      </c>
      <c r="C88" s="6" t="str">
        <f>IFERROR(__xludf.DUMMYFUNCTION("""COMPUTED_VALUE"""),"SAP")</f>
        <v>SAP</v>
      </c>
      <c r="D88" s="6" t="str">
        <f>IFERROR(__xludf.DUMMYFUNCTION("""COMPUTED_VALUE"""),"ESP.")</f>
        <v>ESP.</v>
      </c>
      <c r="E88" s="6" t="str">
        <f>IFERROR(__xludf.DUMMYFUNCTION("""COMPUTED_VALUE"""),"ESPEC.SAP HANA PLANIF. DE LA PROD.")</f>
        <v>ESPEC.SAP HANA PLANIF. DE LA PROD.</v>
      </c>
      <c r="F88" s="7">
        <f>IFERROR(__xludf.DUMMYFUNCTION("""COMPUTED_VALUE"""),45984.0)</f>
        <v>45984</v>
      </c>
      <c r="G88" s="6" t="str">
        <f>IFERROR(__xludf.DUMMYFUNCTION("""COMPUTED_VALUE"""),"SAP HANA MM")</f>
        <v>SAP HANA MM</v>
      </c>
      <c r="H88" s="7">
        <f>IFERROR(__xludf.DUMMYFUNCTION("""COMPUTED_VALUE"""),45984.0)</f>
        <v>45984</v>
      </c>
      <c r="I88" s="6" t="str">
        <f>IFERROR(__xludf.DUMMYFUNCTION("""COMPUTED_VALUE"""),"SAP HANA PP")</f>
        <v>SAP HANA PP</v>
      </c>
      <c r="J88" s="7">
        <f>IFERROR(__xludf.DUMMYFUNCTION("""COMPUTED_VALUE"""),46026.0)</f>
        <v>46026</v>
      </c>
      <c r="K88" s="6"/>
      <c r="L88" s="7"/>
      <c r="M88" s="6"/>
      <c r="N88" s="7"/>
      <c r="O88" s="6"/>
      <c r="P88" s="7"/>
      <c r="Q88" s="6" t="str">
        <f>IFERROR(__xludf.DUMMYFUNCTION("""COMPUTED_VALUE"""),"Roller Rubio
Cesar Escarcena")</f>
        <v>Roller Rubio
Cesar Escarcena</v>
      </c>
      <c r="R88" s="5" t="str">
        <f>IFERROR(__xludf.DUMMYFUNCTION("""COMPUTED_VALUE"""),"Dom")</f>
        <v>Dom</v>
      </c>
      <c r="S88" s="6" t="str">
        <f>IFERROR(__xludf.DUMMYFUNCTION("""COMPUTED_VALUE"""),"9AM - 12PM")</f>
        <v>9AM - 12PM</v>
      </c>
      <c r="T88" s="7" t="str">
        <f>IFERROR(__xludf.DUMMYFUNCTION("""COMPUTED_VALUE"""),"Domingo 23 Noviembre")</f>
        <v>Domingo 23 Noviembre</v>
      </c>
      <c r="U88" s="7" t="str">
        <f>IFERROR(__xludf.DUMMYFUNCTION("""COMPUTED_VALUE"""),"Domingo 8 Febrero")</f>
        <v>Domingo 8 Febrero</v>
      </c>
      <c r="V88" s="8">
        <f>IFERROR(__xludf.DUMMYFUNCTION("""COMPUTED_VALUE"""),12.0)</f>
        <v>12</v>
      </c>
      <c r="W88" s="5" t="str">
        <f>IFERROR(__xludf.DUMMYFUNCTION("""COMPUTED_VALUE"""),"pdfs/BROCHURE ESPECIALIZACION SAP HANA PLANIFICACIÓN DE LA PRODUCCIÓN.pdf")</f>
        <v>pdfs/BROCHURE ESPECIALIZACION SAP HANA PLANIFICACIÓN DE LA PRODUCCIÓN.pdf</v>
      </c>
      <c r="X88" s="5" t="str">
        <f>IFERROR(__xludf.DUMMYFUNCTION("""COMPUTED_VALUE"""),"🔵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ne"&amp;"cesita una Laptop *Windows*_
🚨 *Por favor, revisa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*Por favor, revisa el BROCHURE* 👇🏻
Aqui encontrarás la información completa del programa, el TEMARIO (malla curricular) y todos los BENEFICIOS 📚</v>
      </c>
      <c r="Y88" s="5" t="str">
        <f>IFERROR(__xludf.DUMMYFUNCTION("""COMPUTED_VALUE"""),"images/espsaphanaplan.jpg")</f>
        <v>images/espsaphanaplan.jpg</v>
      </c>
      <c r="Z88" s="5" t="str">
        <f>IFERROR(__xludf.DUMMYFUNCTION("""COMPUTED_VALUE"""),"Avalado por SAP Partner Open")</f>
        <v>Avalado por SAP Partner Open</v>
      </c>
      <c r="AA88" s="5" t="str">
        <f>IFERROR(__xludf.DUMMYFUNCTION("""COMPUTED_VALUE"""),"NO")</f>
        <v>NO</v>
      </c>
      <c r="AB88" s="6">
        <f>IFERROR(__xludf.DUMMYFUNCTION("""COMPUTED_VALUE"""),1350.0)</f>
        <v>1350</v>
      </c>
      <c r="AC88" s="6">
        <f>IFERROR(__xludf.DUMMYFUNCTION("""COMPUTED_VALUE"""),1250.0)</f>
        <v>1250</v>
      </c>
      <c r="AD88" s="6">
        <f>IFERROR(__xludf.DUMMYFUNCTION("""COMPUTED_VALUE"""),675.0)</f>
        <v>675</v>
      </c>
      <c r="AE88" s="6">
        <f>IFERROR(__xludf.DUMMYFUNCTION("""COMPUTED_VALUE"""),625.0)</f>
        <v>625</v>
      </c>
      <c r="AF88" s="6">
        <f>IFERROR(__xludf.DUMMYFUNCTION("""COMPUTED_VALUE"""),250.0)</f>
        <v>250</v>
      </c>
      <c r="AG88" s="5">
        <f>IFERROR(__xludf.DUMMYFUNCTION("""COMPUTED_VALUE"""),350.0)</f>
        <v>350</v>
      </c>
      <c r="AH88" s="5"/>
      <c r="AI88" s="5">
        <f>IFERROR(__xludf.DUMMYFUNCTION("""COMPUTED_VALUE"""),562.5)</f>
        <v>562.5</v>
      </c>
      <c r="AJ88" s="5">
        <f>IFERROR(__xludf.DUMMYFUNCTION("""COMPUTED_VALUE"""),607.5)</f>
        <v>607.5</v>
      </c>
      <c r="AK88" s="5" t="str">
        <f>IFERROR(__xludf.DUMMYFUNCTION("""COMPUTED_VALUE"""),"La producción inteligente necesita planificación 🏗️
Aprende SAP HANA Producción para optimizar operaciones industriales 🔧
👉🏻 Te paso la info completa.")</f>
        <v>La producción inteligente necesita planificación 🏗️
Aprende SAP HANA Producción para optimizar operaciones industriales 🔧
👉🏻 Te paso la info completa.</v>
      </c>
      <c r="AL88" s="5" t="str">
        <f>IFERROR(__xludf.DUMMYFUNCTION("""COMPUTED_VALUE"""),"🏭 Excelente, actualízate en SAP HANA Producción y optimiza procesos productivos.")</f>
        <v>🏭 Excelente, actualízate en SAP HANA Producción y optimiza procesos productivos.</v>
      </c>
      <c r="AM88" s="5" t="str">
        <f>IFERROR(__xludf.DUMMYFUNCTION("""COMPUTED_VALUE"""),"💼 Buenísimo, muy demandado en empresas industriales que requieren planificación de planta.")</f>
        <v>💼 Buenísimo, muy demandado en empresas industriales que requieren planificación de planta.</v>
      </c>
      <c r="AN88" s="5" t="str">
        <f>IFERROR(__xludf.DUMMYFUNCTION("""COMPUTED_VALUE"""),"📊 Genial, te dará ventaja en control de la producción y operaciones.")</f>
        <v>📊 Genial, te dará ventaja en control de la producción y operaciones.</v>
      </c>
      <c r="AO88" s="5" t="str">
        <f>IFERROR(__xludf.DUMMYFUNCTION("""COMPUTED_VALUE"""),"🚀 Perfecto, SAP Producción será tu plus en prácticas de manufactura.")</f>
        <v>🚀 Perfecto, SAP Producción será tu plus en prácticas de manufactura.</v>
      </c>
      <c r="AP88" s="5" t="str">
        <f>IFERROR(__xludf.DUMMYFUNCTION("""COMPUTED_VALUE"""),"📈 Excelente, como independiente podrás reducir costos y mejorar procesos en tu negocio.")</f>
        <v>📈 Excelente, como independiente podrás reducir costos y mejorar procesos en tu negocio.</v>
      </c>
      <c r="AQ88" s="9" t="str">
        <f>IFERROR(__xludf.DUMMYFUNCTION("""COMPUTED_VALUE"""),"https://we-educacion.com/slides/especializacion-en-sap-s-4-hana-planificacion-de-la-produccion-357")</f>
        <v>https://we-educacion.com/slides/especializacion-en-sap-s-4-hana-planificacion-de-la-produccion-357</v>
      </c>
      <c r="AR88" s="5">
        <v>1.0</v>
      </c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</row>
    <row r="89" ht="15.75" customHeight="1">
      <c r="A89" s="5" t="s">
        <v>131</v>
      </c>
      <c r="B89" s="5" t="str">
        <f t="shared" si="1"/>
        <v>NOV. I - ED25</v>
      </c>
      <c r="C89" s="6" t="str">
        <f>IFERROR(__xludf.DUMMYFUNCTION("""COMPUTED_VALUE"""),"SAP")</f>
        <v>SAP</v>
      </c>
      <c r="D89" s="5" t="str">
        <f>IFERROR(__xludf.DUMMYFUNCTION("""COMPUTED_VALUE"""),"CURSO")</f>
        <v>CURSO</v>
      </c>
      <c r="E89" s="6" t="str">
        <f>IFERROR(__xludf.DUMMYFUNCTION("""COMPUTED_VALUE"""),"SAP HANA MM")</f>
        <v>SAP HANA MM</v>
      </c>
      <c r="F89" s="7">
        <f>IFERROR(__xludf.DUMMYFUNCTION("""COMPUTED_VALUE"""),45984.0)</f>
        <v>45984</v>
      </c>
      <c r="G89" s="6"/>
      <c r="H89" s="7"/>
      <c r="I89" s="6"/>
      <c r="J89" s="7"/>
      <c r="K89" s="6"/>
      <c r="L89" s="7"/>
      <c r="M89" s="6"/>
      <c r="N89" s="7"/>
      <c r="O89" s="6"/>
      <c r="P89" s="7"/>
      <c r="Q89" s="6" t="str">
        <f>IFERROR(__xludf.DUMMYFUNCTION("""COMPUTED_VALUE"""),"Roller Rubio")</f>
        <v>Roller Rubio</v>
      </c>
      <c r="R89" s="5" t="str">
        <f>IFERROR(__xludf.DUMMYFUNCTION("""COMPUTED_VALUE"""),"Dom")</f>
        <v>Dom</v>
      </c>
      <c r="S89" s="6" t="str">
        <f>IFERROR(__xludf.DUMMYFUNCTION("""COMPUTED_VALUE"""),"9AM - 12PM")</f>
        <v>9AM - 12PM</v>
      </c>
      <c r="T89" s="7" t="str">
        <f>IFERROR(__xludf.DUMMYFUNCTION("""COMPUTED_VALUE"""),"Domingo 23 Noviembre")</f>
        <v>Domingo 23 Noviembre</v>
      </c>
      <c r="U89" s="7" t="str">
        <f>IFERROR(__xludf.DUMMYFUNCTION("""COMPUTED_VALUE"""),"Domingo 28 Diciembre")</f>
        <v>Domingo 28 Diciembre</v>
      </c>
      <c r="V89" s="8">
        <f>IFERROR(__xludf.DUMMYFUNCTION("""COMPUTED_VALUE"""),6.0)</f>
        <v>6</v>
      </c>
      <c r="W89" s="5" t="str">
        <f>IFERROR(__xludf.DUMMYFUNCTION("""COMPUTED_VALUE"""),"pdfs/BROCHURE SAP HANA MM MODULO LOGISTICO.pdf")</f>
        <v>pdfs/BROCHURE SAP HANA MM MODULO LOGISTICO.pdf</v>
      </c>
      <c r="X89" s="5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89" s="5" t="str">
        <f>IFERROR(__xludf.DUMMYFUNCTION("""COMPUTED_VALUE"""),"images/sapmm.jpg")</f>
        <v>images/sapmm.jpg</v>
      </c>
      <c r="Z89" s="5" t="str">
        <f>IFERROR(__xludf.DUMMYFUNCTION("""COMPUTED_VALUE"""),"Avalado por SAP Partner Open")</f>
        <v>Avalado por SAP Partner Open</v>
      </c>
      <c r="AA89" s="5" t="str">
        <f>IFERROR(__xludf.DUMMYFUNCTION("""COMPUTED_VALUE"""),"NO")</f>
        <v>NO</v>
      </c>
      <c r="AB89" s="6">
        <f>IFERROR(__xludf.DUMMYFUNCTION("""COMPUTED_VALUE"""),950.0)</f>
        <v>950</v>
      </c>
      <c r="AC89" s="6">
        <f>IFERROR(__xludf.DUMMYFUNCTION("""COMPUTED_VALUE"""),820.0)</f>
        <v>820</v>
      </c>
      <c r="AD89" s="6">
        <f>IFERROR(__xludf.DUMMYFUNCTION("""COMPUTED_VALUE"""),475.0)</f>
        <v>475</v>
      </c>
      <c r="AE89" s="6">
        <f>IFERROR(__xludf.DUMMYFUNCTION("""COMPUTED_VALUE"""),410.0)</f>
        <v>410</v>
      </c>
      <c r="AF89" s="6">
        <f>IFERROR(__xludf.DUMMYFUNCTION("""COMPUTED_VALUE"""),150.0)</f>
        <v>150</v>
      </c>
      <c r="AG89" s="5">
        <f>IFERROR(__xludf.DUMMYFUNCTION("""COMPUTED_VALUE"""),150.0)</f>
        <v>150</v>
      </c>
      <c r="AH89" s="5"/>
      <c r="AI89" s="5">
        <f>IFERROR(__xludf.DUMMYFUNCTION("""COMPUTED_VALUE"""),369.0)</f>
        <v>369</v>
      </c>
      <c r="AJ89" s="5">
        <f>IFERROR(__xludf.DUMMYFUNCTION("""COMPUTED_VALUE"""),427.5)</f>
        <v>427.5</v>
      </c>
      <c r="AK89" s="5" t="str">
        <f>IFERROR(__xludf.DUMMYFUNCTION("""COMPUTED_VALUE"""),"La gestión de materiales evoluciona con SAP HANA MM 🌐
Domina procesos de compras, inventarios y logística con un enfoque práctico y aplicable al día a día empresarial.
Aquí encuentras la info completa 👇🏻")</f>
        <v>La gestión de materiales evoluciona con SAP HANA MM 🌐
Domina procesos de compras, inventarios y logística con un enfoque práctico y aplicable al día a día empresarial.
Aquí encuentras la info completa 👇🏻</v>
      </c>
      <c r="AL89" s="5" t="str">
        <f>IFERROR(__xludf.DUMMYFUNCTION("""COMPUTED_VALUE"""),"Excelente 🙌, actualizarte con SAP HANA MM te dará un plus competitivo en gestión de materiales 📦 y compras.")</f>
        <v>Excelente 🙌, actualizarte con SAP HANA MM te dará un plus competitivo en gestión de materiales 📦 y compras.</v>
      </c>
      <c r="AM89" s="5" t="str">
        <f>IFERROR(__xludf.DUMMYFUNCTION("""COMPUTED_VALUE"""),"Buenísimo 💼, SAP es altamente valorado en empresas grandes 🌐. Dominar HANA MM abrirá más oportunidades 🚀.")</f>
        <v>Buenísimo 💼, SAP es altamente valorado en empresas grandes 🌐. Dominar HANA MM abrirá más oportunidades 🚀.</v>
      </c>
      <c r="AN89" s="5" t="str">
        <f>IFERROR(__xludf.DUMMYFUNCTION("""COMPUTED_VALUE"""),"¡Excelente! 🎓 Con SAP HANA MM aprenderás sobre procesos logísticos 🔄 que te diferenciarán desde la universidad.")</f>
        <v>¡Excelente! 🎓 Con SAP HANA MM aprenderás sobre procesos logísticos 🔄 que te diferenciarán desde la universidad.</v>
      </c>
      <c r="AO89" s="5" t="str">
        <f>IFERROR(__xludf.DUMMYFUNCTION("""COMPUTED_VALUE"""),"¡Perfecto! 🔑 Conocer SAP te dará ventaja frente a otros postulantes y será clave para prácticas en logística 📝.")</f>
        <v>¡Perfecto! 🔑 Conocer SAP te dará ventaja frente a otros postulantes y será clave para prácticas en logística 📝.</v>
      </c>
      <c r="AP89" s="5" t="str">
        <f>IFERROR(__xludf.DUMMYFUNCTION("""COMPUTED_VALUE"""),"¡Excelente! 💡 Con SAP HANA MM podrás optimizar inventarios 📦 y procesos en tu propio negocio.")</f>
        <v>¡Excelente! 💡 Con SAP HANA MM podrás optimizar inventarios 📦 y procesos en tu propio negocio.</v>
      </c>
      <c r="AQ89" s="9" t="str">
        <f>IFERROR(__xludf.DUMMYFUNCTION("""COMPUTED_VALUE"""),"https://we-educacion.com/slides/sap-s-4-hana-mm-45")</f>
        <v>https://we-educacion.com/slides/sap-s-4-hana-mm-45</v>
      </c>
      <c r="AR89" s="5">
        <v>1.0</v>
      </c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</row>
    <row r="90" ht="15.75" customHeight="1">
      <c r="A90" s="5" t="s">
        <v>132</v>
      </c>
      <c r="B90" s="5" t="str">
        <f t="shared" si="1"/>
        <v>NOV. I - ED25</v>
      </c>
      <c r="C90" s="6" t="str">
        <f>IFERROR(__xludf.DUMMYFUNCTION("""COMPUTED_VALUE"""),"EXCEL")</f>
        <v>EXCEL</v>
      </c>
      <c r="D90" s="5" t="str">
        <f>IFERROR(__xludf.DUMMYFUNCTION("""COMPUTED_VALUE"""),"CURSO")</f>
        <v>CURSO</v>
      </c>
      <c r="E90" s="6" t="str">
        <f>IFERROR(__xludf.DUMMYFUNCTION("""COMPUTED_VALUE"""),"EXCEL AVANZ")</f>
        <v>EXCEL AVANZ</v>
      </c>
      <c r="F90" s="7">
        <f>IFERROR(__xludf.DUMMYFUNCTION("""COMPUTED_VALUE"""),45987.0)</f>
        <v>45987</v>
      </c>
      <c r="G90" s="6"/>
      <c r="H90" s="7"/>
      <c r="I90" s="6"/>
      <c r="J90" s="7"/>
      <c r="K90" s="6"/>
      <c r="L90" s="7"/>
      <c r="M90" s="6"/>
      <c r="N90" s="7"/>
      <c r="O90" s="6"/>
      <c r="P90" s="7"/>
      <c r="Q90" s="6" t="str">
        <f>IFERROR(__xludf.DUMMYFUNCTION("""COMPUTED_VALUE"""),"Giancarlos Barboza")</f>
        <v>Giancarlos Barboza</v>
      </c>
      <c r="R90" s="5" t="str">
        <f>IFERROR(__xludf.DUMMYFUNCTION("""COMPUTED_VALUE"""),"Lun-Mie")</f>
        <v>Lun-Mie</v>
      </c>
      <c r="S90" s="6" t="str">
        <f>IFERROR(__xludf.DUMMYFUNCTION("""COMPUTED_VALUE"""),"7PM - 10PM")</f>
        <v>7PM - 10PM</v>
      </c>
      <c r="T90" s="7" t="str">
        <f>IFERROR(__xludf.DUMMYFUNCTION("""COMPUTED_VALUE"""),"Miércoles 26 Noviembre")</f>
        <v>Miércoles 26 Noviembre</v>
      </c>
      <c r="U90" s="7" t="str">
        <f>IFERROR(__xludf.DUMMYFUNCTION("""COMPUTED_VALUE"""),"Lunes 15 Diciembre")</f>
        <v>Lunes 15 Diciembre</v>
      </c>
      <c r="V90" s="8">
        <f>IFERROR(__xludf.DUMMYFUNCTION("""COMPUTED_VALUE"""),6.0)</f>
        <v>6</v>
      </c>
      <c r="W90" s="5" t="str">
        <f>IFERROR(__xludf.DUMMYFUNCTION("""COMPUTED_VALUE"""),"pdfs/BROCHURE EXCEL AVANZADO.pdf")</f>
        <v>pdfs/BROCHURE EXCEL AVANZADO.pdf</v>
      </c>
      <c r="X90" s="5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90" s="5" t="str">
        <f>IFERROR(__xludf.DUMMYFUNCTION("""COMPUTED_VALUE"""),"images/excelavanz.jpg")</f>
        <v>images/excelavanz.jpg</v>
      </c>
      <c r="Z90" s="5" t="str">
        <f>IFERROR(__xludf.DUMMYFUNCTION("""COMPUTED_VALUE"""),"Avalado por Microsoft Partner Network")</f>
        <v>Avalado por Microsoft Partner Network</v>
      </c>
      <c r="AA90" s="5" t="str">
        <f>IFERROR(__xludf.DUMMYFUNCTION("""COMPUTED_VALUE"""),"NO")</f>
        <v>NO</v>
      </c>
      <c r="AB90" s="6">
        <f>IFERROR(__xludf.DUMMYFUNCTION("""COMPUTED_VALUE"""),420.0)</f>
        <v>420</v>
      </c>
      <c r="AC90" s="6">
        <f>IFERROR(__xludf.DUMMYFUNCTION("""COMPUTED_VALUE"""),400.0)</f>
        <v>400</v>
      </c>
      <c r="AD90" s="6">
        <f>IFERROR(__xludf.DUMMYFUNCTION("""COMPUTED_VALUE"""),210.0)</f>
        <v>210</v>
      </c>
      <c r="AE90" s="6">
        <f>IFERROR(__xludf.DUMMYFUNCTION("""COMPUTED_VALUE"""),200.0)</f>
        <v>200</v>
      </c>
      <c r="AF90" s="6">
        <f>IFERROR(__xludf.DUMMYFUNCTION("""COMPUTED_VALUE"""),150.0)</f>
        <v>150</v>
      </c>
      <c r="AG90" s="5">
        <f>IFERROR(__xludf.DUMMYFUNCTION("""COMPUTED_VALUE"""),150.0)</f>
        <v>150</v>
      </c>
      <c r="AH90" s="5"/>
      <c r="AI90" s="5">
        <f>IFERROR(__xludf.DUMMYFUNCTION("""COMPUTED_VALUE"""),180.0)</f>
        <v>180</v>
      </c>
      <c r="AJ90" s="5">
        <f>IFERROR(__xludf.DUMMYFUNCTION("""COMPUTED_VALUE"""),189.0)</f>
        <v>189</v>
      </c>
      <c r="AK90" s="5" t="str">
        <f>IFERROR(__xludf.DUMMYFUNCTION("""COMPUTED_VALUE"""),"El lenguaje de la eficiencia es Excel Avanzado 🔥
Aprenderás funciones complejas, tablas dinámicas y automatización aplicadas a negocios reales 💼.
Aquí tienes la info 👇🏻")</f>
        <v>El lenguaje de la eficiencia es Excel Avanzado 🔥
Aprenderás funciones complejas, tablas dinámicas y automatización aplicadas a negocios reales 💼.
Aquí tienes la info 👇🏻</v>
      </c>
      <c r="AL90" s="5" t="str">
        <f>IFERROR(__xludf.DUMMYFUNCTION("""COMPUTED_VALUE"""),"🚀 *Excelente*, actualízate con *EXCEL AVANZ* y mantente competitivo en el mercado laboral.")</f>
        <v>🚀 *Excelente*, actualízate con *EXCEL AVANZ* y mantente competitivo en el mercado laboral.</v>
      </c>
      <c r="AM90" s="5" t="str">
        <f>IFERROR(__xludf.DUMMYFUNCTION("""COMPUTED_VALUE"""),"🚀 Buenísimo, *EXCEL AVANZ* es de las competencias más pedidas por las empresas y aumentará tus oportunidades laborales.")</f>
        <v>🚀 Buenísimo, *EXCEL AVANZ* es de las competencias más pedidas por las empresas y aumentará tus oportunidades laborales.</v>
      </c>
      <c r="AN90" s="5" t="str">
        <f>IFERROR(__xludf.DUMMYFUNCTION("""COMPUTED_VALUE"""),"🔑 ¡Genial! Con *EXCEL AVANZ* sumarás una habilidad poderosa que te diferenciará desde la universidad.")</f>
        <v>🔑 ¡Genial! Con *EXCEL AVANZ* sumarás una habilidad poderosa que te diferenciará desde la universidad.</v>
      </c>
      <c r="AO90" s="5" t="str">
        <f>IFERROR(__xludf.DUMMYFUNCTION("""COMPUTED_VALUE"""),"📘 ¡Perfecto! Saber *EXCEL AVANZ* te dará ventaja frente a otros postulantes para conseguir prácticas.")</f>
        <v>📘 ¡Perfecto! Saber *EXCEL AVANZ* te dará ventaja frente a otros postulantes para conseguir prácticas.</v>
      </c>
      <c r="AP90" s="5" t="str">
        <f>IFERROR(__xludf.DUMMYFUNCTION("""COMPUTED_VALUE"""),"🌍 ¡Excelente! Con *EXCEL AVANZ* podrás aplicarlo en tu negocio y tomar decisiones más inteligentes.")</f>
        <v>🌍 ¡Excelente! Con *EXCEL AVANZ* podrás aplicarlo en tu negocio y tomar decisiones más inteligentes.</v>
      </c>
      <c r="AQ90" s="9" t="str">
        <f>IFERROR(__xludf.DUMMYFUNCTION("""COMPUTED_VALUE"""),"https://we-educacion.com/slides/microsoft-excel-avanzado-59")</f>
        <v>https://we-educacion.com/slides/microsoft-excel-avanzado-59</v>
      </c>
      <c r="AR90" s="5">
        <v>1.0</v>
      </c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</row>
    <row r="91" ht="15.75" customHeight="1">
      <c r="A91" s="5" t="s">
        <v>133</v>
      </c>
      <c r="B91" s="5" t="str">
        <f t="shared" si="1"/>
        <v>NOV. III - ED25</v>
      </c>
      <c r="C91" s="6" t="str">
        <f>IFERROR(__xludf.DUMMYFUNCTION("""COMPUTED_VALUE"""),"PROYECTOS")</f>
        <v>PROYECTOS</v>
      </c>
      <c r="D91" s="5" t="str">
        <f>IFERROR(__xludf.DUMMYFUNCTION("""COMPUTED_VALUE"""),"CURSO")</f>
        <v>CURSO</v>
      </c>
      <c r="E91" s="6" t="str">
        <f>IFERROR(__xludf.DUMMYFUNCTION("""COMPUTED_VALUE"""),"GEST. ÁGIL PROYECT")</f>
        <v>GEST. ÁGIL PROYECT</v>
      </c>
      <c r="F91" s="7">
        <f>IFERROR(__xludf.DUMMYFUNCTION("""COMPUTED_VALUE"""),45988.0)</f>
        <v>45988</v>
      </c>
      <c r="G91" s="6"/>
      <c r="H91" s="7"/>
      <c r="I91" s="6"/>
      <c r="J91" s="7"/>
      <c r="K91" s="6"/>
      <c r="L91" s="7"/>
      <c r="M91" s="6"/>
      <c r="N91" s="7"/>
      <c r="O91" s="6"/>
      <c r="P91" s="7"/>
      <c r="Q91" s="6" t="str">
        <f>IFERROR(__xludf.DUMMYFUNCTION("""COMPUTED_VALUE"""),"Moisés Zabalbeascoa")</f>
        <v>Moisés Zabalbeascoa</v>
      </c>
      <c r="R91" s="5" t="str">
        <f>IFERROR(__xludf.DUMMYFUNCTION("""COMPUTED_VALUE"""),"Jue")</f>
        <v>Jue</v>
      </c>
      <c r="S91" s="6" t="str">
        <f>IFERROR(__xludf.DUMMYFUNCTION("""COMPUTED_VALUE"""),"7PM - 10PM")</f>
        <v>7PM - 10PM</v>
      </c>
      <c r="T91" s="7" t="str">
        <f>IFERROR(__xludf.DUMMYFUNCTION("""COMPUTED_VALUE"""),"Jueves 27 Noviembre")</f>
        <v>Jueves 27 Noviembre</v>
      </c>
      <c r="U91" s="7" t="str">
        <f>IFERROR(__xludf.DUMMYFUNCTION("""COMPUTED_VALUE"""),"Jueves 8 Enero")</f>
        <v>Jueves 8 Enero</v>
      </c>
      <c r="V91" s="8">
        <f>IFERROR(__xludf.DUMMYFUNCTION("""COMPUTED_VALUE"""),5.0)</f>
        <v>5</v>
      </c>
      <c r="W91" s="5" t="str">
        <f>IFERROR(__xludf.DUMMYFUNCTION("""COMPUTED_VALUE"""),"pdfs/BROCHURE GESTIÓN ÁGIL DE PROYECTOS.pdf")</f>
        <v>pdfs/BROCHURE GESTIÓN ÁGIL DE PROYECTOS.pdf</v>
      </c>
      <c r="X91" s="5" t="str">
        <f>IFERROR(__xludf.DUMMYFUNCTION("""COMPUTED_VALUE"""),"🔵 *¡Certificados Adicionales!* ⭐
👉🏻 Certificado *Scrum Fundamentals*
👉🏻 Certificado *Scrum Master* tiene la inversión de *$50* ~(Normal $150)~
_Incluye material de práctica y 2 intentos del examen_
🚨 *Por favor, revisa el BROCHURE* 👇🏻
Aqui encont"&amp;"rarás la información completa del programa, el TEMARIO (malla curricular) y todos los BENEFICIOS 📚")</f>
        <v>🔵 *¡Certificados Adicionales!* ⭐
👉🏻 Certificado *Scrum Fundamentals*
👉🏻 Certificado *Scrum Master* tiene la inversión de *$50* ~(Normal $150)~
_Incluye material de práctica y 2 intentos del examen_
🚨 *Por favor, revisa el BROCHURE* 👇🏻
Aqui encontrarás la información completa del programa, el TEMARIO (malla curricular) y todos los BENEFICIOS 📚</v>
      </c>
      <c r="Y91" s="5" t="str">
        <f>IFERROR(__xludf.DUMMYFUNCTION("""COMPUTED_VALUE"""),"images/gestagil.jpg")</f>
        <v>images/gestagil.jpg</v>
      </c>
      <c r="Z91" s="5"/>
      <c r="AA91" s="5" t="str">
        <f>IFERROR(__xludf.DUMMYFUNCTION("""COMPUTED_VALUE"""),"SI")</f>
        <v>SI</v>
      </c>
      <c r="AB91" s="6">
        <f>IFERROR(__xludf.DUMMYFUNCTION("""COMPUTED_VALUE"""),640.0)</f>
        <v>640</v>
      </c>
      <c r="AC91" s="6">
        <f>IFERROR(__xludf.DUMMYFUNCTION("""COMPUTED_VALUE"""),550.0)</f>
        <v>550</v>
      </c>
      <c r="AD91" s="6">
        <f>IFERROR(__xludf.DUMMYFUNCTION("""COMPUTED_VALUE"""),320.0)</f>
        <v>320</v>
      </c>
      <c r="AE91" s="6">
        <f>IFERROR(__xludf.DUMMYFUNCTION("""COMPUTED_VALUE"""),275.0)</f>
        <v>275</v>
      </c>
      <c r="AF91" s="6">
        <f>IFERROR(__xludf.DUMMYFUNCTION("""COMPUTED_VALUE"""),150.0)</f>
        <v>150</v>
      </c>
      <c r="AG91" s="5">
        <f>IFERROR(__xludf.DUMMYFUNCTION("""COMPUTED_VALUE"""),150.0)</f>
        <v>150</v>
      </c>
      <c r="AH91" s="5"/>
      <c r="AI91" s="5">
        <f>IFERROR(__xludf.DUMMYFUNCTION("""COMPUTED_VALUE"""),247.5)</f>
        <v>247.5</v>
      </c>
      <c r="AJ91" s="5">
        <f>IFERROR(__xludf.DUMMYFUNCTION("""COMPUTED_VALUE"""),288.0)</f>
        <v>288</v>
      </c>
      <c r="AK91" s="5" t="str">
        <f>IFERROR(__xludf.DUMMYFUNCTION("""COMPUTED_VALUE"""),"El lenguaje de los equipos de alto rendimiento es la agilidad 🚀
Con Gestión Ágil de Proyectos dominarás metodologías como SCRUM y Kanban aplicadas a negocios reales 💼.
Aquí tienes la info 👇🏻")</f>
        <v>El lenguaje de los equipos de alto rendimiento es la agilidad 🚀
Con Gestión Ágil de Proyectos dominarás metodologías como SCRUM y Kanban aplicadas a negocios reales 💼.
Aquí tienes la info 👇🏻</v>
      </c>
      <c r="AL91" s="5" t="str">
        <f>IFERROR(__xludf.DUMMYFUNCTION("""COMPUTED_VALUE"""),"📘 *Excelente*, actualízate con *GEST. ÁGIL PROYECT* y mantente competitivo en el mercado laboral.")</f>
        <v>📘 *Excelente*, actualízate con *GEST. ÁGIL PROYECT* y mantente competitivo en el mercado laboral.</v>
      </c>
      <c r="AM91" s="5" t="str">
        <f>IFERROR(__xludf.DUMMYFUNCTION("""COMPUTED_VALUE"""),"📈 Buenísimo, *GEST. ÁGIL PROYECT* es de las competencias más pedidas por las empresas y aumentará tus oportunidades laborales.")</f>
        <v>📈 Buenísimo, *GEST. ÁGIL PROYECT* es de las competencias más pedidas por las empresas y aumentará tus oportunidades laborales.</v>
      </c>
      <c r="AN91" s="5" t="str">
        <f>IFERROR(__xludf.DUMMYFUNCTION("""COMPUTED_VALUE"""),"📘 ¡Genial! Con *GEST. ÁGIL PROYECT* sumarás una habilidad poderosa que te diferenciará desde la universidad.")</f>
        <v>📘 ¡Genial! Con *GEST. ÁGIL PROYECT* sumarás una habilidad poderosa que te diferenciará desde la universidad.</v>
      </c>
      <c r="AO91" s="5" t="str">
        <f>IFERROR(__xludf.DUMMYFUNCTION("""COMPUTED_VALUE"""),"🔑 ¡Perfecto! Saber *GEST. ÁGIL PROYECT* te dará ventaja frente a otros postulantes para conseguir prácticas.")</f>
        <v>🔑 ¡Perfecto! Saber *GEST. ÁGIL PROYECT* te dará ventaja frente a otros postulantes para conseguir prácticas.</v>
      </c>
      <c r="AP91" s="5" t="str">
        <f>IFERROR(__xludf.DUMMYFUNCTION("""COMPUTED_VALUE"""),"📘 ¡Excelente! Con *GEST. ÁGIL PROYECT* podrás aplicarlo en tu negocio y tomar decisiones más inteligentes.")</f>
        <v>📘 ¡Excelente! Con *GEST. ÁGIL PROYECT* podrás aplicarlo en tu negocio y tomar decisiones más inteligentes.</v>
      </c>
      <c r="AQ91" s="9" t="str">
        <f>IFERROR(__xludf.DUMMYFUNCTION("""COMPUTED_VALUE"""),"https://we-educacion.com/slides/gestion-agil-de-proyectos-515")</f>
        <v>https://we-educacion.com/slides/gestion-agil-de-proyectos-515</v>
      </c>
      <c r="AR91" s="5">
        <v>1.0</v>
      </c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</row>
    <row r="92" ht="15.75" customHeight="1">
      <c r="A92" s="5" t="s">
        <v>134</v>
      </c>
      <c r="B92" s="5" t="str">
        <f t="shared" si="1"/>
        <v>NOV. I - ED25</v>
      </c>
      <c r="C92" s="6" t="str">
        <f>IFERROR(__xludf.DUMMYFUNCTION("""COMPUTED_VALUE"""),"SAP")</f>
        <v>SAP</v>
      </c>
      <c r="D92" s="6" t="str">
        <f>IFERROR(__xludf.DUMMYFUNCTION("""COMPUTED_VALUE"""),"CURSO")</f>
        <v>CURSO</v>
      </c>
      <c r="E92" s="6" t="str">
        <f>IFERROR(__xludf.DUMMYFUNCTION("""COMPUTED_VALUE"""),"SAP HANA PP")</f>
        <v>SAP HANA PP</v>
      </c>
      <c r="F92" s="7">
        <f>IFERROR(__xludf.DUMMYFUNCTION("""COMPUTED_VALUE"""),45988.0)</f>
        <v>45988</v>
      </c>
      <c r="G92" s="6"/>
      <c r="H92" s="7"/>
      <c r="I92" s="6"/>
      <c r="J92" s="7"/>
      <c r="K92" s="6"/>
      <c r="L92" s="7"/>
      <c r="M92" s="6"/>
      <c r="N92" s="7"/>
      <c r="O92" s="6"/>
      <c r="P92" s="7"/>
      <c r="Q92" s="6" t="str">
        <f>IFERROR(__xludf.DUMMYFUNCTION("""COMPUTED_VALUE"""),"Andy Leyton")</f>
        <v>Andy Leyton</v>
      </c>
      <c r="R92" s="5" t="str">
        <f>IFERROR(__xludf.DUMMYFUNCTION("""COMPUTED_VALUE"""),"Mar-Jue")</f>
        <v>Mar-Jue</v>
      </c>
      <c r="S92" s="6" t="str">
        <f>IFERROR(__xludf.DUMMYFUNCTION("""COMPUTED_VALUE"""),"7PM - 10PM")</f>
        <v>7PM - 10PM</v>
      </c>
      <c r="T92" s="7" t="str">
        <f>IFERROR(__xludf.DUMMYFUNCTION("""COMPUTED_VALUE"""),"Jueves 27 Noviembre")</f>
        <v>Jueves 27 Noviembre</v>
      </c>
      <c r="U92" s="7" t="str">
        <f>IFERROR(__xludf.DUMMYFUNCTION("""COMPUTED_VALUE"""),"Jueves 18 Diciembre")</f>
        <v>Jueves 18 Diciembre</v>
      </c>
      <c r="V92" s="8">
        <f>IFERROR(__xludf.DUMMYFUNCTION("""COMPUTED_VALUE"""),6.0)</f>
        <v>6</v>
      </c>
      <c r="W92" s="6" t="str">
        <f>IFERROR(__xludf.DUMMYFUNCTION("""COMPUTED_VALUE"""),"pdfs/BROCHURE SAP HANA PP MODULO PRODUCCION.pdf")</f>
        <v>pdfs/BROCHURE SAP HANA PP MODULO PRODUCCION.pdf</v>
      </c>
      <c r="X92" s="6" t="str">
        <f>IFERROR(__xludf.DUMMYFUNCTION("""COMPUTED_VALUE"""),"🔵 *Conoce TODOS los BENEFICIOS a los que accedes*
🔹 Acceso a *Campus Virtual* WE 👩🏻‍🏫
🔹 Material digital y grabación de clases 
🔹 Certificado digital con respaldo *SAP Partner*
🔹 04 Cursos Online de regalo con acceso ilimitado 📚
🔹 Acceso "&amp;"a *Curso SAP R3 con certificación* incluida
🔹 Taller de Automatización SAP con RPA
🔹 Garantía de Aprendizaje 100% 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92" s="5" t="str">
        <f>IFERROR(__xludf.DUMMYFUNCTION("""COMPUTED_VALUE"""),"images/sappp.jpg")</f>
        <v>images/sappp.jpg</v>
      </c>
      <c r="Z92" s="5" t="str">
        <f>IFERROR(__xludf.DUMMYFUNCTION("""COMPUTED_VALUE"""),"Avalado por SAP Partner Open")</f>
        <v>Avalado por SAP Partner Open</v>
      </c>
      <c r="AA92" s="5" t="str">
        <f>IFERROR(__xludf.DUMMYFUNCTION("""COMPUTED_VALUE"""),"NO")</f>
        <v>NO</v>
      </c>
      <c r="AB92" s="6">
        <f>IFERROR(__xludf.DUMMYFUNCTION("""COMPUTED_VALUE"""),900.0)</f>
        <v>900</v>
      </c>
      <c r="AC92" s="6">
        <f>IFERROR(__xludf.DUMMYFUNCTION("""COMPUTED_VALUE"""),750.0)</f>
        <v>750</v>
      </c>
      <c r="AD92" s="6">
        <f>IFERROR(__xludf.DUMMYFUNCTION("""COMPUTED_VALUE"""),450.0)</f>
        <v>450</v>
      </c>
      <c r="AE92" s="6">
        <f>IFERROR(__xludf.DUMMYFUNCTION("""COMPUTED_VALUE"""),375.0)</f>
        <v>375</v>
      </c>
      <c r="AF92" s="6">
        <f>IFERROR(__xludf.DUMMYFUNCTION("""COMPUTED_VALUE"""),150.0)</f>
        <v>150</v>
      </c>
      <c r="AG92" s="5">
        <f>IFERROR(__xludf.DUMMYFUNCTION("""COMPUTED_VALUE"""),150.0)</f>
        <v>150</v>
      </c>
      <c r="AH92" s="5"/>
      <c r="AI92" s="5">
        <f>IFERROR(__xludf.DUMMYFUNCTION("""COMPUTED_VALUE"""),337.5)</f>
        <v>337.5</v>
      </c>
      <c r="AJ92" s="5">
        <f>IFERROR(__xludf.DUMMYFUNCTION("""COMPUTED_VALUE"""),405.0)</f>
        <v>405</v>
      </c>
      <c r="AK92" s="5" t="str">
        <f>IFERROR(__xludf.DUMMYFUNCTION("""COMPUTED_VALUE"""),"La producción inteligente se gestiona con SAP HANA PP 📈
Con este programa aprenderás a planificar y ejecutar procesos productivos con casos aplicados 💼.
Aquí la info completa 👇🏻")</f>
        <v>La producción inteligente se gestiona con SAP HANA PP 📈
Con este programa aprenderás a planificar y ejecutar procesos productivos con casos aplicados 💼.
Aquí la info completa 👇🏻</v>
      </c>
      <c r="AL92" s="5" t="str">
        <f>IFERROR(__xludf.DUMMYFUNCTION("""COMPUTED_VALUE"""),"🏭 Excelente, actualízate con SAP PP y domina la planificación de la producción.")</f>
        <v>🏭 Excelente, actualízate con SAP PP y domina la planificación de la producción.</v>
      </c>
      <c r="AM92" s="5" t="str">
        <f>IFERROR(__xludf.DUMMYFUNCTION("""COMPUTED_VALUE"""),"💼 Buenísimo, SAP PP es muy requerido en empresas de manufactura y supply chain.")</f>
        <v>💼 Buenísimo, SAP PP es muy requerido en empresas de manufactura y supply chain.</v>
      </c>
      <c r="AN92" s="5" t="str">
        <f>IFERROR(__xludf.DUMMYFUNCTION("""COMPUTED_VALUE"""),"🎓 ¡Genial! Con SAP PP aprenderás planificación productiva desde la universidad.")</f>
        <v>🎓 ¡Genial! Con SAP PP aprenderás planificación productiva desde la universidad.</v>
      </c>
      <c r="AO92" s="5" t="str">
        <f>IFERROR(__xludf.DUMMYFUNCTION("""COMPUTED_VALUE"""),"🚀 ¡Perfecto! Con SAP PP tendrás ventaja en prácticas de operaciones y producción.")</f>
        <v>🚀 ¡Perfecto! Con SAP PP tendrás ventaja en prácticas de operaciones y producción.</v>
      </c>
      <c r="AP92" s="5" t="str">
        <f>IFERROR(__xludf.DUMMYFUNCTION("""COMPUTED_VALUE"""),"📊 ¡Excelente! Con SAP PP podrás organizar y optimizar procesos productivos en tu negocio.")</f>
        <v>📊 ¡Excelente! Con SAP PP podrás organizar y optimizar procesos productivos en tu negocio.</v>
      </c>
      <c r="AQ92" s="9" t="str">
        <f>IFERROR(__xludf.DUMMYFUNCTION("""COMPUTED_VALUE"""),"https://we-educacion.com/slides/sap-s-4-hana-pp-66")</f>
        <v>https://we-educacion.com/slides/sap-s-4-hana-pp-66</v>
      </c>
      <c r="AR92" s="5">
        <v>1.0</v>
      </c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</row>
    <row r="93" ht="15.75" customHeight="1">
      <c r="A93" s="5" t="s">
        <v>135</v>
      </c>
      <c r="B93" s="5" t="str">
        <f t="shared" si="1"/>
        <v>NOV. I - ED25</v>
      </c>
      <c r="C93" s="6" t="str">
        <f>IFERROR(__xludf.DUMMYFUNCTION("""COMPUTED_VALUE"""),"LOGÍSTICA")</f>
        <v>LOGÍSTICA</v>
      </c>
      <c r="D93" s="5" t="str">
        <f>IFERROR(__xludf.DUMMYFUNCTION("""COMPUTED_VALUE"""),"DIPLOMADO")</f>
        <v>DIPLOMADO</v>
      </c>
      <c r="E93" s="6" t="str">
        <f>IFERROR(__xludf.DUMMYFUNCTION("""COMPUTED_VALUE"""),"DIP SUPPLY V3")</f>
        <v>DIP SUPPLY V3</v>
      </c>
      <c r="F93" s="7">
        <f>IFERROR(__xludf.DUMMYFUNCTION("""COMPUTED_VALUE"""),45988.0)</f>
        <v>45988</v>
      </c>
      <c r="G93" s="6" t="str">
        <f>IFERROR(__xludf.DUMMYFUNCTION("""COMPUTED_VALUE"""),"PLAN. Y PRONOSTICO V2")</f>
        <v>PLAN. Y PRONOSTICO V2</v>
      </c>
      <c r="H93" s="7">
        <f>IFERROR(__xludf.DUMMYFUNCTION("""COMPUTED_VALUE"""),45988.0)</f>
        <v>45988</v>
      </c>
      <c r="I93" s="6" t="str">
        <f>IFERROR(__xludf.DUMMYFUNCTION("""COMPUTED_VALUE"""),"GEST. COMP. Y PROV.")</f>
        <v>GEST. COMP. Y PROV.</v>
      </c>
      <c r="J93" s="7">
        <f>IFERROR(__xludf.DUMMYFUNCTION("""COMPUTED_VALUE"""),46044.0)</f>
        <v>46044</v>
      </c>
      <c r="K93" s="6" t="str">
        <f>IFERROR(__xludf.DUMMYFUNCTION("""COMPUTED_VALUE"""),"GER. CENTRO DISTRIB.")</f>
        <v>GER. CENTRO DISTRIB.</v>
      </c>
      <c r="L93" s="7">
        <f>IFERROR(__xludf.DUMMYFUNCTION("""COMPUTED_VALUE"""),46086.0)</f>
        <v>46086</v>
      </c>
      <c r="M93" s="6" t="str">
        <f>IFERROR(__xludf.DUMMYFUNCTION("""COMPUTED_VALUE"""),"GEST TRANSPORTES")</f>
        <v>GEST TRANSPORTES</v>
      </c>
      <c r="N93" s="7">
        <f>IFERROR(__xludf.DUMMYFUNCTION("""COMPUTED_VALUE"""),46128.0)</f>
        <v>46128</v>
      </c>
      <c r="O93" s="6" t="str">
        <f>IFERROR(__xludf.DUMMYFUNCTION("""COMPUTED_VALUE"""),"LEAN LOGISTICS")</f>
        <v>LEAN LOGISTICS</v>
      </c>
      <c r="P93" s="7">
        <f>IFERROR(__xludf.DUMMYFUNCTION("""COMPUTED_VALUE"""),46163.0)</f>
        <v>46163</v>
      </c>
      <c r="Q93" s="6" t="str">
        <f>IFERROR(__xludf.DUMMYFUNCTION("""COMPUTED_VALUE"""),"Hugo Vasquez
Mariela Sandoval
Vanessa Roncal
Francisco Ñaupa
Hernán Vizcardo")</f>
        <v>Hugo Vasquez
Mariela Sandoval
Vanessa Roncal
Francisco Ñaupa
Hernán Vizcardo</v>
      </c>
      <c r="R93" s="5" t="str">
        <f>IFERROR(__xludf.DUMMYFUNCTION("""COMPUTED_VALUE"""),"Jue")</f>
        <v>Jue</v>
      </c>
      <c r="S93" s="6" t="str">
        <f>IFERROR(__xludf.DUMMYFUNCTION("""COMPUTED_VALUE"""),"7PM - 10PM")</f>
        <v>7PM - 10PM</v>
      </c>
      <c r="T93" s="7" t="str">
        <f>IFERROR(__xludf.DUMMYFUNCTION("""COMPUTED_VALUE"""),"Jueves 27 Noviembre")</f>
        <v>Jueves 27 Noviembre</v>
      </c>
      <c r="U93" s="7" t="str">
        <f>IFERROR(__xludf.DUMMYFUNCTION("""COMPUTED_VALUE"""),"Jueves 25 Junio")</f>
        <v>Jueves 25 Junio</v>
      </c>
      <c r="V93" s="8">
        <f>IFERROR(__xludf.DUMMYFUNCTION("""COMPUTED_VALUE"""),28.0)</f>
        <v>28</v>
      </c>
      <c r="W93" s="5" t="str">
        <f>IFERROR(__xludf.DUMMYFUNCTION("""COMPUTED_VALUE"""),"pdfs/BROCHURE DIPLOMADO SUPPLY CHAIN MANAGEMENT.pdf")</f>
        <v>pdfs/BROCHURE DIPLOMADO SUPPLY CHAIN MANAGEMENT.pdf</v>
      </c>
      <c r="X93" s="5" t="str">
        <f>IFERROR(__xludf.DUMMYFUNCTION("""COMPUTED_VALUE"""),"🔵 *Utilizarán Excel* 👩🏻‍💻
👉🏼 Brindaremos formatos y plantillas
🚨 *Por favor, revisa el BROCHURE* 👇🏻
Aqui encontrarás la información completa del programa, el TEMARIO (malla curricular) y todos los BENEFICIOS 📚")</f>
        <v>🔵 *Utilizarán Excel* 👩🏻‍💻
👉🏼 Brindaremos formatos y plantillas
🚨 *Por favor, revisa el BROCHURE* 👇🏻
Aqui encontrarás la información completa del programa, el TEMARIO (malla curricular) y todos los BENEFICIOS 📚</v>
      </c>
      <c r="Y93" s="5" t="str">
        <f>IFERROR(__xludf.DUMMYFUNCTION("""COMPUTED_VALUE"""),"images/dipsupply.jpg")</f>
        <v>images/dipsupply.jpg</v>
      </c>
      <c r="Z93" s="5"/>
      <c r="AA93" s="5"/>
      <c r="AB93" s="6">
        <f>IFERROR(__xludf.DUMMYFUNCTION("""COMPUTED_VALUE"""),4060.0)</f>
        <v>4060</v>
      </c>
      <c r="AC93" s="6">
        <f>IFERROR(__xludf.DUMMYFUNCTION("""COMPUTED_VALUE"""),3710.0)</f>
        <v>3710</v>
      </c>
      <c r="AD93" s="6">
        <f>IFERROR(__xludf.DUMMYFUNCTION("""COMPUTED_VALUE"""),2030.0)</f>
        <v>2030</v>
      </c>
      <c r="AE93" s="6">
        <f>IFERROR(__xludf.DUMMYFUNCTION("""COMPUTED_VALUE"""),1855.0)</f>
        <v>1855</v>
      </c>
      <c r="AF93" s="6">
        <f>IFERROR(__xludf.DUMMYFUNCTION("""COMPUTED_VALUE"""),250.0)</f>
        <v>250</v>
      </c>
      <c r="AG93" s="5">
        <f>IFERROR(__xludf.DUMMYFUNCTION("""COMPUTED_VALUE"""),350.0)</f>
        <v>350</v>
      </c>
      <c r="AH93" s="5"/>
      <c r="AI93" s="5">
        <f>IFERROR(__xludf.DUMMYFUNCTION("""COMPUTED_VALUE"""),1669.5)</f>
        <v>1669.5</v>
      </c>
      <c r="AJ93" s="5">
        <f>IFERROR(__xludf.DUMMYFUNCTION("""COMPUTED_VALUE"""),1827.0)</f>
        <v>1827</v>
      </c>
      <c r="AK93" s="5" t="str">
        <f>IFERROR(__xludf.DUMMYFUNCTION("""COMPUTED_VALUE"""),"📦 *El éxito de las empresas depende de cadenas de suministro eficientes* 🌎🚀
En este diplomado aprenderás a gestionar la logística, compras y distribución con un enfoque estratégico y práctico, aplicando herramientas modernas para optimizar procesos de "&amp;"principio a fin ⚙️📊
Ahora te adjunto la información a detalle 👇🏻")</f>
        <v>📦 *El éxito de las empresas depende de cadenas de suministro eficientes* 🌎🚀
En este diplomado aprenderás a gestionar la logística, compras y distribución con un enfoque estratégico y práctico, aplicando herramientas modernas para optimizar procesos de principio a fin ⚙️📊
Ahora te adjunto la información a detalle 👇🏻</v>
      </c>
      <c r="AL93" s="5" t="str">
        <f>IFERROR(__xludf.DUMMYFUNCTION("""COMPUTED_VALUE"""),"*Excelente*, actualiza tus conocimientos y domina la gestión de la cadena de suministro con un enfoque moderno 🚀.")</f>
        <v>*Excelente*, actualiza tus conocimientos y domina la gestión de la cadena de suministro con un enfoque moderno 🚀.</v>
      </c>
      <c r="AM93" s="5" t="str">
        <f>IFERROR(__xludf.DUMMYFUNCTION("""COMPUTED_VALUE"""),"Buenísimo, Supply Chain es altamente demandado y te dará un plus en tu CV para más oportunidades laborales 🧳.")</f>
        <v>Buenísimo, Supply Chain es altamente demandado y te dará un plus en tu CV para más oportunidades laborales 🧳.</v>
      </c>
      <c r="AN93" s="5" t="str">
        <f>IFERROR(__xludf.DUMMYFUNCTION("""COMPUTED_VALUE"""),"¡Excelente!. podrás complementar lo que ves en la universidad con herramientas prácticas de Supply Chain, y así destacar tu Perfil Profesional 🚀.")</f>
        <v>¡Excelente!. podrás complementar lo que ves en la universidad con herramientas prácticas de Supply Chain, y así destacar tu Perfil Profesional 🚀.</v>
      </c>
      <c r="AO93" s="5" t="str">
        <f>IFERROR(__xludf.DUMMYFUNCTION("""COMPUTED_VALUE"""),"¡Perfecto!, el conocimiento en Supply Chain es muy valorado y te ayudará a destacar al postular a prácticas 🧳.")</f>
        <v>¡Perfecto!, el conocimiento en Supply Chain es muy valorado y te ayudará a destacar al postular a prácticas 🧳.</v>
      </c>
      <c r="AP93" s="5" t="str">
        <f>IFERROR(__xludf.DUMMYFUNCTION("""COMPUTED_VALUE"""),"¡Excelente!, con Supply Chain optimizarás logística, compras y distribución, llevando tu negocio al siguiente nivel 🚀.")</f>
        <v>¡Excelente!, con Supply Chain optimizarás logística, compras y distribución, llevando tu negocio al siguiente nivel 🚀.</v>
      </c>
      <c r="AQ93" s="9" t="str">
        <f>IFERROR(__xludf.DUMMYFUNCTION("""COMPUTED_VALUE"""),"https://we-educacion.com/slides/diplomado-en-supply-chain-management-49")</f>
        <v>https://we-educacion.com/slides/diplomado-en-supply-chain-management-49</v>
      </c>
      <c r="AR93" s="5">
        <v>1.0</v>
      </c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</row>
    <row r="94" ht="15.75" customHeight="1">
      <c r="A94" s="5" t="s">
        <v>136</v>
      </c>
      <c r="B94" s="5" t="str">
        <f t="shared" si="1"/>
        <v>NOV. I - ED25</v>
      </c>
      <c r="C94" s="6" t="str">
        <f>IFERROR(__xludf.DUMMYFUNCTION("""COMPUTED_VALUE"""),"LOGÍSTICA")</f>
        <v>LOGÍSTICA</v>
      </c>
      <c r="D94" s="5" t="str">
        <f>IFERROR(__xludf.DUMMYFUNCTION("""COMPUTED_VALUE"""),"CURSO")</f>
        <v>CURSO</v>
      </c>
      <c r="E94" s="6" t="str">
        <f>IFERROR(__xludf.DUMMYFUNCTION("""COMPUTED_VALUE"""),"PLAN. Y PRONOSTICO V2")</f>
        <v>PLAN. Y PRONOSTICO V2</v>
      </c>
      <c r="F94" s="7">
        <f>IFERROR(__xludf.DUMMYFUNCTION("""COMPUTED_VALUE"""),45988.0)</f>
        <v>45988</v>
      </c>
      <c r="G94" s="6"/>
      <c r="H94" s="7"/>
      <c r="I94" s="6"/>
      <c r="J94" s="7"/>
      <c r="K94" s="6"/>
      <c r="L94" s="7"/>
      <c r="M94" s="6"/>
      <c r="N94" s="7"/>
      <c r="O94" s="6"/>
      <c r="P94" s="7"/>
      <c r="Q94" s="6" t="str">
        <f>IFERROR(__xludf.DUMMYFUNCTION("""COMPUTED_VALUE"""),"Hugo Vasquez")</f>
        <v>Hugo Vasquez</v>
      </c>
      <c r="R94" s="5" t="str">
        <f>IFERROR(__xludf.DUMMYFUNCTION("""COMPUTED_VALUE"""),"Jue")</f>
        <v>Jue</v>
      </c>
      <c r="S94" s="6" t="str">
        <f>IFERROR(__xludf.DUMMYFUNCTION("""COMPUTED_VALUE"""),"7PM - 10PM")</f>
        <v>7PM - 10PM</v>
      </c>
      <c r="T94" s="7" t="str">
        <f>IFERROR(__xludf.DUMMYFUNCTION("""COMPUTED_VALUE"""),"Jueves 27 Noviembre")</f>
        <v>Jueves 27 Noviembre</v>
      </c>
      <c r="U94" s="7" t="str">
        <f>IFERROR(__xludf.DUMMYFUNCTION("""COMPUTED_VALUE"""),"Jueves 15 Enero")</f>
        <v>Jueves 15 Enero</v>
      </c>
      <c r="V94" s="8">
        <f>IFERROR(__xludf.DUMMYFUNCTION("""COMPUTED_VALUE"""),6.0)</f>
        <v>6</v>
      </c>
      <c r="W94" s="5" t="str">
        <f>IFERROR(__xludf.DUMMYFUNCTION("""COMPUTED_VALUE"""),"pdfs/BROCHURE PLANEAMIENTO Y PRONÓSTICO DE LA DEMANDA.pdf")</f>
        <v>pdfs/BROCHURE PLANEAMIENTO Y PRONÓSTICO DE LA DEMANDA.pdf</v>
      </c>
      <c r="X94" s="5" t="str">
        <f>IFERROR(__xludf.DUMMYFUNCTION("""COMPUTED_VALUE"""),"🔵 *Utilizarán Excel* 👩🏻‍💻
👉🏼 *¡Te regalamos el Curso Excel Intermedio!*
🚨 *Por favor, revisa el BROCHURE* 👇🏻
Aqui encontrarás la información completa del programa, el TEMARIO (malla curricular) y todos los BENEFICIOS 📚")</f>
        <v>🔵 *Utilizarán Excel* 👩🏻‍💻
👉🏼 *¡Te regalamos el Curso Excel Intermedio!*
🚨 *Por favor, revisa el BROCHURE* 👇🏻
Aqui encontrarás la información completa del programa, el TEMARIO (malla curricular) y todos los BENEFICIOS 📚</v>
      </c>
      <c r="Y94" s="5" t="str">
        <f>IFERROR(__xludf.DUMMYFUNCTION("""COMPUTED_VALUE"""),"images/planypronost.jpg")</f>
        <v>images/planypronost.jpg</v>
      </c>
      <c r="Z94" s="5"/>
      <c r="AA94" s="5"/>
      <c r="AB94" s="6">
        <f>IFERROR(__xludf.DUMMYFUNCTION("""COMPUTED_VALUE"""),830.0)</f>
        <v>830</v>
      </c>
      <c r="AC94" s="6">
        <f>IFERROR(__xludf.DUMMYFUNCTION("""COMPUTED_VALUE"""),770.0)</f>
        <v>770</v>
      </c>
      <c r="AD94" s="6">
        <f>IFERROR(__xludf.DUMMYFUNCTION("""COMPUTED_VALUE"""),415.0)</f>
        <v>415</v>
      </c>
      <c r="AE94" s="6">
        <f>IFERROR(__xludf.DUMMYFUNCTION("""COMPUTED_VALUE"""),385.0)</f>
        <v>385</v>
      </c>
      <c r="AF94" s="6">
        <f>IFERROR(__xludf.DUMMYFUNCTION("""COMPUTED_VALUE"""),150.0)</f>
        <v>150</v>
      </c>
      <c r="AG94" s="5">
        <f>IFERROR(__xludf.DUMMYFUNCTION("""COMPUTED_VALUE"""),150.0)</f>
        <v>150</v>
      </c>
      <c r="AH94" s="5"/>
      <c r="AI94" s="5">
        <f>IFERROR(__xludf.DUMMYFUNCTION("""COMPUTED_VALUE"""),346.5)</f>
        <v>346.5</v>
      </c>
      <c r="AJ94" s="5">
        <f>IFERROR(__xludf.DUMMYFUNCTION("""COMPUTED_VALUE"""),373.5)</f>
        <v>373.5</v>
      </c>
      <c r="AK94" s="5" t="str">
        <f>IFERROR(__xludf.DUMMYFUNCTION("""COMPUTED_VALUE"""),"Los líderes de hoy no solo ejecutan, anticipan 💡
Con Planeamiento y Pronóstico desarrollarás habilidades para proyectar escenarios reales y tomar decisiones con visión estratégica.
Revisa la información completa aquí 👇🏻")</f>
        <v>Los líderes de hoy no solo ejecutan, anticipan 💡
Con Planeamiento y Pronóstico desarrollarás habilidades para proyectar escenarios reales y tomar decisiones con visión estratégica.
Revisa la información completa aquí 👇🏻</v>
      </c>
      <c r="AL94" s="5" t="str">
        <f>IFERROR(__xludf.DUMMYFUNCTION("""COMPUTED_VALUE"""),"Excelente 🙌, actualizarte en Planeamiento y Pronóstico te ayudará a proyectar escenarios reales 🔮 y mantenerte competitivo.")</f>
        <v>Excelente 🙌, actualizarte en Planeamiento y Pronóstico te ayudará a proyectar escenarios reales 🔮 y mantenerte competitivo.</v>
      </c>
      <c r="AM94" s="5" t="str">
        <f>IFERROR(__xludf.DUMMYFUNCTION("""COMPUTED_VALUE"""),"Buenísimo 💼, esta herramienta es clave en empresas que buscan profesionales capaces de anticipar y planear estratégicamente 🧭.")</f>
        <v>Buenísimo 💼, esta herramienta es clave en empresas que buscan profesionales capaces de anticipar y planear estratégicamente 🧭.</v>
      </c>
      <c r="AN94" s="5" t="str">
        <f>IFERROR(__xludf.DUMMYFUNCTION("""COMPUTED_VALUE"""),"¡Excelente! 🎓 Aprender Planeamiento y Pronóstico te dará visión estratégica 👀 que te diferenciará.")</f>
        <v>¡Excelente! 🎓 Aprender Planeamiento y Pronóstico te dará visión estratégica 👀 que te diferenciará.</v>
      </c>
      <c r="AO94" s="5" t="str">
        <f>IFERROR(__xludf.DUMMYFUNCTION("""COMPUTED_VALUE"""),"¡Perfecto! 🔑 Tener conocimientos en Planeamiento y Pronóstico te dará ventaja en prácticas en planeamiento o finanzas 💹.")</f>
        <v>¡Perfecto! 🔑 Tener conocimientos en Planeamiento y Pronóstico te dará ventaja en prácticas en planeamiento o finanzas 💹.</v>
      </c>
      <c r="AP94" s="5" t="str">
        <f>IFERROR(__xludf.DUMMYFUNCTION("""COMPUTED_VALUE"""),"¡Excelente! 💡 Con Planeamiento y Pronóstico podrás anticipar resultados 📈 y tomar mejores decisiones en tu negocio.")</f>
        <v>¡Excelente! 💡 Con Planeamiento y Pronóstico podrás anticipar resultados 📈 y tomar mejores decisiones en tu negocio.</v>
      </c>
      <c r="AQ94" s="9" t="str">
        <f>IFERROR(__xludf.DUMMYFUNCTION("""COMPUTED_VALUE"""),"https://we-educacion.com/slides/planeamiento-pronostico-de-la-demanda-78")</f>
        <v>https://we-educacion.com/slides/planeamiento-pronostico-de-la-demanda-78</v>
      </c>
      <c r="AR94" s="5">
        <v>1.0</v>
      </c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</row>
    <row r="95" ht="15.75" customHeight="1">
      <c r="A95" s="5" t="s">
        <v>137</v>
      </c>
      <c r="B95" s="5" t="str">
        <f t="shared" si="1"/>
        <v>NOV. I - ED25</v>
      </c>
      <c r="C95" s="6" t="str">
        <f>IFERROR(__xludf.DUMMYFUNCTION("""COMPUTED_VALUE"""),"MKT")</f>
        <v>MKT</v>
      </c>
      <c r="D95" s="5" t="str">
        <f>IFERROR(__xludf.DUMMYFUNCTION("""COMPUTED_VALUE"""),"CURSO")</f>
        <v>CURSO</v>
      </c>
      <c r="E95" s="6" t="str">
        <f>IFERROR(__xludf.DUMMYFUNCTION("""COMPUTED_VALUE"""),"ESTR. Y TEC. COMERCIALES")</f>
        <v>ESTR. Y TEC. COMERCIALES</v>
      </c>
      <c r="F95" s="7">
        <f>IFERROR(__xludf.DUMMYFUNCTION("""COMPUTED_VALUE"""),45990.0)</f>
        <v>45990</v>
      </c>
      <c r="G95" s="6"/>
      <c r="H95" s="7"/>
      <c r="I95" s="6"/>
      <c r="J95" s="7"/>
      <c r="K95" s="6"/>
      <c r="L95" s="7"/>
      <c r="M95" s="6"/>
      <c r="N95" s="7"/>
      <c r="O95" s="6"/>
      <c r="P95" s="7"/>
      <c r="Q95" s="6" t="str">
        <f>IFERROR(__xludf.DUMMYFUNCTION("""COMPUTED_VALUE"""),"Johana Pacheco")</f>
        <v>Johana Pacheco</v>
      </c>
      <c r="R95" s="5" t="str">
        <f>IFERROR(__xludf.DUMMYFUNCTION("""COMPUTED_VALUE"""),"Sáb")</f>
        <v>Sáb</v>
      </c>
      <c r="S95" s="6" t="str">
        <f>IFERROR(__xludf.DUMMYFUNCTION("""COMPUTED_VALUE"""),"3PM - 6PM")</f>
        <v>3PM - 6PM</v>
      </c>
      <c r="T95" s="7" t="str">
        <f>IFERROR(__xludf.DUMMYFUNCTION("""COMPUTED_VALUE"""),"Sábado 29 Noviembre")</f>
        <v>Sábado 29 Noviembre</v>
      </c>
      <c r="U95" s="7" t="str">
        <f>IFERROR(__xludf.DUMMYFUNCTION("""COMPUTED_VALUE"""),"Sábado 10 Enero")</f>
        <v>Sábado 10 Enero</v>
      </c>
      <c r="V95" s="8">
        <f>IFERROR(__xludf.DUMMYFUNCTION("""COMPUTED_VALUE"""),6.0)</f>
        <v>6</v>
      </c>
      <c r="W95" s="5" t="str">
        <f>IFERROR(__xludf.DUMMYFUNCTION("""COMPUTED_VALUE"""),"pdfs/BROCHURE ESTRATEGIAS Y TECNICAS COMERCIALES.pdf")</f>
        <v>pdfs/BROCHURE ESTRATEGIAS Y TECNICAS COMERCIALES.pdf</v>
      </c>
      <c r="X95" s="5" t="str">
        <f>IFERROR(__xludf.DUMMYFUNCTION("""COMPUTED_VALUE"""),"👩🏻‍💻 Aplicarán Automatización de correos, Journey Map, Plan de Acción y mucho más. 
🚨 Por favor, revisa el BROCHURE 👇🏻
Aqui encontrarás la información completa del programa: Temario (malla curricular) y todos los BENEFICIOS 📚
👉🏼 Te comparto un "&amp;"Modelo de Certificado que elevará tu perfil profesional ")</f>
        <v>👩🏻‍💻 Aplicarán Automatización de correos, Journey Map, Plan de Acción y mucho más. 
🚨 Por favor, revisa el BROCHURE 👇🏻
Aqui encontrarás la información completa del programa: Temario (malla curricular) y todos los BENEFICIOS 📚
👉🏼 Te comparto un Modelo de Certificado que elevará tu perfil profesional </v>
      </c>
      <c r="Y95" s="5"/>
      <c r="Z95" s="5"/>
      <c r="AA95" s="5" t="str">
        <f>IFERROR(__xludf.DUMMYFUNCTION("""COMPUTED_VALUE"""),"NO")</f>
        <v>NO</v>
      </c>
      <c r="AB95" s="6">
        <f>IFERROR(__xludf.DUMMYFUNCTION("""COMPUTED_VALUE"""),650.0)</f>
        <v>650</v>
      </c>
      <c r="AC95" s="6">
        <f>IFERROR(__xludf.DUMMYFUNCTION("""COMPUTED_VALUE"""),600.0)</f>
        <v>600</v>
      </c>
      <c r="AD95" s="6">
        <f>IFERROR(__xludf.DUMMYFUNCTION("""COMPUTED_VALUE"""),325.0)</f>
        <v>325</v>
      </c>
      <c r="AE95" s="6">
        <f>IFERROR(__xludf.DUMMYFUNCTION("""COMPUTED_VALUE"""),300.0)</f>
        <v>300</v>
      </c>
      <c r="AF95" s="6">
        <f>IFERROR(__xludf.DUMMYFUNCTION("""COMPUTED_VALUE"""),150.0)</f>
        <v>150</v>
      </c>
      <c r="AG95" s="5">
        <f>IFERROR(__xludf.DUMMYFUNCTION("""COMPUTED_VALUE"""),150.0)</f>
        <v>150</v>
      </c>
      <c r="AH95" s="5"/>
      <c r="AI95" s="5">
        <f>IFERROR(__xludf.DUMMYFUNCTION("""COMPUTED_VALUE"""),270.0)</f>
        <v>270</v>
      </c>
      <c r="AJ95" s="5">
        <f>IFERROR(__xludf.DUMMYFUNCTION("""COMPUTED_VALUE"""),292.5)</f>
        <v>292.5</v>
      </c>
      <c r="AK95" s="5" t="str">
        <f>IFERROR(__xludf.DUMMYFUNCTION("""COMPUTED_VALUE"""),"El motor de las empresas líderes es la gestión comercial estratégica 💡
Con Estrategias y Técnicas Comerciales aprenderás a diseñar y aplicar tácticas de venta con casos reales 🏆.
Aquí te comparto la información 👇🏻")</f>
        <v>El motor de las empresas líderes es la gestión comercial estratégica 💡
Con Estrategias y Técnicas Comerciales aprenderás a diseñar y aplicar tácticas de venta con casos reales 🏆.
Aquí te comparto la información 👇🏻</v>
      </c>
      <c r="AL95" s="5" t="str">
        <f>IFERROR(__xludf.DUMMYFUNCTION("""COMPUTED_VALUE"""),"🛠️ *Excelente*, actualízate con *ESTR. Y TEC. COMERCIALES* y mantente competitivo en el mercado laboral.")</f>
        <v>🛠️ *Excelente*, actualízate con *ESTR. Y TEC. COMERCIALES* y mantente competitivo en el mercado laboral.</v>
      </c>
      <c r="AM95" s="5" t="str">
        <f>IFERROR(__xludf.DUMMYFUNCTION("""COMPUTED_VALUE"""),"💼 Buenísimo, *ESTR. Y TEC. COMERCIALES* es de las competencias más pedidas por las empresas y aumentará tus oportunidades laborales.")</f>
        <v>💼 Buenísimo, *ESTR. Y TEC. COMERCIALES* es de las competencias más pedidas por las empresas y aumentará tus oportunidades laborales.</v>
      </c>
      <c r="AN95" s="5" t="str">
        <f>IFERROR(__xludf.DUMMYFUNCTION("""COMPUTED_VALUE"""),"💼 ¡Genial! Con *ESTR. Y TEC. COMERCIALES* sumarás una habilidad poderosa que te diferenciará desde la universidad.")</f>
        <v>💼 ¡Genial! Con *ESTR. Y TEC. COMERCIALES* sumarás una habilidad poderosa que te diferenciará desde la universidad.</v>
      </c>
      <c r="AO95" s="5" t="str">
        <f>IFERROR(__xludf.DUMMYFUNCTION("""COMPUTED_VALUE"""),"🚀 ¡Perfecto! Saber *ESTR. Y TEC. COMERCIALES* te dará ventaja frente a otros postulantes para conseguir prácticas.")</f>
        <v>🚀 ¡Perfecto! Saber *ESTR. Y TEC. COMERCIALES* te dará ventaja frente a otros postulantes para conseguir prácticas.</v>
      </c>
      <c r="AP95" s="5" t="str">
        <f>IFERROR(__xludf.DUMMYFUNCTION("""COMPUTED_VALUE"""),"💼 ¡Excelente! Con *ESTR. Y TEC. COMERCIALES* podrás aplicarlo en tu negocio y tomar decisiones más inteligentes.")</f>
        <v>💼 ¡Excelente! Con *ESTR. Y TEC. COMERCIALES* podrás aplicarlo en tu negocio y tomar decisiones más inteligentes.</v>
      </c>
      <c r="AQ95" s="5"/>
      <c r="AR95" s="5">
        <v>1.0</v>
      </c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</row>
    <row r="96" ht="15.75" customHeight="1">
      <c r="A96" s="5" t="s">
        <v>138</v>
      </c>
      <c r="B96" s="5" t="str">
        <f t="shared" si="1"/>
        <v>NOV. I - ED25</v>
      </c>
      <c r="C96" s="6" t="str">
        <f>IFERROR(__xludf.DUMMYFUNCTION("""COMPUTED_VALUE"""),"BI")</f>
        <v>BI</v>
      </c>
      <c r="D96" s="5" t="str">
        <f>IFERROR(__xludf.DUMMYFUNCTION("""COMPUTED_VALUE"""),"CURSO")</f>
        <v>CURSO</v>
      </c>
      <c r="E96" s="6" t="str">
        <f>IFERROR(__xludf.DUMMYFUNCTION("""COMPUTED_VALUE"""),"INGENIERO DE ANÁLISIS DE MICROSOFT FABRIC")</f>
        <v>INGENIERO DE ANÁLISIS DE MICROSOFT FABRIC</v>
      </c>
      <c r="F96" s="7">
        <f>IFERROR(__xludf.DUMMYFUNCTION("""COMPUTED_VALUE"""),45990.0)</f>
        <v>45990</v>
      </c>
      <c r="G96" s="6"/>
      <c r="H96" s="7"/>
      <c r="I96" s="6"/>
      <c r="J96" s="7"/>
      <c r="K96" s="6"/>
      <c r="L96" s="7"/>
      <c r="M96" s="6"/>
      <c r="N96" s="7"/>
      <c r="O96" s="6"/>
      <c r="P96" s="7"/>
      <c r="Q96" s="6"/>
      <c r="R96" s="5" t="str">
        <f>IFERROR(__xludf.DUMMYFUNCTION("""COMPUTED_VALUE"""),"Sáb")</f>
        <v>Sáb</v>
      </c>
      <c r="S96" s="6" t="str">
        <f>IFERROR(__xludf.DUMMYFUNCTION("""COMPUTED_VALUE"""),"3PM - 6PM")</f>
        <v>3PM - 6PM</v>
      </c>
      <c r="T96" s="7" t="str">
        <f>IFERROR(__xludf.DUMMYFUNCTION("""COMPUTED_VALUE"""),"Sábado 29 Noviembre")</f>
        <v>Sábado 29 Noviembre</v>
      </c>
      <c r="U96" s="7" t="str">
        <f>IFERROR(__xludf.DUMMYFUNCTION("""COMPUTED_VALUE"""),"Sábado 10 Enero")</f>
        <v>Sábado 10 Enero</v>
      </c>
      <c r="V96" s="8">
        <f>IFERROR(__xludf.DUMMYFUNCTION("""COMPUTED_VALUE"""),5.0)</f>
        <v>5</v>
      </c>
      <c r="W96" s="5"/>
      <c r="X96" s="5"/>
      <c r="Y96" s="5"/>
      <c r="Z96" s="5"/>
      <c r="AA96" s="5"/>
      <c r="AB96" s="6"/>
      <c r="AC96" s="6"/>
      <c r="AD96" s="6"/>
      <c r="AE96" s="6"/>
      <c r="AF96" s="6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 t="str">
        <f>IFERROR(__xludf.DUMMYFUNCTION("""COMPUTED_VALUE"""),"#N/A")</f>
        <v>#N/A</v>
      </c>
      <c r="AR96" s="5">
        <v>1.0</v>
      </c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</row>
    <row r="97" ht="15.75" customHeight="1">
      <c r="A97" s="5" t="s">
        <v>139</v>
      </c>
      <c r="B97" s="5" t="str">
        <f t="shared" si="1"/>
        <v>NOV. I - ED25</v>
      </c>
      <c r="C97" s="6" t="str">
        <f>IFERROR(__xludf.DUMMYFUNCTION("""COMPUTED_VALUE"""),"LOGÍSTICA")</f>
        <v>LOGÍSTICA</v>
      </c>
      <c r="D97" s="6" t="str">
        <f>IFERROR(__xludf.DUMMYFUNCTION("""COMPUTED_VALUE"""),"CURSO")</f>
        <v>CURSO</v>
      </c>
      <c r="E97" s="6" t="str">
        <f>IFERROR(__xludf.DUMMYFUNCTION("""COMPUTED_VALUE"""),"GEST. COMP. Y PROV.")</f>
        <v>GEST. COMP. Y PROV.</v>
      </c>
      <c r="F97" s="7">
        <f>IFERROR(__xludf.DUMMYFUNCTION("""COMPUTED_VALUE"""),45991.0)</f>
        <v>45991</v>
      </c>
      <c r="G97" s="6"/>
      <c r="H97" s="7"/>
      <c r="I97" s="6"/>
      <c r="J97" s="7"/>
      <c r="K97" s="6"/>
      <c r="L97" s="7"/>
      <c r="M97" s="6"/>
      <c r="N97" s="7"/>
      <c r="O97" s="6"/>
      <c r="P97" s="7"/>
      <c r="Q97" s="6" t="str">
        <f>IFERROR(__xludf.DUMMYFUNCTION("""COMPUTED_VALUE"""),"Katherine Huaroto")</f>
        <v>Katherine Huaroto</v>
      </c>
      <c r="R97" s="5" t="str">
        <f>IFERROR(__xludf.DUMMYFUNCTION("""COMPUTED_VALUE"""),"Dom")</f>
        <v>Dom</v>
      </c>
      <c r="S97" s="6" t="str">
        <f>IFERROR(__xludf.DUMMYFUNCTION("""COMPUTED_VALUE"""),"9AM - 12PM")</f>
        <v>9AM - 12PM</v>
      </c>
      <c r="T97" s="7" t="str">
        <f>IFERROR(__xludf.DUMMYFUNCTION("""COMPUTED_VALUE"""),"Domingo 30 Noviembre")</f>
        <v>Domingo 30 Noviembre</v>
      </c>
      <c r="U97" s="7" t="str">
        <f>IFERROR(__xludf.DUMMYFUNCTION("""COMPUTED_VALUE"""),"Domingo 4 Enero")</f>
        <v>Domingo 4 Enero</v>
      </c>
      <c r="V97" s="8">
        <f>IFERROR(__xludf.DUMMYFUNCTION("""COMPUTED_VALUE"""),6.0)</f>
        <v>6</v>
      </c>
      <c r="W97" s="5" t="str">
        <f>IFERROR(__xludf.DUMMYFUNCTION("""COMPUTED_VALUE"""),"pdfs/BROCHURE GEST DE COMPRAS Y PROVEEDORES.pdf")</f>
        <v>pdfs/BROCHURE GEST DE COMPRAS Y PROVEEDORES.pdf</v>
      </c>
      <c r="X97" s="5" t="str">
        <f>IFERROR(__xludf.DUMMYFUNCTION("""COMPUTED_VALUE"""),"🔵 *Conoce TODOS los BENEFICIOS a los que accedes*
🔹 Acceso a Campus Virtual WE 👩🏻‍🏫
🔹 Material digital y grabación de clases 
🔹 Certificado digital 
🔹 04 Cursos Online de regalo con acceso ilimitado 📚
🔹 Desarrollo y seguimiento de tu proyecto *"&amp;"(Evaluado)*
🔹 Garantía de Aprendizaje 100%
🚨 *Revisa el BROCHURE* 👇🏻")</f>
        <v>🔵 *Conoce TODOS los BENEFICIOS a los que accedes*
🔹 Acceso a Campus Virtual WE 👩🏻‍🏫
🔹 Material digital y grabación de clases 
🔹 Certificado digital 
🔹 04 Cursos Online de regalo con acceso ilimitado 📚
🔹 Desarrollo y seguimiento de tu proyecto *(Evaluado)*
🔹 Garantía de Aprendizaje 100%
🚨 *Revisa el BROCHURE* 👇🏻</v>
      </c>
      <c r="Y97" s="5" t="str">
        <f>IFERROR(__xludf.DUMMYFUNCTION("""COMPUTED_VALUE"""),"images/gestcomp.jpg")</f>
        <v>images/gestcomp.jpg</v>
      </c>
      <c r="Z97" s="5"/>
      <c r="AA97" s="5" t="str">
        <f>IFERROR(__xludf.DUMMYFUNCTION("""COMPUTED_VALUE"""),"SI")</f>
        <v>SI</v>
      </c>
      <c r="AB97" s="6">
        <f>IFERROR(__xludf.DUMMYFUNCTION("""COMPUTED_VALUE"""),830.0)</f>
        <v>830</v>
      </c>
      <c r="AC97" s="6">
        <f>IFERROR(__xludf.DUMMYFUNCTION("""COMPUTED_VALUE"""),770.0)</f>
        <v>770</v>
      </c>
      <c r="AD97" s="6">
        <f>IFERROR(__xludf.DUMMYFUNCTION("""COMPUTED_VALUE"""),415.0)</f>
        <v>415</v>
      </c>
      <c r="AE97" s="6">
        <f>IFERROR(__xludf.DUMMYFUNCTION("""COMPUTED_VALUE"""),385.0)</f>
        <v>385</v>
      </c>
      <c r="AF97" s="6">
        <f>IFERROR(__xludf.DUMMYFUNCTION("""COMPUTED_VALUE"""),150.0)</f>
        <v>150</v>
      </c>
      <c r="AG97" s="5">
        <f>IFERROR(__xludf.DUMMYFUNCTION("""COMPUTED_VALUE"""),150.0)</f>
        <v>150</v>
      </c>
      <c r="AH97" s="5"/>
      <c r="AI97" s="5">
        <f>IFERROR(__xludf.DUMMYFUNCTION("""COMPUTED_VALUE"""),346.5)</f>
        <v>346.5</v>
      </c>
      <c r="AJ97" s="5">
        <f>IFERROR(__xludf.DUMMYFUNCTION("""COMPUTED_VALUE"""),373.5)</f>
        <v>373.5</v>
      </c>
      <c r="AK97" s="5" t="str">
        <f>IFERROR(__xludf.DUMMYFUNCTION("""COMPUTED_VALUE"""),"La clave de la rentabilidad está en una gestión estratégica de compras 💰
Con Gestión de Compras y Proveedores aprenderás a negociar, evaluar y optimizar relaciones con proveedores 💼.
Aquí te comparto la info 👇🏻")</f>
        <v>La clave de la rentabilidad está en una gestión estratégica de compras 💰
Con Gestión de Compras y Proveedores aprenderás a negociar, evaluar y optimizar relaciones con proveedores 💼.
Aquí te comparto la info 👇🏻</v>
      </c>
      <c r="AL97" s="5" t="str">
        <f>IFERROR(__xludf.DUMMYFUNCTION("""COMPUTED_VALUE"""),"🎓 *Excelente*, actualízate con *GEST. COMP. Y PROV.* y mantente competitivo en el mercado laboral.")</f>
        <v>🎓 *Excelente*, actualízate con *GEST. COMP. Y PROV.* y mantente competitivo en el mercado laboral.</v>
      </c>
      <c r="AM97" s="5" t="str">
        <f>IFERROR(__xludf.DUMMYFUNCTION("""COMPUTED_VALUE"""),"🔑 Buenísimo, *GEST. COMP. Y PROV.* es de las competencias más pedidas por las empresas y aumentará tus oportunidades laborales.")</f>
        <v>🔑 Buenísimo, *GEST. COMP. Y PROV.* es de las competencias más pedidas por las empresas y aumentará tus oportunidades laborales.</v>
      </c>
      <c r="AN97" s="5" t="str">
        <f>IFERROR(__xludf.DUMMYFUNCTION("""COMPUTED_VALUE"""),"🌍 ¡Genial! Con *GEST. COMP. Y PROV.* sumarás una habilidad poderosa que te diferenciará desde la universidad.")</f>
        <v>🌍 ¡Genial! Con *GEST. COMP. Y PROV.* sumarás una habilidad poderosa que te diferenciará desde la universidad.</v>
      </c>
      <c r="AO97" s="5" t="str">
        <f>IFERROR(__xludf.DUMMYFUNCTION("""COMPUTED_VALUE"""),"💼 ¡Perfecto! Saber *GEST. COMP. Y PROV.* te dará ventaja frente a otros postulantes para conseguir prácticas.")</f>
        <v>💼 ¡Perfecto! Saber *GEST. COMP. Y PROV.* te dará ventaja frente a otros postulantes para conseguir prácticas.</v>
      </c>
      <c r="AP97" s="5" t="str">
        <f>IFERROR(__xludf.DUMMYFUNCTION("""COMPUTED_VALUE"""),"🚀 ¡Excelente! Con *GEST. COMP. Y PROV.* podrás aplicarlo en tu negocio y tomar decisiones más inteligentes.")</f>
        <v>🚀 ¡Excelente! Con *GEST. COMP. Y PROV.* podrás aplicarlo en tu negocio y tomar decisiones más inteligentes.</v>
      </c>
      <c r="AQ97" s="9" t="str">
        <f>IFERROR(__xludf.DUMMYFUNCTION("""COMPUTED_VALUE"""),"https://we-educacion.com/slides/gestion-de-compras-y-proveedores-74")</f>
        <v>https://we-educacion.com/slides/gestion-de-compras-y-proveedores-74</v>
      </c>
      <c r="AR97" s="5">
        <v>1.0</v>
      </c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</row>
    <row r="98" ht="15.75" customHeight="1">
      <c r="A98" s="5" t="s">
        <v>140</v>
      </c>
      <c r="B98" s="5" t="str">
        <f t="shared" si="1"/>
        <v>NOV. I - ED25</v>
      </c>
      <c r="C98" s="6" t="str">
        <f>IFERROR(__xludf.DUMMYFUNCTION("""COMPUTED_VALUE"""),"EXCEL")</f>
        <v>EXCEL</v>
      </c>
      <c r="D98" s="5" t="str">
        <f>IFERROR(__xludf.DUMMYFUNCTION("""COMPUTED_VALUE"""),"ESP.")</f>
        <v>ESP.</v>
      </c>
      <c r="E98" s="6" t="str">
        <f>IFERROR(__xludf.DUMMYFUNCTION("""COMPUTED_VALUE"""),"ESP. MACROS")</f>
        <v>ESP. MACROS</v>
      </c>
      <c r="F98" s="7">
        <f>IFERROR(__xludf.DUMMYFUNCTION("""COMPUTED_VALUE"""),45991.0)</f>
        <v>45991</v>
      </c>
      <c r="G98" s="6" t="str">
        <f>IFERROR(__xludf.DUMMYFUNCTION("""COMPUTED_VALUE"""),"EXCEL AVANZ")</f>
        <v>EXCEL AVANZ</v>
      </c>
      <c r="H98" s="7">
        <f>IFERROR(__xludf.DUMMYFUNCTION("""COMPUTED_VALUE"""),45991.0)</f>
        <v>45991</v>
      </c>
      <c r="I98" s="6" t="str">
        <f>IFERROR(__xludf.DUMMYFUNCTION("""COMPUTED_VALUE"""),"PROG. MACROS")</f>
        <v>PROG. MACROS</v>
      </c>
      <c r="J98" s="7">
        <f>IFERROR(__xludf.DUMMYFUNCTION("""COMPUTED_VALUE"""),46033.0)</f>
        <v>46033</v>
      </c>
      <c r="K98" s="6"/>
      <c r="L98" s="7"/>
      <c r="M98" s="6"/>
      <c r="N98" s="7"/>
      <c r="O98" s="6"/>
      <c r="P98" s="7"/>
      <c r="Q98" s="6" t="str">
        <f>IFERROR(__xludf.DUMMYFUNCTION("""COMPUTED_VALUE"""),"Giancarlos Barboza
Julio Ccari")</f>
        <v>Giancarlos Barboza
Julio Ccari</v>
      </c>
      <c r="R98" s="5" t="str">
        <f>IFERROR(__xludf.DUMMYFUNCTION("""COMPUTED_VALUE"""),"Dom")</f>
        <v>Dom</v>
      </c>
      <c r="S98" s="6" t="str">
        <f>IFERROR(__xludf.DUMMYFUNCTION("""COMPUTED_VALUE"""),"9AM - 12PM")</f>
        <v>9AM - 12PM</v>
      </c>
      <c r="T98" s="7" t="str">
        <f>IFERROR(__xludf.DUMMYFUNCTION("""COMPUTED_VALUE"""),"Domingo 30 Noviembre")</f>
        <v>Domingo 30 Noviembre</v>
      </c>
      <c r="U98" s="7" t="str">
        <f>IFERROR(__xludf.DUMMYFUNCTION("""COMPUTED_VALUE"""),"Domingo 15 Febrero")</f>
        <v>Domingo 15 Febrero</v>
      </c>
      <c r="V98" s="8">
        <f>IFERROR(__xludf.DUMMYFUNCTION("""COMPUTED_VALUE"""),12.0)</f>
        <v>12</v>
      </c>
      <c r="W98" s="5" t="str">
        <f>IFERROR(__xludf.DUMMYFUNCTION("""COMPUTED_VALUE"""),"pdfs/BROCHURE ESPECIALIZACIÓN EN AUTOMATIZACIÓN CON MACROS EN EXCEL.pdf")</f>
        <v>pdfs/BROCHURE ESPECIALIZACIÓN EN AUTOMATIZACIÓN CON MACROS EN EXCEL.pdf</v>
      </c>
      <c r="X98" s="5" t="str">
        <f>IFERROR(__xludf.DUMMYFUNCTION("""COMPUTED_VALUE"""),"🔵 *Conoce TODOS los BENEFICIOS a los que accedes*
🔹 Acceso a *Campus Virtual* WE 👩🏻‍🏫
🔹 Material digital y grabación de clases 
🔹 Certificados digitales con respaldo *Microsoft Partner*
🔹 04 Cursos Online de regalo con acceso ilimitado 📚
🔹 Desa"&amp;"rrollo y seguimiento de tu proyecto *(Evaluado)*
🔹 Contenido Integrado con Chat GPT
🔹 Garantía de Aprendizaje 100%
🔹 *Utilizarán Excel* 👩🏻‍💻
🚨 *Por favor, revisa el BROCHURE* 👇🏻
Aqui encontrarás la información completa del programa, el TEMARIO "&amp;"(malla curricular) y todos los BENEFICIOS 📚")</f>
        <v>🔵 *Conoce TODOS los BENEFICIOS a los que accedes*
🔹 Acceso a *Campus Virtual* WE 👩🏻‍🏫
🔹 Material digital y grabación de clases 
🔹 Certificados digitales con respaldo *Microsoft Partner*
🔹 04 Cursos Online de regalo con acceso ilimitado 📚
🔹 Desarrollo y seguimiento de tu proyecto *(Evaluado)*
🔹 Contenido Integrado con Chat GPT
🔹 Garantía de Aprendizaje 100%
🔹 *Utilizarán Excel* 👩🏻‍💻
🚨 *Por favor, revisa el BROCHURE* 👇🏻
Aqui encontrarás la información completa del programa, el TEMARIO (malla curricular) y todos los BENEFICIOS 📚</v>
      </c>
      <c r="Y98" s="5" t="str">
        <f>IFERROR(__xludf.DUMMYFUNCTION("""COMPUTED_VALUE"""),"images/espmacros.jpg")</f>
        <v>images/espmacros.jpg</v>
      </c>
      <c r="Z98" s="5" t="str">
        <f>IFERROR(__xludf.DUMMYFUNCTION("""COMPUTED_VALUE"""),"Avalado por Microsoft Partner Network")</f>
        <v>Avalado por Microsoft Partner Network</v>
      </c>
      <c r="AA98" s="5" t="str">
        <f>IFERROR(__xludf.DUMMYFUNCTION("""COMPUTED_VALUE"""),"NO")</f>
        <v>NO</v>
      </c>
      <c r="AB98" s="6">
        <f>IFERROR(__xludf.DUMMYFUNCTION("""COMPUTED_VALUE"""),890.0)</f>
        <v>890</v>
      </c>
      <c r="AC98" s="6">
        <f>IFERROR(__xludf.DUMMYFUNCTION("""COMPUTED_VALUE"""),840.0)</f>
        <v>840</v>
      </c>
      <c r="AD98" s="6">
        <f>IFERROR(__xludf.DUMMYFUNCTION("""COMPUTED_VALUE"""),445.0)</f>
        <v>445</v>
      </c>
      <c r="AE98" s="6">
        <f>IFERROR(__xludf.DUMMYFUNCTION("""COMPUTED_VALUE"""),420.0)</f>
        <v>420</v>
      </c>
      <c r="AF98" s="6">
        <f>IFERROR(__xludf.DUMMYFUNCTION("""COMPUTED_VALUE"""),250.0)</f>
        <v>250</v>
      </c>
      <c r="AG98" s="5">
        <f>IFERROR(__xludf.DUMMYFUNCTION("""COMPUTED_VALUE"""),350.0)</f>
        <v>350</v>
      </c>
      <c r="AH98" s="5"/>
      <c r="AI98" s="5">
        <f>IFERROR(__xludf.DUMMYFUNCTION("""COMPUTED_VALUE"""),378.0)</f>
        <v>378</v>
      </c>
      <c r="AJ98" s="5">
        <f>IFERROR(__xludf.DUMMYFUNCTION("""COMPUTED_VALUE"""),400.5)</f>
        <v>400.5</v>
      </c>
      <c r="AK98" s="5" t="str">
        <f>IFERROR(__xludf.DUMMYFUNCTION("""COMPUTED_VALUE"""),"La automatización es la nueva productividad ⚡
Aprende a crear Macros en Excel para optimizar reportes y procesos repetitivos 📑
👉🏻 Aquí tienes la información completa.")</f>
        <v>La automatización es la nueva productividad ⚡
Aprende a crear Macros en Excel para optimizar reportes y procesos repetitivos 📑
👉🏻 Aquí tienes la información completa.</v>
      </c>
      <c r="AL98" s="5" t="str">
        <f>IFERROR(__xludf.DUMMYFUNCTION("""COMPUTED_VALUE"""),"📊 Excelente, actualízate en Macros de Excel y automatiza procesos al máximo.")</f>
        <v>📊 Excelente, actualízate en Macros de Excel y automatiza procesos al máximo.</v>
      </c>
      <c r="AM98" s="5" t="str">
        <f>IFERROR(__xludf.DUMMYFUNCTION("""COMPUTED_VALUE"""),"💼 Buenísimo, muy demandado en gestión de datos y reportes.")</f>
        <v>💼 Buenísimo, muy demandado en gestión de datos y reportes.</v>
      </c>
      <c r="AN98" s="5" t="str">
        <f>IFERROR(__xludf.DUMMYFUNCTION("""COMPUTED_VALUE"""),"⚡ Genial, te dará ventaja en automatización de tareas complejas.")</f>
        <v>⚡ Genial, te dará ventaja en automatización de tareas complejas.</v>
      </c>
      <c r="AO98" s="5" t="str">
        <f>IFERROR(__xludf.DUMMYFUNCTION("""COMPUTED_VALUE"""),"🚀 Perfecto, tener macros es un plus en prácticas de oficina y análisis.")</f>
        <v>🚀 Perfecto, tener macros es un plus en prácticas de oficina y análisis.</v>
      </c>
      <c r="AP98" s="5" t="str">
        <f>IFERROR(__xludf.DUMMYFUNCTION("""COMPUTED_VALUE"""),"📈 Excelente, con macros podrás ahorrar tiempo y gestionar tu negocio mejor.")</f>
        <v>📈 Excelente, con macros podrás ahorrar tiempo y gestionar tu negocio mejor.</v>
      </c>
      <c r="AQ98" s="9" t="str">
        <f>IFERROR(__xludf.DUMMYFUNCTION("""COMPUTED_VALUE"""),"https://we-educacion.com/slides/especializacion-en-vba-macros-en-excel-160")</f>
        <v>https://we-educacion.com/slides/especializacion-en-vba-macros-en-excel-160</v>
      </c>
      <c r="AR98" s="5">
        <v>1.0</v>
      </c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</row>
    <row r="99" ht="15.75" customHeight="1">
      <c r="A99" s="5" t="s">
        <v>141</v>
      </c>
      <c r="B99" s="5" t="str">
        <f t="shared" si="1"/>
        <v>NOV. II - ED25</v>
      </c>
      <c r="C99" s="6" t="str">
        <f>IFERROR(__xludf.DUMMYFUNCTION("""COMPUTED_VALUE"""),"EXCEL")</f>
        <v>EXCEL</v>
      </c>
      <c r="D99" s="5" t="str">
        <f>IFERROR(__xludf.DUMMYFUNCTION("""COMPUTED_VALUE"""),"CURSO")</f>
        <v>CURSO</v>
      </c>
      <c r="E99" s="6" t="str">
        <f>IFERROR(__xludf.DUMMYFUNCTION("""COMPUTED_VALUE"""),"EXCEL AVANZ")</f>
        <v>EXCEL AVANZ</v>
      </c>
      <c r="F99" s="7">
        <f>IFERROR(__xludf.DUMMYFUNCTION("""COMPUTED_VALUE"""),45991.0)</f>
        <v>45991</v>
      </c>
      <c r="G99" s="6"/>
      <c r="H99" s="7"/>
      <c r="I99" s="6"/>
      <c r="J99" s="7"/>
      <c r="K99" s="6"/>
      <c r="L99" s="7"/>
      <c r="M99" s="6"/>
      <c r="N99" s="7"/>
      <c r="O99" s="6"/>
      <c r="P99" s="7"/>
      <c r="Q99" s="6" t="str">
        <f>IFERROR(__xludf.DUMMYFUNCTION("""COMPUTED_VALUE"""),"Giancarlos Barboza
")</f>
        <v>Giancarlos Barboza
</v>
      </c>
      <c r="R99" s="5" t="str">
        <f>IFERROR(__xludf.DUMMYFUNCTION("""COMPUTED_VALUE"""),"Dom")</f>
        <v>Dom</v>
      </c>
      <c r="S99" s="6" t="str">
        <f>IFERROR(__xludf.DUMMYFUNCTION("""COMPUTED_VALUE"""),"9AM - 12PM")</f>
        <v>9AM - 12PM</v>
      </c>
      <c r="T99" s="7" t="str">
        <f>IFERROR(__xludf.DUMMYFUNCTION("""COMPUTED_VALUE"""),"Domingo 30 Noviembre")</f>
        <v>Domingo 30 Noviembre</v>
      </c>
      <c r="U99" s="7" t="str">
        <f>IFERROR(__xludf.DUMMYFUNCTION("""COMPUTED_VALUE"""),"Domingo 4 Enero")</f>
        <v>Domingo 4 Enero</v>
      </c>
      <c r="V99" s="8">
        <f>IFERROR(__xludf.DUMMYFUNCTION("""COMPUTED_VALUE"""),6.0)</f>
        <v>6</v>
      </c>
      <c r="W99" s="5" t="str">
        <f>IFERROR(__xludf.DUMMYFUNCTION("""COMPUTED_VALUE"""),"pdfs/BROCHURE EXCEL AVANZADO.pdf")</f>
        <v>pdfs/BROCHURE EXCEL AVANZADO.pdf</v>
      </c>
      <c r="X99" s="5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99" s="5" t="str">
        <f>IFERROR(__xludf.DUMMYFUNCTION("""COMPUTED_VALUE"""),"images/excelavanz.jpg")</f>
        <v>images/excelavanz.jpg</v>
      </c>
      <c r="Z99" s="5" t="str">
        <f>IFERROR(__xludf.DUMMYFUNCTION("""COMPUTED_VALUE"""),"Avalado por Microsoft Partner Network")</f>
        <v>Avalado por Microsoft Partner Network</v>
      </c>
      <c r="AA99" s="5" t="str">
        <f>IFERROR(__xludf.DUMMYFUNCTION("""COMPUTED_VALUE"""),"NO")</f>
        <v>NO</v>
      </c>
      <c r="AB99" s="6">
        <f>IFERROR(__xludf.DUMMYFUNCTION("""COMPUTED_VALUE"""),420.0)</f>
        <v>420</v>
      </c>
      <c r="AC99" s="6">
        <f>IFERROR(__xludf.DUMMYFUNCTION("""COMPUTED_VALUE"""),400.0)</f>
        <v>400</v>
      </c>
      <c r="AD99" s="6">
        <f>IFERROR(__xludf.DUMMYFUNCTION("""COMPUTED_VALUE"""),210.0)</f>
        <v>210</v>
      </c>
      <c r="AE99" s="6">
        <f>IFERROR(__xludf.DUMMYFUNCTION("""COMPUTED_VALUE"""),200.0)</f>
        <v>200</v>
      </c>
      <c r="AF99" s="6">
        <f>IFERROR(__xludf.DUMMYFUNCTION("""COMPUTED_VALUE"""),150.0)</f>
        <v>150</v>
      </c>
      <c r="AG99" s="5">
        <f>IFERROR(__xludf.DUMMYFUNCTION("""COMPUTED_VALUE"""),150.0)</f>
        <v>150</v>
      </c>
      <c r="AH99" s="5"/>
      <c r="AI99" s="5">
        <f>IFERROR(__xludf.DUMMYFUNCTION("""COMPUTED_VALUE"""),180.0)</f>
        <v>180</v>
      </c>
      <c r="AJ99" s="5">
        <f>IFERROR(__xludf.DUMMYFUNCTION("""COMPUTED_VALUE"""),189.0)</f>
        <v>189</v>
      </c>
      <c r="AK99" s="5" t="str">
        <f>IFERROR(__xludf.DUMMYFUNCTION("""COMPUTED_VALUE"""),"El lenguaje de la eficiencia es Excel Avanzado 🔥
Aprenderás funciones complejas, tablas dinámicas y automatización aplicadas a negocios reales 💼.
Aquí tienes la info 👇🏻")</f>
        <v>El lenguaje de la eficiencia es Excel Avanzado 🔥
Aprenderás funciones complejas, tablas dinámicas y automatización aplicadas a negocios reales 💼.
Aquí tienes la info 👇🏻</v>
      </c>
      <c r="AL99" s="5" t="str">
        <f>IFERROR(__xludf.DUMMYFUNCTION("""COMPUTED_VALUE"""),"🚀 *Excelente*, actualízate con *EXCEL AVANZ* y mantente competitivo en el mercado laboral.")</f>
        <v>🚀 *Excelente*, actualízate con *EXCEL AVANZ* y mantente competitivo en el mercado laboral.</v>
      </c>
      <c r="AM99" s="5" t="str">
        <f>IFERROR(__xludf.DUMMYFUNCTION("""COMPUTED_VALUE"""),"🚀 Buenísimo, *EXCEL AVANZ* es de las competencias más pedidas por las empresas y aumentará tus oportunidades laborales.")</f>
        <v>🚀 Buenísimo, *EXCEL AVANZ* es de las competencias más pedidas por las empresas y aumentará tus oportunidades laborales.</v>
      </c>
      <c r="AN99" s="5" t="str">
        <f>IFERROR(__xludf.DUMMYFUNCTION("""COMPUTED_VALUE"""),"🔑 ¡Genial! Con *EXCEL AVANZ* sumarás una habilidad poderosa que te diferenciará desde la universidad.")</f>
        <v>🔑 ¡Genial! Con *EXCEL AVANZ* sumarás una habilidad poderosa que te diferenciará desde la universidad.</v>
      </c>
      <c r="AO99" s="5" t="str">
        <f>IFERROR(__xludf.DUMMYFUNCTION("""COMPUTED_VALUE"""),"📘 ¡Perfecto! Saber *EXCEL AVANZ* te dará ventaja frente a otros postulantes para conseguir prácticas.")</f>
        <v>📘 ¡Perfecto! Saber *EXCEL AVANZ* te dará ventaja frente a otros postulantes para conseguir prácticas.</v>
      </c>
      <c r="AP99" s="5" t="str">
        <f>IFERROR(__xludf.DUMMYFUNCTION("""COMPUTED_VALUE"""),"🌍 ¡Excelente! Con *EXCEL AVANZ* podrás aplicarlo en tu negocio y tomar decisiones más inteligentes.")</f>
        <v>🌍 ¡Excelente! Con *EXCEL AVANZ* podrás aplicarlo en tu negocio y tomar decisiones más inteligentes.</v>
      </c>
      <c r="AQ99" s="9" t="str">
        <f>IFERROR(__xludf.DUMMYFUNCTION("""COMPUTED_VALUE"""),"https://we-educacion.com/slides/microsoft-excel-avanzado-59")</f>
        <v>https://we-educacion.com/slides/microsoft-excel-avanzado-59</v>
      </c>
      <c r="AR99" s="5">
        <v>1.0</v>
      </c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</row>
    <row r="100" ht="15.75" customHeight="1">
      <c r="A100" s="5" t="s">
        <v>142</v>
      </c>
      <c r="B100" s="5" t="str">
        <f t="shared" si="1"/>
        <v>NOV. I - ED25</v>
      </c>
      <c r="C100" s="6" t="str">
        <f>IFERROR(__xludf.DUMMYFUNCTION("""COMPUTED_VALUE"""),"BI")</f>
        <v>BI</v>
      </c>
      <c r="D100" s="5" t="str">
        <f>IFERROR(__xludf.DUMMYFUNCTION("""COMPUTED_VALUE"""),"CURSO")</f>
        <v>CURSO</v>
      </c>
      <c r="E100" s="6" t="str">
        <f>IFERROR(__xludf.DUMMYFUNCTION("""COMPUTED_VALUE"""),"POWER BI PRESENCIAL")</f>
        <v>POWER BI PRESENCIAL</v>
      </c>
      <c r="F100" s="7">
        <f>IFERROR(__xludf.DUMMYFUNCTION("""COMPUTED_VALUE"""),45991.0)</f>
        <v>45991</v>
      </c>
      <c r="G100" s="6"/>
      <c r="H100" s="7"/>
      <c r="I100" s="6"/>
      <c r="J100" s="7"/>
      <c r="K100" s="6"/>
      <c r="L100" s="7"/>
      <c r="M100" s="6"/>
      <c r="N100" s="7"/>
      <c r="O100" s="6"/>
      <c r="P100" s="7"/>
      <c r="Q100" s="6" t="str">
        <f>IFERROR(__xludf.DUMMYFUNCTION("""COMPUTED_VALUE"""),"Ricardo Crispin")</f>
        <v>Ricardo Crispin</v>
      </c>
      <c r="R100" s="5" t="str">
        <f>IFERROR(__xludf.DUMMYFUNCTION("""COMPUTED_VALUE"""),"Dom")</f>
        <v>Dom</v>
      </c>
      <c r="S100" s="6" t="str">
        <f>IFERROR(__xludf.DUMMYFUNCTION("""COMPUTED_VALUE"""),"9AM - 1PM")</f>
        <v>9AM - 1PM</v>
      </c>
      <c r="T100" s="7" t="str">
        <f>IFERROR(__xludf.DUMMYFUNCTION("""COMPUTED_VALUE"""),"Domingo 30 Noviembre")</f>
        <v>Domingo 30 Noviembre</v>
      </c>
      <c r="U100" s="7" t="str">
        <f>IFERROR(__xludf.DUMMYFUNCTION("""COMPUTED_VALUE"""),"Domingo 11 Enero")</f>
        <v>Domingo 11 Enero</v>
      </c>
      <c r="V100" s="8">
        <f>IFERROR(__xludf.DUMMYFUNCTION("""COMPUTED_VALUE"""),5.0)</f>
        <v>5</v>
      </c>
      <c r="W100" s="5" t="str">
        <f>IFERROR(__xludf.DUMMYFUNCTION("""COMPUTED_VALUE"""),"pdfs/BROCHURE POWER BI PRESENCIAL.pdf")</f>
        <v>pdfs/BROCHURE POWER BI PRESENCIAL.pdf</v>
      </c>
      <c r="X100" s="5" t="str">
        <f>IFERROR(__xludf.DUMMYFUNCTION("""COMPUTED_VALUE"""),"🔹 Recuerda que si traes tu Propia Laptop a todas las sesiones, te descontamos S/50 en tu inscripción
🚨 Por favor, revisa el BROCHURE 👇🏻
Aqui encontrarás la información completa del programa: Temario (malla curricular) y todos los BENEFICIOS 📚
👉🏼 "&amp;"Te comparto un Modelo de Certificado que elevará tu perfil profesional ")</f>
        <v>🔹 Recuerda que si traes tu Propia Laptop a todas las sesiones, te descontamos S/50 en tu inscripción
🚨 Por favor, revisa el BROCHURE 👇🏻
Aqui encontrarás la información completa del programa: Temario (malla curricular) y todos los BENEFICIOS 📚
👉🏼 Te comparto un Modelo de Certificado que elevará tu perfil profesional </v>
      </c>
      <c r="Y100" s="5" t="str">
        <f>IFERROR(__xludf.DUMMYFUNCTION("""COMPUTED_VALUE"""),"images/powerbipres.jpg")</f>
        <v>images/powerbipres.jpg</v>
      </c>
      <c r="Z100" s="5" t="str">
        <f>IFERROR(__xludf.DUMMYFUNCTION("""COMPUTED_VALUE"""),"Avalado por Microsoft Partner Network")</f>
        <v>Avalado por Microsoft Partner Network</v>
      </c>
      <c r="AA100" s="5" t="str">
        <f>IFERROR(__xludf.DUMMYFUNCTION("""COMPUTED_VALUE"""),"NO")</f>
        <v>NO</v>
      </c>
      <c r="AB100" s="6">
        <f>IFERROR(__xludf.DUMMYFUNCTION("""COMPUTED_VALUE"""),940.0)</f>
        <v>940</v>
      </c>
      <c r="AC100" s="6">
        <f>IFERROR(__xludf.DUMMYFUNCTION("""COMPUTED_VALUE"""),860.0)</f>
        <v>860</v>
      </c>
      <c r="AD100" s="6">
        <f>IFERROR(__xludf.DUMMYFUNCTION("""COMPUTED_VALUE"""),470.0)</f>
        <v>470</v>
      </c>
      <c r="AE100" s="6">
        <f>IFERROR(__xludf.DUMMYFUNCTION("""COMPUTED_VALUE"""),430.0)</f>
        <v>430</v>
      </c>
      <c r="AF100" s="6">
        <f>IFERROR(__xludf.DUMMYFUNCTION("""COMPUTED_VALUE"""),150.0)</f>
        <v>150</v>
      </c>
      <c r="AG100" s="5">
        <f>IFERROR(__xludf.DUMMYFUNCTION("""COMPUTED_VALUE"""),150.0)</f>
        <v>150</v>
      </c>
      <c r="AH100" s="5"/>
      <c r="AI100" s="5">
        <f>IFERROR(__xludf.DUMMYFUNCTION("""COMPUTED_VALUE"""),387.0)</f>
        <v>387</v>
      </c>
      <c r="AJ100" s="5">
        <f>IFERROR(__xludf.DUMMYFUNCTION("""COMPUTED_VALUE"""),423.0)</f>
        <v>423</v>
      </c>
      <c r="AK100" s="5" t="str">
        <f>IFERROR(__xludf.DUMMYFUNCTION("""COMPUTED_VALUE"""),"La ventaja competitiva se gana con análisis de datos en vivo 📊
Con Power BI Presencial aprenderás a crear dashboards e informes aplicados a negocios reales 💼.
Aquí tienes la info 👇🏻")</f>
        <v>La ventaja competitiva se gana con análisis de datos en vivo 📊
Con Power BI Presencial aprenderás a crear dashboards e informes aplicados a negocios reales 💼.
Aquí tienes la info 👇🏻</v>
      </c>
      <c r="AL100" s="5" t="str">
        <f>IFERROR(__xludf.DUMMYFUNCTION("""COMPUTED_VALUE"""),"📊 Excelente, actualízate con Power BI Presencial y desarrolla tu capacidad de análisis estratégico.")</f>
        <v>📊 Excelente, actualízate con Power BI Presencial y desarrolla tu capacidad de análisis estratégico.</v>
      </c>
      <c r="AM100" s="5" t="str">
        <f>IFERROR(__xludf.DUMMYFUNCTION("""COMPUTED_VALUE"""),"💼 Buenísimo, Power BI es una de las herramientas más pedidas en el mercado laboral.")</f>
        <v>💼 Buenísimo, Power BI es una de las herramientas más pedidas en el mercado laboral.</v>
      </c>
      <c r="AN100" s="5" t="str">
        <f>IFERROR(__xludf.DUMMYFUNCTION("""COMPUTED_VALUE"""),"🎓 ¡Genial! Desde la universidad, aprender Power BI te dará un diferencial frente a tus compañeros.")</f>
        <v>🎓 ¡Genial! Desde la universidad, aprender Power BI te dará un diferencial frente a tus compañeros.</v>
      </c>
      <c r="AO100" s="5" t="str">
        <f>IFERROR(__xludf.DUMMYFUNCTION("""COMPUTED_VALUE"""),"🚀 ¡Perfecto! Dominar Power BI te permitirá acceder a prácticas en análisis de datos con ventaja.")</f>
        <v>🚀 ¡Perfecto! Dominar Power BI te permitirá acceder a prácticas en análisis de datos con ventaja.</v>
      </c>
      <c r="AP100" s="5" t="str">
        <f>IFERROR(__xludf.DUMMYFUNCTION("""COMPUTED_VALUE"""),"📈 ¡Excelente! Con Power BI Presencial mejorarás la toma de decisiones en tu negocio.")</f>
        <v>📈 ¡Excelente! Con Power BI Presencial mejorarás la toma de decisiones en tu negocio.</v>
      </c>
      <c r="AQ100" s="9" t="str">
        <f>IFERROR(__xludf.DUMMYFUNCTION("""COMPUTED_VALUE"""),"https://we-educacion.com/slides/power-bi-presencial-463")</f>
        <v>https://we-educacion.com/slides/power-bi-presencial-463</v>
      </c>
      <c r="AR100" s="5">
        <v>1.0</v>
      </c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</row>
    <row r="101" ht="15.75" customHeight="1">
      <c r="A101" s="5" t="s">
        <v>143</v>
      </c>
      <c r="B101" s="5" t="str">
        <f t="shared" si="1"/>
        <v>DIC. I - ED25</v>
      </c>
      <c r="C101" s="6" t="str">
        <f>IFERROR(__xludf.DUMMYFUNCTION("""COMPUTED_VALUE"""),"PROCESOS")</f>
        <v>PROCESOS</v>
      </c>
      <c r="D101" s="6" t="str">
        <f>IFERROR(__xludf.DUMMYFUNCTION("""COMPUTED_VALUE"""),"DIPLOMADO")</f>
        <v>DIPLOMADO</v>
      </c>
      <c r="E101" s="6" t="str">
        <f>IFERROR(__xludf.DUMMYFUNCTION("""COMPUTED_VALUE"""),"DIP PROC Y MEJORA V3")</f>
        <v>DIP PROC Y MEJORA V3</v>
      </c>
      <c r="F101" s="7">
        <f>IFERROR(__xludf.DUMMYFUNCTION("""COMPUTED_VALUE"""),45994.0)</f>
        <v>45994</v>
      </c>
      <c r="G101" s="6" t="str">
        <f>IFERROR(__xludf.DUMMYFUNCTION("""COMPUTED_VALUE"""),"GEST PROCESOS")</f>
        <v>GEST PROCESOS</v>
      </c>
      <c r="H101" s="7">
        <f>IFERROR(__xludf.DUMMYFUNCTION("""COMPUTED_VALUE"""),45994.0)</f>
        <v>45994</v>
      </c>
      <c r="I101" s="6" t="str">
        <f>IFERROR(__xludf.DUMMYFUNCTION("""COMPUTED_VALUE"""),"MODEL BIZ.")</f>
        <v>MODEL BIZ.</v>
      </c>
      <c r="J101" s="7">
        <f>IFERROR(__xludf.DUMMYFUNCTION("""COMPUTED_VALUE"""),46050.0)</f>
        <v>46050</v>
      </c>
      <c r="K101" s="6" t="str">
        <f>IFERROR(__xludf.DUMMYFUNCTION("""COMPUTED_VALUE"""),"LEAN SIX SIGMA YELLOW")</f>
        <v>LEAN SIX SIGMA YELLOW</v>
      </c>
      <c r="L101" s="7">
        <f>IFERROR(__xludf.DUMMYFUNCTION("""COMPUTED_VALUE"""),46092.0)</f>
        <v>46092</v>
      </c>
      <c r="M101" s="6" t="str">
        <f>IFERROR(__xludf.DUMMYFUNCTION("""COMPUTED_VALUE"""),"KPIS Y OKRS")</f>
        <v>KPIS Y OKRS</v>
      </c>
      <c r="N101" s="7">
        <f>IFERROR(__xludf.DUMMYFUNCTION("""COMPUTED_VALUE"""),46134.0)</f>
        <v>46134</v>
      </c>
      <c r="O101" s="6" t="str">
        <f>IFERROR(__xludf.DUMMYFUNCTION("""COMPUTED_VALUE"""),"ROBOTIZ.  UIPATH")</f>
        <v>ROBOTIZ.  UIPATH</v>
      </c>
      <c r="P101" s="7">
        <f>IFERROR(__xludf.DUMMYFUNCTION("""COMPUTED_VALUE"""),46176.0)</f>
        <v>46176</v>
      </c>
      <c r="Q101" s="6" t="str">
        <f>IFERROR(__xludf.DUMMYFUNCTION("""COMPUTED_VALUE"""),"Piero Prieto
Julio Dávila
Luis Torres
Luis Euribe
Christian Rojas")</f>
        <v>Piero Prieto
Julio Dávila
Luis Torres
Luis Euribe
Christian Rojas</v>
      </c>
      <c r="R101" s="5" t="str">
        <f>IFERROR(__xludf.DUMMYFUNCTION("""COMPUTED_VALUE"""),"Mie")</f>
        <v>Mie</v>
      </c>
      <c r="S101" s="6" t="str">
        <f>IFERROR(__xludf.DUMMYFUNCTION("""COMPUTED_VALUE"""),"7PM - 10PM")</f>
        <v>7PM - 10PM</v>
      </c>
      <c r="T101" s="7" t="str">
        <f>IFERROR(__xludf.DUMMYFUNCTION("""COMPUTED_VALUE"""),"Miércoles 3 Diciembre")</f>
        <v>Miércoles 3 Diciembre</v>
      </c>
      <c r="U101" s="7" t="str">
        <f>IFERROR(__xludf.DUMMYFUNCTION("""COMPUTED_VALUE"""),"Miércoles 8 Julio")</f>
        <v>Miércoles 8 Julio</v>
      </c>
      <c r="V101" s="8">
        <f>IFERROR(__xludf.DUMMYFUNCTION("""COMPUTED_VALUE"""),29.0)</f>
        <v>29</v>
      </c>
      <c r="W101" s="5" t="str">
        <f>IFERROR(__xludf.DUMMYFUNCTION("""COMPUTED_VALUE"""),"pdfs/BROCHURE DIPLOMADO PROCESOS Y MEJORA CONTINUA.pdf")</f>
        <v>pdfs/BROCHURE DIPLOMADO PROCESOS Y MEJORA CONTINUA.pdf</v>
      </c>
      <c r="X101" s="5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01" s="5" t="str">
        <f>IFERROR(__xludf.DUMMYFUNCTION("""COMPUTED_VALUE"""),"images/dipproc.jpg")</f>
        <v>images/dipproc.jpg</v>
      </c>
      <c r="Z101" s="5"/>
      <c r="AA101" s="5" t="str">
        <f>IFERROR(__xludf.DUMMYFUNCTION("""COMPUTED_VALUE"""),"NO")</f>
        <v>NO</v>
      </c>
      <c r="AB101" s="6">
        <f>IFERROR(__xludf.DUMMYFUNCTION("""COMPUTED_VALUE"""),3740.0)</f>
        <v>3740</v>
      </c>
      <c r="AC101" s="6">
        <f>IFERROR(__xludf.DUMMYFUNCTION("""COMPUTED_VALUE"""),3346.0)</f>
        <v>3346</v>
      </c>
      <c r="AD101" s="6">
        <f>IFERROR(__xludf.DUMMYFUNCTION("""COMPUTED_VALUE"""),1870.0)</f>
        <v>1870</v>
      </c>
      <c r="AE101" s="6">
        <f>IFERROR(__xludf.DUMMYFUNCTION("""COMPUTED_VALUE"""),1673.0)</f>
        <v>1673</v>
      </c>
      <c r="AF101" s="6">
        <f>IFERROR(__xludf.DUMMYFUNCTION("""COMPUTED_VALUE"""),250.0)</f>
        <v>250</v>
      </c>
      <c r="AG101" s="5">
        <f>IFERROR(__xludf.DUMMYFUNCTION("""COMPUTED_VALUE"""),350.0)</f>
        <v>350</v>
      </c>
      <c r="AH101" s="5"/>
      <c r="AI101" s="5">
        <f>IFERROR(__xludf.DUMMYFUNCTION("""COMPUTED_VALUE"""),1505.7)</f>
        <v>1505.7</v>
      </c>
      <c r="AJ101" s="5">
        <f>IFERROR(__xludf.DUMMYFUNCTION("""COMPUTED_VALUE"""),1683.0)</f>
        <v>1683</v>
      </c>
      <c r="AK101" s="5" t="str">
        <f>IFERROR(__xludf.DUMMYFUNCTION("""COMPUTED_VALUE"""),"Mejorar procesos es sinónimo de crecer 🔄
Aprende a optimizar la eficiencia operativa con herramientas de gestión y mejora continua 🏭
👉🏻 Aquí está la información a detalle.")</f>
        <v>Mejorar procesos es sinónimo de crecer 🔄
Aprende a optimizar la eficiencia operativa con herramientas de gestión y mejora continua 🏭
👉🏻 Aquí está la información a detalle.</v>
      </c>
      <c r="AL101" s="5" t="str">
        <f>IFERROR(__xludf.DUMMYFUNCTION("""COMPUTED_VALUE"""),"⚙️ Excelente, el Diplomado en Procesos y Mejora Continua te convierte en experto en Lean &amp; Six Sigma.")</f>
        <v>⚙️ Excelente, el Diplomado en Procesos y Mejora Continua te convierte en experto en Lean &amp; Six Sigma.</v>
      </c>
      <c r="AM101" s="5" t="str">
        <f>IFERROR(__xludf.DUMMYFUNCTION("""COMPUTED_VALUE"""),"💼 Muy bien, este Diplomado es requerido en empresas que priorizan la eficiencia operativa.")</f>
        <v>💼 Muy bien, este Diplomado es requerido en empresas que priorizan la eficiencia operativa.</v>
      </c>
      <c r="AN101" s="5" t="str">
        <f>IFERROR(__xludf.DUMMYFUNCTION("""COMPUTED_VALUE"""),"📚 ¡Genial! Desde la universidad podrás aplicar conceptos de mejora continua a tus proyectos.")</f>
        <v>📚 ¡Genial! Desde la universidad podrás aplicar conceptos de mejora continua a tus proyectos.</v>
      </c>
      <c r="AO101" s="5" t="str">
        <f>IFERROR(__xludf.DUMMYFUNCTION("""COMPUTED_VALUE"""),"🚀 ¡Perfecto! Con este Diplomado destacarás en prácticas en áreas de calidad y optimización.")</f>
        <v>🚀 ¡Perfecto! Con este Diplomado destacarás en prácticas en áreas de calidad y optimización.</v>
      </c>
      <c r="AP101" s="5" t="str">
        <f>IFERROR(__xludf.DUMMYFUNCTION("""COMPUTED_VALUE"""),"📊 ¡Excelente! Podrás aplicar mejoras de procesos directamente en tu negocio.")</f>
        <v>📊 ¡Excelente! Podrás aplicar mejoras de procesos directamente en tu negocio.</v>
      </c>
      <c r="AQ101" s="9" t="str">
        <f>IFERROR(__xludf.DUMMYFUNCTION("""COMPUTED_VALUE"""),"https://we-educacion.com/slides/diplomado-de-procesos-y-mejora-continua-205")</f>
        <v>https://we-educacion.com/slides/diplomado-de-procesos-y-mejora-continua-205</v>
      </c>
      <c r="AR101" s="5">
        <v>1.0</v>
      </c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</row>
    <row r="102" ht="15.75" customHeight="1">
      <c r="A102" s="5" t="s">
        <v>144</v>
      </c>
      <c r="B102" s="5" t="str">
        <f t="shared" si="1"/>
        <v>DIC. I - ED25</v>
      </c>
      <c r="C102" s="6" t="str">
        <f>IFERROR(__xludf.DUMMYFUNCTION("""COMPUTED_VALUE"""),"PROCESOS")</f>
        <v>PROCESOS</v>
      </c>
      <c r="D102" s="6" t="str">
        <f>IFERROR(__xludf.DUMMYFUNCTION("""COMPUTED_VALUE"""),"PEE")</f>
        <v>PEE</v>
      </c>
      <c r="E102" s="6" t="str">
        <f>IFERROR(__xludf.DUMMYFUNCTION("""COMPUTED_VALUE"""),"PEE ANALIST PROC")</f>
        <v>PEE ANALIST PROC</v>
      </c>
      <c r="F102" s="7">
        <f>IFERROR(__xludf.DUMMYFUNCTION("""COMPUTED_VALUE"""),45994.0)</f>
        <v>45994</v>
      </c>
      <c r="G102" s="6" t="str">
        <f>IFERROR(__xludf.DUMMYFUNCTION("""COMPUTED_VALUE"""),"GEST PROCESOS")</f>
        <v>GEST PROCESOS</v>
      </c>
      <c r="H102" s="7">
        <f>IFERROR(__xludf.DUMMYFUNCTION("""COMPUTED_VALUE"""),45994.0)</f>
        <v>45994</v>
      </c>
      <c r="I102" s="6" t="str">
        <f>IFERROR(__xludf.DUMMYFUNCTION("""COMPUTED_VALUE"""),"MODEL BIZ.")</f>
        <v>MODEL BIZ.</v>
      </c>
      <c r="J102" s="7">
        <f>IFERROR(__xludf.DUMMYFUNCTION("""COMPUTED_VALUE"""),46050.0)</f>
        <v>46050</v>
      </c>
      <c r="K102" s="6" t="str">
        <f>IFERROR(__xludf.DUMMYFUNCTION("""COMPUTED_VALUE"""),"LEAN SIX SIGMA YELLOW")</f>
        <v>LEAN SIX SIGMA YELLOW</v>
      </c>
      <c r="L102" s="7">
        <f>IFERROR(__xludf.DUMMYFUNCTION("""COMPUTED_VALUE"""),46092.0)</f>
        <v>46092</v>
      </c>
      <c r="M102" s="6"/>
      <c r="N102" s="7"/>
      <c r="O102" s="6"/>
      <c r="P102" s="7"/>
      <c r="Q102" s="6" t="str">
        <f>IFERROR(__xludf.DUMMYFUNCTION("""COMPUTED_VALUE"""),"Piero Prieto
Julio Dávila
Monica Olivas")</f>
        <v>Piero Prieto
Julio Dávila
Monica Olivas</v>
      </c>
      <c r="R102" s="5" t="str">
        <f>IFERROR(__xludf.DUMMYFUNCTION("""COMPUTED_VALUE"""),"Mie")</f>
        <v>Mie</v>
      </c>
      <c r="S102" s="6" t="str">
        <f>IFERROR(__xludf.DUMMYFUNCTION("""COMPUTED_VALUE"""),"7PM - 10PM")</f>
        <v>7PM - 10PM</v>
      </c>
      <c r="T102" s="7" t="str">
        <f>IFERROR(__xludf.DUMMYFUNCTION("""COMPUTED_VALUE"""),"Miércoles 3 Diciembre")</f>
        <v>Miércoles 3 Diciembre</v>
      </c>
      <c r="U102" s="7" t="str">
        <f>IFERROR(__xludf.DUMMYFUNCTION("""COMPUTED_VALUE"""),"Miércoles 15 Abril")</f>
        <v>Miércoles 15 Abril</v>
      </c>
      <c r="V102" s="8">
        <f>IFERROR(__xludf.DUMMYFUNCTION("""COMPUTED_VALUE"""),18.0)</f>
        <v>18</v>
      </c>
      <c r="W102" s="5" t="str">
        <f>IFERROR(__xludf.DUMMYFUNCTION("""COMPUTED_VALUE"""),"pdfs/BROCHURE PEE ANALISTA DE PROCESOS.pdf")</f>
        <v>pdfs/BROCHURE PEE ANALISTA DE PROCESOS.pdf</v>
      </c>
      <c r="X102" s="5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02" s="5" t="str">
        <f>IFERROR(__xludf.DUMMYFUNCTION("""COMPUTED_VALUE"""),"images/peeprocesos.jpg")</f>
        <v>images/peeprocesos.jpg</v>
      </c>
      <c r="Z102" s="5"/>
      <c r="AA102" s="5" t="str">
        <f>IFERROR(__xludf.DUMMYFUNCTION("""COMPUTED_VALUE"""),"NO")</f>
        <v>NO</v>
      </c>
      <c r="AB102" s="6">
        <f>IFERROR(__xludf.DUMMYFUNCTION("""COMPUTED_VALUE"""),2280.0)</f>
        <v>2280</v>
      </c>
      <c r="AC102" s="6">
        <f>IFERROR(__xludf.DUMMYFUNCTION("""COMPUTED_VALUE"""),2040.0)</f>
        <v>2040</v>
      </c>
      <c r="AD102" s="6">
        <f>IFERROR(__xludf.DUMMYFUNCTION("""COMPUTED_VALUE"""),1140.0)</f>
        <v>1140</v>
      </c>
      <c r="AE102" s="6">
        <f>IFERROR(__xludf.DUMMYFUNCTION("""COMPUTED_VALUE"""),1020.0)</f>
        <v>1020</v>
      </c>
      <c r="AF102" s="6">
        <f>IFERROR(__xludf.DUMMYFUNCTION("""COMPUTED_VALUE"""),250.0)</f>
        <v>250</v>
      </c>
      <c r="AG102" s="5">
        <f>IFERROR(__xludf.DUMMYFUNCTION("""COMPUTED_VALUE"""),350.0)</f>
        <v>350</v>
      </c>
      <c r="AH102" s="5"/>
      <c r="AI102" s="5">
        <f>IFERROR(__xludf.DUMMYFUNCTION("""COMPUTED_VALUE"""),918.0)</f>
        <v>918</v>
      </c>
      <c r="AJ102" s="5">
        <f>IFERROR(__xludf.DUMMYFUNCTION("""COMPUTED_VALUE"""),1026.0)</f>
        <v>1026</v>
      </c>
      <c r="AK102" s="5" t="str">
        <f>IFERROR(__xludf.DUMMYFUNCTION("""COMPUTED_VALUE"""),"La mejora de procesos es el camino a la eficiencia 🔄
Especialízate en análisis y gestión de procesos para optimizar el rendimiento de las organizaciones 🏭
👉🏻 Te paso el detalle.")</f>
        <v>La mejora de procesos es el camino a la eficiencia 🔄
Especialízate en análisis y gestión de procesos para optimizar el rendimiento de las organizaciones 🏭
👉🏻 Te paso el detalle.</v>
      </c>
      <c r="AL102" s="5" t="str">
        <f>IFERROR(__xludf.DUMMYFUNCTION("""COMPUTED_VALUE"""),"⚡ Excelente, el PEE Analista de Procesos te formará en gestión y mejora de operaciones.")</f>
        <v>⚡ Excelente, el PEE Analista de Procesos te formará en gestión y mejora de operaciones.</v>
      </c>
      <c r="AM102" s="5" t="str">
        <f>IFERROR(__xludf.DUMMYFUNCTION("""COMPUTED_VALUE"""),"💼 Buenísimo, este perfil es clave en empresas que buscan optimizar tiempos y costos.")</f>
        <v>💼 Buenísimo, este perfil es clave en empresas que buscan optimizar tiempos y costos.</v>
      </c>
      <c r="AN102" s="5" t="str">
        <f>IFERROR(__xludf.DUMMYFUNCTION("""COMPUTED_VALUE"""),"📚 ¡Genial! Desde la universidad aprenderás mapa de procesos y metodologías de mejora.")</f>
        <v>📚 ¡Genial! Desde la universidad aprenderás mapa de procesos y metodologías de mejora.</v>
      </c>
      <c r="AO102" s="5" t="str">
        <f>IFERROR(__xludf.DUMMYFUNCTION("""COMPUTED_VALUE"""),"🚀 ¡Perfecto! Este PEE es ideal para destacar en la gestión de eficiencia.")</f>
        <v>🚀 ¡Perfecto! Este PEE es ideal para destacar en la gestión de eficiencia.</v>
      </c>
      <c r="AP102" s="5" t="str">
        <f>IFERROR(__xludf.DUMMYFUNCTION("""COMPUTED_VALUE"""),"📊 ¡Excelente! Podrás rediseñar procesos para hacer más rentable tu negocio.")</f>
        <v>📊 ¡Excelente! Podrás rediseñar procesos para hacer más rentable tu negocio.</v>
      </c>
      <c r="AQ102" s="9" t="str">
        <f>IFERROR(__xludf.DUMMYFUNCTION("""COMPUTED_VALUE"""),"https://we-educacion.com/slides/pee-analista-de-procesos-187")</f>
        <v>https://we-educacion.com/slides/pee-analista-de-procesos-187</v>
      </c>
      <c r="AR102" s="5">
        <v>1.0</v>
      </c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</row>
    <row r="103" ht="15.75" customHeight="1">
      <c r="A103" s="5" t="s">
        <v>145</v>
      </c>
      <c r="B103" s="5" t="str">
        <f t="shared" si="1"/>
        <v>DIC. I - ED25</v>
      </c>
      <c r="C103" s="6" t="str">
        <f>IFERROR(__xludf.DUMMYFUNCTION("""COMPUTED_VALUE"""),"PROCESOS")</f>
        <v>PROCESOS</v>
      </c>
      <c r="D103" s="5" t="str">
        <f>IFERROR(__xludf.DUMMYFUNCTION("""COMPUTED_VALUE"""),"CURSO")</f>
        <v>CURSO</v>
      </c>
      <c r="E103" s="6" t="str">
        <f>IFERROR(__xludf.DUMMYFUNCTION("""COMPUTED_VALUE"""),"GEST PROCESOS")</f>
        <v>GEST PROCESOS</v>
      </c>
      <c r="F103" s="7">
        <f>IFERROR(__xludf.DUMMYFUNCTION("""COMPUTED_VALUE"""),45994.0)</f>
        <v>45994</v>
      </c>
      <c r="G103" s="6"/>
      <c r="H103" s="7"/>
      <c r="I103" s="6"/>
      <c r="J103" s="7"/>
      <c r="K103" s="6"/>
      <c r="L103" s="7"/>
      <c r="M103" s="6"/>
      <c r="N103" s="7"/>
      <c r="O103" s="6"/>
      <c r="P103" s="7"/>
      <c r="Q103" s="6" t="str">
        <f>IFERROR(__xludf.DUMMYFUNCTION("""COMPUTED_VALUE"""),"Piero Prieto")</f>
        <v>Piero Prieto</v>
      </c>
      <c r="R103" s="5" t="str">
        <f>IFERROR(__xludf.DUMMYFUNCTION("""COMPUTED_VALUE"""),"Mie")</f>
        <v>Mie</v>
      </c>
      <c r="S103" s="6" t="str">
        <f>IFERROR(__xludf.DUMMYFUNCTION("""COMPUTED_VALUE"""),"7PM - 10PM")</f>
        <v>7PM - 10PM</v>
      </c>
      <c r="T103" s="7" t="str">
        <f>IFERROR(__xludf.DUMMYFUNCTION("""COMPUTED_VALUE"""),"Miércoles 3 Diciembre")</f>
        <v>Miércoles 3 Diciembre</v>
      </c>
      <c r="U103" s="7" t="str">
        <f>IFERROR(__xludf.DUMMYFUNCTION("""COMPUTED_VALUE"""),"Miércoles 21 Enero")</f>
        <v>Miércoles 21 Enero</v>
      </c>
      <c r="V103" s="8">
        <f>IFERROR(__xludf.DUMMYFUNCTION("""COMPUTED_VALUE"""),6.0)</f>
        <v>6</v>
      </c>
      <c r="W103" s="5" t="str">
        <f>IFERROR(__xludf.DUMMYFUNCTION("""COMPUTED_VALUE"""),"pdfs/BROCHURE GESTION DE PROCESOS.pdf")</f>
        <v>pdfs/BROCHURE GESTION DE PROCESOS.pdf</v>
      </c>
      <c r="X103" s="5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03" s="5" t="str">
        <f>IFERROR(__xludf.DUMMYFUNCTION("""COMPUTED_VALUE"""),"images/gestprocesos.jpg")</f>
        <v>images/gestprocesos.jpg</v>
      </c>
      <c r="Z103" s="5"/>
      <c r="AA103" s="5" t="str">
        <f>IFERROR(__xludf.DUMMYFUNCTION("""COMPUTED_VALUE"""),"NO")</f>
        <v>NO</v>
      </c>
      <c r="AB103" s="6">
        <f>IFERROR(__xludf.DUMMYFUNCTION("""COMPUTED_VALUE"""),880.0)</f>
        <v>880</v>
      </c>
      <c r="AC103" s="6">
        <f>IFERROR(__xludf.DUMMYFUNCTION("""COMPUTED_VALUE"""),770.0)</f>
        <v>770</v>
      </c>
      <c r="AD103" s="6">
        <f>IFERROR(__xludf.DUMMYFUNCTION("""COMPUTED_VALUE"""),440.0)</f>
        <v>440</v>
      </c>
      <c r="AE103" s="6">
        <f>IFERROR(__xludf.DUMMYFUNCTION("""COMPUTED_VALUE"""),385.0)</f>
        <v>385</v>
      </c>
      <c r="AF103" s="6">
        <f>IFERROR(__xludf.DUMMYFUNCTION("""COMPUTED_VALUE"""),150.0)</f>
        <v>150</v>
      </c>
      <c r="AG103" s="5">
        <f>IFERROR(__xludf.DUMMYFUNCTION("""COMPUTED_VALUE"""),150.0)</f>
        <v>150</v>
      </c>
      <c r="AH103" s="5"/>
      <c r="AI103" s="5">
        <f>IFERROR(__xludf.DUMMYFUNCTION("""COMPUTED_VALUE"""),346.5)</f>
        <v>346.5</v>
      </c>
      <c r="AJ103" s="5">
        <f>IFERROR(__xludf.DUMMYFUNCTION("""COMPUTED_VALUE"""),396.0)</f>
        <v>396</v>
      </c>
      <c r="AK103" s="5" t="str">
        <f>IFERROR(__xludf.DUMMYFUNCTION("""COMPUTED_VALUE"""),"El lenguaje de los líderes de hoy es la eficiencia operativa ⚙️
Con Gestión de Procesos aprenderás a optimizar y rediseñar flujos de trabajo aplicados a casos reales 💼.
Aquí te comparto la información 👇🏻")</f>
        <v>El lenguaje de los líderes de hoy es la eficiencia operativa ⚙️
Con Gestión de Procesos aprenderás a optimizar y rediseñar flujos de trabajo aplicados a casos reales 💼.
Aquí te comparto la información 👇🏻</v>
      </c>
      <c r="AL103" s="5" t="str">
        <f>IFERROR(__xludf.DUMMYFUNCTION("""COMPUTED_VALUE"""),"⚡ *Excelente*, actualízate con *GEST PROCESOS* y mantente competitivo en el mercado laboral.")</f>
        <v>⚡ *Excelente*, actualízate con *GEST PROCESOS* y mantente competitivo en el mercado laboral.</v>
      </c>
      <c r="AM103" s="5" t="str">
        <f>IFERROR(__xludf.DUMMYFUNCTION("""COMPUTED_VALUE"""),"✨ Buenísimo, *GEST PROCESOS* es de las competencias más pedidas por las empresas y aumentará tus oportunidades laborales.")</f>
        <v>✨ Buenísimo, *GEST PROCESOS* es de las competencias más pedidas por las empresas y aumentará tus oportunidades laborales.</v>
      </c>
      <c r="AN103" s="5" t="str">
        <f>IFERROR(__xludf.DUMMYFUNCTION("""COMPUTED_VALUE"""),"🌍 ¡Genial! Con *GEST PROCESOS* sumarás una habilidad poderosa que te diferenciará desde la universidad.")</f>
        <v>🌍 ¡Genial! Con *GEST PROCESOS* sumarás una habilidad poderosa que te diferenciará desde la universidad.</v>
      </c>
      <c r="AO103" s="5" t="str">
        <f>IFERROR(__xludf.DUMMYFUNCTION("""COMPUTED_VALUE"""),"🔑 ¡Perfecto! Saber *GEST PROCESOS* te dará ventaja frente a otros postulantes para conseguir prácticas.")</f>
        <v>🔑 ¡Perfecto! Saber *GEST PROCESOS* te dará ventaja frente a otros postulantes para conseguir prácticas.</v>
      </c>
      <c r="AP103" s="5" t="str">
        <f>IFERROR(__xludf.DUMMYFUNCTION("""COMPUTED_VALUE"""),"📈 ¡Excelente! Con *GEST PROCESOS* podrás aplicarlo en tu negocio y tomar decisiones más inteligentes.")</f>
        <v>📈 ¡Excelente! Con *GEST PROCESOS* podrás aplicarlo en tu negocio y tomar decisiones más inteligentes.</v>
      </c>
      <c r="AQ103" s="9" t="str">
        <f>IFERROR(__xludf.DUMMYFUNCTION("""COMPUTED_VALUE"""),"https://we-educacion.com/slides/gestion-de-procesos-188")</f>
        <v>https://we-educacion.com/slides/gestion-de-procesos-188</v>
      </c>
      <c r="AR103" s="5">
        <v>1.0</v>
      </c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</row>
    <row r="104" ht="15.75" customHeight="1">
      <c r="A104" s="5" t="s">
        <v>146</v>
      </c>
      <c r="B104" s="5" t="str">
        <f t="shared" si="1"/>
        <v>DIC. I - ED25</v>
      </c>
      <c r="C104" s="6" t="str">
        <f>IFERROR(__xludf.DUMMYFUNCTION("""COMPUTED_VALUE"""),"LOGÍSTICA")</f>
        <v>LOGÍSTICA</v>
      </c>
      <c r="D104" s="6" t="str">
        <f>IFERROR(__xludf.DUMMYFUNCTION("""COMPUTED_VALUE"""),"CURSO")</f>
        <v>CURSO</v>
      </c>
      <c r="E104" s="6" t="str">
        <f>IFERROR(__xludf.DUMMYFUNCTION("""COMPUTED_VALUE"""),"GEST TRANSPORTES")</f>
        <v>GEST TRANSPORTES</v>
      </c>
      <c r="F104" s="7">
        <f>IFERROR(__xludf.DUMMYFUNCTION("""COMPUTED_VALUE"""),45995.0)</f>
        <v>45995</v>
      </c>
      <c r="G104" s="6"/>
      <c r="H104" s="7"/>
      <c r="I104" s="6"/>
      <c r="J104" s="7"/>
      <c r="K104" s="6"/>
      <c r="L104" s="7"/>
      <c r="M104" s="6"/>
      <c r="N104" s="7"/>
      <c r="O104" s="6"/>
      <c r="P104" s="7"/>
      <c r="Q104" s="6" t="str">
        <f>IFERROR(__xludf.DUMMYFUNCTION("""COMPUTED_VALUE"""),"Francisco Ñaupa")</f>
        <v>Francisco Ñaupa</v>
      </c>
      <c r="R104" s="5" t="str">
        <f>IFERROR(__xludf.DUMMYFUNCTION("""COMPUTED_VALUE"""),"Jue")</f>
        <v>Jue</v>
      </c>
      <c r="S104" s="6" t="str">
        <f>IFERROR(__xludf.DUMMYFUNCTION("""COMPUTED_VALUE"""),"7PM - 10PM")</f>
        <v>7PM - 10PM</v>
      </c>
      <c r="T104" s="7" t="str">
        <f>IFERROR(__xludf.DUMMYFUNCTION("""COMPUTED_VALUE"""),"Jueves 4 Diciembre")</f>
        <v>Jueves 4 Diciembre</v>
      </c>
      <c r="U104" s="7" t="str">
        <f>IFERROR(__xludf.DUMMYFUNCTION("""COMPUTED_VALUE"""),"Jueves 15 Enero")</f>
        <v>Jueves 15 Enero</v>
      </c>
      <c r="V104" s="8">
        <f>IFERROR(__xludf.DUMMYFUNCTION("""COMPUTED_VALUE"""),5.0)</f>
        <v>5</v>
      </c>
      <c r="W104" s="5" t="str">
        <f>IFERROR(__xludf.DUMMYFUNCTION("""COMPUTED_VALUE"""),"pdfs/BROCHURE GESTION DE TRANSPORTE Y CANALES DE DISTRIBUCIÓN.pdf")</f>
        <v>pdfs/BROCHURE GESTION DE TRANSPORTE Y CANALES DE DISTRIBUCIÓN.pdf</v>
      </c>
      <c r="X104" s="5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*Utilizarán Excel* 👩🏻‍💻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*Por favor, revisa el BROCHURE* 👇🏻
Aqui encontrarás la información completa del programa, el TEMARIO (malla curricular) y todos los BENEFICIOS 📚</v>
      </c>
      <c r="Y104" s="5" t="str">
        <f>IFERROR(__xludf.DUMMYFUNCTION("""COMPUTED_VALUE"""),"images/transpo.jpg")</f>
        <v>images/transpo.jpg</v>
      </c>
      <c r="Z104" s="5"/>
      <c r="AA104" s="5" t="str">
        <f>IFERROR(__xludf.DUMMYFUNCTION("""COMPUTED_VALUE"""),"NO")</f>
        <v>NO</v>
      </c>
      <c r="AB104" s="6">
        <f>IFERROR(__xludf.DUMMYFUNCTION("""COMPUTED_VALUE"""),830.0)</f>
        <v>830</v>
      </c>
      <c r="AC104" s="6">
        <f>IFERROR(__xludf.DUMMYFUNCTION("""COMPUTED_VALUE"""),770.0)</f>
        <v>770</v>
      </c>
      <c r="AD104" s="6">
        <f>IFERROR(__xludf.DUMMYFUNCTION("""COMPUTED_VALUE"""),415.0)</f>
        <v>415</v>
      </c>
      <c r="AE104" s="6">
        <f>IFERROR(__xludf.DUMMYFUNCTION("""COMPUTED_VALUE"""),385.0)</f>
        <v>385</v>
      </c>
      <c r="AF104" s="6">
        <f>IFERROR(__xludf.DUMMYFUNCTION("""COMPUTED_VALUE"""),150.0)</f>
        <v>150</v>
      </c>
      <c r="AG104" s="5">
        <f>IFERROR(__xludf.DUMMYFUNCTION("""COMPUTED_VALUE"""),150.0)</f>
        <v>150</v>
      </c>
      <c r="AH104" s="5"/>
      <c r="AI104" s="5">
        <f>IFERROR(__xludf.DUMMYFUNCTION("""COMPUTED_VALUE"""),346.5)</f>
        <v>346.5</v>
      </c>
      <c r="AJ104" s="5">
        <f>IFERROR(__xludf.DUMMYFUNCTION("""COMPUTED_VALUE"""),373.5)</f>
        <v>373.5</v>
      </c>
      <c r="AK104" s="5" t="str">
        <f>IFERROR(__xludf.DUMMYFUNCTION("""COMPUTED_VALUE"""),"La competitividad empresarial depende de una logística eficiente 📦
Con Gestión de Transportes aprenderás a planificar, coordinar y optimizar rutas y costos en casos reales 🚛.
Aquí te comparto la información 👇🏻")</f>
        <v>La competitividad empresarial depende de una logística eficiente 📦
Con Gestión de Transportes aprenderás a planificar, coordinar y optimizar rutas y costos en casos reales 🚛.
Aquí te comparto la información 👇🏻</v>
      </c>
      <c r="AL104" s="5" t="str">
        <f>IFERROR(__xludf.DUMMYFUNCTION("""COMPUTED_VALUE"""),"🌍 *Excelente*, actualízate con *GEST TRANSPORTES* y mantente competitivo en el mercado laboral.")</f>
        <v>🌍 *Excelente*, actualízate con *GEST TRANSPORTES* y mantente competitivo en el mercado laboral.</v>
      </c>
      <c r="AM104" s="5" t="str">
        <f>IFERROR(__xludf.DUMMYFUNCTION("""COMPUTED_VALUE"""),"📘 Buenísimo, *GEST TRANSPORTES* es de las competencias más pedidas por las empresas y aumentará tus oportunidades laborales.")</f>
        <v>📘 Buenísimo, *GEST TRANSPORTES* es de las competencias más pedidas por las empresas y aumentará tus oportunidades laborales.</v>
      </c>
      <c r="AN104" s="5" t="str">
        <f>IFERROR(__xludf.DUMMYFUNCTION("""COMPUTED_VALUE"""),"💼 ¡Genial! Con *GEST TRANSPORTES* sumarás una habilidad poderosa que te diferenciará desde la universidad.")</f>
        <v>💼 ¡Genial! Con *GEST TRANSPORTES* sumarás una habilidad poderosa que te diferenciará desde la universidad.</v>
      </c>
      <c r="AO104" s="5" t="str">
        <f>IFERROR(__xludf.DUMMYFUNCTION("""COMPUTED_VALUE"""),"📊 ¡Perfecto! Saber *GEST TRANSPORTES* te dará ventaja frente a otros postulantes para conseguir prácticas.")</f>
        <v>📊 ¡Perfecto! Saber *GEST TRANSPORTES* te dará ventaja frente a otros postulantes para conseguir prácticas.</v>
      </c>
      <c r="AP104" s="5" t="str">
        <f>IFERROR(__xludf.DUMMYFUNCTION("""COMPUTED_VALUE"""),"💼 ¡Excelente! Con *GEST TRANSPORTES* podrás aplicarlo en tu negocio y tomar decisiones más inteligentes.")</f>
        <v>💼 ¡Excelente! Con *GEST TRANSPORTES* podrás aplicarlo en tu negocio y tomar decisiones más inteligentes.</v>
      </c>
      <c r="AQ104" s="9" t="str">
        <f>IFERROR(__xludf.DUMMYFUNCTION("""COMPUTED_VALUE"""),"https://we-educacion.com/slides/gestion-de-transportes-73")</f>
        <v>https://we-educacion.com/slides/gestion-de-transportes-73</v>
      </c>
      <c r="AR104" s="5">
        <v>1.0</v>
      </c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</row>
    <row r="105" ht="15.75" customHeight="1">
      <c r="A105" s="5" t="s">
        <v>147</v>
      </c>
      <c r="B105" s="5" t="str">
        <f t="shared" si="1"/>
        <v>DIC. I - ED25</v>
      </c>
      <c r="C105" s="6" t="str">
        <f>IFERROR(__xludf.DUMMYFUNCTION("""COMPUTED_VALUE"""),"BI")</f>
        <v>BI</v>
      </c>
      <c r="D105" s="5" t="str">
        <f>IFERROR(__xludf.DUMMYFUNCTION("""COMPUTED_VALUE"""),"CURSO")</f>
        <v>CURSO</v>
      </c>
      <c r="E105" s="6" t="str">
        <f>IFERROR(__xludf.DUMMYFUNCTION("""COMPUTED_VALUE"""),"POWER BI")</f>
        <v>POWER BI</v>
      </c>
      <c r="F105" s="7">
        <f>IFERROR(__xludf.DUMMYFUNCTION("""COMPUTED_VALUE"""),45995.0)</f>
        <v>45995</v>
      </c>
      <c r="G105" s="6"/>
      <c r="H105" s="7"/>
      <c r="I105" s="6"/>
      <c r="J105" s="7"/>
      <c r="K105" s="6"/>
      <c r="L105" s="7"/>
      <c r="M105" s="6"/>
      <c r="N105" s="7"/>
      <c r="O105" s="6"/>
      <c r="P105" s="7"/>
      <c r="Q105" s="6" t="str">
        <f>IFERROR(__xludf.DUMMYFUNCTION("""COMPUTED_VALUE"""),"Jessica De La Cruz")</f>
        <v>Jessica De La Cruz</v>
      </c>
      <c r="R105" s="5" t="str">
        <f>IFERROR(__xludf.DUMMYFUNCTION("""COMPUTED_VALUE"""),"Mar-Jue")</f>
        <v>Mar-Jue</v>
      </c>
      <c r="S105" s="6" t="str">
        <f>IFERROR(__xludf.DUMMYFUNCTION("""COMPUTED_VALUE"""),"7PM - 10PM")</f>
        <v>7PM - 10PM</v>
      </c>
      <c r="T105" s="7" t="str">
        <f>IFERROR(__xludf.DUMMYFUNCTION("""COMPUTED_VALUE"""),"Jueves 4 Diciembre")</f>
        <v>Jueves 4 Diciembre</v>
      </c>
      <c r="U105" s="7" t="str">
        <f>IFERROR(__xludf.DUMMYFUNCTION("""COMPUTED_VALUE"""),"Martes 30 Diciembre")</f>
        <v>Martes 30 Diciembre</v>
      </c>
      <c r="V105" s="8">
        <f>IFERROR(__xludf.DUMMYFUNCTION("""COMPUTED_VALUE"""),6.0)</f>
        <v>6</v>
      </c>
      <c r="W105" s="5" t="str">
        <f>IFERROR(__xludf.DUMMYFUNCTION("""COMPUTED_VALUE"""),"pdfs/BROCHURE POWER BI.pdf")</f>
        <v>pdfs/BROCHURE POWER BI.pdf</v>
      </c>
      <c r="X105" s="5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105" s="5" t="str">
        <f>IFERROR(__xludf.DUMMYFUNCTION("""COMPUTED_VALUE"""),"images/powerbi.jpg")</f>
        <v>images/powerbi.jpg</v>
      </c>
      <c r="Z105" s="5" t="str">
        <f>IFERROR(__xludf.DUMMYFUNCTION("""COMPUTED_VALUE"""),"Avalado por Microsoft Partner Network")</f>
        <v>Avalado por Microsoft Partner Network</v>
      </c>
      <c r="AA105" s="5" t="str">
        <f>IFERROR(__xludf.DUMMYFUNCTION("""COMPUTED_VALUE"""),"NO")</f>
        <v>NO</v>
      </c>
      <c r="AB105" s="6">
        <f>IFERROR(__xludf.DUMMYFUNCTION("""COMPUTED_VALUE"""),830.0)</f>
        <v>830</v>
      </c>
      <c r="AC105" s="6">
        <f>IFERROR(__xludf.DUMMYFUNCTION("""COMPUTED_VALUE"""),740.0)</f>
        <v>740</v>
      </c>
      <c r="AD105" s="6">
        <f>IFERROR(__xludf.DUMMYFUNCTION("""COMPUTED_VALUE"""),415.0)</f>
        <v>415</v>
      </c>
      <c r="AE105" s="6">
        <f>IFERROR(__xludf.DUMMYFUNCTION("""COMPUTED_VALUE"""),370.0)</f>
        <v>370</v>
      </c>
      <c r="AF105" s="6">
        <f>IFERROR(__xludf.DUMMYFUNCTION("""COMPUTED_VALUE"""),150.0)</f>
        <v>150</v>
      </c>
      <c r="AG105" s="5">
        <f>IFERROR(__xludf.DUMMYFUNCTION("""COMPUTED_VALUE"""),150.0)</f>
        <v>150</v>
      </c>
      <c r="AH105" s="5"/>
      <c r="AI105" s="5">
        <f>IFERROR(__xludf.DUMMYFUNCTION("""COMPUTED_VALUE"""),333.0)</f>
        <v>333</v>
      </c>
      <c r="AJ105" s="5">
        <f>IFERROR(__xludf.DUMMYFUNCTION("""COMPUTED_VALUE"""),373.5)</f>
        <v>373.5</v>
      </c>
      <c r="AK105" s="5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105" s="5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105" s="5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105" s="5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105" s="5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105" s="5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105" s="9" t="str">
        <f>IFERROR(__xludf.DUMMYFUNCTION("""COMPUTED_VALUE"""),"https://we-educacion.com/slides/power-bi-46")</f>
        <v>https://we-educacion.com/slides/power-bi-46</v>
      </c>
      <c r="AR105" s="5">
        <v>1.0</v>
      </c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</row>
    <row r="106" ht="15.75" customHeight="1">
      <c r="A106" s="5" t="s">
        <v>148</v>
      </c>
      <c r="B106" s="5" t="str">
        <f t="shared" si="1"/>
        <v>DIC. I - ED25</v>
      </c>
      <c r="C106" s="6" t="str">
        <f>IFERROR(__xludf.DUMMYFUNCTION("""COMPUTED_VALUE"""),"FINANZ")</f>
        <v>FINANZ</v>
      </c>
      <c r="D106" s="5" t="str">
        <f>IFERROR(__xludf.DUMMYFUNCTION("""COMPUTED_VALUE"""),"DIPLOMADO")</f>
        <v>DIPLOMADO</v>
      </c>
      <c r="E106" s="6" t="str">
        <f>IFERROR(__xludf.DUMMYFUNCTION("""COMPUTED_VALUE"""),"DIP. FINANZAS")</f>
        <v>DIP. FINANZAS</v>
      </c>
      <c r="F106" s="7">
        <f>IFERROR(__xludf.DUMMYFUNCTION("""COMPUTED_VALUE"""),45995.0)</f>
        <v>45995</v>
      </c>
      <c r="G106" s="6" t="str">
        <f>IFERROR(__xludf.DUMMYFUNCTION("""COMPUTED_VALUE"""),"PLAN. FINANCIERO")</f>
        <v>PLAN. FINANCIERO</v>
      </c>
      <c r="H106" s="7">
        <f>IFERROR(__xludf.DUMMYFUNCTION("""COMPUTED_VALUE"""),45995.0)</f>
        <v>45995</v>
      </c>
      <c r="I106" s="6" t="str">
        <f>IFERROR(__xludf.DUMMYFUNCTION("""COMPUTED_VALUE"""),"CONT. FINANCIERA")</f>
        <v>CONT. FINANCIERA</v>
      </c>
      <c r="J106" s="7">
        <f>IFERROR(__xludf.DUMMYFUNCTION("""COMPUTED_VALUE"""),46051.0)</f>
        <v>46051</v>
      </c>
      <c r="K106" s="6" t="str">
        <f>IFERROR(__xludf.DUMMYFUNCTION("""COMPUTED_VALUE"""),"COST Y PRESUP")</f>
        <v>COST Y PRESUP</v>
      </c>
      <c r="L106" s="7">
        <f>IFERROR(__xludf.DUMMYFUNCTION("""COMPUTED_VALUE"""),46072.0)</f>
        <v>46072</v>
      </c>
      <c r="M106" s="6" t="str">
        <f>IFERROR(__xludf.DUMMYFUNCTION("""COMPUTED_VALUE"""),"SAP HANA FI")</f>
        <v>SAP HANA FI</v>
      </c>
      <c r="N106" s="7">
        <f>IFERROR(__xludf.DUMMYFUNCTION("""COMPUTED_VALUE"""),46093.0)</f>
        <v>46093</v>
      </c>
      <c r="O106" s="6" t="str">
        <f>IFERROR(__xludf.DUMMYFUNCTION("""COMPUTED_VALUE"""),"GEST FINANC. PROYECT")</f>
        <v>GEST FINANC. PROYECT</v>
      </c>
      <c r="P106" s="7">
        <f>IFERROR(__xludf.DUMMYFUNCTION("""COMPUTED_VALUE"""),46119.0)</f>
        <v>46119</v>
      </c>
      <c r="Q106" s="6" t="str">
        <f>IFERROR(__xludf.DUMMYFUNCTION("""COMPUTED_VALUE"""),"Maria Palacios
Christian Montánchez
José Botonero
Andy Leyton
Elmer León")</f>
        <v>Maria Palacios
Christian Montánchez
José Botonero
Andy Leyton
Elmer León</v>
      </c>
      <c r="R106" s="5" t="str">
        <f>IFERROR(__xludf.DUMMYFUNCTION("""COMPUTED_VALUE"""),"Mar-Jue")</f>
        <v>Mar-Jue</v>
      </c>
      <c r="S106" s="6" t="str">
        <f>IFERROR(__xludf.DUMMYFUNCTION("""COMPUTED_VALUE"""),"7PM - 10PM")</f>
        <v>7PM - 10PM</v>
      </c>
      <c r="T106" s="7" t="str">
        <f>IFERROR(__xludf.DUMMYFUNCTION("""COMPUTED_VALUE"""),"Jueves 4 Diciembre")</f>
        <v>Jueves 4 Diciembre</v>
      </c>
      <c r="U106" s="7" t="str">
        <f>IFERROR(__xludf.DUMMYFUNCTION("""COMPUTED_VALUE"""),"Jueves 16 Julio")</f>
        <v>Jueves 16 Julio</v>
      </c>
      <c r="V106" s="8">
        <f>IFERROR(__xludf.DUMMYFUNCTION("""COMPUTED_VALUE"""),30.0)</f>
        <v>30</v>
      </c>
      <c r="W106" s="5" t="str">
        <f>IFERROR(__xludf.DUMMYFUNCTION("""COMPUTED_VALUE"""),"pdfs/BROCHURE DIPLOMADO EN GESTION FINANCIERA.pdf")</f>
        <v>pdfs/BROCHURE DIPLOMADO EN GESTION FINANCIERA.pdf</v>
      </c>
      <c r="X106" s="5" t="str">
        <f>IFERROR(__xludf.DUMMYFUNCTION("""COMPUTED_VALUE"""),"🔹 Utilizarán SAP HANA 👩🏻‍💻
👉🏼 Incluye tutorial y manual de instalación
👉🏼 12 meses de Licencia SAP para practicar
🔹 Utilizarán CONCAR 
💻 Importante: Para la instalación se necesita una Laptop Windows
🚨 Por favor, revisa el BROCHURE 👇🏻
Aqui e"&amp;"ncontrarás la información completa del programa: Temario (malla curricular) y todos los BENEFICIOS 📚
👉🏼 Te comparto un Modelo de Certificado que elevará tu perfil profesional ")</f>
        <v>🔹 Utilizarán SAP HANA 👩🏻‍💻
👉🏼 Incluye tutorial y manual de instalación
👉🏼 12 meses de Licencia SAP para practicar
🔹 Utilizarán CONCAR 
💻 Importante: Para la instalación se necesita una Laptop Windows
🚨 Por favor, revisa el BROCHURE 👇🏻
Aqui encontrarás la información completa del programa: Temario (malla curricular) y todos los BENEFICIOS 📚
👉🏼 Te comparto un Modelo de Certificado que elevará tu perfil profesional </v>
      </c>
      <c r="Y106" s="5" t="str">
        <f>IFERROR(__xludf.DUMMYFUNCTION("""COMPUTED_VALUE"""),"images/dipfin.jpg")</f>
        <v>images/dipfin.jpg</v>
      </c>
      <c r="Z106" s="5"/>
      <c r="AA106" s="5"/>
      <c r="AB106" s="6">
        <f>IFERROR(__xludf.DUMMYFUNCTION("""COMPUTED_VALUE"""),3810.0)</f>
        <v>3810</v>
      </c>
      <c r="AC106" s="6">
        <f>IFERROR(__xludf.DUMMYFUNCTION("""COMPUTED_VALUE"""),3410.0)</f>
        <v>3410</v>
      </c>
      <c r="AD106" s="6">
        <f>IFERROR(__xludf.DUMMYFUNCTION("""COMPUTED_VALUE"""),1905.0)</f>
        <v>1905</v>
      </c>
      <c r="AE106" s="6">
        <f>IFERROR(__xludf.DUMMYFUNCTION("""COMPUTED_VALUE"""),1705.0)</f>
        <v>1705</v>
      </c>
      <c r="AF106" s="6">
        <f>IFERROR(__xludf.DUMMYFUNCTION("""COMPUTED_VALUE"""),250.0)</f>
        <v>250</v>
      </c>
      <c r="AG106" s="5">
        <f>IFERROR(__xludf.DUMMYFUNCTION("""COMPUTED_VALUE"""),350.0)</f>
        <v>350</v>
      </c>
      <c r="AH106" s="5"/>
      <c r="AI106" s="5">
        <f>IFERROR(__xludf.DUMMYFUNCTION("""COMPUTED_VALUE"""),1534.5)</f>
        <v>1534.5</v>
      </c>
      <c r="AJ106" s="5">
        <f>IFERROR(__xludf.DUMMYFUNCTION("""COMPUTED_VALUE"""),1714.5)</f>
        <v>1714.5</v>
      </c>
      <c r="AK106" s="5" t="str">
        <f>IFERROR(__xludf.DUMMYFUNCTION("""COMPUTED_VALUE"""),"Quien domina las finanzas, domina su futuro 💰
Fortalece tu perfil con un diplomado práctico en gestión y análisis financiero para la toma de decisiones estratégicas 📈
👉🏻 Te envío la información.")</f>
        <v>Quien domina las finanzas, domina su futuro 💰
Fortalece tu perfil con un diplomado práctico en gestión y análisis financiero para la toma de decisiones estratégicas 📈
👉🏻 Te envío la información.</v>
      </c>
      <c r="AL106" s="5" t="str">
        <f>IFERROR(__xludf.DUMMYFUNCTION("""COMPUTED_VALUE"""),"💰 Excelente, el Diplomado en Finanzas te dará dominio en planeación y gestión financiera.")</f>
        <v>💰 Excelente, el Diplomado en Finanzas te dará dominio en planeación y gestión financiera.</v>
      </c>
      <c r="AM106" s="5" t="str">
        <f>IFERROR(__xludf.DUMMYFUNCTION("""COMPUTED_VALUE"""),"💼 Buenísimo, este Diplomado es muy buscado en bancos, consultoras y áreas financieras.")</f>
        <v>💼 Buenísimo, este Diplomado es muy buscado en bancos, consultoras y áreas financieras.</v>
      </c>
      <c r="AN106" s="5" t="str">
        <f>IFERROR(__xludf.DUMMYFUNCTION("""COMPUTED_VALUE"""),"🎓 ¡Genial! Con este Diplomado en Finanzas obtendrás una base sólida desde la universidad.")</f>
        <v>🎓 ¡Genial! Con este Diplomado en Finanzas obtendrás una base sólida desde la universidad.</v>
      </c>
      <c r="AO106" s="5" t="str">
        <f>IFERROR(__xludf.DUMMYFUNCTION("""COMPUTED_VALUE"""),"🚀 ¡Perfecto! Con este Diplomado sobresaldrás en prácticas de análisis y gestión financiera.")</f>
        <v>🚀 ¡Perfecto! Con este Diplomado sobresaldrás en prácticas de análisis y gestión financiera.</v>
      </c>
      <c r="AP106" s="5" t="str">
        <f>IFERROR(__xludf.DUMMYFUNCTION("""COMPUTED_VALUE"""),"📈 ¡Excelente! Con lo aprendido podrás optimizar recursos y decisiones en tu negocio.")</f>
        <v>📈 ¡Excelente! Con lo aprendido podrás optimizar recursos y decisiones en tu negocio.</v>
      </c>
      <c r="AQ106" s="9" t="str">
        <f>IFERROR(__xludf.DUMMYFUNCTION("""COMPUTED_VALUE"""),"https://we-educacion.com/slides/diplomado-en-gestion-financiera-1209")</f>
        <v>https://we-educacion.com/slides/diplomado-en-gestion-financiera-1209</v>
      </c>
      <c r="AR106" s="5">
        <v>1.0</v>
      </c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</row>
    <row r="107" ht="15.75" customHeight="1">
      <c r="A107" s="5" t="s">
        <v>149</v>
      </c>
      <c r="B107" s="5" t="str">
        <f t="shared" si="1"/>
        <v>DIC. I - ED25</v>
      </c>
      <c r="C107" s="6" t="str">
        <f>IFERROR(__xludf.DUMMYFUNCTION("""COMPUTED_VALUE"""),"FINANZ")</f>
        <v>FINANZ</v>
      </c>
      <c r="D107" s="6" t="str">
        <f>IFERROR(__xludf.DUMMYFUNCTION("""COMPUTED_VALUE"""),"CURSO")</f>
        <v>CURSO</v>
      </c>
      <c r="E107" s="6" t="str">
        <f>IFERROR(__xludf.DUMMYFUNCTION("""COMPUTED_VALUE"""),"PLAN. FINANCIERO")</f>
        <v>PLAN. FINANCIERO</v>
      </c>
      <c r="F107" s="7">
        <f>IFERROR(__xludf.DUMMYFUNCTION("""COMPUTED_VALUE"""),45995.0)</f>
        <v>45995</v>
      </c>
      <c r="G107" s="6"/>
      <c r="H107" s="7"/>
      <c r="I107" s="6"/>
      <c r="J107" s="7"/>
      <c r="K107" s="6"/>
      <c r="L107" s="7"/>
      <c r="M107" s="6"/>
      <c r="N107" s="7"/>
      <c r="O107" s="6"/>
      <c r="P107" s="7"/>
      <c r="Q107" s="6" t="str">
        <f>IFERROR(__xludf.DUMMYFUNCTION("""COMPUTED_VALUE"""),"Maria Palacios")</f>
        <v>Maria Palacios</v>
      </c>
      <c r="R107" s="5" t="str">
        <f>IFERROR(__xludf.DUMMYFUNCTION("""COMPUTED_VALUE"""),"Mar-Jue")</f>
        <v>Mar-Jue</v>
      </c>
      <c r="S107" s="6" t="str">
        <f>IFERROR(__xludf.DUMMYFUNCTION("""COMPUTED_VALUE"""),"7PM - 10PM")</f>
        <v>7PM - 10PM</v>
      </c>
      <c r="T107" s="7" t="str">
        <f>IFERROR(__xludf.DUMMYFUNCTION("""COMPUTED_VALUE"""),"Jueves 4 Diciembre")</f>
        <v>Jueves 4 Diciembre</v>
      </c>
      <c r="U107" s="7" t="str">
        <f>IFERROR(__xludf.DUMMYFUNCTION("""COMPUTED_VALUE"""),"Martes 23 Diciembre")</f>
        <v>Martes 23 Diciembre</v>
      </c>
      <c r="V107" s="8">
        <f>IFERROR(__xludf.DUMMYFUNCTION("""COMPUTED_VALUE"""),6.0)</f>
        <v>6</v>
      </c>
      <c r="W107" s="5" t="str">
        <f>IFERROR(__xludf.DUMMYFUNCTION("""COMPUTED_VALUE"""),"pdfs/BROCHURE PLANEAMIENTO FINANCIERO.pdf")</f>
        <v>pdfs/BROCHURE PLANEAMIENTO FINANCIERO.pdf</v>
      </c>
      <c r="X107" s="6" t="str">
        <f>IFERROR(__xludf.DUMMYFUNCTION("""COMPUTED_VALUE"""),"🔹 Utilizarán Excel 👩🏻‍💻
🚨 Por favor, revisa el BROCHURE 👇🏻
Aqui encontrarás la información completa del programa: Temario (malla curricular) y todos los BENEFICIOS 📚")</f>
        <v>🔹 Utilizarán Excel 👩🏻‍💻
🚨 Por favor, revisa el BROCHURE 👇🏻
Aqui encontrarás la información completa del programa: Temario (malla curricular) y todos los BENEFICIOS 📚</v>
      </c>
      <c r="Y107" s="5" t="str">
        <f>IFERROR(__xludf.DUMMYFUNCTION("""COMPUTED_VALUE"""),"images/planfinan.jpg")</f>
        <v>images/planfinan.jpg</v>
      </c>
      <c r="Z107" s="5"/>
      <c r="AA107" s="5" t="str">
        <f>IFERROR(__xludf.DUMMYFUNCTION("""COMPUTED_VALUE"""),"NO")</f>
        <v>NO</v>
      </c>
      <c r="AB107" s="6">
        <f>IFERROR(__xludf.DUMMYFUNCTION("""COMPUTED_VALUE"""),750.0)</f>
        <v>750</v>
      </c>
      <c r="AC107" s="6">
        <f>IFERROR(__xludf.DUMMYFUNCTION("""COMPUTED_VALUE"""),700.0)</f>
        <v>700</v>
      </c>
      <c r="AD107" s="6">
        <f>IFERROR(__xludf.DUMMYFUNCTION("""COMPUTED_VALUE"""),375.0)</f>
        <v>375</v>
      </c>
      <c r="AE107" s="6">
        <f>IFERROR(__xludf.DUMMYFUNCTION("""COMPUTED_VALUE"""),350.0)</f>
        <v>350</v>
      </c>
      <c r="AF107" s="6">
        <f>IFERROR(__xludf.DUMMYFUNCTION("""COMPUTED_VALUE"""),150.0)</f>
        <v>150</v>
      </c>
      <c r="AG107" s="5">
        <f>IFERROR(__xludf.DUMMYFUNCTION("""COMPUTED_VALUE"""),150.0)</f>
        <v>150</v>
      </c>
      <c r="AH107" s="5"/>
      <c r="AI107" s="5">
        <f>IFERROR(__xludf.DUMMYFUNCTION("""COMPUTED_VALUE"""),315.0)</f>
        <v>315</v>
      </c>
      <c r="AJ107" s="5">
        <f>IFERROR(__xludf.DUMMYFUNCTION("""COMPUTED_VALUE"""),337.5)</f>
        <v>337.5</v>
      </c>
      <c r="AK107" s="5" t="str">
        <f>IFERROR(__xludf.DUMMYFUNCTION("""COMPUTED_VALUE"""),"El lenguaje de los líderes de negocio es la planificación financiera estratégica 📊
Con Planeamiento Financiero aprenderás a proyectar, controlar y tomar decisiones con casos reales 💼.
Aquí la información completa 👇🏻")</f>
        <v>El lenguaje de los líderes de negocio es la planificación financiera estratégica 📊
Con Planeamiento Financiero aprenderás a proyectar, controlar y tomar decisiones con casos reales 💼.
Aquí la información completa 👇🏻</v>
      </c>
      <c r="AL107" s="5" t="str">
        <f>IFERROR(__xludf.DUMMYFUNCTION("""COMPUTED_VALUE"""),"📈 Excelente, actualízate con Planeamiento Financiero y mejora tu visión estratégica.")</f>
        <v>📈 Excelente, actualízate con Planeamiento Financiero y mejora tu visión estratégica.</v>
      </c>
      <c r="AM107" s="5" t="str">
        <f>IFERROR(__xludf.DUMMYFUNCTION("""COMPUTED_VALUE"""),"💼 Buenísimo, Planeamiento Financiero es clave para acceder a roles de finanzas y crecer profesionalmente.")</f>
        <v>💼 Buenísimo, Planeamiento Financiero es clave para acceder a roles de finanzas y crecer profesionalmente.</v>
      </c>
      <c r="AN107" s="5" t="str">
        <f>IFERROR(__xludf.DUMMYFUNCTION("""COMPUTED_VALUE"""),"🎓 ¡Genial! Con Planeamiento Financiero obtendrás una base sólida que te diferenciará en la universidad.")</f>
        <v>🎓 ¡Genial! Con Planeamiento Financiero obtendrás una base sólida que te diferenciará en la universidad.</v>
      </c>
      <c r="AO107" s="5" t="str">
        <f>IFERROR(__xludf.DUMMYFUNCTION("""COMPUTED_VALUE"""),"🚀 ¡Perfecto! Saber Planeamiento Financiero te ayudará a destacar en prácticas en áreas de finanzas.")</f>
        <v>🚀 ¡Perfecto! Saber Planeamiento Financiero te ayudará a destacar en prácticas en áreas de finanzas.</v>
      </c>
      <c r="AP107" s="5" t="str">
        <f>IFERROR(__xludf.DUMMYFUNCTION("""COMPUTED_VALUE"""),"📊 ¡Excelente! Con Planeamiento Financiero podrás aplicar técnicas para manejar mejor tu negocio.")</f>
        <v>📊 ¡Excelente! Con Planeamiento Financiero podrás aplicar técnicas para manejar mejor tu negocio.</v>
      </c>
      <c r="AQ107" s="9" t="str">
        <f>IFERROR(__xludf.DUMMYFUNCTION("""COMPUTED_VALUE"""),"https://we-educacion.com/slides/planeamiento-financiero-1207")</f>
        <v>https://we-educacion.com/slides/planeamiento-financiero-1207</v>
      </c>
      <c r="AR107" s="5">
        <v>1.0</v>
      </c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</row>
    <row r="108" ht="15.75" customHeight="1">
      <c r="A108" s="5" t="s">
        <v>150</v>
      </c>
      <c r="B108" s="5" t="str">
        <f t="shared" si="1"/>
        <v>DIC. I - ED25</v>
      </c>
      <c r="C108" s="6" t="str">
        <f>IFERROR(__xludf.DUMMYFUNCTION("""COMPUTED_VALUE"""),"LOGÍSTICA")</f>
        <v>LOGÍSTICA</v>
      </c>
      <c r="D108" s="5" t="str">
        <f>IFERROR(__xludf.DUMMYFUNCTION("""COMPUTED_VALUE"""),"CURSO")</f>
        <v>CURSO</v>
      </c>
      <c r="E108" s="6" t="str">
        <f>IFERROR(__xludf.DUMMYFUNCTION("""COMPUTED_VALUE"""),"LEAN LOGISTICS")</f>
        <v>LEAN LOGISTICS</v>
      </c>
      <c r="F108" s="7">
        <f>IFERROR(__xludf.DUMMYFUNCTION("""COMPUTED_VALUE"""),45998.0)</f>
        <v>45998</v>
      </c>
      <c r="G108" s="6"/>
      <c r="H108" s="7"/>
      <c r="I108" s="6"/>
      <c r="J108" s="7"/>
      <c r="K108" s="6"/>
      <c r="L108" s="7"/>
      <c r="M108" s="6"/>
      <c r="N108" s="7"/>
      <c r="O108" s="6"/>
      <c r="P108" s="7"/>
      <c r="Q108" s="6" t="str">
        <f>IFERROR(__xludf.DUMMYFUNCTION("""COMPUTED_VALUE"""),"Roger Liy")</f>
        <v>Roger Liy</v>
      </c>
      <c r="R108" s="5" t="str">
        <f>IFERROR(__xludf.DUMMYFUNCTION("""COMPUTED_VALUE"""),"Dom")</f>
        <v>Dom</v>
      </c>
      <c r="S108" s="6" t="str">
        <f>IFERROR(__xludf.DUMMYFUNCTION("""COMPUTED_VALUE"""),"9AM - 12PM")</f>
        <v>9AM - 12PM</v>
      </c>
      <c r="T108" s="7" t="str">
        <f>IFERROR(__xludf.DUMMYFUNCTION("""COMPUTED_VALUE"""),"Domingo 7 Diciembre")</f>
        <v>Domingo 7 Diciembre</v>
      </c>
      <c r="U108" s="7" t="str">
        <f>IFERROR(__xludf.DUMMYFUNCTION("""COMPUTED_VALUE"""),"Domingo 4 Enero")</f>
        <v>Domingo 4 Enero</v>
      </c>
      <c r="V108" s="8">
        <f>IFERROR(__xludf.DUMMYFUNCTION("""COMPUTED_VALUE"""),6.0)</f>
        <v>6</v>
      </c>
      <c r="W108" s="6" t="str">
        <f>IFERROR(__xludf.DUMMYFUNCTION("""COMPUTED_VALUE"""),"pdfs/BROCHURE LEAN LOGISTICS.pdf")</f>
        <v>pdfs/BROCHURE LEAN LOGISTICS.pdf</v>
      </c>
      <c r="X108" s="6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108" s="5" t="str">
        <f>IFERROR(__xludf.DUMMYFUNCTION("""COMPUTED_VALUE"""),"images/leanlogistic.jpg")</f>
        <v>images/leanlogistic.jpg</v>
      </c>
      <c r="Z108" s="5"/>
      <c r="AA108" s="5" t="str">
        <f>IFERROR(__xludf.DUMMYFUNCTION("""COMPUTED_VALUE"""),"NO")</f>
        <v>NO</v>
      </c>
      <c r="AB108" s="6">
        <f>IFERROR(__xludf.DUMMYFUNCTION("""COMPUTED_VALUE"""),820.0)</f>
        <v>820</v>
      </c>
      <c r="AC108" s="6">
        <f>IFERROR(__xludf.DUMMYFUNCTION("""COMPUTED_VALUE"""),710.0)</f>
        <v>710</v>
      </c>
      <c r="AD108" s="6">
        <f>IFERROR(__xludf.DUMMYFUNCTION("""COMPUTED_VALUE"""),410.0)</f>
        <v>410</v>
      </c>
      <c r="AE108" s="6">
        <f>IFERROR(__xludf.DUMMYFUNCTION("""COMPUTED_VALUE"""),355.0)</f>
        <v>355</v>
      </c>
      <c r="AF108" s="6">
        <f>IFERROR(__xludf.DUMMYFUNCTION("""COMPUTED_VALUE"""),150.0)</f>
        <v>150</v>
      </c>
      <c r="AG108" s="5">
        <f>IFERROR(__xludf.DUMMYFUNCTION("""COMPUTED_VALUE"""),150.0)</f>
        <v>150</v>
      </c>
      <c r="AH108" s="5"/>
      <c r="AI108" s="5">
        <f>IFERROR(__xludf.DUMMYFUNCTION("""COMPUTED_VALUE"""),319.5)</f>
        <v>319.5</v>
      </c>
      <c r="AJ108" s="5">
        <f>IFERROR(__xludf.DUMMYFUNCTION("""COMPUTED_VALUE"""),369.0)</f>
        <v>369</v>
      </c>
      <c r="AK108" s="5" t="str">
        <f>IFERROR(__xludf.DUMMYFUNCTION("""COMPUTED_VALUE"""),"La eficiencia en la cadena de suministro empieza con Lean Logistics 🔄
Aprenderás a optimizar costos, tiempos y flujos logísticos con herramientas prácticas 📦.
Aquí te comparto la info 👇🏻")</f>
        <v>La eficiencia en la cadena de suministro empieza con Lean Logistics 🔄
Aprenderás a optimizar costos, tiempos y flujos logísticos con herramientas prácticas 📦.
Aquí te comparto la info 👇🏻</v>
      </c>
      <c r="AL108" s="5" t="str">
        <f>IFERROR(__xludf.DUMMYFUNCTION("""COMPUTED_VALUE"""),"🏆 *Excelente*, actualízate con *LEAN LOGISTICS* y mantente competitivo en el mercado laboral.")</f>
        <v>🏆 *Excelente*, actualízate con *LEAN LOGISTICS* y mantente competitivo en el mercado laboral.</v>
      </c>
      <c r="AM108" s="5" t="str">
        <f>IFERROR(__xludf.DUMMYFUNCTION("""COMPUTED_VALUE"""),"📘 Buenísimo, *LEAN LOGISTICS* es de las competencias más pedidas por las empresas y aumentará tus oportunidades laborales.")</f>
        <v>📘 Buenísimo, *LEAN LOGISTICS* es de las competencias más pedidas por las empresas y aumentará tus oportunidades laborales.</v>
      </c>
      <c r="AN108" s="5" t="str">
        <f>IFERROR(__xludf.DUMMYFUNCTION("""COMPUTED_VALUE"""),"🎓 ¡Genial! Con *LEAN LOGISTICS* sumarás una habilidad poderosa que te diferenciará desde la universidad.")</f>
        <v>🎓 ¡Genial! Con *LEAN LOGISTICS* sumarás una habilidad poderosa que te diferenciará desde la universidad.</v>
      </c>
      <c r="AO108" s="5" t="str">
        <f>IFERROR(__xludf.DUMMYFUNCTION("""COMPUTED_VALUE"""),"✨ ¡Perfecto! Saber *LEAN LOGISTICS* te dará ventaja frente a otros postulantes para conseguir prácticas.")</f>
        <v>✨ ¡Perfecto! Saber *LEAN LOGISTICS* te dará ventaja frente a otros postulantes para conseguir prácticas.</v>
      </c>
      <c r="AP108" s="5" t="str">
        <f>IFERROR(__xludf.DUMMYFUNCTION("""COMPUTED_VALUE"""),"🚀 ¡Excelente! Con *LEAN LOGISTICS* podrás aplicarlo en tu negocio y tomar decisiones más inteligentes.")</f>
        <v>🚀 ¡Excelente! Con *LEAN LOGISTICS* podrás aplicarlo en tu negocio y tomar decisiones más inteligentes.</v>
      </c>
      <c r="AQ108" s="9" t="str">
        <f>IFERROR(__xludf.DUMMYFUNCTION("""COMPUTED_VALUE"""),"https://we-educacion.com/slides/lean-logistics-67")</f>
        <v>https://we-educacion.com/slides/lean-logistics-67</v>
      </c>
      <c r="AR108" s="5">
        <v>1.0</v>
      </c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</row>
    <row r="109" ht="15.75" customHeight="1">
      <c r="A109" s="5" t="s">
        <v>151</v>
      </c>
      <c r="B109" s="5" t="str">
        <f t="shared" si="1"/>
        <v>DIC. I - ED25</v>
      </c>
      <c r="C109" s="6" t="str">
        <f>IFERROR(__xludf.DUMMYFUNCTION("""COMPUTED_VALUE"""),"PROCESOS")</f>
        <v>PROCESOS</v>
      </c>
      <c r="D109" s="5" t="str">
        <f>IFERROR(__xludf.DUMMYFUNCTION("""COMPUTED_VALUE"""),"CURSO")</f>
        <v>CURSO</v>
      </c>
      <c r="E109" s="6" t="str">
        <f>IFERROR(__xludf.DUMMYFUNCTION("""COMPUTED_VALUE"""),"ROBOTIZ.  UIPATH")</f>
        <v>ROBOTIZ.  UIPATH</v>
      </c>
      <c r="F109" s="7">
        <f>IFERROR(__xludf.DUMMYFUNCTION("""COMPUTED_VALUE"""),45998.0)</f>
        <v>45998</v>
      </c>
      <c r="G109" s="6"/>
      <c r="H109" s="7"/>
      <c r="I109" s="6"/>
      <c r="J109" s="7"/>
      <c r="K109" s="6"/>
      <c r="L109" s="7"/>
      <c r="M109" s="6"/>
      <c r="N109" s="7"/>
      <c r="O109" s="6"/>
      <c r="P109" s="7"/>
      <c r="Q109" s="6" t="str">
        <f>IFERROR(__xludf.DUMMYFUNCTION("""COMPUTED_VALUE"""),"Christian Rojas")</f>
        <v>Christian Rojas</v>
      </c>
      <c r="R109" s="5" t="str">
        <f>IFERROR(__xludf.DUMMYFUNCTION("""COMPUTED_VALUE"""),"Dom")</f>
        <v>Dom</v>
      </c>
      <c r="S109" s="6" t="str">
        <f>IFERROR(__xludf.DUMMYFUNCTION("""COMPUTED_VALUE"""),"9AM - 12PM")</f>
        <v>9AM - 12PM</v>
      </c>
      <c r="T109" s="7" t="str">
        <f>IFERROR(__xludf.DUMMYFUNCTION("""COMPUTED_VALUE"""),"Domingo 7 Diciembre")</f>
        <v>Domingo 7 Diciembre</v>
      </c>
      <c r="U109" s="7" t="str">
        <f>IFERROR(__xludf.DUMMYFUNCTION("""COMPUTED_VALUE"""),"Domingo 11 Enero")</f>
        <v>Domingo 11 Enero</v>
      </c>
      <c r="V109" s="8">
        <f>IFERROR(__xludf.DUMMYFUNCTION("""COMPUTED_VALUE"""),6.0)</f>
        <v>6</v>
      </c>
      <c r="W109" s="5" t="str">
        <f>IFERROR(__xludf.DUMMYFUNCTION("""COMPUTED_VALUE"""),"pdfs/BROCHURE ROBOTIZACIÓN DE PROCESOS CON UIPATH.pdf")</f>
        <v>pdfs/BROCHURE ROBOTIZACIÓN DE PROCESOS CON UIPATH.pdf</v>
      </c>
      <c r="X109" s="5" t="str">
        <f>IFERROR(__xludf.DUMMYFUNCTION("""COMPUTED_VALUE"""),"🔵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09" s="5" t="str">
        <f>IFERROR(__xludf.DUMMYFUNCTION("""COMPUTED_VALUE"""),"images/uipath.jpg")</f>
        <v>images/uipath.jpg</v>
      </c>
      <c r="Z109" s="5"/>
      <c r="AA109" s="5" t="str">
        <f>IFERROR(__xludf.DUMMYFUNCTION("""COMPUTED_VALUE"""),"NO")</f>
        <v>NO</v>
      </c>
      <c r="AB109" s="6">
        <f>IFERROR(__xludf.DUMMYFUNCTION("""COMPUTED_VALUE"""),780.0)</f>
        <v>780</v>
      </c>
      <c r="AC109" s="6">
        <f>IFERROR(__xludf.DUMMYFUNCTION("""COMPUTED_VALUE"""),690.0)</f>
        <v>690</v>
      </c>
      <c r="AD109" s="6">
        <f>IFERROR(__xludf.DUMMYFUNCTION("""COMPUTED_VALUE"""),390.0)</f>
        <v>390</v>
      </c>
      <c r="AE109" s="6">
        <f>IFERROR(__xludf.DUMMYFUNCTION("""COMPUTED_VALUE"""),345.0)</f>
        <v>345</v>
      </c>
      <c r="AF109" s="6">
        <f>IFERROR(__xludf.DUMMYFUNCTION("""COMPUTED_VALUE"""),150.0)</f>
        <v>150</v>
      </c>
      <c r="AG109" s="5">
        <f>IFERROR(__xludf.DUMMYFUNCTION("""COMPUTED_VALUE"""),150.0)</f>
        <v>150</v>
      </c>
      <c r="AH109" s="5"/>
      <c r="AI109" s="5">
        <f>IFERROR(__xludf.DUMMYFUNCTION("""COMPUTED_VALUE"""),310.5)</f>
        <v>310.5</v>
      </c>
      <c r="AJ109" s="5">
        <f>IFERROR(__xludf.DUMMYFUNCTION("""COMPUTED_VALUE"""),351.0)</f>
        <v>351</v>
      </c>
      <c r="AK109" s="5" t="str">
        <f>IFERROR(__xludf.DUMMYFUNCTION("""COMPUTED_VALUE"""),"La eficiencia empresarial avanza con automatización robótica ⚙️
Con UiPath aprenderás a robotizar procesos repetitivos y ahorrar recursos 💼.
Aquí tienes la info 👇🏻")</f>
        <v>La eficiencia empresarial avanza con automatización robótica ⚙️
Con UiPath aprenderás a robotizar procesos repetitivos y ahorrar recursos 💼.
Aquí tienes la info 👇🏻</v>
      </c>
      <c r="AL109" s="5" t="str">
        <f>IFERROR(__xludf.DUMMYFUNCTION("""COMPUTED_VALUE"""),"🤖 Excelente, actualízate con UiPath y domina la automatización robótica de procesos.")</f>
        <v>🤖 Excelente, actualízate con UiPath y domina la automatización robótica de procesos.</v>
      </c>
      <c r="AM109" s="5" t="str">
        <f>IFERROR(__xludf.DUMMYFUNCTION("""COMPUTED_VALUE"""),"💼 Buenísimo, RPA con UiPath es muy demandado en empresas que digitalizan operaciones.")</f>
        <v>💼 Buenísimo, RPA con UiPath es muy demandado en empresas que digitalizan operaciones.</v>
      </c>
      <c r="AN109" s="5" t="str">
        <f>IFERROR(__xludf.DUMMYFUNCTION("""COMPUTED_VALUE"""),"🎓 ¡Genial! Aprender UiPath en la universidad te pondrá al nivel de la industria.")</f>
        <v>🎓 ¡Genial! Aprender UiPath en la universidad te pondrá al nivel de la industria.</v>
      </c>
      <c r="AO109" s="5" t="str">
        <f>IFERROR(__xludf.DUMMYFUNCTION("""COMPUTED_VALUE"""),"🚀 ¡Perfecto! Con UiPath destacarás en prácticas relacionadas con innovación tecnológica.")</f>
        <v>🚀 ¡Perfecto! Con UiPath destacarás en prácticas relacionadas con innovación tecnológica.</v>
      </c>
      <c r="AP109" s="5" t="str">
        <f>IFERROR(__xludf.DUMMYFUNCTION("""COMPUTED_VALUE"""),"📊 ¡Excelente! Con UiPath podrás automatizar procesos y ahorrar tiempo en tu negocio.")</f>
        <v>📊 ¡Excelente! Con UiPath podrás automatizar procesos y ahorrar tiempo en tu negocio.</v>
      </c>
      <c r="AQ109" s="9" t="str">
        <f>IFERROR(__xludf.DUMMYFUNCTION("""COMPUTED_VALUE"""),"https://we-educacion.com/slides/robotizacion-de-procesos-con-uipath-274")</f>
        <v>https://we-educacion.com/slides/robotizacion-de-procesos-con-uipath-274</v>
      </c>
      <c r="AR109" s="5">
        <v>1.0</v>
      </c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</row>
    <row r="110" ht="15.75" customHeight="1">
      <c r="A110" s="5" t="s">
        <v>152</v>
      </c>
      <c r="B110" s="5" t="str">
        <f t="shared" si="1"/>
        <v>DIC. I - ED25</v>
      </c>
      <c r="C110" s="6" t="str">
        <f>IFERROR(__xludf.DUMMYFUNCTION("""COMPUTED_VALUE"""),"BI")</f>
        <v>BI</v>
      </c>
      <c r="D110" s="5" t="str">
        <f>IFERROR(__xludf.DUMMYFUNCTION("""COMPUTED_VALUE"""),"ESP.")</f>
        <v>ESP.</v>
      </c>
      <c r="E110" s="6" t="str">
        <f>IFERROR(__xludf.DUMMYFUNCTION("""COMPUTED_VALUE"""),"ESP. SQL SERVER")</f>
        <v>ESP. SQL SERVER</v>
      </c>
      <c r="F110" s="7">
        <f>IFERROR(__xludf.DUMMYFUNCTION("""COMPUTED_VALUE"""),46002.0)</f>
        <v>46002</v>
      </c>
      <c r="G110" s="6" t="str">
        <f>IFERROR(__xludf.DUMMYFUNCTION("""COMPUTED_VALUE"""),"SQL SERVER")</f>
        <v>SQL SERVER</v>
      </c>
      <c r="H110" s="7">
        <f>IFERROR(__xludf.DUMMYFUNCTION("""COMPUTED_VALUE"""),46002.0)</f>
        <v>46002</v>
      </c>
      <c r="I110" s="6" t="str">
        <f>IFERROR(__xludf.DUMMYFUNCTION("""COMPUTED_VALUE"""),"SQL AVANZ")</f>
        <v>SQL AVANZ</v>
      </c>
      <c r="J110" s="7">
        <f>IFERROR(__xludf.DUMMYFUNCTION("""COMPUTED_VALUE"""),46030.0)</f>
        <v>46030</v>
      </c>
      <c r="K110" s="6"/>
      <c r="L110" s="7"/>
      <c r="M110" s="6"/>
      <c r="N110" s="7"/>
      <c r="O110" s="6"/>
      <c r="P110" s="7"/>
      <c r="Q110" s="6" t="str">
        <f>IFERROR(__xludf.DUMMYFUNCTION("""COMPUTED_VALUE"""),"David Llaja
Jorge Rodriguez")</f>
        <v>David Llaja
Jorge Rodriguez</v>
      </c>
      <c r="R110" s="5" t="str">
        <f>IFERROR(__xludf.DUMMYFUNCTION("""COMPUTED_VALUE"""),"Mar-Jue")</f>
        <v>Mar-Jue</v>
      </c>
      <c r="S110" s="6" t="str">
        <f>IFERROR(__xludf.DUMMYFUNCTION("""COMPUTED_VALUE"""),"7PM - 10PM")</f>
        <v>7PM - 10PM</v>
      </c>
      <c r="T110" s="7" t="str">
        <f>IFERROR(__xludf.DUMMYFUNCTION("""COMPUTED_VALUE"""),"Jueves 11 Diciembre")</f>
        <v>Jueves 11 Diciembre</v>
      </c>
      <c r="U110" s="7" t="str">
        <f>IFERROR(__xludf.DUMMYFUNCTION("""COMPUTED_VALUE"""),"Martes 27 Enero")</f>
        <v>Martes 27 Enero</v>
      </c>
      <c r="V110" s="8">
        <f>IFERROR(__xludf.DUMMYFUNCTION("""COMPUTED_VALUE"""),12.0)</f>
        <v>12</v>
      </c>
      <c r="W110" s="5" t="str">
        <f>IFERROR(__xludf.DUMMYFUNCTION("""COMPUTED_VALUE"""),"pdfs/BROCHURE ESPECIALIZACION DE SQL.pdf")</f>
        <v>pdfs/BROCHURE ESPECIALIZACION DE SQL.pdf</v>
      </c>
      <c r="X110" s="5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10" s="5" t="str">
        <f>IFERROR(__xludf.DUMMYFUNCTION("""COMPUTED_VALUE"""),"images/espsql.jpg")</f>
        <v>images/espsql.jpg</v>
      </c>
      <c r="Z110" s="5" t="str">
        <f>IFERROR(__xludf.DUMMYFUNCTION("""COMPUTED_VALUE"""),"Avalado por Microsoft Partner Network")</f>
        <v>Avalado por Microsoft Partner Network</v>
      </c>
      <c r="AA110" s="5" t="str">
        <f>IFERROR(__xludf.DUMMYFUNCTION("""COMPUTED_VALUE"""),"NO")</f>
        <v>NO</v>
      </c>
      <c r="AB110" s="6">
        <f>IFERROR(__xludf.DUMMYFUNCTION("""COMPUTED_VALUE"""),1600.0)</f>
        <v>1600</v>
      </c>
      <c r="AC110" s="6">
        <f>IFERROR(__xludf.DUMMYFUNCTION("""COMPUTED_VALUE"""),1400.0)</f>
        <v>1400</v>
      </c>
      <c r="AD110" s="6">
        <f>IFERROR(__xludf.DUMMYFUNCTION("""COMPUTED_VALUE"""),800.0)</f>
        <v>800</v>
      </c>
      <c r="AE110" s="6">
        <f>IFERROR(__xludf.DUMMYFUNCTION("""COMPUTED_VALUE"""),700.0)</f>
        <v>700</v>
      </c>
      <c r="AF110" s="6">
        <f>IFERROR(__xludf.DUMMYFUNCTION("""COMPUTED_VALUE"""),250.0)</f>
        <v>250</v>
      </c>
      <c r="AG110" s="5">
        <f>IFERROR(__xludf.DUMMYFUNCTION("""COMPUTED_VALUE"""),350.0)</f>
        <v>350</v>
      </c>
      <c r="AH110" s="5"/>
      <c r="AI110" s="5">
        <f>IFERROR(__xludf.DUMMYFUNCTION("""COMPUTED_VALUE"""),630.0)</f>
        <v>630</v>
      </c>
      <c r="AJ110" s="5">
        <f>IFERROR(__xludf.DUMMYFUNCTION("""COMPUTED_VALUE"""),720.0)</f>
        <v>720</v>
      </c>
      <c r="AK110" s="5" t="str">
        <f>IFERROR(__xludf.DUMMYFUNCTION("""COMPUTED_VALUE"""),"Las bases de datos mueven el mundo 💾
Aprende a gestionar y optimizar información con SQL Server para un control eficiente 📊
👉🏻 Aquí está la información.")</f>
        <v>Las bases de datos mueven el mundo 💾
Aprende a gestionar y optimizar información con SQL Server para un control eficiente 📊
👉🏻 Aquí está la información.</v>
      </c>
      <c r="AL110" s="5" t="str">
        <f>IFERROR(__xludf.DUMMYFUNCTION("""COMPUTED_VALUE"""),"💾 Excelente, actualízate en SQL Server y gestiona datos con eficiencia.")</f>
        <v>💾 Excelente, actualízate en SQL Server y gestiona datos con eficiencia.</v>
      </c>
      <c r="AM110" s="5" t="str">
        <f>IFERROR(__xludf.DUMMYFUNCTION("""COMPUTED_VALUE"""),"🏢 Buenísimo, las empresas buscan expertos en bases de datos corporativas.")</f>
        <v>🏢 Buenísimo, las empresas buscan expertos en bases de datos corporativas.</v>
      </c>
      <c r="AN110" s="5" t="str">
        <f>IFERROR(__xludf.DUMMYFUNCTION("""COMPUTED_VALUE"""),"⚡ Genial, dominar SQL Server elevará tu perfil en gestión de información.")</f>
        <v>⚡ Genial, dominar SQL Server elevará tu perfil en gestión de información.</v>
      </c>
      <c r="AO110" s="5" t="str">
        <f>IFERROR(__xludf.DUMMYFUNCTION("""COMPUTED_VALUE"""),"🚀 Perfecto, SQL será tu ventaja en prácticas de análisis y TI.")</f>
        <v>🚀 Perfecto, SQL será tu ventaja en prácticas de análisis y TI.</v>
      </c>
      <c r="AP110" s="5" t="str">
        <f>IFERROR(__xludf.DUMMYFUNCTION("""COMPUTED_VALUE"""),"📊 Excelente, podrás gestionar tus datos con control y rapidez como independiente.")</f>
        <v>📊 Excelente, podrás gestionar tus datos con control y rapidez como independiente.</v>
      </c>
      <c r="AQ110" s="9" t="str">
        <f>IFERROR(__xludf.DUMMYFUNCTION("""COMPUTED_VALUE"""),"https://we-educacion.com/slides/especializacion-en-sql-server-107")</f>
        <v>https://we-educacion.com/slides/especializacion-en-sql-server-107</v>
      </c>
      <c r="AR110" s="5">
        <v>1.0</v>
      </c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</row>
    <row r="111" ht="15.75" customHeight="1">
      <c r="A111" s="5" t="s">
        <v>153</v>
      </c>
      <c r="B111" s="5" t="str">
        <f t="shared" si="1"/>
        <v>DIC. I - ED25</v>
      </c>
      <c r="C111" s="6" t="str">
        <f>IFERROR(__xludf.DUMMYFUNCTION("""COMPUTED_VALUE"""),"BI")</f>
        <v>BI</v>
      </c>
      <c r="D111" s="5" t="str">
        <f>IFERROR(__xludf.DUMMYFUNCTION("""COMPUTED_VALUE"""),"CURSO")</f>
        <v>CURSO</v>
      </c>
      <c r="E111" s="6" t="str">
        <f>IFERROR(__xludf.DUMMYFUNCTION("""COMPUTED_VALUE"""),"SQL SERVER")</f>
        <v>SQL SERVER</v>
      </c>
      <c r="F111" s="7">
        <f>IFERROR(__xludf.DUMMYFUNCTION("""COMPUTED_VALUE"""),46002.0)</f>
        <v>46002</v>
      </c>
      <c r="G111" s="6"/>
      <c r="H111" s="7"/>
      <c r="I111" s="6"/>
      <c r="J111" s="7"/>
      <c r="K111" s="6"/>
      <c r="L111" s="7"/>
      <c r="M111" s="6"/>
      <c r="N111" s="7"/>
      <c r="O111" s="6"/>
      <c r="P111" s="7"/>
      <c r="Q111" s="6" t="str">
        <f>IFERROR(__xludf.DUMMYFUNCTION("""COMPUTED_VALUE"""),"David Llaja
")</f>
        <v>David Llaja
</v>
      </c>
      <c r="R111" s="5" t="str">
        <f>IFERROR(__xludf.DUMMYFUNCTION("""COMPUTED_VALUE"""),"Mar-Jue")</f>
        <v>Mar-Jue</v>
      </c>
      <c r="S111" s="6" t="str">
        <f>IFERROR(__xludf.DUMMYFUNCTION("""COMPUTED_VALUE"""),"7PM - 10PM")</f>
        <v>7PM - 10PM</v>
      </c>
      <c r="T111" s="7" t="str">
        <f>IFERROR(__xludf.DUMMYFUNCTION("""COMPUTED_VALUE"""),"Jueves 11 Diciembre")</f>
        <v>Jueves 11 Diciembre</v>
      </c>
      <c r="U111" s="7" t="str">
        <f>IFERROR(__xludf.DUMMYFUNCTION("""COMPUTED_VALUE"""),"Martes 6 Enero")</f>
        <v>Martes 6 Enero</v>
      </c>
      <c r="V111" s="8">
        <f>IFERROR(__xludf.DUMMYFUNCTION("""COMPUTED_VALUE"""),6.0)</f>
        <v>6</v>
      </c>
      <c r="W111" s="6" t="str">
        <f>IFERROR(__xludf.DUMMYFUNCTION("""COMPUTED_VALUE"""),"pdfs/BROCHURE SQL SERVER.pdf")</f>
        <v>pdfs/BROCHURE SQL SERVER.pdf</v>
      </c>
      <c r="X111" s="5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11" s="5" t="str">
        <f>IFERROR(__xludf.DUMMYFUNCTION("""COMPUTED_VALUE"""),"images/sqlserver.jpg")</f>
        <v>images/sqlserver.jpg</v>
      </c>
      <c r="Z111" s="5" t="str">
        <f>IFERROR(__xludf.DUMMYFUNCTION("""COMPUTED_VALUE"""),"Avalado por Microsoft Partner Network")</f>
        <v>Avalado por Microsoft Partner Network</v>
      </c>
      <c r="AA111" s="5" t="str">
        <f>IFERROR(__xludf.DUMMYFUNCTION("""COMPUTED_VALUE"""),"NO")</f>
        <v>NO</v>
      </c>
      <c r="AB111" s="6">
        <f>IFERROR(__xludf.DUMMYFUNCTION("""COMPUTED_VALUE"""),830.0)</f>
        <v>830</v>
      </c>
      <c r="AC111" s="6">
        <f>IFERROR(__xludf.DUMMYFUNCTION("""COMPUTED_VALUE"""),740.0)</f>
        <v>740</v>
      </c>
      <c r="AD111" s="6">
        <f>IFERROR(__xludf.DUMMYFUNCTION("""COMPUTED_VALUE"""),415.0)</f>
        <v>415</v>
      </c>
      <c r="AE111" s="6">
        <f>IFERROR(__xludf.DUMMYFUNCTION("""COMPUTED_VALUE"""),370.0)</f>
        <v>370</v>
      </c>
      <c r="AF111" s="6">
        <f>IFERROR(__xludf.DUMMYFUNCTION("""COMPUTED_VALUE"""),150.0)</f>
        <v>150</v>
      </c>
      <c r="AG111" s="5">
        <f>IFERROR(__xludf.DUMMYFUNCTION("""COMPUTED_VALUE"""),150.0)</f>
        <v>150</v>
      </c>
      <c r="AH111" s="5"/>
      <c r="AI111" s="5">
        <f>IFERROR(__xludf.DUMMYFUNCTION("""COMPUTED_VALUE"""),333.0)</f>
        <v>333</v>
      </c>
      <c r="AJ111" s="5">
        <f>IFERROR(__xludf.DUMMYFUNCTION("""COMPUTED_VALUE"""),373.5)</f>
        <v>373.5</v>
      </c>
      <c r="AK111" s="5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111" s="5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111" s="5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111" s="5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111" s="5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111" s="5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111" s="9" t="str">
        <f>IFERROR(__xludf.DUMMYFUNCTION("""COMPUTED_VALUE"""),"https://we-educacion.com/slides/sql-server-for-analytics-52")</f>
        <v>https://we-educacion.com/slides/sql-server-for-analytics-52</v>
      </c>
      <c r="AR111" s="5">
        <v>1.0</v>
      </c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</row>
    <row r="112" ht="15.75" customHeight="1">
      <c r="A112" s="5" t="s">
        <v>154</v>
      </c>
      <c r="B112" s="5" t="str">
        <f t="shared" si="1"/>
        <v>DIC. I - ED25</v>
      </c>
      <c r="C112" s="6" t="str">
        <f>IFERROR(__xludf.DUMMYFUNCTION("""COMPUTED_VALUE"""),"WEB")</f>
        <v>WEB</v>
      </c>
      <c r="D112" s="5" t="str">
        <f>IFERROR(__xludf.DUMMYFUNCTION("""COMPUTED_VALUE"""),"ESP.")</f>
        <v>ESP.</v>
      </c>
      <c r="E112" s="6" t="str">
        <f>IFERROR(__xludf.DUMMYFUNCTION("""COMPUTED_VALUE"""),"ESP. FRONTEND")</f>
        <v>ESP. FRONTEND</v>
      </c>
      <c r="F112" s="7">
        <f>IFERROR(__xludf.DUMMYFUNCTION("""COMPUTED_VALUE"""),46004.0)</f>
        <v>46004</v>
      </c>
      <c r="G112" s="6" t="str">
        <f>IFERROR(__xludf.DUMMYFUNCTION("""COMPUTED_VALUE"""),"PROG. WEB")</f>
        <v>PROG. WEB</v>
      </c>
      <c r="H112" s="7">
        <f>IFERROR(__xludf.DUMMYFUNCTION("""COMPUTED_VALUE"""),46004.0)</f>
        <v>46004</v>
      </c>
      <c r="I112" s="6" t="str">
        <f>IFERROR(__xludf.DUMMYFUNCTION("""COMPUTED_VALUE"""),"PROG. JAVA")</f>
        <v>PROG. JAVA</v>
      </c>
      <c r="J112" s="7">
        <f>IFERROR(__xludf.DUMMYFUNCTION("""COMPUTED_VALUE"""),46046.0)</f>
        <v>46046</v>
      </c>
      <c r="K112" s="6" t="str">
        <f>IFERROR(__xludf.DUMMYFUNCTION("""COMPUTED_VALUE"""),"REACT JS")</f>
        <v>REACT JS</v>
      </c>
      <c r="L112" s="7">
        <f>IFERROR(__xludf.DUMMYFUNCTION("""COMPUTED_VALUE"""),46088.0)</f>
        <v>46088</v>
      </c>
      <c r="M112" s="6"/>
      <c r="N112" s="7"/>
      <c r="O112" s="6"/>
      <c r="P112" s="7"/>
      <c r="Q112" s="6" t="str">
        <f>IFERROR(__xludf.DUMMYFUNCTION("""COMPUTED_VALUE"""),"Giancarlos Barboza
Raged Huaman
Diego Llashag")</f>
        <v>Giancarlos Barboza
Raged Huaman
Diego Llashag</v>
      </c>
      <c r="R112" s="5" t="str">
        <f>IFERROR(__xludf.DUMMYFUNCTION("""COMPUTED_VALUE"""),"Sáb")</f>
        <v>Sáb</v>
      </c>
      <c r="S112" s="6" t="str">
        <f>IFERROR(__xludf.DUMMYFUNCTION("""COMPUTED_VALUE"""),"3PM - 6PM")</f>
        <v>3PM - 6PM</v>
      </c>
      <c r="T112" s="7" t="str">
        <f>IFERROR(__xludf.DUMMYFUNCTION("""COMPUTED_VALUE"""),"Sábado 13 Diciembre")</f>
        <v>Sábado 13 Diciembre</v>
      </c>
      <c r="U112" s="7" t="str">
        <f>IFERROR(__xludf.DUMMYFUNCTION("""COMPUTED_VALUE"""),"Sábado 18 Abril")</f>
        <v>Sábado 18 Abril</v>
      </c>
      <c r="V112" s="8">
        <f>IFERROR(__xludf.DUMMYFUNCTION("""COMPUTED_VALUE"""),18.0)</f>
        <v>18</v>
      </c>
      <c r="W112" s="5" t="str">
        <f>IFERROR(__xludf.DUMMYFUNCTION("""COMPUTED_VALUE"""),"pdfs/BROCHURE ESPECIALIZACIÓN EN FRONT END DESARROLLO WEB")</f>
        <v>pdfs/BROCHURE ESPECIALIZACIÓN EN FRONT END DESARROLLO WEB</v>
      </c>
      <c r="X112" s="5" t="str">
        <f>IFERROR(__xludf.DUMMYFUNCTION("""COMPUTED_VALUE"""),"🔵 *Utilizarán Visual Studio Code* ⚡
👉🏻 Te brindaremos Manual de instalador
💻 _*Importante*: Para la instalación se necesita una Laptop *Windows*_
🚨 *Por favor, revisa el BROCHURE* 👇🏻
Aqui encontrarás la información completa del programa, el TEMARI"&amp;"O (malla curricular) y todos los BENEFICIOS 📚")</f>
        <v>🔵 *Utilizarán Visual Studio Code* ⚡
👉🏻 Te brindaremos Manual de instalador
💻 _*Importante*: Para la instalación se necesita una Laptop *Windows*_
🚨 *Por favor, revisa el BROCHURE* 👇🏻
Aqui encontrarás la información completa del programa, el TEMARIO (malla curricular) y todos los BENEFICIOS 📚</v>
      </c>
      <c r="Y112" s="5" t="str">
        <f>IFERROR(__xludf.DUMMYFUNCTION("""COMPUTED_VALUE"""),"images/espfrontend.jpg")</f>
        <v>images/espfrontend.jpg</v>
      </c>
      <c r="Z112" s="5"/>
      <c r="AA112" s="5" t="str">
        <f>IFERROR(__xludf.DUMMYFUNCTION("""COMPUTED_VALUE"""),"NO")</f>
        <v>NO</v>
      </c>
      <c r="AB112" s="6">
        <f>IFERROR(__xludf.DUMMYFUNCTION("""COMPUTED_VALUE"""),1740.0)</f>
        <v>1740</v>
      </c>
      <c r="AC112" s="6">
        <f>IFERROR(__xludf.DUMMYFUNCTION("""COMPUTED_VALUE"""),1600.0)</f>
        <v>1600</v>
      </c>
      <c r="AD112" s="6">
        <f>IFERROR(__xludf.DUMMYFUNCTION("""COMPUTED_VALUE"""),870.0)</f>
        <v>870</v>
      </c>
      <c r="AE112" s="6">
        <f>IFERROR(__xludf.DUMMYFUNCTION("""COMPUTED_VALUE"""),800.0)</f>
        <v>800</v>
      </c>
      <c r="AF112" s="6">
        <f>IFERROR(__xludf.DUMMYFUNCTION("""COMPUTED_VALUE"""),250.0)</f>
        <v>250</v>
      </c>
      <c r="AG112" s="5">
        <f>IFERROR(__xludf.DUMMYFUNCTION("""COMPUTED_VALUE"""),350.0)</f>
        <v>350</v>
      </c>
      <c r="AH112" s="5"/>
      <c r="AI112" s="5">
        <f>IFERROR(__xludf.DUMMYFUNCTION("""COMPUTED_VALUE"""),720.0)</f>
        <v>720</v>
      </c>
      <c r="AJ112" s="5">
        <f>IFERROR(__xludf.DUMMYFUNCTION("""COMPUTED_VALUE"""),783.0)</f>
        <v>783</v>
      </c>
      <c r="AK112" s="5" t="str">
        <f>IFERROR(__xludf.DUMMYFUNCTION("""COMPUTED_VALUE"""),"El futuro digital se construye en la web 💻
Aprende a diseñar y programar interfaces modernas con esta especialización en Frontend 🚀
👉🏻 Aquí tienes los detalles.")</f>
        <v>El futuro digital se construye en la web 💻
Aprende a diseñar y programar interfaces modernas con esta especialización en Frontend 🚀
👉🏻 Aquí tienes los detalles.</v>
      </c>
      <c r="AL112" s="5" t="str">
        <f>IFERROR(__xludf.DUMMYFUNCTION("""COMPUTED_VALUE"""),"💻 Excelente, actualízate con Frontend y domina tecnologías clave en desarrollo web.")</f>
        <v>💻 Excelente, actualízate con Frontend y domina tecnologías clave en desarrollo web.</v>
      </c>
      <c r="AM112" s="5" t="str">
        <f>IFERROR(__xludf.DUMMYFUNCTION("""COMPUTED_VALUE"""),"🚀 Buenísimo, es de las competencias más buscadas en empleos digitales.")</f>
        <v>🚀 Buenísimo, es de las competencias más buscadas en empleos digitales.</v>
      </c>
      <c r="AN112" s="5" t="str">
        <f>IFERROR(__xludf.DUMMYFUNCTION("""COMPUTED_VALUE"""),"⚡ Genial, con Frontend podrás crear proyectos reales que destaquen tu perfil.")</f>
        <v>⚡ Genial, con Frontend podrás crear proyectos reales que destaquen tu perfil.</v>
      </c>
      <c r="AO112" s="5" t="str">
        <f>IFERROR(__xludf.DUMMYFUNCTION("""COMPUTED_VALUE"""),"🎯 Perfecto, tendrás ventaja en prácticas de programación y TI.")</f>
        <v>🎯 Perfecto, tendrás ventaja en prácticas de programación y TI.</v>
      </c>
      <c r="AP112" s="5" t="str">
        <f>IFERROR(__xludf.DUMMYFUNCTION("""COMPUTED_VALUE"""),"🌐 Excelente, podrás crear tus propias páginas o apps como independiente.")</f>
        <v>🌐 Excelente, podrás crear tus propias páginas o apps como independiente.</v>
      </c>
      <c r="AQ112" s="9" t="str">
        <f>IFERROR(__xludf.DUMMYFUNCTION("""COMPUTED_VALUE"""),"https://we-educacion.com/slides/especializacion-front-end-desarrollo-web-1102")</f>
        <v>https://we-educacion.com/slides/especializacion-front-end-desarrollo-web-1102</v>
      </c>
      <c r="AR112" s="5">
        <v>1.0</v>
      </c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</row>
    <row r="113" ht="15.75" customHeight="1">
      <c r="A113" s="5" t="s">
        <v>155</v>
      </c>
      <c r="B113" s="5" t="str">
        <f t="shared" si="1"/>
        <v>DIC. I - ED25</v>
      </c>
      <c r="C113" s="6" t="str">
        <f>IFERROR(__xludf.DUMMYFUNCTION("""COMPUTED_VALUE"""),"WEB")</f>
        <v>WEB</v>
      </c>
      <c r="D113" s="5" t="str">
        <f>IFERROR(__xludf.DUMMYFUNCTION("""COMPUTED_VALUE"""),"CURSO")</f>
        <v>CURSO</v>
      </c>
      <c r="E113" s="6" t="str">
        <f>IFERROR(__xludf.DUMMYFUNCTION("""COMPUTED_VALUE"""),"PROG. WEB")</f>
        <v>PROG. WEB</v>
      </c>
      <c r="F113" s="7">
        <f>IFERROR(__xludf.DUMMYFUNCTION("""COMPUTED_VALUE"""),46004.0)</f>
        <v>46004</v>
      </c>
      <c r="G113" s="6"/>
      <c r="H113" s="7"/>
      <c r="I113" s="6"/>
      <c r="J113" s="7"/>
      <c r="K113" s="6"/>
      <c r="L113" s="7"/>
      <c r="M113" s="6"/>
      <c r="N113" s="7"/>
      <c r="O113" s="6"/>
      <c r="P113" s="7"/>
      <c r="Q113" s="6" t="str">
        <f>IFERROR(__xludf.DUMMYFUNCTION("""COMPUTED_VALUE"""),"Giancarlos Barboza")</f>
        <v>Giancarlos Barboza</v>
      </c>
      <c r="R113" s="5" t="str">
        <f>IFERROR(__xludf.DUMMYFUNCTION("""COMPUTED_VALUE"""),"Sáb")</f>
        <v>Sáb</v>
      </c>
      <c r="S113" s="6" t="str">
        <f>IFERROR(__xludf.DUMMYFUNCTION("""COMPUTED_VALUE"""),"3PM - 6PM")</f>
        <v>3PM - 6PM</v>
      </c>
      <c r="T113" s="7" t="str">
        <f>IFERROR(__xludf.DUMMYFUNCTION("""COMPUTED_VALUE"""),"Sábado 13 Diciembre")</f>
        <v>Sábado 13 Diciembre</v>
      </c>
      <c r="U113" s="7" t="str">
        <f>IFERROR(__xludf.DUMMYFUNCTION("""COMPUTED_VALUE"""),"Sábado 17 Enero")</f>
        <v>Sábado 17 Enero</v>
      </c>
      <c r="V113" s="8">
        <f>IFERROR(__xludf.DUMMYFUNCTION("""COMPUTED_VALUE"""),6.0)</f>
        <v>6</v>
      </c>
      <c r="W113" s="5" t="str">
        <f>IFERROR(__xludf.DUMMYFUNCTION("""COMPUTED_VALUE"""),"pdfs/BROCHURE INTRODUCCIÓN A LA PROGRAMACIÓN WEB.pdf")</f>
        <v>pdfs/BROCHURE INTRODUCCIÓN A LA PROGRAMACIÓN WEB.pdf</v>
      </c>
      <c r="X113" s="6" t="str">
        <f>IFERROR(__xludf.DUMMYFUNCTION("""COMPUTED_VALUE"""),"🔵 *Utilizarán HTML y CSS*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HTML y CSS*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13" s="5" t="str">
        <f>IFERROR(__xludf.DUMMYFUNCTION("""COMPUTED_VALUE"""),"images/progweb.jpg")</f>
        <v>images/progweb.jpg</v>
      </c>
      <c r="Z113" s="5"/>
      <c r="AA113" s="5" t="str">
        <f>IFERROR(__xludf.DUMMYFUNCTION("""COMPUTED_VALUE"""),"NO")</f>
        <v>NO</v>
      </c>
      <c r="AB113" s="6">
        <f>IFERROR(__xludf.DUMMYFUNCTION("""COMPUTED_VALUE"""),640.0)</f>
        <v>640</v>
      </c>
      <c r="AC113" s="6">
        <f>IFERROR(__xludf.DUMMYFUNCTION("""COMPUTED_VALUE"""),600.0)</f>
        <v>600</v>
      </c>
      <c r="AD113" s="6">
        <f>IFERROR(__xludf.DUMMYFUNCTION("""COMPUTED_VALUE"""),320.0)</f>
        <v>320</v>
      </c>
      <c r="AE113" s="6">
        <f>IFERROR(__xludf.DUMMYFUNCTION("""COMPUTED_VALUE"""),300.0)</f>
        <v>300</v>
      </c>
      <c r="AF113" s="6">
        <f>IFERROR(__xludf.DUMMYFUNCTION("""COMPUTED_VALUE"""),150.0)</f>
        <v>150</v>
      </c>
      <c r="AG113" s="5">
        <f>IFERROR(__xludf.DUMMYFUNCTION("""COMPUTED_VALUE"""),150.0)</f>
        <v>150</v>
      </c>
      <c r="AH113" s="5"/>
      <c r="AI113" s="5">
        <f>IFERROR(__xludf.DUMMYFUNCTION("""COMPUTED_VALUE"""),270.0)</f>
        <v>270</v>
      </c>
      <c r="AJ113" s="5">
        <f>IFERROR(__xludf.DUMMYFUNCTION("""COMPUTED_VALUE"""),288.0)</f>
        <v>288</v>
      </c>
      <c r="AK113" s="5" t="str">
        <f>IFERROR(__xludf.DUMMYFUNCTION("""COMPUTED_VALUE"""),"El futuro digital se construye con desarrollo web 🚀
Con Programación Web aprenderás a diseñar y crear aplicaciones online aplicables a proyectos reales 💻.
Aquí la info completa 👇🏻")</f>
        <v>El futuro digital se construye con desarrollo web 🚀
Con Programación Web aprenderás a diseñar y crear aplicaciones online aplicables a proyectos reales 💻.
Aquí la info completa 👇🏻</v>
      </c>
      <c r="AL113" s="5" t="str">
        <f>IFERROR(__xludf.DUMMYFUNCTION("""COMPUTED_VALUE"""),"🌐 Excelente, actualízate con Programación Web y desarrolla aplicaciones modernas.")</f>
        <v>🌐 Excelente, actualízate con Programación Web y desarrolla aplicaciones modernas.</v>
      </c>
      <c r="AM113" s="5" t="str">
        <f>IFERROR(__xludf.DUMMYFUNCTION("""COMPUTED_VALUE"""),"💼 Buenísimo, Programación Web es una de las competencias más buscadas por empresas.")</f>
        <v>💼 Buenísimo, Programación Web es una de las competencias más buscadas por empresas.</v>
      </c>
      <c r="AN113" s="5" t="str">
        <f>IFERROR(__xludf.DUMMYFUNCTION("""COMPUTED_VALUE"""),"🎓 ¡Genial! Aprender desarrollo web desde la universidad te diferenciará en tu carrera.")</f>
        <v>🎓 ¡Genial! Aprender desarrollo web desde la universidad te diferenciará en tu carrera.</v>
      </c>
      <c r="AO113" s="5" t="str">
        <f>IFERROR(__xludf.DUMMYFUNCTION("""COMPUTED_VALUE"""),"🚀 ¡Perfecto! Con Programación Web tendrás más oportunidades en prácticas de tecnología.")</f>
        <v>🚀 ¡Perfecto! Con Programación Web tendrás más oportunidades en prácticas de tecnología.</v>
      </c>
      <c r="AP113" s="5" t="str">
        <f>IFERROR(__xludf.DUMMYFUNCTION("""COMPUTED_VALUE"""),"📲 ¡Excelente! Con Programación Web podrás lanzar soluciones digitales para tu negocio.")</f>
        <v>📲 ¡Excelente! Con Programación Web podrás lanzar soluciones digitales para tu negocio.</v>
      </c>
      <c r="AQ113" s="9" t="str">
        <f>IFERROR(__xludf.DUMMYFUNCTION("""COMPUTED_VALUE"""),"https://we-educacion.com/slides/programacion-web-516")</f>
        <v>https://we-educacion.com/slides/programacion-web-516</v>
      </c>
      <c r="AR113" s="5">
        <v>1.0</v>
      </c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</row>
    <row r="114" ht="15.75" customHeight="1">
      <c r="A114" s="5" t="s">
        <v>156</v>
      </c>
      <c r="B114" s="5" t="str">
        <f t="shared" si="1"/>
        <v>DIC. I - ED25</v>
      </c>
      <c r="C114" s="10" t="str">
        <f>IFERROR(__xludf.DUMMYFUNCTION("""COMPUTED_VALUE"""),"FINANZ")</f>
        <v>FINANZ</v>
      </c>
      <c r="D114" s="10" t="str">
        <f>IFERROR(__xludf.DUMMYFUNCTION("""COMPUTED_VALUE"""),"CURSO")</f>
        <v>CURSO</v>
      </c>
      <c r="E114" s="10" t="str">
        <f>IFERROR(__xludf.DUMMYFUNCTION("""COMPUTED_VALUE"""),"PRICING Y RENTABILIDAD")</f>
        <v>PRICING Y RENTABILIDAD</v>
      </c>
      <c r="F114" s="11">
        <f>IFERROR(__xludf.DUMMYFUNCTION("""COMPUTED_VALUE"""),46004.0)</f>
        <v>46004</v>
      </c>
      <c r="G114" s="10"/>
      <c r="H114" s="12"/>
      <c r="I114" s="10"/>
      <c r="J114" s="12"/>
      <c r="K114" s="10"/>
      <c r="L114" s="12"/>
      <c r="M114" s="10"/>
      <c r="N114" s="12"/>
      <c r="O114" s="10"/>
      <c r="P114" s="12"/>
      <c r="Q114" s="10"/>
      <c r="R114" s="10" t="str">
        <f>IFERROR(__xludf.DUMMYFUNCTION("""COMPUTED_VALUE"""),"Sáb")</f>
        <v>Sáb</v>
      </c>
      <c r="S114" s="10" t="str">
        <f>IFERROR(__xludf.DUMMYFUNCTION("""COMPUTED_VALUE"""),"3PM - 6PM")</f>
        <v>3PM - 6PM</v>
      </c>
      <c r="T114" s="10" t="str">
        <f>IFERROR(__xludf.DUMMYFUNCTION("""COMPUTED_VALUE"""),"Sábado 13 Diciembre")</f>
        <v>Sábado 13 Diciembre</v>
      </c>
      <c r="U114" s="10" t="str">
        <f>IFERROR(__xludf.DUMMYFUNCTION("""COMPUTED_VALUE"""),"Sábado 17 Enero")</f>
        <v>Sábado 17 Enero</v>
      </c>
      <c r="V114" s="13">
        <f>IFERROR(__xludf.DUMMYFUNCTION("""COMPUTED_VALUE"""),6.0)</f>
        <v>6</v>
      </c>
      <c r="W114" s="5"/>
      <c r="X114" s="6"/>
      <c r="Y114" s="5"/>
      <c r="Z114" s="6"/>
      <c r="AA114" s="7"/>
      <c r="AB114" s="6"/>
      <c r="AC114" s="7"/>
      <c r="AD114" s="6"/>
      <c r="AE114" s="7"/>
      <c r="AF114" s="6"/>
      <c r="AG114" s="7"/>
      <c r="AH114" s="6"/>
      <c r="AI114" s="7"/>
      <c r="AJ114" s="6"/>
      <c r="AK114" s="7"/>
      <c r="AL114" s="6"/>
      <c r="AM114" s="5"/>
      <c r="AN114" s="6"/>
      <c r="AO114" s="7"/>
      <c r="AP114" s="7"/>
      <c r="AQ114" s="8" t="str">
        <f>IFERROR(__xludf.DUMMYFUNCTION("""COMPUTED_VALUE"""),"#N/A")</f>
        <v>#N/A</v>
      </c>
      <c r="AR114" s="5"/>
      <c r="AS114" s="6"/>
      <c r="AT114" s="5"/>
      <c r="AU114" s="5"/>
      <c r="AV114" s="5"/>
      <c r="AW114" s="6"/>
      <c r="AX114" s="6"/>
      <c r="AY114" s="6"/>
      <c r="AZ114" s="6"/>
      <c r="BA114" s="6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</row>
    <row r="115" ht="15.75" customHeight="1">
      <c r="A115" s="5" t="s">
        <v>157</v>
      </c>
      <c r="B115" s="5" t="str">
        <f t="shared" si="1"/>
        <v>DIC. I - ED25</v>
      </c>
      <c r="C115" s="6" t="str">
        <f>IFERROR(__xludf.DUMMYFUNCTION("""COMPUTED_VALUE"""),"EXCEL")</f>
        <v>EXCEL</v>
      </c>
      <c r="D115" s="6" t="str">
        <f>IFERROR(__xludf.DUMMYFUNCTION("""COMPUTED_VALUE"""),"ESP.")</f>
        <v>ESP.</v>
      </c>
      <c r="E115" s="6" t="str">
        <f>IFERROR(__xludf.DUMMYFUNCTION("""COMPUTED_VALUE"""),"ESP. EXCEL EXP")</f>
        <v>ESP. EXCEL EXP</v>
      </c>
      <c r="F115" s="7">
        <f>IFERROR(__xludf.DUMMYFUNCTION("""COMPUTED_VALUE"""),46005.0)</f>
        <v>46005</v>
      </c>
      <c r="G115" s="6" t="str">
        <f>IFERROR(__xludf.DUMMYFUNCTION("""COMPUTED_VALUE"""),"EXCEL BÁSICO")</f>
        <v>EXCEL BÁSICO</v>
      </c>
      <c r="H115" s="7">
        <f>IFERROR(__xludf.DUMMYFUNCTION("""COMPUTED_VALUE"""),46005.0)</f>
        <v>46005</v>
      </c>
      <c r="I115" s="6" t="str">
        <f>IFERROR(__xludf.DUMMYFUNCTION("""COMPUTED_VALUE"""),"EXCEL INTERM")</f>
        <v>EXCEL INTERM</v>
      </c>
      <c r="J115" s="7">
        <f>IFERROR(__xludf.DUMMYFUNCTION("""COMPUTED_VALUE"""),46047.0)</f>
        <v>46047</v>
      </c>
      <c r="K115" s="6" t="str">
        <f>IFERROR(__xludf.DUMMYFUNCTION("""COMPUTED_VALUE"""),"EXCEL AVANZ")</f>
        <v>EXCEL AVANZ</v>
      </c>
      <c r="L115" s="7">
        <f>IFERROR(__xludf.DUMMYFUNCTION("""COMPUTED_VALUE"""),46089.0)</f>
        <v>46089</v>
      </c>
      <c r="M115" s="6" t="str">
        <f>IFERROR(__xludf.DUMMYFUNCTION("""COMPUTED_VALUE"""),"PROG. MACROS")</f>
        <v>PROG. MACROS</v>
      </c>
      <c r="N115" s="7">
        <f>IFERROR(__xludf.DUMMYFUNCTION("""COMPUTED_VALUE"""),46138.0)</f>
        <v>46138</v>
      </c>
      <c r="O115" s="6"/>
      <c r="P115" s="7"/>
      <c r="Q115" s="6" t="str">
        <f>IFERROR(__xludf.DUMMYFUNCTION("""COMPUTED_VALUE"""),"Rizal Nuñez
Jonathan Sanchez
Giancarlos Barboza
Julio Ccari")</f>
        <v>Rizal Nuñez
Jonathan Sanchez
Giancarlos Barboza
Julio Ccari</v>
      </c>
      <c r="R115" s="5" t="str">
        <f>IFERROR(__xludf.DUMMYFUNCTION("""COMPUTED_VALUE"""),"Dom")</f>
        <v>Dom</v>
      </c>
      <c r="S115" s="6" t="str">
        <f>IFERROR(__xludf.DUMMYFUNCTION("""COMPUTED_VALUE"""),"9AM - 12PM")</f>
        <v>9AM - 12PM</v>
      </c>
      <c r="T115" s="7" t="str">
        <f>IFERROR(__xludf.DUMMYFUNCTION("""COMPUTED_VALUE"""),"Domingo 14 Diciembre")</f>
        <v>Domingo 14 Diciembre</v>
      </c>
      <c r="U115" s="7" t="str">
        <f>IFERROR(__xludf.DUMMYFUNCTION("""COMPUTED_VALUE"""),"Domingo 31 Mayo")</f>
        <v>Domingo 31 Mayo</v>
      </c>
      <c r="V115" s="8">
        <f>IFERROR(__xludf.DUMMYFUNCTION("""COMPUTED_VALUE"""),23.0)</f>
        <v>23</v>
      </c>
      <c r="W115" s="5" t="str">
        <f>IFERROR(__xludf.DUMMYFUNCTION("""COMPUTED_VALUE"""),"pdfs/BROCHURE ESPECIALIZACION DE EXCEL EXPERT.pdf")</f>
        <v>pdfs/BROCHURE ESPECIALIZACION DE EXCEL EXPERT.pdf</v>
      </c>
      <c r="X115" s="5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MOS*
🔹 "&amp;"05 Cursos Online de regalo con acceso ilimitado 📚
🔹 Desarrollo y seguimiento de tu proyecto *(Evaluado)*
🔹 Contenido Integrado con Chat GPT
🔹 Garantía de Aprendizaje 100%
🚨 *Por favor, revisa el BROCHURE* 👇🏻
Aqui encontrarás la información complet"&amp;"a del programa, el TEMARIO (malla curricular) y todos los BENEFICIOS 📚")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15" s="5" t="str">
        <f>IFERROR(__xludf.DUMMYFUNCTION("""COMPUTED_VALUE"""),"images/excelexp.jpg")</f>
        <v>images/excelexp.jpg</v>
      </c>
      <c r="Z115" s="5" t="str">
        <f>IFERROR(__xludf.DUMMYFUNCTION("""COMPUTED_VALUE"""),"Avalado por Microsoft Partner Network")</f>
        <v>Avalado por Microsoft Partner Network</v>
      </c>
      <c r="AA115" s="5" t="str">
        <f>IFERROR(__xludf.DUMMYFUNCTION("""COMPUTED_VALUE"""),"NO")</f>
        <v>NO</v>
      </c>
      <c r="AB115" s="6">
        <f>IFERROR(__xludf.DUMMYFUNCTION("""COMPUTED_VALUE"""),1600.0)</f>
        <v>1600</v>
      </c>
      <c r="AC115" s="6">
        <f>IFERROR(__xludf.DUMMYFUNCTION("""COMPUTED_VALUE"""),1520.0)</f>
        <v>1520</v>
      </c>
      <c r="AD115" s="6">
        <f>IFERROR(__xludf.DUMMYFUNCTION("""COMPUTED_VALUE"""),800.0)</f>
        <v>800</v>
      </c>
      <c r="AE115" s="6">
        <f>IFERROR(__xludf.DUMMYFUNCTION("""COMPUTED_VALUE"""),760.0)</f>
        <v>760</v>
      </c>
      <c r="AF115" s="6">
        <f>IFERROR(__xludf.DUMMYFUNCTION("""COMPUTED_VALUE"""),250.0)</f>
        <v>250</v>
      </c>
      <c r="AG115" s="5">
        <f>IFERROR(__xludf.DUMMYFUNCTION("""COMPUTED_VALUE"""),350.0)</f>
        <v>350</v>
      </c>
      <c r="AH115" s="5"/>
      <c r="AI115" s="5">
        <f>IFERROR(__xludf.DUMMYFUNCTION("""COMPUTED_VALUE"""),684.0)</f>
        <v>684</v>
      </c>
      <c r="AJ115" s="5">
        <f>IFERROR(__xludf.DUMMYFUNCTION("""COMPUTED_VALUE"""),720.0)</f>
        <v>720</v>
      </c>
      <c r="AK115" s="5" t="str">
        <f>IFERROR(__xludf.DUMMYFUNCTION("""COMPUTED_VALUE"""),"El lenguaje de los profesionales competitivos es Excel Experto 🔥
En pocas semanas dominarás funciones avanzadas y automatización aplicada a casos reales de negocio.
Ahora te comparto la información completa 👇🏻")</f>
        <v>El lenguaje de los profesionales competitivos es Excel Experto 🔥
En pocas semanas dominarás funciones avanzadas y automatización aplicada a casos reales de negocio.
Ahora te comparto la información completa 👇🏻</v>
      </c>
      <c r="AL115" s="5" t="str">
        <f>IFERROR(__xludf.DUMMYFUNCTION("""COMPUTED_VALUE"""),"Excelente 🙌, con Excel Experto actualizarás tus habilidades en funciones avanzadas y automatización ⚡, manteniéndote competitivo.")</f>
        <v>Excelente 🙌, con Excel Experto actualizarás tus habilidades en funciones avanzadas y automatización ⚡, manteniéndote competitivo.</v>
      </c>
      <c r="AM115" s="5" t="str">
        <f>IFERROR(__xludf.DUMMYFUNCTION("""COMPUTED_VALUE"""),"Buenísimo 💼, Excel es de las competencias más pedidas 📊. Dominarlo abrirá más oportunidades laborales 🚀.")</f>
        <v>Buenísimo 💼, Excel es de las competencias más pedidas 📊. Dominarlo abrirá más oportunidades laborales 🚀.</v>
      </c>
      <c r="AN115" s="5" t="str">
        <f>IFERROR(__xludf.DUMMYFUNCTION("""COMPUTED_VALUE"""),"¡Excelente! 🎓 Con Excel Experto sumarás una ventaja práctica desde la universidad y destacarás en tus proyectos 📘.")</f>
        <v>¡Excelente! 🎓 Con Excel Experto sumarás una ventaja práctica desde la universidad y destacarás en tus proyectos 📘.</v>
      </c>
      <c r="AO115" s="5" t="str">
        <f>IFERROR(__xludf.DUMMYFUNCTION("""COMPUTED_VALUE"""),"¡Perfecto! 🔑 Saber Excel Experto te dará ventaja frente a otros postulantes, clave para conseguir prácticas 📝.")</f>
        <v>¡Perfecto! 🔑 Saber Excel Experto te dará ventaja frente a otros postulantes, clave para conseguir prácticas 📝.</v>
      </c>
      <c r="AP115" s="5" t="str">
        <f>IFERROR(__xludf.DUMMYFUNCTION("""COMPUTED_VALUE"""),"¡Excelente! 💡 Con Excel Experto podrás manejar y analizar la información de tu negocio 📈 de forma más profesional.")</f>
        <v>¡Excelente! 💡 Con Excel Experto podrás manejar y analizar la información de tu negocio 📈 de forma más profesional.</v>
      </c>
      <c r="AQ115" s="9" t="str">
        <f>IFERROR(__xludf.DUMMYFUNCTION("""COMPUTED_VALUE"""),"https://we-educacion.com/slides/especializacion-en-microsoft-excel-expert-272")</f>
        <v>https://we-educacion.com/slides/especializacion-en-microsoft-excel-expert-272</v>
      </c>
      <c r="AR115" s="5">
        <v>1.0</v>
      </c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</row>
    <row r="116" ht="15.75" customHeight="1">
      <c r="A116" s="5" t="s">
        <v>158</v>
      </c>
      <c r="B116" s="5" t="str">
        <f t="shared" si="1"/>
        <v>DIC. I - ED25</v>
      </c>
      <c r="C116" s="6" t="str">
        <f>IFERROR(__xludf.DUMMYFUNCTION("""COMPUTED_VALUE"""),"EXCEL")</f>
        <v>EXCEL</v>
      </c>
      <c r="D116" s="5" t="str">
        <f>IFERROR(__xludf.DUMMYFUNCTION("""COMPUTED_VALUE"""),"ESP.")</f>
        <v>ESP.</v>
      </c>
      <c r="E116" s="6" t="str">
        <f>IFERROR(__xludf.DUMMYFUNCTION("""COMPUTED_VALUE"""),"ESPEC. EXCEL")</f>
        <v>ESPEC. EXCEL</v>
      </c>
      <c r="F116" s="7">
        <f>IFERROR(__xludf.DUMMYFUNCTION("""COMPUTED_VALUE"""),46005.0)</f>
        <v>46005</v>
      </c>
      <c r="G116" s="6" t="str">
        <f>IFERROR(__xludf.DUMMYFUNCTION("""COMPUTED_VALUE"""),"EXCEL BÁSICO")</f>
        <v>EXCEL BÁSICO</v>
      </c>
      <c r="H116" s="7">
        <f>IFERROR(__xludf.DUMMYFUNCTION("""COMPUTED_VALUE"""),46005.0)</f>
        <v>46005</v>
      </c>
      <c r="I116" s="6" t="str">
        <f>IFERROR(__xludf.DUMMYFUNCTION("""COMPUTED_VALUE"""),"EXCEL INTERM")</f>
        <v>EXCEL INTERM</v>
      </c>
      <c r="J116" s="7">
        <f>IFERROR(__xludf.DUMMYFUNCTION("""COMPUTED_VALUE"""),46047.0)</f>
        <v>46047</v>
      </c>
      <c r="K116" s="6" t="str">
        <f>IFERROR(__xludf.DUMMYFUNCTION("""COMPUTED_VALUE"""),"EXCEL AVANZ")</f>
        <v>EXCEL AVANZ</v>
      </c>
      <c r="L116" s="7">
        <f>IFERROR(__xludf.DUMMYFUNCTION("""COMPUTED_VALUE"""),46089.0)</f>
        <v>46089</v>
      </c>
      <c r="M116" s="6"/>
      <c r="N116" s="7"/>
      <c r="O116" s="6"/>
      <c r="P116" s="7"/>
      <c r="Q116" s="6" t="str">
        <f>IFERROR(__xludf.DUMMYFUNCTION("""COMPUTED_VALUE"""),"Rizal Nuñez
Jonathan Sanchez
Giancarlos Barboza")</f>
        <v>Rizal Nuñez
Jonathan Sanchez
Giancarlos Barboza</v>
      </c>
      <c r="R116" s="5" t="str">
        <f>IFERROR(__xludf.DUMMYFUNCTION("""COMPUTED_VALUE"""),"Dom")</f>
        <v>Dom</v>
      </c>
      <c r="S116" s="6" t="str">
        <f>IFERROR(__xludf.DUMMYFUNCTION("""COMPUTED_VALUE"""),"9AM - 12PM")</f>
        <v>9AM - 12PM</v>
      </c>
      <c r="T116" s="7" t="str">
        <f>IFERROR(__xludf.DUMMYFUNCTION("""COMPUTED_VALUE"""),"Domingo 14 Diciembre")</f>
        <v>Domingo 14 Diciembre</v>
      </c>
      <c r="U116" s="7" t="str">
        <f>IFERROR(__xludf.DUMMYFUNCTION("""COMPUTED_VALUE"""),"Domingo 19 Abril")</f>
        <v>Domingo 19 Abril</v>
      </c>
      <c r="V116" s="8">
        <f>IFERROR(__xludf.DUMMYFUNCTION("""COMPUTED_VALUE"""),17.0)</f>
        <v>17</v>
      </c>
      <c r="W116" s="5" t="str">
        <f>IFERROR(__xludf.DUMMYFUNCTION("""COMPUTED_VALUE"""),"pdfs/BROCHURE ESPECIALIZACION DE EXCEL.pdf")</f>
        <v>pdfs/BROCHURE ESPECIALIZACION DE EXCEL.pdf</v>
      </c>
      <c r="X116" s="5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*Por favor, revisa el BROCHURE* 👇🏻
Aqui encontrarás la información completa del programa, el TEMARIO (malla curricular) y todos los BE"&amp;"NEFICIOS 📚")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16" s="5" t="str">
        <f>IFERROR(__xludf.DUMMYFUNCTION("""COMPUTED_VALUE"""),"images/espexcel.jpg")</f>
        <v>images/espexcel.jpg</v>
      </c>
      <c r="Z116" s="5" t="str">
        <f>IFERROR(__xludf.DUMMYFUNCTION("""COMPUTED_VALUE"""),"Avalado por Microsoft Partner Network")</f>
        <v>Avalado por Microsoft Partner Network</v>
      </c>
      <c r="AA116" s="5" t="str">
        <f>IFERROR(__xludf.DUMMYFUNCTION("""COMPUTED_VALUE"""),"NO")</f>
        <v>NO</v>
      </c>
      <c r="AB116" s="6">
        <f>IFERROR(__xludf.DUMMYFUNCTION("""COMPUTED_VALUE"""),1200.0)</f>
        <v>1200</v>
      </c>
      <c r="AC116" s="6">
        <f>IFERROR(__xludf.DUMMYFUNCTION("""COMPUTED_VALUE"""),1140.0)</f>
        <v>1140</v>
      </c>
      <c r="AD116" s="6">
        <f>IFERROR(__xludf.DUMMYFUNCTION("""COMPUTED_VALUE"""),600.0)</f>
        <v>600</v>
      </c>
      <c r="AE116" s="6">
        <f>IFERROR(__xludf.DUMMYFUNCTION("""COMPUTED_VALUE"""),570.0)</f>
        <v>570</v>
      </c>
      <c r="AF116" s="6">
        <f>IFERROR(__xludf.DUMMYFUNCTION("""COMPUTED_VALUE"""),250.0)</f>
        <v>250</v>
      </c>
      <c r="AG116" s="5">
        <f>IFERROR(__xludf.DUMMYFUNCTION("""COMPUTED_VALUE"""),350.0)</f>
        <v>350</v>
      </c>
      <c r="AH116" s="5"/>
      <c r="AI116" s="5">
        <f>IFERROR(__xludf.DUMMYFUNCTION("""COMPUTED_VALUE"""),513.0)</f>
        <v>513</v>
      </c>
      <c r="AJ116" s="5">
        <f>IFERROR(__xludf.DUMMYFUNCTION("""COMPUTED_VALUE"""),540.0)</f>
        <v>540</v>
      </c>
      <c r="AK116" s="5" t="str">
        <f>IFERROR(__xludf.DUMMYFUNCTION("""COMPUTED_VALUE"""),"Hoy el dominio de datos se traduce en oportunidades 🚀
Con la Especialización en Excel aprenderás a manejar información con agilidad y a tomar decisiones estratégicas con base en datos 💼.
Aquí tienes la info a detalle 👇🏻")</f>
        <v>Hoy el dominio de datos se traduce en oportunidades 🚀
Con la Especialización en Excel aprenderás a manejar información con agilidad y a tomar decisiones estratégicas con base en datos 💼.
Aquí tienes la info a detalle 👇🏻</v>
      </c>
      <c r="AL116" s="5" t="str">
        <f>IFERROR(__xludf.DUMMYFUNCTION("""COMPUTED_VALUE"""),"Excelente 🙌, actualízate con la Especialización en Excel y mantén al día tus competencias más demandadas 🔥.")</f>
        <v>Excelente 🙌, actualízate con la Especialización en Excel y mantén al día tus competencias más demandadas 🔥.</v>
      </c>
      <c r="AM116" s="5" t="str">
        <f>IFERROR(__xludf.DUMMYFUNCTION("""COMPUTED_VALUE"""),"Buenísimo 💼, las empresas valoran muchísimo el dominio de Excel. Con esta especialización, aumentarás tus opciones de empleo 🚀")</f>
        <v>Buenísimo 💼, las empresas valoran muchísimo el dominio de Excel. Con esta especialización, aumentarás tus opciones de empleo 🚀</v>
      </c>
      <c r="AN116" s="5" t="str">
        <f>IFERROR(__xludf.DUMMYFUNCTION("""COMPUTED_VALUE"""),"¡Excelente! 🎓 Con Excel aprenderás a manejar datos y reportes 📊, diferenciándote en la universidad.")</f>
        <v>¡Excelente! 🎓 Con Excel aprenderás a manejar datos y reportes 📊, diferenciándote en la universidad.</v>
      </c>
      <c r="AO116" s="5" t="str">
        <f>IFERROR(__xludf.DUMMYFUNCTION("""COMPUTED_VALUE"""),"¡Perfecto! ✅ Saber Excel es un plus muy valorado para acceder a prácticas 👩🏻‍💻👨🏻‍💻.")</f>
        <v>¡Perfecto! ✅ Saber Excel es un plus muy valorado para acceder a prácticas 👩🏻‍💻👨🏻‍💻.</v>
      </c>
      <c r="AP116" s="5" t="str">
        <f>IFERROR(__xludf.DUMMYFUNCTION("""COMPUTED_VALUE"""),"¡Excelente! 💡 Con Excel gestionarás tu negocio con reportes claros 📑 y decisiones inteligentes.")</f>
        <v>¡Excelente! 💡 Con Excel gestionarás tu negocio con reportes claros 📑 y decisiones inteligentes.</v>
      </c>
      <c r="AQ116" s="9" t="str">
        <f>IFERROR(__xludf.DUMMYFUNCTION("""COMPUTED_VALUE"""),"https://we-educacion.com/slides/especializacion-en-microsoft-excel-77")</f>
        <v>https://we-educacion.com/slides/especializacion-en-microsoft-excel-77</v>
      </c>
      <c r="AR116" s="5">
        <v>1.0</v>
      </c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</row>
    <row r="117" ht="15.75" customHeight="1">
      <c r="A117" s="5" t="s">
        <v>159</v>
      </c>
      <c r="B117" s="5" t="str">
        <f t="shared" si="1"/>
        <v>DIC. I - ED25</v>
      </c>
      <c r="C117" s="6" t="str">
        <f>IFERROR(__xludf.DUMMYFUNCTION("""COMPUTED_VALUE"""),"EXCEL")</f>
        <v>EXCEL</v>
      </c>
      <c r="D117" s="5" t="str">
        <f>IFERROR(__xludf.DUMMYFUNCTION("""COMPUTED_VALUE"""),"CURSO")</f>
        <v>CURSO</v>
      </c>
      <c r="E117" s="6" t="str">
        <f>IFERROR(__xludf.DUMMYFUNCTION("""COMPUTED_VALUE"""),"EXCEL BÁSICO")</f>
        <v>EXCEL BÁSICO</v>
      </c>
      <c r="F117" s="7">
        <f>IFERROR(__xludf.DUMMYFUNCTION("""COMPUTED_VALUE"""),46005.0)</f>
        <v>46005</v>
      </c>
      <c r="G117" s="6"/>
      <c r="H117" s="7"/>
      <c r="I117" s="6"/>
      <c r="J117" s="7"/>
      <c r="K117" s="6"/>
      <c r="L117" s="7"/>
      <c r="M117" s="6"/>
      <c r="N117" s="7"/>
      <c r="O117" s="6"/>
      <c r="P117" s="7"/>
      <c r="Q117" s="6" t="str">
        <f>IFERROR(__xludf.DUMMYFUNCTION("""COMPUTED_VALUE"""),"Rizal Nuñez")</f>
        <v>Rizal Nuñez</v>
      </c>
      <c r="R117" s="5" t="str">
        <f>IFERROR(__xludf.DUMMYFUNCTION("""COMPUTED_VALUE"""),"Dom")</f>
        <v>Dom</v>
      </c>
      <c r="S117" s="6" t="str">
        <f>IFERROR(__xludf.DUMMYFUNCTION("""COMPUTED_VALUE"""),"9AM - 12PM")</f>
        <v>9AM - 12PM</v>
      </c>
      <c r="T117" s="7" t="str">
        <f>IFERROR(__xludf.DUMMYFUNCTION("""COMPUTED_VALUE"""),"Domingo 14 Diciembre")</f>
        <v>Domingo 14 Diciembre</v>
      </c>
      <c r="U117" s="7" t="str">
        <f>IFERROR(__xludf.DUMMYFUNCTION("""COMPUTED_VALUE"""),"Domingo 18 Enero")</f>
        <v>Domingo 18 Enero</v>
      </c>
      <c r="V117" s="8">
        <f>IFERROR(__xludf.DUMMYFUNCTION("""COMPUTED_VALUE"""),5.0)</f>
        <v>5</v>
      </c>
      <c r="W117" s="5" t="str">
        <f>IFERROR(__xludf.DUMMYFUNCTION("""COMPUTED_VALUE"""),"pdfs/BROCHURE EXCEL BÁSICO.pdf")</f>
        <v>pdfs/BROCHURE EXCEL BÁSICO.pdf</v>
      </c>
      <c r="X117" s="5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17" s="5" t="str">
        <f>IFERROR(__xludf.DUMMYFUNCTION("""COMPUTED_VALUE"""),"images/excelbasico.jpg")</f>
        <v>images/excelbasico.jpg</v>
      </c>
      <c r="Z117" s="5" t="str">
        <f>IFERROR(__xludf.DUMMYFUNCTION("""COMPUTED_VALUE"""),"Avalado por Microsoft Partner Network")</f>
        <v>Avalado por Microsoft Partner Network</v>
      </c>
      <c r="AA117" s="5" t="str">
        <f>IFERROR(__xludf.DUMMYFUNCTION("""COMPUTED_VALUE"""),"NO")</f>
        <v>NO</v>
      </c>
      <c r="AB117" s="6">
        <f>IFERROR(__xludf.DUMMYFUNCTION("""COMPUTED_VALUE"""),400.0)</f>
        <v>400</v>
      </c>
      <c r="AC117" s="6">
        <f>IFERROR(__xludf.DUMMYFUNCTION("""COMPUTED_VALUE"""),380.0)</f>
        <v>380</v>
      </c>
      <c r="AD117" s="6">
        <f>IFERROR(__xludf.DUMMYFUNCTION("""COMPUTED_VALUE"""),200.0)</f>
        <v>200</v>
      </c>
      <c r="AE117" s="6">
        <f>IFERROR(__xludf.DUMMYFUNCTION("""COMPUTED_VALUE"""),190.0)</f>
        <v>190</v>
      </c>
      <c r="AF117" s="6">
        <f>IFERROR(__xludf.DUMMYFUNCTION("""COMPUTED_VALUE"""),150.0)</f>
        <v>150</v>
      </c>
      <c r="AG117" s="5">
        <f>IFERROR(__xludf.DUMMYFUNCTION("""COMPUTED_VALUE"""),150.0)</f>
        <v>150</v>
      </c>
      <c r="AH117" s="5"/>
      <c r="AI117" s="5">
        <f>IFERROR(__xludf.DUMMYFUNCTION("""COMPUTED_VALUE"""),171.0)</f>
        <v>171</v>
      </c>
      <c r="AJ117" s="5">
        <f>IFERROR(__xludf.DUMMYFUNCTION("""COMPUTED_VALUE"""),180.0)</f>
        <v>180</v>
      </c>
      <c r="AK117" s="5" t="str">
        <f>IFERROR(__xludf.DUMMYFUNCTION("""COMPUTED_VALUE"""),"Todo gran profesional empieza dominando Excel Básico 📝
En pocas semanas aprenderás a manejar hojas de cálculo y análisis de datos de forma práctica 💼.
Aquí la información completa 👇🏻")</f>
        <v>Todo gran profesional empieza dominando Excel Básico 📝
En pocas semanas aprenderás a manejar hojas de cálculo y análisis de datos de forma práctica 💼.
Aquí la información completa 👇🏻</v>
      </c>
      <c r="AL117" s="5" t="str">
        <f>IFERROR(__xludf.DUMMYFUNCTION("""COMPUTED_VALUE"""),"🔑 *Excelente*, actualízate con *EXCEL BÁSICO* y mantente competitivo en el mercado laboral.")</f>
        <v>🔑 *Excelente*, actualízate con *EXCEL BÁSICO* y mantente competitivo en el mercado laboral.</v>
      </c>
      <c r="AM117" s="5" t="str">
        <f>IFERROR(__xludf.DUMMYFUNCTION("""COMPUTED_VALUE"""),"💼 Buenísimo, *EXCEL BÁSICO* es de las competencias más pedidas por las empresas y aumentará tus oportunidades laborales.")</f>
        <v>💼 Buenísimo, *EXCEL BÁSICO* es de las competencias más pedidas por las empresas y aumentará tus oportunidades laborales.</v>
      </c>
      <c r="AN117" s="5" t="str">
        <f>IFERROR(__xludf.DUMMYFUNCTION("""COMPUTED_VALUE"""),"⚡ ¡Genial! Con *EXCEL BÁSICO* sumarás una habilidad poderosa que te diferenciará desde la universidad.")</f>
        <v>⚡ ¡Genial! Con *EXCEL BÁSICO* sumarás una habilidad poderosa que te diferenciará desde la universidad.</v>
      </c>
      <c r="AO117" s="5" t="str">
        <f>IFERROR(__xludf.DUMMYFUNCTION("""COMPUTED_VALUE"""),"🎓 ¡Perfecto! Saber *EXCEL BÁSICO* te dará ventaja frente a otros postulantes para conseguir prácticas.")</f>
        <v>🎓 ¡Perfecto! Saber *EXCEL BÁSICO* te dará ventaja frente a otros postulantes para conseguir prácticas.</v>
      </c>
      <c r="AP117" s="5" t="str">
        <f>IFERROR(__xludf.DUMMYFUNCTION("""COMPUTED_VALUE"""),"🏆 ¡Excelente! Con *EXCEL BÁSICO* podrás aplicarlo en tu negocio y tomar decisiones más inteligentes.")</f>
        <v>🏆 ¡Excelente! Con *EXCEL BÁSICO* podrás aplicarlo en tu negocio y tomar decisiones más inteligentes.</v>
      </c>
      <c r="AQ117" s="9" t="str">
        <f>IFERROR(__xludf.DUMMYFUNCTION("""COMPUTED_VALUE"""),"https://we-educacion.com/slides/microsoft-excel-basico-221")</f>
        <v>https://we-educacion.com/slides/microsoft-excel-basico-221</v>
      </c>
      <c r="AR117" s="5">
        <v>1.0</v>
      </c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</row>
    <row r="118" ht="15.75" customHeight="1">
      <c r="A118" s="5" t="s">
        <v>160</v>
      </c>
      <c r="B118" s="5" t="str">
        <f t="shared" si="1"/>
        <v>DIC. I - ED25</v>
      </c>
      <c r="C118" s="6" t="str">
        <f>IFERROR(__xludf.DUMMYFUNCTION("""COMPUTED_VALUE"""),"BI")</f>
        <v>BI</v>
      </c>
      <c r="D118" s="5" t="str">
        <f>IFERROR(__xludf.DUMMYFUNCTION("""COMPUTED_VALUE"""),"CURSO")</f>
        <v>CURSO</v>
      </c>
      <c r="E118" s="6" t="str">
        <f>IFERROR(__xludf.DUMMYFUNCTION("""COMPUTED_VALUE"""),"PYTHON AVANZ.")</f>
        <v>PYTHON AVANZ.</v>
      </c>
      <c r="F118" s="7">
        <f>IFERROR(__xludf.DUMMYFUNCTION("""COMPUTED_VALUE"""),46005.0)</f>
        <v>46005</v>
      </c>
      <c r="G118" s="6"/>
      <c r="H118" s="7"/>
      <c r="I118" s="6"/>
      <c r="J118" s="7"/>
      <c r="K118" s="6"/>
      <c r="L118" s="7"/>
      <c r="M118" s="6"/>
      <c r="N118" s="7"/>
      <c r="O118" s="6"/>
      <c r="P118" s="7"/>
      <c r="Q118" s="6" t="str">
        <f>IFERROR(__xludf.DUMMYFUNCTION("""COMPUTED_VALUE"""),"Bryan Guerra
")</f>
        <v>Bryan Guerra
</v>
      </c>
      <c r="R118" s="5" t="str">
        <f>IFERROR(__xludf.DUMMYFUNCTION("""COMPUTED_VALUE"""),"Dom")</f>
        <v>Dom</v>
      </c>
      <c r="S118" s="6" t="str">
        <f>IFERROR(__xludf.DUMMYFUNCTION("""COMPUTED_VALUE"""),"9AM - 12PM")</f>
        <v>9AM - 12PM</v>
      </c>
      <c r="T118" s="7" t="str">
        <f>IFERROR(__xludf.DUMMYFUNCTION("""COMPUTED_VALUE"""),"Domingo 14 Diciembre")</f>
        <v>Domingo 14 Diciembre</v>
      </c>
      <c r="U118" s="7" t="str">
        <f>IFERROR(__xludf.DUMMYFUNCTION("""COMPUTED_VALUE"""),"Domingo 25 Enero")</f>
        <v>Domingo 25 Enero</v>
      </c>
      <c r="V118" s="8">
        <f>IFERROR(__xludf.DUMMYFUNCTION("""COMPUTED_VALUE"""),6.0)</f>
        <v>6</v>
      </c>
      <c r="W118" s="5" t="str">
        <f>IFERROR(__xludf.DUMMYFUNCTION("""COMPUTED_VALUE"""),"pdfs/BROCHURE PYTHON AVANZADO MACHINE LEARNING.pdf")</f>
        <v>pdfs/BROCHURE PYTHON AVANZADO MACHINE LEARNING.pdf</v>
      </c>
      <c r="X118" s="5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18" s="5" t="str">
        <f>IFERROR(__xludf.DUMMYFUNCTION("""COMPUTED_VALUE"""),"images/pythonavanz.jpg")</f>
        <v>images/pythonavanz.jpg</v>
      </c>
      <c r="Z118" s="5" t="str">
        <f>IFERROR(__xludf.DUMMYFUNCTION("""COMPUTED_VALUE"""),"Avalado por IBM® Partner World")</f>
        <v>Avalado por IBM® Partner World</v>
      </c>
      <c r="AA118" s="5" t="str">
        <f>IFERROR(__xludf.DUMMYFUNCTION("""COMPUTED_VALUE"""),"NO")</f>
        <v>NO</v>
      </c>
      <c r="AB118" s="6">
        <f>IFERROR(__xludf.DUMMYFUNCTION("""COMPUTED_VALUE"""),830.0)</f>
        <v>830</v>
      </c>
      <c r="AC118" s="6">
        <f>IFERROR(__xludf.DUMMYFUNCTION("""COMPUTED_VALUE"""),755.0)</f>
        <v>755</v>
      </c>
      <c r="AD118" s="6">
        <f>IFERROR(__xludf.DUMMYFUNCTION("""COMPUTED_VALUE"""),415.0)</f>
        <v>415</v>
      </c>
      <c r="AE118" s="6">
        <f>IFERROR(__xludf.DUMMYFUNCTION("""COMPUTED_VALUE"""),377.5)</f>
        <v>377.5</v>
      </c>
      <c r="AF118" s="6">
        <f>IFERROR(__xludf.DUMMYFUNCTION("""COMPUTED_VALUE"""),150.0)</f>
        <v>150</v>
      </c>
      <c r="AG118" s="5">
        <f>IFERROR(__xludf.DUMMYFUNCTION("""COMPUTED_VALUE"""),150.0)</f>
        <v>150</v>
      </c>
      <c r="AH118" s="5"/>
      <c r="AI118" s="5">
        <f>IFERROR(__xludf.DUMMYFUNCTION("""COMPUTED_VALUE"""),339.75)</f>
        <v>339.75</v>
      </c>
      <c r="AJ118" s="5">
        <f>IFERROR(__xludf.DUMMYFUNCTION("""COMPUTED_VALUE"""),373.5)</f>
        <v>373.5</v>
      </c>
      <c r="AK118" s="5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118" s="5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118" s="5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118" s="5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118" s="5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118" s="5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118" s="9" t="str">
        <f>IFERROR(__xludf.DUMMYFUNCTION("""COMPUTED_VALUE"""),"https://we-educacion.com/slides/python-avanzado-machine-learning-275")</f>
        <v>https://we-educacion.com/slides/python-avanzado-machine-learning-275</v>
      </c>
      <c r="AR118" s="5">
        <v>1.0</v>
      </c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</row>
    <row r="119" ht="15.75" customHeight="1">
      <c r="A119" s="5" t="s">
        <v>161</v>
      </c>
      <c r="B119" s="5" t="str">
        <f t="shared" si="1"/>
        <v>DIC. I - ED25</v>
      </c>
      <c r="C119" s="6" t="str">
        <f>IFERROR(__xludf.DUMMYFUNCTION("""COMPUTED_VALUE"""),"SAP")</f>
        <v>SAP</v>
      </c>
      <c r="D119" s="6" t="str">
        <f>IFERROR(__xludf.DUMMYFUNCTION("""COMPUTED_VALUE"""),"CURSO")</f>
        <v>CURSO</v>
      </c>
      <c r="E119" s="6" t="str">
        <f>IFERROR(__xludf.DUMMYFUNCTION("""COMPUTED_VALUE"""),"SAP HANA IN")</f>
        <v>SAP HANA IN</v>
      </c>
      <c r="F119" s="7">
        <f>IFERROR(__xludf.DUMMYFUNCTION("""COMPUTED_VALUE"""),46005.0)</f>
        <v>46005</v>
      </c>
      <c r="G119" s="6"/>
      <c r="H119" s="7"/>
      <c r="I119" s="6"/>
      <c r="J119" s="7"/>
      <c r="K119" s="6"/>
      <c r="L119" s="7"/>
      <c r="M119" s="6"/>
      <c r="N119" s="7"/>
      <c r="O119" s="6"/>
      <c r="P119" s="7"/>
      <c r="Q119" s="6" t="str">
        <f>IFERROR(__xludf.DUMMYFUNCTION("""COMPUTED_VALUE"""),"Carlos Espinoza")</f>
        <v>Carlos Espinoza</v>
      </c>
      <c r="R119" s="5" t="str">
        <f>IFERROR(__xludf.DUMMYFUNCTION("""COMPUTED_VALUE"""),"Dom")</f>
        <v>Dom</v>
      </c>
      <c r="S119" s="6" t="str">
        <f>IFERROR(__xludf.DUMMYFUNCTION("""COMPUTED_VALUE"""),"9AM - 12PM")</f>
        <v>9AM - 12PM</v>
      </c>
      <c r="T119" s="7" t="str">
        <f>IFERROR(__xludf.DUMMYFUNCTION("""COMPUTED_VALUE"""),"Domingo 14 Diciembre")</f>
        <v>Domingo 14 Diciembre</v>
      </c>
      <c r="U119" s="7" t="str">
        <f>IFERROR(__xludf.DUMMYFUNCTION("""COMPUTED_VALUE"""),"Domingo 18 Enero")</f>
        <v>Domingo 18 Enero</v>
      </c>
      <c r="V119" s="8">
        <f>IFERROR(__xludf.DUMMYFUNCTION("""COMPUTED_VALUE"""),6.0)</f>
        <v>6</v>
      </c>
      <c r="W119" s="5" t="str">
        <f>IFERROR(__xludf.DUMMYFUNCTION("""COMPUTED_VALUE"""),"pdfs/BROCHURE SAP S4 HANA IN.pdf")</f>
        <v>pdfs/BROCHURE SAP S4 HANA IN.pdf</v>
      </c>
      <c r="X119" s="5" t="str">
        <f>IFERROR(__xludf.DUMMYFUNCTION("""COMPUTED_VALUE"""),"🔵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revisa"&amp;"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119" s="5" t="str">
        <f>IFERROR(__xludf.DUMMYFUNCTION("""COMPUTED_VALUE"""),"images/sapin.jpg")</f>
        <v>images/sapin.jpg</v>
      </c>
      <c r="Z119" s="5" t="str">
        <f>IFERROR(__xludf.DUMMYFUNCTION("""COMPUTED_VALUE"""),"Avalado por SAP Partner Open")</f>
        <v>Avalado por SAP Partner Open</v>
      </c>
      <c r="AA119" s="5" t="str">
        <f>IFERROR(__xludf.DUMMYFUNCTION("""COMPUTED_VALUE"""),"NO")</f>
        <v>NO</v>
      </c>
      <c r="AB119" s="6">
        <f>IFERROR(__xludf.DUMMYFUNCTION("""COMPUTED_VALUE"""),950.0)</f>
        <v>950</v>
      </c>
      <c r="AC119" s="6">
        <f>IFERROR(__xludf.DUMMYFUNCTION("""COMPUTED_VALUE"""),820.0)</f>
        <v>820</v>
      </c>
      <c r="AD119" s="6">
        <f>IFERROR(__xludf.DUMMYFUNCTION("""COMPUTED_VALUE"""),475.0)</f>
        <v>475</v>
      </c>
      <c r="AE119" s="6">
        <f>IFERROR(__xludf.DUMMYFUNCTION("""COMPUTED_VALUE"""),410.0)</f>
        <v>410</v>
      </c>
      <c r="AF119" s="6">
        <f>IFERROR(__xludf.DUMMYFUNCTION("""COMPUTED_VALUE"""),150.0)</f>
        <v>150</v>
      </c>
      <c r="AG119" s="5">
        <f>IFERROR(__xludf.DUMMYFUNCTION("""COMPUTED_VALUE"""),150.0)</f>
        <v>150</v>
      </c>
      <c r="AH119" s="5"/>
      <c r="AI119" s="5">
        <f>IFERROR(__xludf.DUMMYFUNCTION("""COMPUTED_VALUE"""),369.0)</f>
        <v>369</v>
      </c>
      <c r="AJ119" s="5">
        <f>IFERROR(__xludf.DUMMYFUNCTION("""COMPUTED_VALUE"""),427.5)</f>
        <v>427.5</v>
      </c>
      <c r="AK119" s="5" t="str">
        <f>IFERROR(__xludf.DUMMYFUNCTION("""COMPUTED_VALUE"""),"La producción eficiente habla con SAP HANA IN ⚙️
Con este programa aprenderás a planificar, controlar y ejecutar procesos de manufactura en SAP 💼.
Aquí te comparto la info 👇🏻")</f>
        <v>La producción eficiente habla con SAP HANA IN ⚙️
Con este programa aprenderás a planificar, controlar y ejecutar procesos de manufactura en SAP 💼.
Aquí te comparto la info 👇🏻</v>
      </c>
      <c r="AL119" s="5" t="str">
        <f>IFERROR(__xludf.DUMMYFUNCTION("""COMPUTED_VALUE"""),"🏭 Excelente, actualízate con SAP IN y domina la gestión de inventarios.")</f>
        <v>🏭 Excelente, actualízate con SAP IN y domina la gestión de inventarios.</v>
      </c>
      <c r="AM119" s="5" t="str">
        <f>IFERROR(__xludf.DUMMYFUNCTION("""COMPUTED_VALUE"""),"💼 Buenísimo, SAP IN es muy requerido en empresas de manufactura y logística.")</f>
        <v>💼 Buenísimo, SAP IN es muy requerido en empresas de manufactura y logística.</v>
      </c>
      <c r="AN119" s="5" t="str">
        <f>IFERROR(__xludf.DUMMYFUNCTION("""COMPUTED_VALUE"""),"🎓 ¡Genial! Con SAP IN aprenderás gestión de inventarios desde la universidad.")</f>
        <v>🎓 ¡Genial! Con SAP IN aprenderás gestión de inventarios desde la universidad.</v>
      </c>
      <c r="AO119" s="5" t="str">
        <f>IFERROR(__xludf.DUMMYFUNCTION("""COMPUTED_VALUE"""),"🚀 ¡Perfecto! Con SAP IN tendrás ventaja en prácticas de gestión de operaciones.")</f>
        <v>🚀 ¡Perfecto! Con SAP IN tendrás ventaja en prácticas de gestión de operaciones.</v>
      </c>
      <c r="AP119" s="5" t="str">
        <f>IFERROR(__xludf.DUMMYFUNCTION("""COMPUTED_VALUE"""),"📊 ¡Excelente! Con SAP IN podrás controlar y optimizar inventarios en tu negocio.")</f>
        <v>📊 ¡Excelente! Con SAP IN podrás controlar y optimizar inventarios en tu negocio.</v>
      </c>
      <c r="AQ119" s="9" t="str">
        <f>IFERROR(__xludf.DUMMYFUNCTION("""COMPUTED_VALUE"""),"https://we-educacion.com/slides/sap-s-4-hana-in-mm-fi-pp-sd-51")</f>
        <v>https://we-educacion.com/slides/sap-s-4-hana-in-mm-fi-pp-sd-51</v>
      </c>
      <c r="AR119" s="5">
        <v>1.0</v>
      </c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</row>
    <row r="120" ht="15.75" customHeight="1">
      <c r="A120" s="5" t="s">
        <v>162</v>
      </c>
      <c r="B120" s="5" t="str">
        <f t="shared" si="1"/>
        <v>DIC. I - ED25</v>
      </c>
      <c r="C120" s="6" t="str">
        <f>IFERROR(__xludf.DUMMYFUNCTION("""COMPUTED_VALUE"""),"EXCEL")</f>
        <v>EXCEL</v>
      </c>
      <c r="D120" s="5" t="str">
        <f>IFERROR(__xludf.DUMMYFUNCTION("""COMPUTED_VALUE"""),"CURSO")</f>
        <v>CURSO</v>
      </c>
      <c r="E120" s="6" t="str">
        <f>IFERROR(__xludf.DUMMYFUNCTION("""COMPUTED_VALUE"""),"PROG. MACROS")</f>
        <v>PROG. MACROS</v>
      </c>
      <c r="F120" s="7">
        <f>IFERROR(__xludf.DUMMYFUNCTION("""COMPUTED_VALUE"""),46008.0)</f>
        <v>46008</v>
      </c>
      <c r="G120" s="6"/>
      <c r="H120" s="7"/>
      <c r="I120" s="6"/>
      <c r="J120" s="7"/>
      <c r="K120" s="6"/>
      <c r="L120" s="7"/>
      <c r="M120" s="6"/>
      <c r="N120" s="7"/>
      <c r="O120" s="6"/>
      <c r="P120" s="7"/>
      <c r="Q120" s="6" t="str">
        <f>IFERROR(__xludf.DUMMYFUNCTION("""COMPUTED_VALUE"""),"Julio Ccari")</f>
        <v>Julio Ccari</v>
      </c>
      <c r="R120" s="5" t="str">
        <f>IFERROR(__xludf.DUMMYFUNCTION("""COMPUTED_VALUE"""),"Lun-Mie")</f>
        <v>Lun-Mie</v>
      </c>
      <c r="S120" s="6" t="str">
        <f>IFERROR(__xludf.DUMMYFUNCTION("""COMPUTED_VALUE"""),"7PM - 10PM")</f>
        <v>7PM - 10PM</v>
      </c>
      <c r="T120" s="7" t="str">
        <f>IFERROR(__xludf.DUMMYFUNCTION("""COMPUTED_VALUE"""),"Miércoles 17 Diciembre")</f>
        <v>Miércoles 17 Diciembre</v>
      </c>
      <c r="U120" s="7" t="str">
        <f>IFERROR(__xludf.DUMMYFUNCTION("""COMPUTED_VALUE"""),"Lunes 12 Enero")</f>
        <v>Lunes 12 Enero</v>
      </c>
      <c r="V120" s="8">
        <f>IFERROR(__xludf.DUMMYFUNCTION("""COMPUTED_VALUE"""),6.0)</f>
        <v>6</v>
      </c>
      <c r="W120" s="5" t="str">
        <f>IFERROR(__xludf.DUMMYFUNCTION("""COMPUTED_VALUE"""),"pdfs/BROCHURE PROGRAMACION CON VBA MACROS.pdf")</f>
        <v>pdfs/BROCHURE PROGRAMACION CON VBA MACROS.pdf</v>
      </c>
      <c r="X120" s="5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20" s="5" t="str">
        <f>IFERROR(__xludf.DUMMYFUNCTION("""COMPUTED_VALUE"""),"images/macros.jpg")</f>
        <v>images/macros.jpg</v>
      </c>
      <c r="Z120" s="5" t="str">
        <f>IFERROR(__xludf.DUMMYFUNCTION("""COMPUTED_VALUE"""),"Avalado por Microsoft Partner Network")</f>
        <v>Avalado por Microsoft Partner Network</v>
      </c>
      <c r="AA120" s="5" t="str">
        <f>IFERROR(__xludf.DUMMYFUNCTION("""COMPUTED_VALUE"""),"NO")</f>
        <v>NO</v>
      </c>
      <c r="AB120" s="6">
        <f>IFERROR(__xludf.DUMMYFUNCTION("""COMPUTED_VALUE"""),470.0)</f>
        <v>470</v>
      </c>
      <c r="AC120" s="6">
        <f>IFERROR(__xludf.DUMMYFUNCTION("""COMPUTED_VALUE"""),440.0)</f>
        <v>440</v>
      </c>
      <c r="AD120" s="6">
        <f>IFERROR(__xludf.DUMMYFUNCTION("""COMPUTED_VALUE"""),235.0)</f>
        <v>235</v>
      </c>
      <c r="AE120" s="6">
        <f>IFERROR(__xludf.DUMMYFUNCTION("""COMPUTED_VALUE"""),220.0)</f>
        <v>220</v>
      </c>
      <c r="AF120" s="6">
        <f>IFERROR(__xludf.DUMMYFUNCTION("""COMPUTED_VALUE"""),150.0)</f>
        <v>150</v>
      </c>
      <c r="AG120" s="5">
        <f>IFERROR(__xludf.DUMMYFUNCTION("""COMPUTED_VALUE"""),150.0)</f>
        <v>150</v>
      </c>
      <c r="AH120" s="5"/>
      <c r="AI120" s="5">
        <f>IFERROR(__xludf.DUMMYFUNCTION("""COMPUTED_VALUE"""),198.0)</f>
        <v>198</v>
      </c>
      <c r="AJ120" s="5">
        <f>IFERROR(__xludf.DUMMYFUNCTION("""COMPUTED_VALUE"""),211.5)</f>
        <v>211.5</v>
      </c>
      <c r="AK120" s="5" t="str">
        <f>IFERROR(__xludf.DUMMYFUNCTION("""COMPUTED_VALUE"""),"El poder está en la automatización 📊
Con Programación en Macros aprenderás a optimizar procesos en Excel y ahorrar tiempo valioso ⏱️.
Aquí tienes la info 👇🏻")</f>
        <v>El poder está en la automatización 📊
Con Programación en Macros aprenderás a optimizar procesos en Excel y ahorrar tiempo valioso ⏱️.
Aquí tienes la info 👇🏻</v>
      </c>
      <c r="AL120" s="5" t="str">
        <f>IFERROR(__xludf.DUMMYFUNCTION("""COMPUTED_VALUE"""),"⚡ Excelente, actualízate con Macros en Excel y mejora tu productividad en el trabajo.")</f>
        <v>⚡ Excelente, actualízate con Macros en Excel y mejora tu productividad en el trabajo.</v>
      </c>
      <c r="AM120" s="5" t="str">
        <f>IFERROR(__xludf.DUMMYFUNCTION("""COMPUTED_VALUE"""),"💼 Buenísimo, dominar Macros es muy valorado en empresas para automatizar reportes.")</f>
        <v>💼 Buenísimo, dominar Macros es muy valorado en empresas para automatizar reportes.</v>
      </c>
      <c r="AN120" s="5" t="str">
        <f>IFERROR(__xludf.DUMMYFUNCTION("""COMPUTED_VALUE"""),"🎓 ¡Genial! Aprender Macros desde la universidad te hará más eficiente en proyectos académicos.")</f>
        <v>🎓 ¡Genial! Aprender Macros desde la universidad te hará más eficiente en proyectos académicos.</v>
      </c>
      <c r="AO120" s="5" t="str">
        <f>IFERROR(__xludf.DUMMYFUNCTION("""COMPUTED_VALUE"""),"🚀 ¡Perfecto! Con Macros podrás sobresalir en prácticas de áreas administrativas y financieras.")</f>
        <v>🚀 ¡Perfecto! Con Macros podrás sobresalir en prácticas de áreas administrativas y financieras.</v>
      </c>
      <c r="AP120" s="5" t="str">
        <f>IFERROR(__xludf.DUMMYFUNCTION("""COMPUTED_VALUE"""),"📊 ¡Excelente! Las Macros te permitirán ahorrar tiempo y optimizar tus procesos de negocio.")</f>
        <v>📊 ¡Excelente! Las Macros te permitirán ahorrar tiempo y optimizar tus procesos de negocio.</v>
      </c>
      <c r="AQ120" s="9" t="str">
        <f>IFERROR(__xludf.DUMMYFUNCTION("""COMPUTED_VALUE"""),"https://we-educacion.com/slides/programacion-con-vba-macros-en-excel-159")</f>
        <v>https://we-educacion.com/slides/programacion-con-vba-macros-en-excel-159</v>
      </c>
      <c r="AR120" s="5">
        <v>1.0</v>
      </c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</row>
    <row r="121" ht="15.75" customHeight="1">
      <c r="A121" s="5" t="s">
        <v>163</v>
      </c>
      <c r="B121" s="5" t="str">
        <f t="shared" si="1"/>
        <v>DIC. I - ED25</v>
      </c>
      <c r="C121" s="6" t="str">
        <f>IFERROR(__xludf.DUMMYFUNCTION("""COMPUTED_VALUE"""),"BI")</f>
        <v>BI</v>
      </c>
      <c r="D121" s="5" t="str">
        <f>IFERROR(__xludf.DUMMYFUNCTION("""COMPUTED_VALUE"""),"DIPLOMADO")</f>
        <v>DIPLOMADO</v>
      </c>
      <c r="E121" s="6" t="str">
        <f>IFERROR(__xludf.DUMMYFUNCTION("""COMPUTED_VALUE"""),"DIP INTELIG. Y ANALIST. DATOS V2")</f>
        <v>DIP INTELIG. Y ANALIST. DATOS V2</v>
      </c>
      <c r="F121" s="7">
        <f>IFERROR(__xludf.DUMMYFUNCTION("""COMPUTED_VALUE"""),46008.0)</f>
        <v>46008</v>
      </c>
      <c r="G121" s="6" t="str">
        <f>IFERROR(__xludf.DUMMYFUNCTION("""COMPUTED_VALUE"""),"DATA ANALYTICS")</f>
        <v>DATA ANALYTICS</v>
      </c>
      <c r="H121" s="7">
        <f>IFERROR(__xludf.DUMMYFUNCTION("""COMPUTED_VALUE"""),46008.0)</f>
        <v>46008</v>
      </c>
      <c r="I121" s="6" t="str">
        <f>IFERROR(__xludf.DUMMYFUNCTION("""COMPUTED_VALUE"""),"SQL SERVER")</f>
        <v>SQL SERVER</v>
      </c>
      <c r="J121" s="7">
        <f>IFERROR(__xludf.DUMMYFUNCTION("""COMPUTED_VALUE"""),46043.0)</f>
        <v>46043</v>
      </c>
      <c r="K121" s="6" t="str">
        <f>IFERROR(__xludf.DUMMYFUNCTION("""COMPUTED_VALUE"""),"POWER BI")</f>
        <v>POWER BI</v>
      </c>
      <c r="L121" s="7">
        <f>IFERROR(__xludf.DUMMYFUNCTION("""COMPUTED_VALUE"""),46071.0)</f>
        <v>46071</v>
      </c>
      <c r="M121" s="6" t="str">
        <f>IFERROR(__xludf.DUMMYFUNCTION("""COMPUTED_VALUE"""),"PYTHON. DATOS")</f>
        <v>PYTHON. DATOS</v>
      </c>
      <c r="N121" s="7">
        <f>IFERROR(__xludf.DUMMYFUNCTION("""COMPUTED_VALUE"""),46099.0)</f>
        <v>46099</v>
      </c>
      <c r="O121" s="6" t="str">
        <f>IFERROR(__xludf.DUMMYFUNCTION("""COMPUTED_VALUE"""),"PYTHON AVANZ.")</f>
        <v>PYTHON AVANZ.</v>
      </c>
      <c r="P121" s="7">
        <f>IFERROR(__xludf.DUMMYFUNCTION("""COMPUTED_VALUE"""),46127.0)</f>
        <v>46127</v>
      </c>
      <c r="Q121" s="6" t="str">
        <f>IFERROR(__xludf.DUMMYFUNCTION("""COMPUTED_VALUE"""),"Ana Lucia Palacios
David Llaja
Carlos De La Lama
Brigitt Ramirez
Briam Aguirre")</f>
        <v>Ana Lucia Palacios
David Llaja
Carlos De La Lama
Brigitt Ramirez
Briam Aguirre</v>
      </c>
      <c r="R121" s="5" t="str">
        <f>IFERROR(__xludf.DUMMYFUNCTION("""COMPUTED_VALUE"""),"Lun-Mie")</f>
        <v>Lun-Mie</v>
      </c>
      <c r="S121" s="6" t="str">
        <f>IFERROR(__xludf.DUMMYFUNCTION("""COMPUTED_VALUE"""),"7PM - 10PM")</f>
        <v>7PM - 10PM</v>
      </c>
      <c r="T121" s="7" t="str">
        <f>IFERROR(__xludf.DUMMYFUNCTION("""COMPUTED_VALUE"""),"Miércoles 17 Diciembre")</f>
        <v>Miércoles 17 Diciembre</v>
      </c>
      <c r="U121" s="7" t="str">
        <f>IFERROR(__xludf.DUMMYFUNCTION("""COMPUTED_VALUE"""),"Lunes 4 Mayo")</f>
        <v>Lunes 4 Mayo</v>
      </c>
      <c r="V121" s="8">
        <f>IFERROR(__xludf.DUMMYFUNCTION("""COMPUTED_VALUE"""),30.0)</f>
        <v>30</v>
      </c>
      <c r="W121" s="5" t="str">
        <f>IFERROR(__xludf.DUMMYFUNCTION("""COMPUTED_VALUE"""),"pdfs/BROCHURE DIPLOMADO INTELIGENCIA Y ANALISIS DE DATOS.pdf")</f>
        <v>pdfs/BROCHURE DIPLOMADO INTELIGENCIA Y ANALISIS DE DATOS.pdf</v>
      </c>
      <c r="X121" s="5" t="str">
        <f>IFERROR(__xludf.DUMMYFUNCTION("""COMPUTED_VALUE"""),"🔵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inf"&amp;"ormación completa del programa, el TEMARIO (malla curricular) y todos los BENEFICIOS 📚")</f>
        <v>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21" s="5" t="str">
        <f>IFERROR(__xludf.DUMMYFUNCTION("""COMPUTED_VALUE"""),"images/dipdatos.jpg")</f>
        <v>images/dipdatos.jpg</v>
      </c>
      <c r="Z121" s="5"/>
      <c r="AA121" s="5" t="str">
        <f>IFERROR(__xludf.DUMMYFUNCTION("""COMPUTED_VALUE"""),"NO")</f>
        <v>NO</v>
      </c>
      <c r="AB121" s="6">
        <f>IFERROR(__xludf.DUMMYFUNCTION("""COMPUTED_VALUE"""),3990.0)</f>
        <v>3990</v>
      </c>
      <c r="AC121" s="6">
        <f>IFERROR(__xludf.DUMMYFUNCTION("""COMPUTED_VALUE"""),3595.0)</f>
        <v>3595</v>
      </c>
      <c r="AD121" s="6">
        <f>IFERROR(__xludf.DUMMYFUNCTION("""COMPUTED_VALUE"""),1995.0)</f>
        <v>1995</v>
      </c>
      <c r="AE121" s="6">
        <f>IFERROR(__xludf.DUMMYFUNCTION("""COMPUTED_VALUE"""),1797.5)</f>
        <v>1797.5</v>
      </c>
      <c r="AF121" s="6">
        <f>IFERROR(__xludf.DUMMYFUNCTION("""COMPUTED_VALUE"""),250.0)</f>
        <v>250</v>
      </c>
      <c r="AG121" s="5">
        <f>IFERROR(__xludf.DUMMYFUNCTION("""COMPUTED_VALUE"""),350.0)</f>
        <v>350</v>
      </c>
      <c r="AH121" s="5"/>
      <c r="AI121" s="5">
        <f>IFERROR(__xludf.DUMMYFUNCTION("""COMPUTED_VALUE"""),1617.75)</f>
        <v>1617.75</v>
      </c>
      <c r="AJ121" s="5">
        <f>IFERROR(__xludf.DUMMYFUNCTION("""COMPUTED_VALUE"""),1795.5)</f>
        <v>1795.5</v>
      </c>
      <c r="AK121" s="5" t="str">
        <f>IFERROR(__xludf.DUMMYFUNCTION("""COMPUTED_VALUE"""),"Los datos son el nuevo petróleo ⛽
Conviértete en especialista en inteligencia de datos y analítica avanzada para la toma de decisiones estratégicas 📊
👉🏻 Te paso la información detallada.")</f>
        <v>Los datos son el nuevo petróleo ⛽
Conviértete en especialista en inteligencia de datos y analítica avanzada para la toma de decisiones estratégicas 📊
👉🏻 Te paso la información detallada.</v>
      </c>
      <c r="AL121" s="5" t="str">
        <f>IFERROR(__xludf.DUMMYFUNCTION("""COMPUTED_VALUE"""),"📊 Excelente, con el Diplomado en Análisis de Datos aprenderás a dominar BI y Big Data.")</f>
        <v>📊 Excelente, con el Diplomado en Análisis de Datos aprenderás a dominar BI y Big Data.</v>
      </c>
      <c r="AM121" s="5" t="str">
        <f>IFERROR(__xludf.DUMMYFUNCTION("""COMPUTED_VALUE"""),"💼 Súper, este Diplomado es clave para trabajar en áreas de inteligencia empresarial.")</f>
        <v>💼 Súper, este Diplomado es clave para trabajar en áreas de inteligencia empresarial.</v>
      </c>
      <c r="AN121" s="5" t="str">
        <f>IFERROR(__xludf.DUMMYFUNCTION("""COMPUTED_VALUE"""),"📚 ¡Genial! Desde la universidad, este Diplomado en Datos te dará un perfil altamente competitivo.")</f>
        <v>📚 ¡Genial! Desde la universidad, este Diplomado en Datos te dará un perfil altamente competitivo.</v>
      </c>
      <c r="AO121" s="5" t="str">
        <f>IFERROR(__xludf.DUMMYFUNCTION("""COMPUTED_VALUE"""),"🚀 ¡Perfecto! Con el Diplomado en Análisis de Datos tendrás ventaja en prácticas de tecnología.")</f>
        <v>🚀 ¡Perfecto! Con el Diplomado en Análisis de Datos tendrás ventaja en prácticas de tecnología.</v>
      </c>
      <c r="AP121" s="5" t="str">
        <f>IFERROR(__xludf.DUMMYFUNCTION("""COMPUTED_VALUE"""),"🤖 ¡Excelente! Lo aprendido te permitirá tomar decisiones estratégicas basadas en datos.")</f>
        <v>🤖 ¡Excelente! Lo aprendido te permitirá tomar decisiones estratégicas basadas en datos.</v>
      </c>
      <c r="AQ121" s="9" t="str">
        <f>IFERROR(__xludf.DUMMYFUNCTION("""COMPUTED_VALUE"""),"https://we-educacion.com/slides/diplomado-en-inteligencia-y-analisis-de-datos-261")</f>
        <v>https://we-educacion.com/slides/diplomado-en-inteligencia-y-analisis-de-datos-261</v>
      </c>
      <c r="AR121" s="5">
        <v>1.0</v>
      </c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</row>
    <row r="122" ht="15.75" customHeight="1">
      <c r="A122" s="5" t="s">
        <v>164</v>
      </c>
      <c r="B122" s="5" t="str">
        <f t="shared" si="1"/>
        <v>DIC. I - ED25</v>
      </c>
      <c r="C122" s="6" t="str">
        <f>IFERROR(__xludf.DUMMYFUNCTION("""COMPUTED_VALUE"""),"BI")</f>
        <v>BI</v>
      </c>
      <c r="D122" s="6" t="str">
        <f>IFERROR(__xludf.DUMMYFUNCTION("""COMPUTED_VALUE"""),"CURSO")</f>
        <v>CURSO</v>
      </c>
      <c r="E122" s="6" t="str">
        <f>IFERROR(__xludf.DUMMYFUNCTION("""COMPUTED_VALUE"""),"DATA ANALYTICS")</f>
        <v>DATA ANALYTICS</v>
      </c>
      <c r="F122" s="7">
        <f>IFERROR(__xludf.DUMMYFUNCTION("""COMPUTED_VALUE"""),46008.0)</f>
        <v>46008</v>
      </c>
      <c r="G122" s="6"/>
      <c r="H122" s="7"/>
      <c r="I122" s="6"/>
      <c r="J122" s="7"/>
      <c r="K122" s="6"/>
      <c r="L122" s="7"/>
      <c r="M122" s="6"/>
      <c r="N122" s="7"/>
      <c r="O122" s="6"/>
      <c r="P122" s="7"/>
      <c r="Q122" s="6" t="str">
        <f>IFERROR(__xludf.DUMMYFUNCTION("""COMPUTED_VALUE"""),"Ana Lucia Palacios")</f>
        <v>Ana Lucia Palacios</v>
      </c>
      <c r="R122" s="5" t="str">
        <f>IFERROR(__xludf.DUMMYFUNCTION("""COMPUTED_VALUE"""),"Lun-Mie")</f>
        <v>Lun-Mie</v>
      </c>
      <c r="S122" s="6" t="str">
        <f>IFERROR(__xludf.DUMMYFUNCTION("""COMPUTED_VALUE"""),"7PM - 10PM")</f>
        <v>7PM - 10PM</v>
      </c>
      <c r="T122" s="7" t="str">
        <f>IFERROR(__xludf.DUMMYFUNCTION("""COMPUTED_VALUE"""),"Miércoles 17 Diciembre")</f>
        <v>Miércoles 17 Diciembre</v>
      </c>
      <c r="U122" s="7" t="str">
        <f>IFERROR(__xludf.DUMMYFUNCTION("""COMPUTED_VALUE"""),"Lunes 12 Enero")</f>
        <v>Lunes 12 Enero</v>
      </c>
      <c r="V122" s="8">
        <f>IFERROR(__xludf.DUMMYFUNCTION("""COMPUTED_VALUE"""),6.0)</f>
        <v>6</v>
      </c>
      <c r="W122" s="5" t="str">
        <f>IFERROR(__xludf.DUMMYFUNCTION("""COMPUTED_VALUE"""),"pdfs/BROCHURE Data Analytics.pdf")</f>
        <v>pdfs/BROCHURE Data Analytics.pdf</v>
      </c>
      <c r="X122" s="5" t="str">
        <f>IFERROR(__xludf.DUMMYFUNCTION("""COMPUTED_VALUE"""),"🔵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programa"&amp;", el TEMARIO (malla curricular) y todos los BENEFICIOS 📚")</f>
        <v>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22" s="5" t="str">
        <f>IFERROR(__xludf.DUMMYFUNCTION("""COMPUTED_VALUE"""),"images/data.jpg")</f>
        <v>images/data.jpg</v>
      </c>
      <c r="Z122" s="5"/>
      <c r="AA122" s="5" t="str">
        <f>IFERROR(__xludf.DUMMYFUNCTION("""COMPUTED_VALUE"""),"NO")</f>
        <v>NO</v>
      </c>
      <c r="AB122" s="6">
        <f>IFERROR(__xludf.DUMMYFUNCTION("""COMPUTED_VALUE"""),820.0)</f>
        <v>820</v>
      </c>
      <c r="AC122" s="6">
        <f>IFERROR(__xludf.DUMMYFUNCTION("""COMPUTED_VALUE"""),760.0)</f>
        <v>760</v>
      </c>
      <c r="AD122" s="6">
        <f>IFERROR(__xludf.DUMMYFUNCTION("""COMPUTED_VALUE"""),410.0)</f>
        <v>410</v>
      </c>
      <c r="AE122" s="6">
        <f>IFERROR(__xludf.DUMMYFUNCTION("""COMPUTED_VALUE"""),380.0)</f>
        <v>380</v>
      </c>
      <c r="AF122" s="6">
        <f>IFERROR(__xludf.DUMMYFUNCTION("""COMPUTED_VALUE"""),150.0)</f>
        <v>150</v>
      </c>
      <c r="AG122" s="5">
        <f>IFERROR(__xludf.DUMMYFUNCTION("""COMPUTED_VALUE"""),150.0)</f>
        <v>150</v>
      </c>
      <c r="AH122" s="5"/>
      <c r="AI122" s="5">
        <f>IFERROR(__xludf.DUMMYFUNCTION("""COMPUTED_VALUE"""),342.0)</f>
        <v>342</v>
      </c>
      <c r="AJ122" s="5">
        <f>IFERROR(__xludf.DUMMYFUNCTION("""COMPUTED_VALUE"""),369.0)</f>
        <v>369</v>
      </c>
      <c r="AK122" s="5" t="str">
        <f>IFERROR(__xludf.DUMMYFUNCTION("""COMPUTED_VALUE"""),"📊 *Los datos son el nuevo motor de las empresas* 🚀
En pocas semanas aprenderás a analizar, interpretar y visualizar información con herramientas prácticas de Data Analytics, transformando datos en decisiones estratégicas 💡📈
Ahora te comparto la inform"&amp;"ación a detalle 👇🏻")</f>
        <v>📊 *Los datos son el nuevo motor de las empresas* 🚀
En pocas semanas aprenderás a analizar, interpretar y visualizar información con herramientas prácticas de Data Analytics, transformando datos en decisiones estratégicas 💡📈
Ahora te comparto la información a detalle 👇🏻</v>
      </c>
      <c r="AL122" s="5" t="str">
        <f>IFERROR(__xludf.DUMMYFUNCTION("""COMPUTED_VALUE"""),"🔑 *Excelente*, actualízate con *DATA ANALYTICS* y mantente competitivo en el mercado laboral.")</f>
        <v>🔑 *Excelente*, actualízate con *DATA ANALYTICS* y mantente competitivo en el mercado laboral.</v>
      </c>
      <c r="AM122" s="5" t="str">
        <f>IFERROR(__xludf.DUMMYFUNCTION("""COMPUTED_VALUE"""),"🛠️ Buenísimo, *DATA ANALYTICS* es de las competencias más pedidas por las empresas y aumentará tus oportunidades laborales.")</f>
        <v>🛠️ Buenísimo, *DATA ANALYTICS* es de las competencias más pedidas por las empresas y aumentará tus oportunidades laborales.</v>
      </c>
      <c r="AN122" s="5" t="str">
        <f>IFERROR(__xludf.DUMMYFUNCTION("""COMPUTED_VALUE"""),"📈 ¡Genial! Con *DATA ANALYTICS* sumarás una habilidad poderosa que te diferenciará desde la universidad.")</f>
        <v>📈 ¡Genial! Con *DATA ANALYTICS* sumarás una habilidad poderosa que te diferenciará desde la universidad.</v>
      </c>
      <c r="AO122" s="5" t="str">
        <f>IFERROR(__xludf.DUMMYFUNCTION("""COMPUTED_VALUE"""),"🌍 ¡Perfecto! Saber *DATA ANALYTICS* te dará ventaja frente a otros postulantes para conseguir prácticas.")</f>
        <v>🌍 ¡Perfecto! Saber *DATA ANALYTICS* te dará ventaja frente a otros postulantes para conseguir prácticas.</v>
      </c>
      <c r="AP122" s="5" t="str">
        <f>IFERROR(__xludf.DUMMYFUNCTION("""COMPUTED_VALUE"""),"🎓 ¡Excelente! Con *DATA ANALYTICS* podrás aplicarlo en tu negocio y tomar decisiones más inteligentes.")</f>
        <v>🎓 ¡Excelente! Con *DATA ANALYTICS* podrás aplicarlo en tu negocio y tomar decisiones más inteligentes.</v>
      </c>
      <c r="AQ122" s="9" t="str">
        <f>IFERROR(__xludf.DUMMYFUNCTION("""COMPUTED_VALUE"""),"https://we-educacion.com/slides/data-analytics-262")</f>
        <v>https://we-educacion.com/slides/data-analytics-262</v>
      </c>
      <c r="AR122" s="5">
        <v>1.0</v>
      </c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</row>
    <row r="123" ht="15.75" customHeight="1">
      <c r="A123" s="5" t="s">
        <v>165</v>
      </c>
      <c r="B123" s="5" t="str">
        <f t="shared" si="1"/>
        <v>DIC. I - ED25</v>
      </c>
      <c r="C123" s="6" t="str">
        <f>IFERROR(__xludf.DUMMYFUNCTION("""COMPUTED_VALUE"""),"LOGÍSTICA")</f>
        <v>LOGÍSTICA</v>
      </c>
      <c r="D123" s="6" t="str">
        <f>IFERROR(__xludf.DUMMYFUNCTION("""COMPUTED_VALUE"""),"PEE")</f>
        <v>PEE</v>
      </c>
      <c r="E123" s="6" t="str">
        <f>IFERROR(__xludf.DUMMYFUNCTION("""COMPUTED_VALUE"""),"PEE PLAN. DEMAN.")</f>
        <v>PEE PLAN. DEMAN.</v>
      </c>
      <c r="F123" s="7">
        <f>IFERROR(__xludf.DUMMYFUNCTION("""COMPUTED_VALUE"""),46009.0)</f>
        <v>46009</v>
      </c>
      <c r="G123" s="6" t="str">
        <f>IFERROR(__xludf.DUMMYFUNCTION("""COMPUTED_VALUE"""),"KPIS LOGÍSTICOS POWER BI")</f>
        <v>KPIS LOGÍSTICOS POWER BI</v>
      </c>
      <c r="H123" s="7">
        <f>IFERROR(__xludf.DUMMYFUNCTION("""COMPUTED_VALUE"""),46009.0)</f>
        <v>46009</v>
      </c>
      <c r="I123" s="6" t="str">
        <f>IFERROR(__xludf.DUMMYFUNCTION("""COMPUTED_VALUE"""),"SAP HANA MM")</f>
        <v>SAP HANA MM</v>
      </c>
      <c r="J123" s="7">
        <f>IFERROR(__xludf.DUMMYFUNCTION("""COMPUTED_VALUE"""),46044.0)</f>
        <v>46044</v>
      </c>
      <c r="K123" s="6" t="str">
        <f>IFERROR(__xludf.DUMMYFUNCTION("""COMPUTED_VALUE"""),"PLAN. Y PRONOSTICO V2")</f>
        <v>PLAN. Y PRONOSTICO V2</v>
      </c>
      <c r="L123" s="7">
        <f>IFERROR(__xludf.DUMMYFUNCTION("""COMPUTED_VALUE"""),46065.0)</f>
        <v>46065</v>
      </c>
      <c r="M123" s="6"/>
      <c r="N123" s="7"/>
      <c r="O123" s="6"/>
      <c r="P123" s="7"/>
      <c r="Q123" s="6" t="str">
        <f>IFERROR(__xludf.DUMMYFUNCTION("""COMPUTED_VALUE"""),"Franz Valdivia
Carlos Espinoza
Sylvia Rodas")</f>
        <v>Franz Valdivia
Carlos Espinoza
Sylvia Rodas</v>
      </c>
      <c r="R123" s="5" t="str">
        <f>IFERROR(__xludf.DUMMYFUNCTION("""COMPUTED_VALUE"""),"Mar-Jue")</f>
        <v>Mar-Jue</v>
      </c>
      <c r="S123" s="6" t="str">
        <f>IFERROR(__xludf.DUMMYFUNCTION("""COMPUTED_VALUE"""),"7PM - 10PM")</f>
        <v>7PM - 10PM</v>
      </c>
      <c r="T123" s="7" t="str">
        <f>IFERROR(__xludf.DUMMYFUNCTION("""COMPUTED_VALUE"""),"Jueves 18 Diciembre")</f>
        <v>Jueves 18 Diciembre</v>
      </c>
      <c r="U123" s="7" t="str">
        <f>IFERROR(__xludf.DUMMYFUNCTION("""COMPUTED_VALUE"""),"Martes 3 Marzo")</f>
        <v>Martes 3 Marzo</v>
      </c>
      <c r="V123" s="8">
        <f>IFERROR(__xludf.DUMMYFUNCTION("""COMPUTED_VALUE"""),17.0)</f>
        <v>17</v>
      </c>
      <c r="W123" s="5" t="str">
        <f>IFERROR(__xludf.DUMMYFUNCTION("""COMPUTED_VALUE"""),"pdfs/BROCHURE PEE PLANEAMIENTO DE LA DEMANDA.pdf")</f>
        <v>pdfs/BROCHURE PEE PLANEAMIENTO DE LA DEMANDA.pdf</v>
      </c>
      <c r="X123" s="5" t="str">
        <f>IFERROR(__xludf.DUMMYFUNCTION("""COMPUTED_VALUE"""),"🔵 Conoce TODOS los BENEFICIOS a los que accedes 
🔹 Acceso a Campus Virtual WE 👩🏻‍🏫
🔹 Material digital y grabación de clases 
🔹 Certificado por cada módulo &amp; Especialización
🔹 05 Cursos Online de regalo con acceso ilimitado 📚
🔹 Desarrollo y segu"&amp;"imiento de tu proyecto (Evaluado)
🔹 Garantía de Aprendizaje 100% 
🔹 Utilizarán SAP HANA y POWER BI 👩🏻‍💻
👉🏼 Incluye tutorial y manual de instalación
👉🏼 12 Meses de Servidor SAP
💻 Importante: Para la instalación se necesita una Laptop Windows
🚨"&amp;" Revisa el BROCHURE ")</f>
        <v>🔵 Conoce TODOS los BENEFICIOS a los que accedes 
🔹 Acceso a Campus Virtual WE 👩🏻‍🏫
🔹 Material digital y grabación de clases 
🔹 Certificado por cada módulo &amp; Especialización
🔹 05 Cursos Online de regalo con acceso ilimitado 📚
🔹 Desarrollo y seguimiento de tu proyecto (Evaluado)
🔹 Garantía de Aprendizaje 100% 
🔹 Utilizarán SAP HANA y POWER BI 👩🏻‍💻
👉🏼 Incluye tutorial y manual de instalación
👉🏼 12 Meses de Servidor SAP
💻 Importante: Para la instalación se necesita una Laptop Windows
🚨 Revisa el BROCHURE </v>
      </c>
      <c r="Y123" s="5"/>
      <c r="Z123" s="5"/>
      <c r="AA123" s="5"/>
      <c r="AB123" s="6">
        <f>IFERROR(__xludf.DUMMYFUNCTION("""COMPUTED_VALUE"""),2420.0)</f>
        <v>2420</v>
      </c>
      <c r="AC123" s="6">
        <f>IFERROR(__xludf.DUMMYFUNCTION("""COMPUTED_VALUE"""),2200.0)</f>
        <v>2200</v>
      </c>
      <c r="AD123" s="6">
        <f>IFERROR(__xludf.DUMMYFUNCTION("""COMPUTED_VALUE"""),1210.0)</f>
        <v>1210</v>
      </c>
      <c r="AE123" s="6">
        <f>IFERROR(__xludf.DUMMYFUNCTION("""COMPUTED_VALUE"""),1100.0)</f>
        <v>1100</v>
      </c>
      <c r="AF123" s="6">
        <f>IFERROR(__xludf.DUMMYFUNCTION("""COMPUTED_VALUE"""),250.0)</f>
        <v>250</v>
      </c>
      <c r="AG123" s="5">
        <f>IFERROR(__xludf.DUMMYFUNCTION("""COMPUTED_VALUE"""),350.0)</f>
        <v>350</v>
      </c>
      <c r="AH123" s="5"/>
      <c r="AI123" s="5">
        <f>IFERROR(__xludf.DUMMYFUNCTION("""COMPUTED_VALUE"""),990.0)</f>
        <v>990</v>
      </c>
      <c r="AJ123" s="5">
        <f>IFERROR(__xludf.DUMMYFUNCTION("""COMPUTED_VALUE"""),1089.0)</f>
        <v>1089</v>
      </c>
      <c r="AK123" s="5" t="str">
        <f>IFERROR(__xludf.DUMMYFUNCTION("""COMPUTED_VALUE"""),"El lenguaje de las empresas competitivas es *anticiparse al mercado* 🚀
En pocas semanas desarrollarás habilidades en *planeamiento de la demanda*, con enfoque práctico, aplicable y casos reales del sector 🧳.
Ahora te adjunto la información a detalle 👇"&amp;"🏻")</f>
        <v>El lenguaje de las empresas competitivas es *anticiparse al mercado* 🚀
En pocas semanas desarrollarás habilidades en *planeamiento de la demanda*, con enfoque práctico, aplicable y casos reales del sector 🧳.
Ahora te adjunto la información a detalle 👇🏻</v>
      </c>
      <c r="AL123" s="5" t="str">
        <f>IFERROR(__xludf.DUMMYFUNCTION("""COMPUTED_VALUE"""),"Excelente, este *PEE* te ayudará a mantenerte competitivo y aplicar las últimas metodologías en *planeamiento de la demanda*. 🙌🏼")</f>
        <v>Excelente, este *PEE* te ayudará a mantenerte competitivo y aplicar las últimas metodologías en *planeamiento de la demanda*. 🙌🏼</v>
      </c>
      <c r="AM123" s="5" t="str">
        <f>IFERROR(__xludf.DUMMYFUNCTION("""COMPUTED_VALUE"""),"Buenísimo, especializarte en planeamiento de la demanda te dará *un plus en tu CV* y más oportunidades laborales. 🧳")</f>
        <v>Buenísimo, especializarte en planeamiento de la demanda te dará *un plus en tu CV* y más oportunidades laborales. 🧳</v>
      </c>
      <c r="AN123" s="5" t="str">
        <f>IFERROR(__xludf.DUMMYFUNCTION("""COMPUTED_VALUE"""),"¡Excelente!, podrás complementar lo que ves en la universidad con enfoques prácticos y aplicables en gestión de la demanda, y así destacar tu *Perfil Profesional* 🚀")</f>
        <v>¡Excelente!, podrás complementar lo que ves en la universidad con enfoques prácticos y aplicables en gestión de la demanda, y así destacar tu *Perfil Profesional* 🚀</v>
      </c>
      <c r="AO123" s="5" t="str">
        <f>IFERROR(__xludf.DUMMYFUNCTION("""COMPUTED_VALUE"""),"¡Perfecto!, el *planeamiento de la demanda* es muy valorado por las empresas y te hará destacar al postular a prácticas o roles de mayor responsabilidad. 🧳")</f>
        <v>¡Perfecto!, el *planeamiento de la demanda* es muy valorado por las empresas y te hará destacar al postular a prácticas o roles de mayor responsabilidad. 🧳</v>
      </c>
      <c r="AP123" s="5" t="str">
        <f>IFERROR(__xludf.DUMMYFUNCTION("""COMPUTED_VALUE"""),"¡Excelente!, con *planeamiento de la demanda* podrás anticipar escenarios y tomar decisiones más estratégicas para el negocio 🚀")</f>
        <v>¡Excelente!, con *planeamiento de la demanda* podrás anticipar escenarios y tomar decisiones más estratégicas para el negocio 🚀</v>
      </c>
      <c r="AQ123" s="9" t="str">
        <f>IFERROR(__xludf.DUMMYFUNCTION("""COMPUTED_VALUE"""),"https://we-educacion.com/slides/pee-planeamiento-de-la-demanda-110")</f>
        <v>https://we-educacion.com/slides/pee-planeamiento-de-la-demanda-110</v>
      </c>
      <c r="AR123" s="5">
        <v>1.0</v>
      </c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</row>
    <row r="124" ht="15.75" customHeight="1">
      <c r="A124" s="5" t="s">
        <v>166</v>
      </c>
      <c r="B124" s="5" t="str">
        <f t="shared" si="1"/>
        <v>DIC. I - ED25</v>
      </c>
      <c r="C124" s="6" t="str">
        <f>IFERROR(__xludf.DUMMYFUNCTION("""COMPUTED_VALUE"""),"LOGÍSTICA")</f>
        <v>LOGÍSTICA</v>
      </c>
      <c r="D124" s="6" t="str">
        <f>IFERROR(__xludf.DUMMYFUNCTION("""COMPUTED_VALUE"""),"CURSO")</f>
        <v>CURSO</v>
      </c>
      <c r="E124" s="6" t="str">
        <f>IFERROR(__xludf.DUMMYFUNCTION("""COMPUTED_VALUE"""),"KPIS LOGÍSTICOS POWER BI")</f>
        <v>KPIS LOGÍSTICOS POWER BI</v>
      </c>
      <c r="F124" s="7">
        <f>IFERROR(__xludf.DUMMYFUNCTION("""COMPUTED_VALUE"""),46009.0)</f>
        <v>46009</v>
      </c>
      <c r="G124" s="6"/>
      <c r="H124" s="7"/>
      <c r="I124" s="6"/>
      <c r="J124" s="7"/>
      <c r="K124" s="6"/>
      <c r="L124" s="7"/>
      <c r="M124" s="6"/>
      <c r="N124" s="7"/>
      <c r="O124" s="6"/>
      <c r="P124" s="7"/>
      <c r="Q124" s="6" t="str">
        <f>IFERROR(__xludf.DUMMYFUNCTION("""COMPUTED_VALUE"""),"Franz Valdivia
")</f>
        <v>Franz Valdivia
</v>
      </c>
      <c r="R124" s="5" t="str">
        <f>IFERROR(__xludf.DUMMYFUNCTION("""COMPUTED_VALUE"""),"Mar-Jue")</f>
        <v>Mar-Jue</v>
      </c>
      <c r="S124" s="6" t="str">
        <f>IFERROR(__xludf.DUMMYFUNCTION("""COMPUTED_VALUE"""),"7PM - 10PM")</f>
        <v>7PM - 10PM</v>
      </c>
      <c r="T124" s="7" t="str">
        <f>IFERROR(__xludf.DUMMYFUNCTION("""COMPUTED_VALUE"""),"Jueves 18 Diciembre")</f>
        <v>Jueves 18 Diciembre</v>
      </c>
      <c r="U124" s="7" t="str">
        <f>IFERROR(__xludf.DUMMYFUNCTION("""COMPUTED_VALUE"""),"Martes 13 Enero")</f>
        <v>Martes 13 Enero</v>
      </c>
      <c r="V124" s="8">
        <f>IFERROR(__xludf.DUMMYFUNCTION("""COMPUTED_VALUE"""),6.0)</f>
        <v>6</v>
      </c>
      <c r="W124" s="5" t="str">
        <f>IFERROR(__xludf.DUMMYFUNCTION("""COMPUTED_VALUE"""),"pdfs/BROCHURE KPIS LOGISTICOS CON POWER BI.pdf")</f>
        <v>pdfs/BROCHURE KPIS LOGISTICOS CON POWER BI.pdf</v>
      </c>
      <c r="X124" s="6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*Necesitas tener conocimientos en POWER BI* 👩🏻‍💻
👉🏼 ¡Te regalamos el Curso Online Certificado!
👉🏼 Incluye tutorial y manual de instalación
🚨 *Revisa el BROCHURE* 👇🏻")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*Necesitas tener conocimientos en POWER BI* 👩🏻‍💻
👉🏼 ¡Te regalamos el Curso Online Certificado!
👉🏼 Incluye tutorial y manual de instalación
🚨 *Revisa el BROCHURE* 👇🏻</v>
      </c>
      <c r="Y124" s="5"/>
      <c r="Z124" s="5" t="str">
        <f>IFERROR(__xludf.DUMMYFUNCTION("""COMPUTED_VALUE"""),"Avalado por Microsoft Partner Network")</f>
        <v>Avalado por Microsoft Partner Network</v>
      </c>
      <c r="AA124" s="5" t="str">
        <f>IFERROR(__xludf.DUMMYFUNCTION("""COMPUTED_VALUE"""),"SI")</f>
        <v>SI</v>
      </c>
      <c r="AB124" s="6">
        <f>IFERROR(__xludf.DUMMYFUNCTION("""COMPUTED_VALUE"""),640.0)</f>
        <v>640</v>
      </c>
      <c r="AC124" s="6">
        <f>IFERROR(__xludf.DUMMYFUNCTION("""COMPUTED_VALUE"""),610.0)</f>
        <v>610</v>
      </c>
      <c r="AD124" s="6">
        <f>IFERROR(__xludf.DUMMYFUNCTION("""COMPUTED_VALUE"""),320.0)</f>
        <v>320</v>
      </c>
      <c r="AE124" s="6">
        <f>IFERROR(__xludf.DUMMYFUNCTION("""COMPUTED_VALUE"""),305.0)</f>
        <v>305</v>
      </c>
      <c r="AF124" s="6">
        <f>IFERROR(__xludf.DUMMYFUNCTION("""COMPUTED_VALUE"""),150.0)</f>
        <v>150</v>
      </c>
      <c r="AG124" s="6">
        <f>IFERROR(__xludf.DUMMYFUNCTION("""COMPUTED_VALUE"""),150.0)</f>
        <v>150</v>
      </c>
      <c r="AH124" s="6"/>
      <c r="AI124" s="5">
        <f>IFERROR(__xludf.DUMMYFUNCTION("""COMPUTED_VALUE"""),274.5)</f>
        <v>274.5</v>
      </c>
      <c r="AJ124" s="5">
        <f>IFERROR(__xludf.DUMMYFUNCTION("""COMPUTED_VALUE"""),288.0)</f>
        <v>288</v>
      </c>
      <c r="AK124" s="5" t="str">
        <f>IFERROR(__xludf.DUMMYFUNCTION("""COMPUTED_VALUE"""),"La logística inteligente se mide con indicadores estratégicos 📦
Con KPIs Logísticos en Power BI aprenderás a visualizar y analizar datos logísticos en dashboards de alto impacto 🚛.
Aquí tienes la info 👇🏻")</f>
        <v>La logística inteligente se mide con indicadores estratégicos 📦
Con KPIs Logísticos en Power BI aprenderás a visualizar y analizar datos logísticos en dashboards de alto impacto 🚛.
Aquí tienes la info 👇🏻</v>
      </c>
      <c r="AL124" s="5" t="str">
        <f>IFERROR(__xludf.DUMMYFUNCTION("""COMPUTED_VALUE"""),"🌍 *Excelente*, actualízate con *KPIS LOGÍSTICOS POWER BI* y mantente competitivo en el mercado laboral.")</f>
        <v>🌍 *Excelente*, actualízate con *KPIS LOGÍSTICOS POWER BI* y mantente competitivo en el mercado laboral.</v>
      </c>
      <c r="AM124" s="5" t="str">
        <f>IFERROR(__xludf.DUMMYFUNCTION("""COMPUTED_VALUE"""),"🎓 Buenísimo, *KPIS LOGÍSTICOS POWER BI* es de las competencias más pedidas por las empresas y aumentará tus oportunidades laborales.")</f>
        <v>🎓 Buenísimo, *KPIS LOGÍSTICOS POWER BI* es de las competencias más pedidas por las empresas y aumentará tus oportunidades laborales.</v>
      </c>
      <c r="AN124" s="5" t="str">
        <f>IFERROR(__xludf.DUMMYFUNCTION("""COMPUTED_VALUE"""),"📈 ¡Genial! Con *KPIS LOGÍSTICOS POWER BI* sumarás una habilidad poderosa que te diferenciará desde la universidad.")</f>
        <v>📈 ¡Genial! Con *KPIS LOGÍSTICOS POWER BI* sumarás una habilidad poderosa que te diferenciará desde la universidad.</v>
      </c>
      <c r="AO124" s="5" t="str">
        <f>IFERROR(__xludf.DUMMYFUNCTION("""COMPUTED_VALUE"""),"✨ ¡Perfecto! Saber *KPIS LOGÍSTICOS POWER BI* te dará ventaja frente a otros postulantes para conseguir prácticas.")</f>
        <v>✨ ¡Perfecto! Saber *KPIS LOGÍSTICOS POWER BI* te dará ventaja frente a otros postulantes para conseguir prácticas.</v>
      </c>
      <c r="AP124" s="5" t="str">
        <f>IFERROR(__xludf.DUMMYFUNCTION("""COMPUTED_VALUE"""),"🎓 ¡Excelente! Con *KPIS LOGÍSTICOS POWER BI* podrás aplicarlo en tu negocio y tomar decisiones más inteligentes.")</f>
        <v>🎓 ¡Excelente! Con *KPIS LOGÍSTICOS POWER BI* podrás aplicarlo en tu negocio y tomar decisiones más inteligentes.</v>
      </c>
      <c r="AQ124" s="9" t="str">
        <f>IFERROR(__xludf.DUMMYFUNCTION("""COMPUTED_VALUE"""),"https://we-educacion.com/slides/kpi-s-logisticos-con-power-bi-271")</f>
        <v>https://we-educacion.com/slides/kpi-s-logisticos-con-power-bi-271</v>
      </c>
      <c r="AR124" s="5">
        <v>1.0</v>
      </c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</row>
    <row r="125" ht="15.75" customHeight="1">
      <c r="A125" s="5" t="s">
        <v>167</v>
      </c>
      <c r="B125" s="5" t="str">
        <f t="shared" si="1"/>
        <v>DIC. I - ED25</v>
      </c>
      <c r="C125" s="6" t="str">
        <f>IFERROR(__xludf.DUMMYFUNCTION("""COMPUTED_VALUE"""),"PROCESOS")</f>
        <v>PROCESOS</v>
      </c>
      <c r="D125" s="5" t="str">
        <f>IFERROR(__xludf.DUMMYFUNCTION("""COMPUTED_VALUE"""),"ESP.")</f>
        <v>ESP.</v>
      </c>
      <c r="E125" s="6" t="str">
        <f>IFERROR(__xludf.DUMMYFUNCTION("""COMPUTED_VALUE"""),"ESP. POWER APPS Y AUT.")</f>
        <v>ESP. POWER APPS Y AUT.</v>
      </c>
      <c r="F125" s="7">
        <f>IFERROR(__xludf.DUMMYFUNCTION("""COMPUTED_VALUE"""),46009.0)</f>
        <v>46009</v>
      </c>
      <c r="G125" s="6" t="str">
        <f>IFERROR(__xludf.DUMMYFUNCTION("""COMPUTED_VALUE"""),"POWER APPS Y AUT.")</f>
        <v>POWER APPS Y AUT.</v>
      </c>
      <c r="H125" s="7">
        <f>IFERROR(__xludf.DUMMYFUNCTION("""COMPUTED_VALUE"""),46009.0)</f>
        <v>46009</v>
      </c>
      <c r="I125" s="6" t="str">
        <f>IFERROR(__xludf.DUMMYFUNCTION("""COMPUTED_VALUE"""),"POWER APPS AVANZ")</f>
        <v>POWER APPS AVANZ</v>
      </c>
      <c r="J125" s="7">
        <f>IFERROR(__xludf.DUMMYFUNCTION("""COMPUTED_VALUE"""),46044.0)</f>
        <v>46044</v>
      </c>
      <c r="K125" s="6"/>
      <c r="L125" s="7"/>
      <c r="M125" s="6"/>
      <c r="N125" s="7"/>
      <c r="O125" s="6"/>
      <c r="P125" s="7"/>
      <c r="Q125" s="6" t="str">
        <f>IFERROR(__xludf.DUMMYFUNCTION("""COMPUTED_VALUE"""),"Cristian Raymondi
Bjnik Cruz")</f>
        <v>Cristian Raymondi
Bjnik Cruz</v>
      </c>
      <c r="R125" s="5" t="str">
        <f>IFERROR(__xludf.DUMMYFUNCTION("""COMPUTED_VALUE"""),"Mar-Jue")</f>
        <v>Mar-Jue</v>
      </c>
      <c r="S125" s="6" t="str">
        <f>IFERROR(__xludf.DUMMYFUNCTION("""COMPUTED_VALUE"""),"7PM - 10PM")</f>
        <v>7PM - 10PM</v>
      </c>
      <c r="T125" s="7" t="str">
        <f>IFERROR(__xludf.DUMMYFUNCTION("""COMPUTED_VALUE"""),"Jueves 18 Diciembre")</f>
        <v>Jueves 18 Diciembre</v>
      </c>
      <c r="U125" s="7" t="str">
        <f>IFERROR(__xludf.DUMMYFUNCTION("""COMPUTED_VALUE"""),"Martes 10 Febrero")</f>
        <v>Martes 10 Febrero</v>
      </c>
      <c r="V125" s="8">
        <f>IFERROR(__xludf.DUMMYFUNCTION("""COMPUTED_VALUE"""),12.0)</f>
        <v>12</v>
      </c>
      <c r="W125" s="5" t="str">
        <f>IFERROR(__xludf.DUMMYFUNCTION("""COMPUTED_VALUE"""),"pdfs/BROCHURE ESPECIALIZACION DE POWER APSS Y POWER AUTOMATE")</f>
        <v>pdfs/BROCHURE ESPECIALIZACION DE POWER APSS Y POWER AUTOMATE</v>
      </c>
      <c r="X125" s="5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125" s="5" t="str">
        <f>IFERROR(__xludf.DUMMYFUNCTION("""COMPUTED_VALUE"""),"images/esppowerapp.jpg")</f>
        <v>images/esppowerapp.jpg</v>
      </c>
      <c r="Z125" s="5" t="str">
        <f>IFERROR(__xludf.DUMMYFUNCTION("""COMPUTED_VALUE"""),"Avalado por Microsoft Partner Network")</f>
        <v>Avalado por Microsoft Partner Network</v>
      </c>
      <c r="AA125" s="5" t="str">
        <f>IFERROR(__xludf.DUMMYFUNCTION("""COMPUTED_VALUE"""),"NO")</f>
        <v>NO</v>
      </c>
      <c r="AB125" s="6">
        <f>IFERROR(__xludf.DUMMYFUNCTION("""COMPUTED_VALUE"""),1300.0)</f>
        <v>1300</v>
      </c>
      <c r="AC125" s="6">
        <f>IFERROR(__xludf.DUMMYFUNCTION("""COMPUTED_VALUE"""),1140.0)</f>
        <v>1140</v>
      </c>
      <c r="AD125" s="6">
        <f>IFERROR(__xludf.DUMMYFUNCTION("""COMPUTED_VALUE"""),650.0)</f>
        <v>650</v>
      </c>
      <c r="AE125" s="6">
        <f>IFERROR(__xludf.DUMMYFUNCTION("""COMPUTED_VALUE"""),570.0)</f>
        <v>570</v>
      </c>
      <c r="AF125" s="6">
        <f>IFERROR(__xludf.DUMMYFUNCTION("""COMPUTED_VALUE"""),250.0)</f>
        <v>250</v>
      </c>
      <c r="AG125" s="5">
        <f>IFERROR(__xludf.DUMMYFUNCTION("""COMPUTED_VALUE"""),350.0)</f>
        <v>350</v>
      </c>
      <c r="AH125" s="5"/>
      <c r="AI125" s="5">
        <f>IFERROR(__xludf.DUMMYFUNCTION("""COMPUTED_VALUE"""),513.0)</f>
        <v>513</v>
      </c>
      <c r="AJ125" s="5">
        <f>IFERROR(__xludf.DUMMYFUNCTION("""COMPUTED_VALUE"""),585.0)</f>
        <v>585</v>
      </c>
      <c r="AK125" s="5" t="str">
        <f>IFERROR(__xludf.DUMMYFUNCTION("""COMPUTED_VALUE"""),"La transformación digital está en tus manos 📲
Domina Power Apps y Power Automate para crear soluciones ágiles sin necesidad de programar 🤖
👉🏻 Te paso la información.")</f>
        <v>La transformación digital está en tus manos 📲
Domina Power Apps y Power Automate para crear soluciones ágiles sin necesidad de programar 🤖
👉🏻 Te paso la información.</v>
      </c>
      <c r="AL125" s="5" t="str">
        <f>IFERROR(__xludf.DUMMYFUNCTION("""COMPUTED_VALUE"""),"⚡ Excelente, actualízate en Power Apps y Automatización y crea soluciones innovadoras.")</f>
        <v>⚡ Excelente, actualízate en Power Apps y Automatización y crea soluciones innovadoras.</v>
      </c>
      <c r="AM125" s="5" t="str">
        <f>IFERROR(__xludf.DUMMYFUNCTION("""COMPUTED_VALUE"""),"🚀 Buenísimo, empresas buscan expertos en digitalización de procesos.")</f>
        <v>🚀 Buenísimo, empresas buscan expertos en digitalización de procesos.</v>
      </c>
      <c r="AN125" s="5" t="str">
        <f>IFERROR(__xludf.DUMMYFUNCTION("""COMPUTED_VALUE"""),"💡 Genial, estas herramientas harán tu perfil altamente competitivo.")</f>
        <v>💡 Genial, estas herramientas harán tu perfil altamente competitivo.</v>
      </c>
      <c r="AO125" s="5" t="str">
        <f>IFERROR(__xludf.DUMMYFUNCTION("""COMPUTED_VALUE"""),"📋 Perfecto, tendrás ventaja inmediata en prácticas de automatización.")</f>
        <v>📋 Perfecto, tendrás ventaja inmediata en prácticas de automatización.</v>
      </c>
      <c r="AP125" s="5" t="str">
        <f>IFERROR(__xludf.DUMMYFUNCTION("""COMPUTED_VALUE"""),"📊 Excelente, podrás crear apps propias y automatizar tu negocio.")</f>
        <v>📊 Excelente, podrás crear apps propias y automatizar tu negocio.</v>
      </c>
      <c r="AQ125" s="9" t="str">
        <f>IFERROR(__xludf.DUMMYFUNCTION("""COMPUTED_VALUE"""),"https://we-educacion.com/slides/especializacion-en-power-apps-automate-1113")</f>
        <v>https://we-educacion.com/slides/especializacion-en-power-apps-automate-1113</v>
      </c>
      <c r="AR125" s="5">
        <v>1.0</v>
      </c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</row>
    <row r="126" ht="15.75" customHeight="1">
      <c r="A126" s="5" t="s">
        <v>168</v>
      </c>
      <c r="B126" s="5" t="str">
        <f t="shared" si="1"/>
        <v>DIC. I - ED25</v>
      </c>
      <c r="C126" s="6" t="str">
        <f>IFERROR(__xludf.DUMMYFUNCTION("""COMPUTED_VALUE"""),"PROCESOS")</f>
        <v>PROCESOS</v>
      </c>
      <c r="D126" s="5" t="str">
        <f>IFERROR(__xludf.DUMMYFUNCTION("""COMPUTED_VALUE"""),"CURSO")</f>
        <v>CURSO</v>
      </c>
      <c r="E126" s="6" t="str">
        <f>IFERROR(__xludf.DUMMYFUNCTION("""COMPUTED_VALUE"""),"POWER APPS Y AUT.")</f>
        <v>POWER APPS Y AUT.</v>
      </c>
      <c r="F126" s="7">
        <f>IFERROR(__xludf.DUMMYFUNCTION("""COMPUTED_VALUE"""),46009.0)</f>
        <v>46009</v>
      </c>
      <c r="G126" s="6"/>
      <c r="H126" s="7"/>
      <c r="I126" s="6"/>
      <c r="J126" s="7"/>
      <c r="K126" s="6"/>
      <c r="L126" s="7"/>
      <c r="M126" s="6"/>
      <c r="N126" s="7"/>
      <c r="O126" s="6"/>
      <c r="P126" s="7"/>
      <c r="Q126" s="6" t="str">
        <f>IFERROR(__xludf.DUMMYFUNCTION("""COMPUTED_VALUE"""),"Cristian Raymondi
")</f>
        <v>Cristian Raymondi
</v>
      </c>
      <c r="R126" s="5" t="str">
        <f>IFERROR(__xludf.DUMMYFUNCTION("""COMPUTED_VALUE"""),"Mar-Jue")</f>
        <v>Mar-Jue</v>
      </c>
      <c r="S126" s="6" t="str">
        <f>IFERROR(__xludf.DUMMYFUNCTION("""COMPUTED_VALUE"""),"7PM - 10PM")</f>
        <v>7PM - 10PM</v>
      </c>
      <c r="T126" s="7" t="str">
        <f>IFERROR(__xludf.DUMMYFUNCTION("""COMPUTED_VALUE"""),"Jueves 18 Diciembre")</f>
        <v>Jueves 18 Diciembre</v>
      </c>
      <c r="U126" s="7" t="str">
        <f>IFERROR(__xludf.DUMMYFUNCTION("""COMPUTED_VALUE"""),"Martes 13 Enero")</f>
        <v>Martes 13 Enero</v>
      </c>
      <c r="V126" s="8">
        <f>IFERROR(__xludf.DUMMYFUNCTION("""COMPUTED_VALUE"""),6.0)</f>
        <v>6</v>
      </c>
      <c r="W126" s="5" t="str">
        <f>IFERROR(__xludf.DUMMYFUNCTION("""COMPUTED_VALUE"""),"pdfs/BROCHURE POWER APPS &amp; AUTOMATE.pdf")</f>
        <v>pdfs/BROCHURE POWER APPS &amp; AUTOMATE.pdf</v>
      </c>
      <c r="X126" s="5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126" s="5" t="str">
        <f>IFERROR(__xludf.DUMMYFUNCTION("""COMPUTED_VALUE"""),"images/powerapp.jpg")</f>
        <v>images/powerapp.jpg</v>
      </c>
      <c r="Z126" s="5" t="str">
        <f>IFERROR(__xludf.DUMMYFUNCTION("""COMPUTED_VALUE"""),"Avalado por Microsoft Partner Network")</f>
        <v>Avalado por Microsoft Partner Network</v>
      </c>
      <c r="AA126" s="5" t="str">
        <f>IFERROR(__xludf.DUMMYFUNCTION("""COMPUTED_VALUE"""),"NO")</f>
        <v>NO</v>
      </c>
      <c r="AB126" s="6">
        <f>IFERROR(__xludf.DUMMYFUNCTION("""COMPUTED_VALUE"""),650.0)</f>
        <v>650</v>
      </c>
      <c r="AC126" s="6">
        <f>IFERROR(__xludf.DUMMYFUNCTION("""COMPUTED_VALUE"""),570.0)</f>
        <v>570</v>
      </c>
      <c r="AD126" s="6">
        <f>IFERROR(__xludf.DUMMYFUNCTION("""COMPUTED_VALUE"""),325.0)</f>
        <v>325</v>
      </c>
      <c r="AE126" s="6">
        <f>IFERROR(__xludf.DUMMYFUNCTION("""COMPUTED_VALUE"""),285.0)</f>
        <v>285</v>
      </c>
      <c r="AF126" s="6">
        <f>IFERROR(__xludf.DUMMYFUNCTION("""COMPUTED_VALUE"""),150.0)</f>
        <v>150</v>
      </c>
      <c r="AG126" s="5">
        <f>IFERROR(__xludf.DUMMYFUNCTION("""COMPUTED_VALUE"""),150.0)</f>
        <v>150</v>
      </c>
      <c r="AH126" s="5"/>
      <c r="AI126" s="5">
        <f>IFERROR(__xludf.DUMMYFUNCTION("""COMPUTED_VALUE"""),256.5)</f>
        <v>256.5</v>
      </c>
      <c r="AJ126" s="5">
        <f>IFERROR(__xludf.DUMMYFUNCTION("""COMPUTED_VALUE"""),292.5)</f>
        <v>292.5</v>
      </c>
      <c r="AK126" s="5" t="str">
        <f>IFERROR(__xludf.DUMMYFUNCTION("""COMPUTED_VALUE"""),"Los líderes modernos impulsan la eficiencia con automatización inteligente 🤖
Con este programa dominarás Power Apps y Power Automate para transformar procesos empresariales 🚀.
Aquí la info completa 👇🏻")</f>
        <v>Los líderes modernos impulsan la eficiencia con automatización inteligente 🤖
Con este programa dominarás Power Apps y Power Automate para transformar procesos empresariales 🚀.
Aquí la info completa 👇🏻</v>
      </c>
      <c r="AL126" s="5" t="str">
        <f>IFERROR(__xludf.DUMMYFUNCTION("""COMPUTED_VALUE"""),"⚡ Excelente, actualízate con Power Apps y Automatización, la clave para transformar procesos digitales.")</f>
        <v>⚡ Excelente, actualízate con Power Apps y Automatización, la clave para transformar procesos digitales.</v>
      </c>
      <c r="AM126" s="5" t="str">
        <f>IFERROR(__xludf.DUMMYFUNCTION("""COMPUTED_VALUE"""),"💼 Buenísimo, Power Apps y Automatización es muy demandado en empresas que buscan eficiencia.")</f>
        <v>💼 Buenísimo, Power Apps y Automatización es muy demandado en empresas que buscan eficiencia.</v>
      </c>
      <c r="AN126" s="5" t="str">
        <f>IFERROR(__xludf.DUMMYFUNCTION("""COMPUTED_VALUE"""),"🎓 ¡Genial! Aprender automatización desde la universidad te dará una gran ventaja en el futuro.")</f>
        <v>🎓 ¡Genial! Aprender automatización desde la universidad te dará una gran ventaja en el futuro.</v>
      </c>
      <c r="AO126" s="5" t="str">
        <f>IFERROR(__xludf.DUMMYFUNCTION("""COMPUTED_VALUE"""),"🚀 ¡Perfecto! Con Power Apps y Automatización destacarás en prácticas en áreas de innovación.")</f>
        <v>🚀 ¡Perfecto! Con Power Apps y Automatización destacarás en prácticas en áreas de innovación.</v>
      </c>
      <c r="AP126" s="5" t="str">
        <f>IFERROR(__xludf.DUMMYFUNCTION("""COMPUTED_VALUE"""),"📊 ¡Excelente! Podrás crear soluciones automáticas para tu negocio y optimizar tu tiempo.")</f>
        <v>📊 ¡Excelente! Podrás crear soluciones automáticas para tu negocio y optimizar tu tiempo.</v>
      </c>
      <c r="AQ126" s="9" t="str">
        <f>IFERROR(__xludf.DUMMYFUNCTION("""COMPUTED_VALUE"""),"https://we-educacion.com/slides/power-apps-automate-1073")</f>
        <v>https://we-educacion.com/slides/power-apps-automate-1073</v>
      </c>
      <c r="AR126" s="5">
        <v>1.0</v>
      </c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</row>
    <row r="127" ht="15.75" customHeight="1">
      <c r="A127" s="5" t="s">
        <v>169</v>
      </c>
      <c r="B127" s="5" t="str">
        <f t="shared" si="1"/>
        <v>DIC. I - ED25</v>
      </c>
      <c r="C127" s="6" t="str">
        <f>IFERROR(__xludf.DUMMYFUNCTION("""COMPUTED_VALUE"""),"EXCEL")</f>
        <v>EXCEL</v>
      </c>
      <c r="D127" s="5" t="str">
        <f>IFERROR(__xludf.DUMMYFUNCTION("""COMPUTED_VALUE"""),"CURSO")</f>
        <v>CURSO</v>
      </c>
      <c r="E127" s="6" t="str">
        <f>IFERROR(__xludf.DUMMYFUNCTION("""COMPUTED_VALUE"""),"EXCEL INTERM")</f>
        <v>EXCEL INTERM</v>
      </c>
      <c r="F127" s="7">
        <f>IFERROR(__xludf.DUMMYFUNCTION("""COMPUTED_VALUE"""),46011.0)</f>
        <v>46011</v>
      </c>
      <c r="G127" s="6"/>
      <c r="H127" s="7"/>
      <c r="I127" s="6"/>
      <c r="J127" s="7"/>
      <c r="K127" s="6"/>
      <c r="L127" s="7"/>
      <c r="M127" s="6"/>
      <c r="N127" s="7"/>
      <c r="O127" s="6"/>
      <c r="P127" s="7"/>
      <c r="Q127" s="6" t="str">
        <f>IFERROR(__xludf.DUMMYFUNCTION("""COMPUTED_VALUE"""),"Jonathan Sanchez")</f>
        <v>Jonathan Sanchez</v>
      </c>
      <c r="R127" s="5" t="str">
        <f>IFERROR(__xludf.DUMMYFUNCTION("""COMPUTED_VALUE"""),"Sáb")</f>
        <v>Sáb</v>
      </c>
      <c r="S127" s="6" t="str">
        <f>IFERROR(__xludf.DUMMYFUNCTION("""COMPUTED_VALUE"""),"3PM - 6PM")</f>
        <v>3PM - 6PM</v>
      </c>
      <c r="T127" s="7" t="str">
        <f>IFERROR(__xludf.DUMMYFUNCTION("""COMPUTED_VALUE"""),"Sábado 20 Diciembre")</f>
        <v>Sábado 20 Diciembre</v>
      </c>
      <c r="U127" s="7" t="str">
        <f>IFERROR(__xludf.DUMMYFUNCTION("""COMPUTED_VALUE"""),"Sábado 24 Enero")</f>
        <v>Sábado 24 Enero</v>
      </c>
      <c r="V127" s="8">
        <f>IFERROR(__xludf.DUMMYFUNCTION("""COMPUTED_VALUE"""),6.0)</f>
        <v>6</v>
      </c>
      <c r="W127" s="5" t="str">
        <f>IFERROR(__xludf.DUMMYFUNCTION("""COMPUTED_VALUE"""),"pdfs/BROCHURE EXCEL INTERMEDIO.pdf")</f>
        <v>pdfs/BROCHURE EXCEL INTERMEDIO.pdf</v>
      </c>
      <c r="X127" s="5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27" s="5" t="str">
        <f>IFERROR(__xludf.DUMMYFUNCTION("""COMPUTED_VALUE"""),"images/excelinterm.jpg")</f>
        <v>images/excelinterm.jpg</v>
      </c>
      <c r="Z127" s="5" t="str">
        <f>IFERROR(__xludf.DUMMYFUNCTION("""COMPUTED_VALUE"""),"Avalado por Microsoft Partner Network")</f>
        <v>Avalado por Microsoft Partner Network</v>
      </c>
      <c r="AA127" s="5" t="str">
        <f>IFERROR(__xludf.DUMMYFUNCTION("""COMPUTED_VALUE"""),"NO")</f>
        <v>NO</v>
      </c>
      <c r="AB127" s="6">
        <f>IFERROR(__xludf.DUMMYFUNCTION("""COMPUTED_VALUE"""),420.0)</f>
        <v>420</v>
      </c>
      <c r="AC127" s="6">
        <f>IFERROR(__xludf.DUMMYFUNCTION("""COMPUTED_VALUE"""),400.0)</f>
        <v>400</v>
      </c>
      <c r="AD127" s="6">
        <f>IFERROR(__xludf.DUMMYFUNCTION("""COMPUTED_VALUE"""),210.0)</f>
        <v>210</v>
      </c>
      <c r="AE127" s="6">
        <f>IFERROR(__xludf.DUMMYFUNCTION("""COMPUTED_VALUE"""),200.0)</f>
        <v>200</v>
      </c>
      <c r="AF127" s="6">
        <f>IFERROR(__xludf.DUMMYFUNCTION("""COMPUTED_VALUE"""),150.0)</f>
        <v>150</v>
      </c>
      <c r="AG127" s="5">
        <f>IFERROR(__xludf.DUMMYFUNCTION("""COMPUTED_VALUE"""),150.0)</f>
        <v>150</v>
      </c>
      <c r="AH127" s="5"/>
      <c r="AI127" s="5">
        <f>IFERROR(__xludf.DUMMYFUNCTION("""COMPUTED_VALUE"""),180.0)</f>
        <v>180</v>
      </c>
      <c r="AJ127" s="5">
        <f>IFERROR(__xludf.DUMMYFUNCTION("""COMPUTED_VALUE"""),189.0)</f>
        <v>189</v>
      </c>
      <c r="AK127" s="5" t="str">
        <f>IFERROR(__xludf.DUMMYFUNCTION("""COMPUTED_VALUE"""),"El siguiente paso en tu crecimiento es Excel Intermedio 🚀
Consolidarás fórmulas, tablas y reportes aplicables en entornos reales de trabajo 💻.
Aquí tienes la info 👇🏻")</f>
        <v>El siguiente paso en tu crecimiento es Excel Intermedio 🚀
Consolidarás fórmulas, tablas y reportes aplicables en entornos reales de trabajo 💻.
Aquí tienes la info 👇🏻</v>
      </c>
      <c r="AL127" s="5" t="str">
        <f>IFERROR(__xludf.DUMMYFUNCTION("""COMPUTED_VALUE"""),"💼 *Excelente*, actualízate con *EXCEL INTERM* y mantente competitivo en el mercado laboral.")</f>
        <v>💼 *Excelente*, actualízate con *EXCEL INTERM* y mantente competitivo en el mercado laboral.</v>
      </c>
      <c r="AM127" s="5" t="str">
        <f>IFERROR(__xludf.DUMMYFUNCTION("""COMPUTED_VALUE"""),"📘 Buenísimo, *EXCEL INTERM* es de las competencias más pedidas por las empresas y aumentará tus oportunidades laborales.")</f>
        <v>📘 Buenísimo, *EXCEL INTERM* es de las competencias más pedidas por las empresas y aumentará tus oportunidades laborales.</v>
      </c>
      <c r="AN127" s="5" t="str">
        <f>IFERROR(__xludf.DUMMYFUNCTION("""COMPUTED_VALUE"""),"🔑 ¡Genial! Con *EXCEL INTERM* sumarás una habilidad poderosa que te diferenciará desde la universidad.")</f>
        <v>🔑 ¡Genial! Con *EXCEL INTERM* sumarás una habilidad poderosa que te diferenciará desde la universidad.</v>
      </c>
      <c r="AO127" s="5" t="str">
        <f>IFERROR(__xludf.DUMMYFUNCTION("""COMPUTED_VALUE"""),"🔑 ¡Perfecto! Saber *EXCEL INTERM* te dará ventaja frente a otros postulantes para conseguir prácticas.")</f>
        <v>🔑 ¡Perfecto! Saber *EXCEL INTERM* te dará ventaja frente a otros postulantes para conseguir prácticas.</v>
      </c>
      <c r="AP127" s="5" t="str">
        <f>IFERROR(__xludf.DUMMYFUNCTION("""COMPUTED_VALUE"""),"✨ ¡Excelente! Con *EXCEL INTERM* podrás aplicarlo en tu negocio y tomar decisiones más inteligentes.")</f>
        <v>✨ ¡Excelente! Con *EXCEL INTERM* podrás aplicarlo en tu negocio y tomar decisiones más inteligentes.</v>
      </c>
      <c r="AQ127" s="9" t="str">
        <f>IFERROR(__xludf.DUMMYFUNCTION("""COMPUTED_VALUE"""),"https://we-educacion.com/slides/microsoft-excel-intermedio-82")</f>
        <v>https://we-educacion.com/slides/microsoft-excel-intermedio-82</v>
      </c>
      <c r="AR127" s="5">
        <v>1.0</v>
      </c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</row>
    <row r="128" ht="15.75" customHeight="1">
      <c r="A128" s="5" t="s">
        <v>170</v>
      </c>
      <c r="B128" s="5" t="str">
        <f t="shared" si="1"/>
        <v>DIC. I - ED25</v>
      </c>
      <c r="C128" s="6" t="str">
        <f>IFERROR(__xludf.DUMMYFUNCTION("""COMPUTED_VALUE"""),"SAP")</f>
        <v>SAP</v>
      </c>
      <c r="D128" s="6" t="str">
        <f>IFERROR(__xludf.DUMMYFUNCTION("""COMPUTED_VALUE"""),"ESP.")</f>
        <v>ESP.</v>
      </c>
      <c r="E128" s="6" t="str">
        <f>IFERROR(__xludf.DUMMYFUNCTION("""COMPUTED_VALUE"""),"ESPEC.SAP HANA")</f>
        <v>ESPEC.SAP HANA</v>
      </c>
      <c r="F128" s="7">
        <f>IFERROR(__xludf.DUMMYFUNCTION("""COMPUTED_VALUE"""),46011.0)</f>
        <v>46011</v>
      </c>
      <c r="G128" s="6" t="str">
        <f>IFERROR(__xludf.DUMMYFUNCTION("""COMPUTED_VALUE"""),"SAP HANA MM")</f>
        <v>SAP HANA MM</v>
      </c>
      <c r="H128" s="7">
        <f>IFERROR(__xludf.DUMMYFUNCTION("""COMPUTED_VALUE"""),46011.0)</f>
        <v>46011</v>
      </c>
      <c r="I128" s="6" t="str">
        <f>IFERROR(__xludf.DUMMYFUNCTION("""COMPUTED_VALUE"""),"SAP HANA PP")</f>
        <v>SAP HANA PP</v>
      </c>
      <c r="J128" s="7">
        <f>IFERROR(__xludf.DUMMYFUNCTION("""COMPUTED_VALUE"""),46074.0)</f>
        <v>46074</v>
      </c>
      <c r="K128" s="6" t="str">
        <f>IFERROR(__xludf.DUMMYFUNCTION("""COMPUTED_VALUE"""),"SAP HANA FI")</f>
        <v>SAP HANA FI</v>
      </c>
      <c r="L128" s="7">
        <f>IFERROR(__xludf.DUMMYFUNCTION("""COMPUTED_VALUE"""),46116.0)</f>
        <v>46116</v>
      </c>
      <c r="M128" s="6"/>
      <c r="N128" s="7"/>
      <c r="O128" s="6"/>
      <c r="P128" s="7"/>
      <c r="Q128" s="6" t="str">
        <f>IFERROR(__xludf.DUMMYFUNCTION("""COMPUTED_VALUE"""),"David Romero
Cesar Escarcena
Indira Carhuas")</f>
        <v>David Romero
Cesar Escarcena
Indira Carhuas</v>
      </c>
      <c r="R128" s="5" t="str">
        <f>IFERROR(__xludf.DUMMYFUNCTION("""COMPUTED_VALUE"""),"Sáb")</f>
        <v>Sáb</v>
      </c>
      <c r="S128" s="6" t="str">
        <f>IFERROR(__xludf.DUMMYFUNCTION("""COMPUTED_VALUE"""),"3PM - 6PM")</f>
        <v>3PM - 6PM</v>
      </c>
      <c r="T128" s="7" t="str">
        <f>IFERROR(__xludf.DUMMYFUNCTION("""COMPUTED_VALUE"""),"Sábado 20 Diciembre")</f>
        <v>Sábado 20 Diciembre</v>
      </c>
      <c r="U128" s="7" t="str">
        <f>IFERROR(__xludf.DUMMYFUNCTION("""COMPUTED_VALUE"""),"Sábado 9 Mayo")</f>
        <v>Sábado 9 Mayo</v>
      </c>
      <c r="V128" s="8">
        <f>IFERROR(__xludf.DUMMYFUNCTION("""COMPUTED_VALUE"""),18.0)</f>
        <v>18</v>
      </c>
      <c r="W128" s="5" t="str">
        <f>IFERROR(__xludf.DUMMYFUNCTION("""COMPUTED_VALUE"""),"pdfs/BROCHURE ESPECIALIZACION DE SAP HANA.pdf")</f>
        <v>pdfs/BROCHURE ESPECIALIZACION DE SAP HANA.pdf</v>
      </c>
      <c r="X128" s="5" t="str">
        <f>IFERROR(__xludf.DUMMYFUNCTION("""COMPUTED_VALUE"""),"🔵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ne"&amp;"cesita una Laptop *Windows*_
🚨 *Por favor, revisa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*Por favor, revisa el BROCHURE* 👇🏻
Aqui encontrarás la información completa del programa, el TEMARIO (malla curricular) y todos los BENEFICIOS 📚</v>
      </c>
      <c r="Y128" s="5" t="str">
        <f>IFERROR(__xludf.DUMMYFUNCTION("""COMPUTED_VALUE"""),"images/espsap.jpg")</f>
        <v>images/espsap.jpg</v>
      </c>
      <c r="Z128" s="5" t="str">
        <f>IFERROR(__xludf.DUMMYFUNCTION("""COMPUTED_VALUE"""),"Avalado por SAP Partner Open")</f>
        <v>Avalado por SAP Partner Open</v>
      </c>
      <c r="AA128" s="5" t="str">
        <f>IFERROR(__xludf.DUMMYFUNCTION("""COMPUTED_VALUE"""),"NO")</f>
        <v>NO</v>
      </c>
      <c r="AB128" s="6">
        <f>IFERROR(__xludf.DUMMYFUNCTION("""COMPUTED_VALUE"""),1900.0)</f>
        <v>1900</v>
      </c>
      <c r="AC128" s="6">
        <f>IFERROR(__xludf.DUMMYFUNCTION("""COMPUTED_VALUE"""),1750.0)</f>
        <v>1750</v>
      </c>
      <c r="AD128" s="6">
        <f>IFERROR(__xludf.DUMMYFUNCTION("""COMPUTED_VALUE"""),950.0)</f>
        <v>950</v>
      </c>
      <c r="AE128" s="6">
        <f>IFERROR(__xludf.DUMMYFUNCTION("""COMPUTED_VALUE"""),875.0)</f>
        <v>875</v>
      </c>
      <c r="AF128" s="6">
        <f>IFERROR(__xludf.DUMMYFUNCTION("""COMPUTED_VALUE"""),250.0)</f>
        <v>250</v>
      </c>
      <c r="AG128" s="6">
        <f>IFERROR(__xludf.DUMMYFUNCTION("""COMPUTED_VALUE"""),350.0)</f>
        <v>350</v>
      </c>
      <c r="AH128" s="6"/>
      <c r="AI128" s="5">
        <f>IFERROR(__xludf.DUMMYFUNCTION("""COMPUTED_VALUE"""),787.5)</f>
        <v>787.5</v>
      </c>
      <c r="AJ128" s="5">
        <f>IFERROR(__xludf.DUMMYFUNCTION("""COMPUTED_VALUE"""),855.0)</f>
        <v>855</v>
      </c>
      <c r="AK128" s="5" t="str">
        <f>IFERROR(__xludf.DUMMYFUNCTION("""COMPUTED_VALUE"""),"El futuro de SAP está en HANA ⚡
Aprende a manejar esta plataforma de alto rendimiento para impulsar la transformación digital 🌐
👉🏻 Aquí tienes la información.")</f>
        <v>El futuro de SAP está en HANA ⚡
Aprende a manejar esta plataforma de alto rendimiento para impulsar la transformación digital 🌐
👉🏻 Aquí tienes la información.</v>
      </c>
      <c r="AL128" s="5" t="str">
        <f>IFERROR(__xludf.DUMMYFUNCTION("""COMPUTED_VALUE"""),"⚡ Excelente, actualízate en SAP HANA, la base de datos más avanzada del mercado.")</f>
        <v>⚡ Excelente, actualízate en SAP HANA, la base de datos más avanzada del mercado.</v>
      </c>
      <c r="AM128" s="5" t="str">
        <f>IFERROR(__xludf.DUMMYFUNCTION("""COMPUTED_VALUE"""),"🏢 Buenísimo, muy buscado en proyectos de transformación digital empresarial.")</f>
        <v>🏢 Buenísimo, muy buscado en proyectos de transformación digital empresarial.</v>
      </c>
      <c r="AN128" s="5" t="str">
        <f>IFERROR(__xludf.DUMMYFUNCTION("""COMPUTED_VALUE"""),"📊 Genial, te dará un perfil competitivo en gestión de plataformas corporativas.")</f>
        <v>📊 Genial, te dará un perfil competitivo en gestión de plataformas corporativas.</v>
      </c>
      <c r="AO128" s="5" t="str">
        <f>IFERROR(__xludf.DUMMYFUNCTION("""COMPUTED_VALUE"""),"🚀 Perfecto, será tu ventaja en prácticas de sistemas y TI.")</f>
        <v>🚀 Perfecto, será tu ventaja en prácticas de sistemas y TI.</v>
      </c>
      <c r="AP128" s="5" t="str">
        <f>IFERROR(__xludf.DUMMYFUNCTION("""COMPUTED_VALUE"""),"📈 Excelente, podrás optimizar el análisis de tu propia información como independiente.")</f>
        <v>📈 Excelente, podrás optimizar el análisis de tu propia información como independiente.</v>
      </c>
      <c r="AQ128" s="9" t="str">
        <f>IFERROR(__xludf.DUMMYFUNCTION("""COMPUTED_VALUE"""),"https://we-educacion.com/slides/especializacion-en-sap-s-4-hana-501")</f>
        <v>https://we-educacion.com/slides/especializacion-en-sap-s-4-hana-501</v>
      </c>
      <c r="AR128" s="5">
        <v>1.0</v>
      </c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</row>
    <row r="129" ht="15.75" customHeight="1">
      <c r="A129" s="5" t="s">
        <v>171</v>
      </c>
      <c r="B129" s="5" t="str">
        <f t="shared" si="1"/>
        <v>DIC. I - ED25</v>
      </c>
      <c r="C129" s="6" t="str">
        <f>IFERROR(__xludf.DUMMYFUNCTION("""COMPUTED_VALUE"""),"SAP")</f>
        <v>SAP</v>
      </c>
      <c r="D129" s="5" t="str">
        <f>IFERROR(__xludf.DUMMYFUNCTION("""COMPUTED_VALUE"""),"ESP.")</f>
        <v>ESP.</v>
      </c>
      <c r="E129" s="6" t="str">
        <f>IFERROR(__xludf.DUMMYFUNCTION("""COMPUTED_VALUE"""),"ESP. SAP MINERÍA")</f>
        <v>ESP. SAP MINERÍA</v>
      </c>
      <c r="F129" s="7">
        <f>IFERROR(__xludf.DUMMYFUNCTION("""COMPUTED_VALUE"""),46011.0)</f>
        <v>46011</v>
      </c>
      <c r="G129" s="6" t="str">
        <f>IFERROR(__xludf.DUMMYFUNCTION("""COMPUTED_VALUE"""),"SAP HANA MM")</f>
        <v>SAP HANA MM</v>
      </c>
      <c r="H129" s="7">
        <f>IFERROR(__xludf.DUMMYFUNCTION("""COMPUTED_VALUE"""),46011.0)</f>
        <v>46011</v>
      </c>
      <c r="I129" s="6" t="str">
        <f>IFERROR(__xludf.DUMMYFUNCTION("""COMPUTED_VALUE"""),"SAP HANA PP")</f>
        <v>SAP HANA PP</v>
      </c>
      <c r="J129" s="7">
        <f>IFERROR(__xludf.DUMMYFUNCTION("""COMPUTED_VALUE"""),46074.0)</f>
        <v>46074</v>
      </c>
      <c r="K129" s="6" t="str">
        <f>IFERROR(__xludf.DUMMYFUNCTION("""COMPUTED_VALUE"""),"SAP HANA PM")</f>
        <v>SAP HANA PM</v>
      </c>
      <c r="L129" s="7">
        <f>IFERROR(__xludf.DUMMYFUNCTION("""COMPUTED_VALUE"""),46116.0)</f>
        <v>46116</v>
      </c>
      <c r="M129" s="6"/>
      <c r="N129" s="7"/>
      <c r="O129" s="6"/>
      <c r="P129" s="7"/>
      <c r="Q129" s="6" t="str">
        <f>IFERROR(__xludf.DUMMYFUNCTION("""COMPUTED_VALUE"""),"Carlos Espinoza
Andy Leyton
David Gonzales")</f>
        <v>Carlos Espinoza
Andy Leyton
David Gonzales</v>
      </c>
      <c r="R129" s="5" t="str">
        <f>IFERROR(__xludf.DUMMYFUNCTION("""COMPUTED_VALUE"""),"Sáb")</f>
        <v>Sáb</v>
      </c>
      <c r="S129" s="6" t="str">
        <f>IFERROR(__xludf.DUMMYFUNCTION("""COMPUTED_VALUE"""),"3PM - 6PM")</f>
        <v>3PM - 6PM</v>
      </c>
      <c r="T129" s="7" t="str">
        <f>IFERROR(__xludf.DUMMYFUNCTION("""COMPUTED_VALUE"""),"Sábado 20 Diciembre")</f>
        <v>Sábado 20 Diciembre</v>
      </c>
      <c r="U129" s="7" t="str">
        <f>IFERROR(__xludf.DUMMYFUNCTION("""COMPUTED_VALUE"""),"Sábado 9 Mayo")</f>
        <v>Sábado 9 Mayo</v>
      </c>
      <c r="V129" s="8">
        <f>IFERROR(__xludf.DUMMYFUNCTION("""COMPUTED_VALUE"""),18.0)</f>
        <v>18</v>
      </c>
      <c r="W129" s="5" t="str">
        <f>IFERROR(__xludf.DUMMYFUNCTION("""COMPUTED_VALUE"""),"pdfs/BROCHURE ESPECIALIZACION SAP HANA MINERIA.pdf")</f>
        <v>pdfs/BROCHURE ESPECIALIZACION SAP HANA MINERIA.pdf</v>
      </c>
      <c r="X129" s="5" t="str">
        <f>IFERROR(__xludf.DUMMYFUNCTION("""COMPUTED_VALUE"""),"🔵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ne"&amp;"cesita una Laptop *Windows*_
🚨 *Por favor, revisa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*Por favor, revisa el BROCHURE* 👇🏻
Aqui encontrarás la información completa del programa, el TEMARIO (malla curricular) y todos los BENEFICIOS 📚</v>
      </c>
      <c r="Y129" s="5" t="str">
        <f>IFERROR(__xludf.DUMMYFUNCTION("""COMPUTED_VALUE"""),"images/espsapmineria.jpg")</f>
        <v>images/espsapmineria.jpg</v>
      </c>
      <c r="Z129" s="5" t="str">
        <f>IFERROR(__xludf.DUMMYFUNCTION("""COMPUTED_VALUE"""),"Avalado por SAP Partner Open")</f>
        <v>Avalado por SAP Partner Open</v>
      </c>
      <c r="AA129" s="5" t="str">
        <f>IFERROR(__xludf.DUMMYFUNCTION("""COMPUTED_VALUE"""),"NO")</f>
        <v>NO</v>
      </c>
      <c r="AB129" s="6">
        <f>IFERROR(__xludf.DUMMYFUNCTION("""COMPUTED_VALUE"""),1900.0)</f>
        <v>1900</v>
      </c>
      <c r="AC129" s="6">
        <f>IFERROR(__xludf.DUMMYFUNCTION("""COMPUTED_VALUE"""),1750.0)</f>
        <v>1750</v>
      </c>
      <c r="AD129" s="6">
        <f>IFERROR(__xludf.DUMMYFUNCTION("""COMPUTED_VALUE"""),950.0)</f>
        <v>950</v>
      </c>
      <c r="AE129" s="6">
        <f>IFERROR(__xludf.DUMMYFUNCTION("""COMPUTED_VALUE"""),875.0)</f>
        <v>875</v>
      </c>
      <c r="AF129" s="6">
        <f>IFERROR(__xludf.DUMMYFUNCTION("""COMPUTED_VALUE"""),250.0)</f>
        <v>250</v>
      </c>
      <c r="AG129" s="5">
        <f>IFERROR(__xludf.DUMMYFUNCTION("""COMPUTED_VALUE"""),350.0)</f>
        <v>350</v>
      </c>
      <c r="AH129" s="5"/>
      <c r="AI129" s="5">
        <f>IFERROR(__xludf.DUMMYFUNCTION("""COMPUTED_VALUE"""),787.5)</f>
        <v>787.5</v>
      </c>
      <c r="AJ129" s="5">
        <f>IFERROR(__xludf.DUMMYFUNCTION("""COMPUTED_VALUE"""),855.0)</f>
        <v>855</v>
      </c>
      <c r="AK129" s="5" t="str">
        <f>IFERROR(__xludf.DUMMYFUNCTION("""COMPUTED_VALUE"""),"El sector minero apuesta por SAP ⛏️
Especialízate en SAP aplicado a minería y lleva tu perfil al siguiente nivel en industrias clave 💼
👉🏻 Te paso la info completa.")</f>
        <v>El sector minero apuesta por SAP ⛏️
Especialízate en SAP aplicado a minería y lleva tu perfil al siguiente nivel en industrias clave 💼
👉🏻 Te paso la info completa.</v>
      </c>
      <c r="AL129" s="5" t="str">
        <f>IFERROR(__xludf.DUMMYFUNCTION("""COMPUTED_VALUE"""),"⛏️ Excelente, actualízate en SAP aplicado a minería y potencia tu perfil en un sector clave.")</f>
        <v>⛏️ Excelente, actualízate en SAP aplicado a minería y potencia tu perfil en un sector clave.</v>
      </c>
      <c r="AM129" s="5" t="str">
        <f>IFERROR(__xludf.DUMMYFUNCTION("""COMPUTED_VALUE"""),"💼 Buenísimo, las empresas mineras requieren especialistas en procesos con SAP.")</f>
        <v>💼 Buenísimo, las empresas mineras requieren especialistas en procesos con SAP.</v>
      </c>
      <c r="AN129" s="5" t="str">
        <f>IFERROR(__xludf.DUMMYFUNCTION("""COMPUTED_VALUE"""),"📊 Genial, dominar SAP Minería te dará un diferencial en industrias estratégicas.")</f>
        <v>📊 Genial, dominar SAP Minería te dará un diferencial en industrias estratégicas.</v>
      </c>
      <c r="AO129" s="5" t="str">
        <f>IFERROR(__xludf.DUMMYFUNCTION("""COMPUTED_VALUE"""),"🚀 Perfecto, tener SAP Minería te abrirá ventaja en prácticas del sector industrial.")</f>
        <v>🚀 Perfecto, tener SAP Minería te abrirá ventaja en prácticas del sector industrial.</v>
      </c>
      <c r="AP129" s="5" t="str">
        <f>IFERROR(__xludf.DUMMYFUNCTION("""COMPUTED_VALUE"""),"📈 Excelente, podrás optimizar proyectos mineros en tu propio negocio.")</f>
        <v>📈 Excelente, podrás optimizar proyectos mineros en tu propio negocio.</v>
      </c>
      <c r="AQ129" s="9" t="str">
        <f>IFERROR(__xludf.DUMMYFUNCTION("""COMPUTED_VALUE"""),"https://we-educacion.com/slides/especializacion-en-sap-s-4-hana-mineria-1128#")</f>
        <v>https://we-educacion.com/slides/especializacion-en-sap-s-4-hana-mineria-1128#</v>
      </c>
      <c r="AR129" s="5">
        <v>1.0</v>
      </c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</row>
    <row r="130" ht="15.75" customHeight="1">
      <c r="A130" s="5" t="s">
        <v>172</v>
      </c>
      <c r="B130" s="5" t="str">
        <f t="shared" si="1"/>
        <v>DIC. I - ED25</v>
      </c>
      <c r="C130" s="6" t="str">
        <f>IFERROR(__xludf.DUMMYFUNCTION("""COMPUTED_VALUE"""),"SAP")</f>
        <v>SAP</v>
      </c>
      <c r="D130" s="6" t="str">
        <f>IFERROR(__xludf.DUMMYFUNCTION("""COMPUTED_VALUE"""),"CURSO")</f>
        <v>CURSO</v>
      </c>
      <c r="E130" s="6" t="str">
        <f>IFERROR(__xludf.DUMMYFUNCTION("""COMPUTED_VALUE"""),"SAP HANA MM")</f>
        <v>SAP HANA MM</v>
      </c>
      <c r="F130" s="7">
        <f>IFERROR(__xludf.DUMMYFUNCTION("""COMPUTED_VALUE"""),46011.0)</f>
        <v>46011</v>
      </c>
      <c r="G130" s="6"/>
      <c r="H130" s="7"/>
      <c r="I130" s="6"/>
      <c r="J130" s="7"/>
      <c r="K130" s="6"/>
      <c r="L130" s="7"/>
      <c r="M130" s="6"/>
      <c r="N130" s="7"/>
      <c r="O130" s="6"/>
      <c r="P130" s="7"/>
      <c r="Q130" s="6" t="str">
        <f>IFERROR(__xludf.DUMMYFUNCTION("""COMPUTED_VALUE"""),"David Romero")</f>
        <v>David Romero</v>
      </c>
      <c r="R130" s="5" t="str">
        <f>IFERROR(__xludf.DUMMYFUNCTION("""COMPUTED_VALUE"""),"Sáb")</f>
        <v>Sáb</v>
      </c>
      <c r="S130" s="6" t="str">
        <f>IFERROR(__xludf.DUMMYFUNCTION("""COMPUTED_VALUE"""),"3PM - 6PM")</f>
        <v>3PM - 6PM</v>
      </c>
      <c r="T130" s="7" t="str">
        <f>IFERROR(__xludf.DUMMYFUNCTION("""COMPUTED_VALUE"""),"Sábado 20 Diciembre")</f>
        <v>Sábado 20 Diciembre</v>
      </c>
      <c r="U130" s="7" t="str">
        <f>IFERROR(__xludf.DUMMYFUNCTION("""COMPUTED_VALUE"""),"Sábado 31 Enero")</f>
        <v>Sábado 31 Enero</v>
      </c>
      <c r="V130" s="8">
        <f>IFERROR(__xludf.DUMMYFUNCTION("""COMPUTED_VALUE"""),6.0)</f>
        <v>6</v>
      </c>
      <c r="W130" s="5" t="str">
        <f>IFERROR(__xludf.DUMMYFUNCTION("""COMPUTED_VALUE"""),"pdfs/BROCHURE SAP HANA MM MODULO LOGISTICO.pdf")</f>
        <v>pdfs/BROCHURE SAP HANA MM MODULO LOGISTICO.pdf</v>
      </c>
      <c r="X130" s="5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130" s="5" t="str">
        <f>IFERROR(__xludf.DUMMYFUNCTION("""COMPUTED_VALUE"""),"images/sapmm.jpg")</f>
        <v>images/sapmm.jpg</v>
      </c>
      <c r="Z130" s="5" t="str">
        <f>IFERROR(__xludf.DUMMYFUNCTION("""COMPUTED_VALUE"""),"Avalado por SAP Partner Open")</f>
        <v>Avalado por SAP Partner Open</v>
      </c>
      <c r="AA130" s="5" t="str">
        <f>IFERROR(__xludf.DUMMYFUNCTION("""COMPUTED_VALUE"""),"NO")</f>
        <v>NO</v>
      </c>
      <c r="AB130" s="6">
        <f>IFERROR(__xludf.DUMMYFUNCTION("""COMPUTED_VALUE"""),950.0)</f>
        <v>950</v>
      </c>
      <c r="AC130" s="6">
        <f>IFERROR(__xludf.DUMMYFUNCTION("""COMPUTED_VALUE"""),820.0)</f>
        <v>820</v>
      </c>
      <c r="AD130" s="6">
        <f>IFERROR(__xludf.DUMMYFUNCTION("""COMPUTED_VALUE"""),475.0)</f>
        <v>475</v>
      </c>
      <c r="AE130" s="6">
        <f>IFERROR(__xludf.DUMMYFUNCTION("""COMPUTED_VALUE"""),410.0)</f>
        <v>410</v>
      </c>
      <c r="AF130" s="6">
        <f>IFERROR(__xludf.DUMMYFUNCTION("""COMPUTED_VALUE"""),150.0)</f>
        <v>150</v>
      </c>
      <c r="AG130" s="5">
        <f>IFERROR(__xludf.DUMMYFUNCTION("""COMPUTED_VALUE"""),150.0)</f>
        <v>150</v>
      </c>
      <c r="AH130" s="5"/>
      <c r="AI130" s="5">
        <f>IFERROR(__xludf.DUMMYFUNCTION("""COMPUTED_VALUE"""),369.0)</f>
        <v>369</v>
      </c>
      <c r="AJ130" s="5">
        <f>IFERROR(__xludf.DUMMYFUNCTION("""COMPUTED_VALUE"""),427.5)</f>
        <v>427.5</v>
      </c>
      <c r="AK130" s="5" t="str">
        <f>IFERROR(__xludf.DUMMYFUNCTION("""COMPUTED_VALUE"""),"La gestión de materiales evoluciona con SAP HANA MM 🌐
Domina procesos de compras, inventarios y logística con un enfoque práctico y aplicable al día a día empresarial.
Aquí encuentras la info completa 👇🏻")</f>
        <v>La gestión de materiales evoluciona con SAP HANA MM 🌐
Domina procesos de compras, inventarios y logística con un enfoque práctico y aplicable al día a día empresarial.
Aquí encuentras la info completa 👇🏻</v>
      </c>
      <c r="AL130" s="5" t="str">
        <f>IFERROR(__xludf.DUMMYFUNCTION("""COMPUTED_VALUE"""),"Excelente 🙌, actualizarte con SAP HANA MM te dará un plus competitivo en gestión de materiales 📦 y compras.")</f>
        <v>Excelente 🙌, actualizarte con SAP HANA MM te dará un plus competitivo en gestión de materiales 📦 y compras.</v>
      </c>
      <c r="AM130" s="5" t="str">
        <f>IFERROR(__xludf.DUMMYFUNCTION("""COMPUTED_VALUE"""),"Buenísimo 💼, SAP es altamente valorado en empresas grandes 🌐. Dominar HANA MM abrirá más oportunidades 🚀.")</f>
        <v>Buenísimo 💼, SAP es altamente valorado en empresas grandes 🌐. Dominar HANA MM abrirá más oportunidades 🚀.</v>
      </c>
      <c r="AN130" s="5" t="str">
        <f>IFERROR(__xludf.DUMMYFUNCTION("""COMPUTED_VALUE"""),"¡Excelente! 🎓 Con SAP HANA MM aprenderás sobre procesos logísticos 🔄 que te diferenciarán desde la universidad.")</f>
        <v>¡Excelente! 🎓 Con SAP HANA MM aprenderás sobre procesos logísticos 🔄 que te diferenciarán desde la universidad.</v>
      </c>
      <c r="AO130" s="5" t="str">
        <f>IFERROR(__xludf.DUMMYFUNCTION("""COMPUTED_VALUE"""),"¡Perfecto! 🔑 Conocer SAP te dará ventaja frente a otros postulantes y será clave para prácticas en logística 📝.")</f>
        <v>¡Perfecto! 🔑 Conocer SAP te dará ventaja frente a otros postulantes y será clave para prácticas en logística 📝.</v>
      </c>
      <c r="AP130" s="5" t="str">
        <f>IFERROR(__xludf.DUMMYFUNCTION("""COMPUTED_VALUE"""),"¡Excelente! 💡 Con SAP HANA MM podrás optimizar inventarios 📦 y procesos en tu propio negocio.")</f>
        <v>¡Excelente! 💡 Con SAP HANA MM podrás optimizar inventarios 📦 y procesos en tu propio negocio.</v>
      </c>
      <c r="AQ130" s="9" t="str">
        <f>IFERROR(__xludf.DUMMYFUNCTION("""COMPUTED_VALUE"""),"https://we-educacion.com/slides/sap-s-4-hana-mm-45")</f>
        <v>https://we-educacion.com/slides/sap-s-4-hana-mm-45</v>
      </c>
      <c r="AR130" s="5">
        <v>1.0</v>
      </c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</row>
    <row r="131" ht="15.75" customHeight="1">
      <c r="A131" s="5" t="s">
        <v>173</v>
      </c>
      <c r="B131" s="5" t="str">
        <f t="shared" si="1"/>
        <v>DIC. I - ED25</v>
      </c>
      <c r="C131" s="6" t="str">
        <f>IFERROR(__xludf.DUMMYFUNCTION("""COMPUTED_VALUE"""),"SAP")</f>
        <v>SAP</v>
      </c>
      <c r="D131" s="5" t="str">
        <f>IFERROR(__xludf.DUMMYFUNCTION("""COMPUTED_VALUE"""),"CURSO")</f>
        <v>CURSO</v>
      </c>
      <c r="E131" s="6" t="str">
        <f>IFERROR(__xludf.DUMMYFUNCTION("""COMPUTED_VALUE"""),"SAP HANA FI")</f>
        <v>SAP HANA FI</v>
      </c>
      <c r="F131" s="7">
        <f>IFERROR(__xludf.DUMMYFUNCTION("""COMPUTED_VALUE"""),46012.0)</f>
        <v>46012</v>
      </c>
      <c r="G131" s="6"/>
      <c r="H131" s="7"/>
      <c r="I131" s="6"/>
      <c r="J131" s="7"/>
      <c r="K131" s="6"/>
      <c r="L131" s="7"/>
      <c r="M131" s="6"/>
      <c r="N131" s="7"/>
      <c r="O131" s="6"/>
      <c r="P131" s="7"/>
      <c r="Q131" s="6" t="str">
        <f>IFERROR(__xludf.DUMMYFUNCTION("""COMPUTED_VALUE"""),"Andy Leyton")</f>
        <v>Andy Leyton</v>
      </c>
      <c r="R131" s="5" t="str">
        <f>IFERROR(__xludf.DUMMYFUNCTION("""COMPUTED_VALUE"""),"Dom")</f>
        <v>Dom</v>
      </c>
      <c r="S131" s="6" t="str">
        <f>IFERROR(__xludf.DUMMYFUNCTION("""COMPUTED_VALUE"""),"9AM - 12PM")</f>
        <v>9AM - 12PM</v>
      </c>
      <c r="T131" s="7" t="str">
        <f>IFERROR(__xludf.DUMMYFUNCTION("""COMPUTED_VALUE"""),"Domingo 21 Diciembre")</f>
        <v>Domingo 21 Diciembre</v>
      </c>
      <c r="U131" s="7" t="str">
        <f>IFERROR(__xludf.DUMMYFUNCTION("""COMPUTED_VALUE"""),"Domingo 25 Enero")</f>
        <v>Domingo 25 Enero</v>
      </c>
      <c r="V131" s="8">
        <f>IFERROR(__xludf.DUMMYFUNCTION("""COMPUTED_VALUE"""),6.0)</f>
        <v>6</v>
      </c>
      <c r="W131" s="5" t="str">
        <f>IFERROR(__xludf.DUMMYFUNCTION("""COMPUTED_VALUE"""),"pdfs/BROCHURE SAP HANA FI MODULO FINANZAS.pdf")</f>
        <v>pdfs/BROCHURE SAP HANA FI MODULO FINANZAS.pdf</v>
      </c>
      <c r="X131" s="5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131" s="5" t="str">
        <f>IFERROR(__xludf.DUMMYFUNCTION("""COMPUTED_VALUE"""),"images/sapfi.jpg")</f>
        <v>images/sapfi.jpg</v>
      </c>
      <c r="Z131" s="5" t="str">
        <f>IFERROR(__xludf.DUMMYFUNCTION("""COMPUTED_VALUE"""),"Avalado por SAP Partner Open")</f>
        <v>Avalado por SAP Partner Open</v>
      </c>
      <c r="AA131" s="5" t="str">
        <f>IFERROR(__xludf.DUMMYFUNCTION("""COMPUTED_VALUE"""),"NO")</f>
        <v>NO</v>
      </c>
      <c r="AB131" s="6">
        <f>IFERROR(__xludf.DUMMYFUNCTION("""COMPUTED_VALUE"""),900.0)</f>
        <v>900</v>
      </c>
      <c r="AC131" s="6">
        <f>IFERROR(__xludf.DUMMYFUNCTION("""COMPUTED_VALUE"""),750.0)</f>
        <v>750</v>
      </c>
      <c r="AD131" s="6">
        <f>IFERROR(__xludf.DUMMYFUNCTION("""COMPUTED_VALUE"""),450.0)</f>
        <v>450</v>
      </c>
      <c r="AE131" s="6">
        <f>IFERROR(__xludf.DUMMYFUNCTION("""COMPUTED_VALUE"""),375.0)</f>
        <v>375</v>
      </c>
      <c r="AF131" s="6">
        <f>IFERROR(__xludf.DUMMYFUNCTION("""COMPUTED_VALUE"""),150.0)</f>
        <v>150</v>
      </c>
      <c r="AG131" s="5">
        <f>IFERROR(__xludf.DUMMYFUNCTION("""COMPUTED_VALUE"""),150.0)</f>
        <v>150</v>
      </c>
      <c r="AH131" s="5"/>
      <c r="AI131" s="5">
        <f>IFERROR(__xludf.DUMMYFUNCTION("""COMPUTED_VALUE"""),337.5)</f>
        <v>337.5</v>
      </c>
      <c r="AJ131" s="5">
        <f>IFERROR(__xludf.DUMMYFUNCTION("""COMPUTED_VALUE"""),405.0)</f>
        <v>405</v>
      </c>
      <c r="AK131" s="5" t="str">
        <f>IFERROR(__xludf.DUMMYFUNCTION("""COMPUTED_VALUE"""),"El lenguaje financiero global se habla con SAP HANA FI 💼
Con este programa aprenderás a gestionar contabilidad y finanzas de forma práctica en SAP 🚀.
Aquí la información completa 👇🏻")</f>
        <v>El lenguaje financiero global se habla con SAP HANA FI 💼
Con este programa aprenderás a gestionar contabilidad y finanzas de forma práctica en SAP 🚀.
Aquí la información completa 👇🏻</v>
      </c>
      <c r="AL131" s="5" t="str">
        <f>IFERROR(__xludf.DUMMYFUNCTION("""COMPUTED_VALUE"""),"💰 Excelente, actualízate con SAP FI y domina la gestión financiera en SAP.")</f>
        <v>💰 Excelente, actualízate con SAP FI y domina la gestión financiera en SAP.</v>
      </c>
      <c r="AM131" s="5" t="str">
        <f>IFERROR(__xludf.DUMMYFUNCTION("""COMPUTED_VALUE"""),"💼 Buenísimo, SAP FI es clave en empresas que manejan contabilidad y finanzas.")</f>
        <v>💼 Buenísimo, SAP FI es clave en empresas que manejan contabilidad y finanzas.</v>
      </c>
      <c r="AN131" s="5" t="str">
        <f>IFERROR(__xludf.DUMMYFUNCTION("""COMPUTED_VALUE"""),"🎓 ¡Genial! Aprender SAP FI en la universidad fortalecerá tu perfil en finanzas.")</f>
        <v>🎓 ¡Genial! Aprender SAP FI en la universidad fortalecerá tu perfil en finanzas.</v>
      </c>
      <c r="AO131" s="5" t="str">
        <f>IFERROR(__xludf.DUMMYFUNCTION("""COMPUTED_VALUE"""),"🚀 ¡Perfecto! Con SAP FI tendrás ventaja en prácticas de contabilidad y finanzas.")</f>
        <v>🚀 ¡Perfecto! Con SAP FI tendrás ventaja en prácticas de contabilidad y finanzas.</v>
      </c>
      <c r="AP131" s="5" t="str">
        <f>IFERROR(__xludf.DUMMYFUNCTION("""COMPUTED_VALUE"""),"📊 ¡Excelente! Con SAP FI podrás llevar la contabilidad de tu negocio con precisión.")</f>
        <v>📊 ¡Excelente! Con SAP FI podrás llevar la contabilidad de tu negocio con precisión.</v>
      </c>
      <c r="AQ131" s="9" t="str">
        <f>IFERROR(__xludf.DUMMYFUNCTION("""COMPUTED_VALUE"""),"https://we-educacion.com/slides/sap-s-4-hana-fi-54")</f>
        <v>https://we-educacion.com/slides/sap-s-4-hana-fi-54</v>
      </c>
      <c r="AR131" s="5">
        <v>1.0</v>
      </c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</row>
    <row r="132" ht="15.75" customHeight="1">
      <c r="A132" s="5" t="s">
        <v>174</v>
      </c>
      <c r="B132" s="5" t="str">
        <f t="shared" si="1"/>
        <v>DIC. I - ED25</v>
      </c>
      <c r="C132" s="6" t="str">
        <f>IFERROR(__xludf.DUMMYFUNCTION("""COMPUTED_VALUE"""),"PROYECTOS")</f>
        <v>PROYECTOS</v>
      </c>
      <c r="D132" s="5" t="str">
        <f>IFERROR(__xludf.DUMMYFUNCTION("""COMPUTED_VALUE"""),"CURSO")</f>
        <v>CURSO</v>
      </c>
      <c r="E132" s="6" t="str">
        <f>IFERROR(__xludf.DUMMYFUNCTION("""COMPUTED_VALUE"""),"PMO")</f>
        <v>PMO</v>
      </c>
      <c r="F132" s="7">
        <f>IFERROR(__xludf.DUMMYFUNCTION("""COMPUTED_VALUE"""),46012.0)</f>
        <v>46012</v>
      </c>
      <c r="G132" s="6"/>
      <c r="H132" s="7"/>
      <c r="I132" s="6"/>
      <c r="J132" s="7"/>
      <c r="K132" s="6"/>
      <c r="L132" s="7"/>
      <c r="M132" s="6"/>
      <c r="N132" s="7"/>
      <c r="O132" s="6"/>
      <c r="P132" s="7"/>
      <c r="Q132" s="6" t="str">
        <f>IFERROR(__xludf.DUMMYFUNCTION("""COMPUTED_VALUE"""),"Aurio de la Cruz")</f>
        <v>Aurio de la Cruz</v>
      </c>
      <c r="R132" s="5" t="str">
        <f>IFERROR(__xludf.DUMMYFUNCTION("""COMPUTED_VALUE"""),"Dom")</f>
        <v>Dom</v>
      </c>
      <c r="S132" s="6" t="str">
        <f>IFERROR(__xludf.DUMMYFUNCTION("""COMPUTED_VALUE"""),"9AM - 12PM")</f>
        <v>9AM - 12PM</v>
      </c>
      <c r="T132" s="7" t="str">
        <f>IFERROR(__xludf.DUMMYFUNCTION("""COMPUTED_VALUE"""),"Domingo 21 Diciembre")</f>
        <v>Domingo 21 Diciembre</v>
      </c>
      <c r="U132" s="7" t="str">
        <f>IFERROR(__xludf.DUMMYFUNCTION("""COMPUTED_VALUE"""),"Domingo 25 Enero")</f>
        <v>Domingo 25 Enero</v>
      </c>
      <c r="V132" s="8">
        <f>IFERROR(__xludf.DUMMYFUNCTION("""COMPUTED_VALUE"""),6.0)</f>
        <v>6</v>
      </c>
      <c r="W132" s="5" t="str">
        <f>IFERROR(__xludf.DUMMYFUNCTION("""COMPUTED_VALUE"""),"pdfs/BROCHURE PMO GESTIÓN DE PORTAFOLIO (1).pdf")</f>
        <v>pdfs/BROCHURE PMO GESTIÓN DE PORTAFOLIO (1).pdf</v>
      </c>
      <c r="X132" s="5" t="str">
        <f>IFERROR(__xludf.DUMMYFUNCTION("""COMPUTED_VALUE"""),"🔹 Utilizarán Excel 👩🏻‍💻
🚨 Por favor, revisa el BROCHURE 👇🏻
Aqui encontrarás la información completa del programa: Temario (malla curricular) y todos los BENEFICIOS 📚
👉🏼 Te comparto un Modelo de Certificado que elevará tu perfil profesional ")</f>
        <v>🔹 Utilizarán Excel 👩🏻‍💻
🚨 Por favor, revisa el BROCHURE 👇🏻
Aqui encontrarás la información completa del programa: Temario (malla curricular) y todos los BENEFICIOS 📚
👉🏼 Te comparto un Modelo de Certificado que elevará tu perfil profesional </v>
      </c>
      <c r="Y132" s="5"/>
      <c r="Z132" s="5"/>
      <c r="AA132" s="5"/>
      <c r="AB132" s="6">
        <f>IFERROR(__xludf.DUMMYFUNCTION("""COMPUTED_VALUE"""),710.0)</f>
        <v>710</v>
      </c>
      <c r="AC132" s="6">
        <f>IFERROR(__xludf.DUMMYFUNCTION("""COMPUTED_VALUE"""),610.0)</f>
        <v>610</v>
      </c>
      <c r="AD132" s="6">
        <f>IFERROR(__xludf.DUMMYFUNCTION("""COMPUTED_VALUE"""),355.0)</f>
        <v>355</v>
      </c>
      <c r="AE132" s="6">
        <f>IFERROR(__xludf.DUMMYFUNCTION("""COMPUTED_VALUE"""),305.0)</f>
        <v>305</v>
      </c>
      <c r="AF132" s="6">
        <f>IFERROR(__xludf.DUMMYFUNCTION("""COMPUTED_VALUE"""),150.0)</f>
        <v>150</v>
      </c>
      <c r="AG132" s="5">
        <f>IFERROR(__xludf.DUMMYFUNCTION("""COMPUTED_VALUE"""),150.0)</f>
        <v>150</v>
      </c>
      <c r="AH132" s="5"/>
      <c r="AI132" s="5">
        <f>IFERROR(__xludf.DUMMYFUNCTION("""COMPUTED_VALUE"""),274.5)</f>
        <v>274.5</v>
      </c>
      <c r="AJ132" s="5">
        <f>IFERROR(__xludf.DUMMYFUNCTION("""COMPUTED_VALUE"""),319.5)</f>
        <v>319.5</v>
      </c>
      <c r="AK132" s="5" t="str">
        <f>IFERROR(__xludf.DUMMYFUNCTION("""COMPUTED_VALUE"""),"El éxito en proyectos grandes nace de una Oficina de Proyectos sólida 📌
Con PMO aprenderás a estandarizar, supervisar y optimizar la gestión de proyectos en tu organización 🚀.
Aquí tienes la info 👇🏻")</f>
        <v>El éxito en proyectos grandes nace de una Oficina de Proyectos sólida 📌
Con PMO aprenderás a estandarizar, supervisar y optimizar la gestión de proyectos en tu organización 🚀.
Aquí tienes la info 👇🏻</v>
      </c>
      <c r="AL132" s="5" t="str">
        <f>IFERROR(__xludf.DUMMYFUNCTION("""COMPUTED_VALUE"""),"📈 Excelente, actualízate con PMO y aprende a estructurar la gestión de proyectos a nivel organizacional.")</f>
        <v>📈 Excelente, actualízate con PMO y aprende a estructurar la gestión de proyectos a nivel organizacional.</v>
      </c>
      <c r="AM132" s="5" t="str">
        <f>IFERROR(__xludf.DUMMYFUNCTION("""COMPUTED_VALUE"""),"💼 Buenísimo, PMO es clave para acceder a posiciones de gestión en grandes compañías.")</f>
        <v>💼 Buenísimo, PMO es clave para acceder a posiciones de gestión en grandes compañías.</v>
      </c>
      <c r="AN132" s="5" t="str">
        <f>IFERROR(__xludf.DUMMYFUNCTION("""COMPUTED_VALUE"""),"🎓 ¡Genial! Con PMO tendrás conocimientos que te diferenciarán en la universidad.")</f>
        <v>🎓 ¡Genial! Con PMO tendrás conocimientos que te diferenciarán en la universidad.</v>
      </c>
      <c r="AO132" s="5" t="str">
        <f>IFERROR(__xludf.DUMMYFUNCTION("""COMPUTED_VALUE"""),"🚀 ¡Perfecto! Manejar PMO será un plus en postulaciones a prácticas en proyectos.")</f>
        <v>🚀 ¡Perfecto! Manejar PMO será un plus en postulaciones a prácticas en proyectos.</v>
      </c>
      <c r="AP132" s="5" t="str">
        <f>IFERROR(__xludf.DUMMYFUNCTION("""COMPUTED_VALUE"""),"📊 ¡Excelente! Con PMO podrás implementar mejores procesos de gestión en tu propio negocio.")</f>
        <v>📊 ¡Excelente! Con PMO podrás implementar mejores procesos de gestión en tu propio negocio.</v>
      </c>
      <c r="AQ132" s="9" t="str">
        <f>IFERROR(__xludf.DUMMYFUNCTION("""COMPUTED_VALUE"""),"https://we-educacion.com/slides/pmo-gestion-de-portafolio-y-oficina-de-proyectos-1213")</f>
        <v>https://we-educacion.com/slides/pmo-gestion-de-portafolio-y-oficina-de-proyectos-1213</v>
      </c>
      <c r="AR132" s="5">
        <v>1.0</v>
      </c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</row>
    <row r="133" ht="15.75" customHeight="1">
      <c r="A133" s="5" t="s">
        <v>175</v>
      </c>
      <c r="B133" s="5" t="str">
        <f t="shared" si="1"/>
        <v>DIC. I - ED25</v>
      </c>
      <c r="C133" s="6" t="str">
        <f>IFERROR(__xludf.DUMMYFUNCTION("""COMPUTED_VALUE"""),"PROYECTOS")</f>
        <v>PROYECTOS</v>
      </c>
      <c r="D133" s="5" t="str">
        <f>IFERROR(__xludf.DUMMYFUNCTION("""COMPUTED_VALUE"""),"CURSO")</f>
        <v>CURSO</v>
      </c>
      <c r="E133" s="6" t="str">
        <f>IFERROR(__xludf.DUMMYFUNCTION("""COMPUTED_VALUE"""),"GEST. ÁGIL PROYECT")</f>
        <v>GEST. ÁGIL PROYECT</v>
      </c>
      <c r="F133" s="7">
        <f>IFERROR(__xludf.DUMMYFUNCTION("""COMPUTED_VALUE"""),46018.0)</f>
        <v>46018</v>
      </c>
      <c r="G133" s="6"/>
      <c r="H133" s="7"/>
      <c r="I133" s="6"/>
      <c r="J133" s="7"/>
      <c r="K133" s="6"/>
      <c r="L133" s="7"/>
      <c r="M133" s="6"/>
      <c r="N133" s="7"/>
      <c r="O133" s="6"/>
      <c r="P133" s="7"/>
      <c r="Q133" s="6" t="str">
        <f>IFERROR(__xludf.DUMMYFUNCTION("""COMPUTED_VALUE"""),"Moisés Zabalbeascoa
")</f>
        <v>Moisés Zabalbeascoa
</v>
      </c>
      <c r="R133" s="5" t="str">
        <f>IFERROR(__xludf.DUMMYFUNCTION("""COMPUTED_VALUE"""),"Sáb")</f>
        <v>Sáb</v>
      </c>
      <c r="S133" s="6" t="str">
        <f>IFERROR(__xludf.DUMMYFUNCTION("""COMPUTED_VALUE"""),"3PM - 6PM")</f>
        <v>3PM - 6PM</v>
      </c>
      <c r="T133" s="7" t="str">
        <f>IFERROR(__xludf.DUMMYFUNCTION("""COMPUTED_VALUE"""),"Sábado 27 Diciembre")</f>
        <v>Sábado 27 Diciembre</v>
      </c>
      <c r="U133" s="7" t="str">
        <f>IFERROR(__xludf.DUMMYFUNCTION("""COMPUTED_VALUE"""),"Sábado 24 Enero")</f>
        <v>Sábado 24 Enero</v>
      </c>
      <c r="V133" s="8">
        <f>IFERROR(__xludf.DUMMYFUNCTION("""COMPUTED_VALUE"""),5.0)</f>
        <v>5</v>
      </c>
      <c r="W133" s="5" t="str">
        <f>IFERROR(__xludf.DUMMYFUNCTION("""COMPUTED_VALUE"""),"pdfs/BROCHURE GESTIÓN ÁGIL DE PROYECTOS.pdf")</f>
        <v>pdfs/BROCHURE GESTIÓN ÁGIL DE PROYECTOS.pdf</v>
      </c>
      <c r="X133" s="5" t="str">
        <f>IFERROR(__xludf.DUMMYFUNCTION("""COMPUTED_VALUE"""),"🔵 *¡Certificados Adicionales!* ⭐
👉🏻 Certificado *Scrum Fundamentals*
👉🏻 Certificado *Scrum Master* tiene la inversión de *$50* ~(Normal $150)~
_Incluye material de práctica y 2 intentos del examen_
🚨 *Por favor, revisa el BROCHURE* 👇🏻
Aqui encont"&amp;"rarás la información completa del programa, el TEMARIO (malla curricular) y todos los BENEFICIOS 📚")</f>
        <v>🔵 *¡Certificados Adicionales!* ⭐
👉🏻 Certificado *Scrum Fundamentals*
👉🏻 Certificado *Scrum Master* tiene la inversión de *$50* ~(Normal $150)~
_Incluye material de práctica y 2 intentos del examen_
🚨 *Por favor, revisa el BROCHURE* 👇🏻
Aqui encontrarás la información completa del programa, el TEMARIO (malla curricular) y todos los BENEFICIOS 📚</v>
      </c>
      <c r="Y133" s="5" t="str">
        <f>IFERROR(__xludf.DUMMYFUNCTION("""COMPUTED_VALUE"""),"images/gestagil.jpg")</f>
        <v>images/gestagil.jpg</v>
      </c>
      <c r="Z133" s="5"/>
      <c r="AA133" s="5" t="str">
        <f>IFERROR(__xludf.DUMMYFUNCTION("""COMPUTED_VALUE"""),"SI")</f>
        <v>SI</v>
      </c>
      <c r="AB133" s="6">
        <f>IFERROR(__xludf.DUMMYFUNCTION("""COMPUTED_VALUE"""),640.0)</f>
        <v>640</v>
      </c>
      <c r="AC133" s="6">
        <f>IFERROR(__xludf.DUMMYFUNCTION("""COMPUTED_VALUE"""),550.0)</f>
        <v>550</v>
      </c>
      <c r="AD133" s="6">
        <f>IFERROR(__xludf.DUMMYFUNCTION("""COMPUTED_VALUE"""),320.0)</f>
        <v>320</v>
      </c>
      <c r="AE133" s="6">
        <f>IFERROR(__xludf.DUMMYFUNCTION("""COMPUTED_VALUE"""),275.0)</f>
        <v>275</v>
      </c>
      <c r="AF133" s="6">
        <f>IFERROR(__xludf.DUMMYFUNCTION("""COMPUTED_VALUE"""),150.0)</f>
        <v>150</v>
      </c>
      <c r="AG133" s="5">
        <f>IFERROR(__xludf.DUMMYFUNCTION("""COMPUTED_VALUE"""),150.0)</f>
        <v>150</v>
      </c>
      <c r="AH133" s="5"/>
      <c r="AI133" s="5">
        <f>IFERROR(__xludf.DUMMYFUNCTION("""COMPUTED_VALUE"""),247.5)</f>
        <v>247.5</v>
      </c>
      <c r="AJ133" s="5">
        <f>IFERROR(__xludf.DUMMYFUNCTION("""COMPUTED_VALUE"""),288.0)</f>
        <v>288</v>
      </c>
      <c r="AK133" s="5" t="str">
        <f>IFERROR(__xludf.DUMMYFUNCTION("""COMPUTED_VALUE"""),"El lenguaje de los equipos de alto rendimiento es la agilidad 🚀
Con Gestión Ágil de Proyectos dominarás metodologías como SCRUM y Kanban aplicadas a negocios reales 💼.
Aquí tienes la info 👇🏻")</f>
        <v>El lenguaje de los equipos de alto rendimiento es la agilidad 🚀
Con Gestión Ágil de Proyectos dominarás metodologías como SCRUM y Kanban aplicadas a negocios reales 💼.
Aquí tienes la info 👇🏻</v>
      </c>
      <c r="AL133" s="5" t="str">
        <f>IFERROR(__xludf.DUMMYFUNCTION("""COMPUTED_VALUE"""),"📘 *Excelente*, actualízate con *GEST. ÁGIL PROYECT* y mantente competitivo en el mercado laboral.")</f>
        <v>📘 *Excelente*, actualízate con *GEST. ÁGIL PROYECT* y mantente competitivo en el mercado laboral.</v>
      </c>
      <c r="AM133" s="5" t="str">
        <f>IFERROR(__xludf.DUMMYFUNCTION("""COMPUTED_VALUE"""),"📈 Buenísimo, *GEST. ÁGIL PROYECT* es de las competencias más pedidas por las empresas y aumentará tus oportunidades laborales.")</f>
        <v>📈 Buenísimo, *GEST. ÁGIL PROYECT* es de las competencias más pedidas por las empresas y aumentará tus oportunidades laborales.</v>
      </c>
      <c r="AN133" s="5" t="str">
        <f>IFERROR(__xludf.DUMMYFUNCTION("""COMPUTED_VALUE"""),"📘 ¡Genial! Con *GEST. ÁGIL PROYECT* sumarás una habilidad poderosa que te diferenciará desde la universidad.")</f>
        <v>📘 ¡Genial! Con *GEST. ÁGIL PROYECT* sumarás una habilidad poderosa que te diferenciará desde la universidad.</v>
      </c>
      <c r="AO133" s="5" t="str">
        <f>IFERROR(__xludf.DUMMYFUNCTION("""COMPUTED_VALUE"""),"🔑 ¡Perfecto! Saber *GEST. ÁGIL PROYECT* te dará ventaja frente a otros postulantes para conseguir prácticas.")</f>
        <v>🔑 ¡Perfecto! Saber *GEST. ÁGIL PROYECT* te dará ventaja frente a otros postulantes para conseguir prácticas.</v>
      </c>
      <c r="AP133" s="5" t="str">
        <f>IFERROR(__xludf.DUMMYFUNCTION("""COMPUTED_VALUE"""),"📘 ¡Excelente! Con *GEST. ÁGIL PROYECT* podrás aplicarlo en tu negocio y tomar decisiones más inteligentes.")</f>
        <v>📘 ¡Excelente! Con *GEST. ÁGIL PROYECT* podrás aplicarlo en tu negocio y tomar decisiones más inteligentes.</v>
      </c>
      <c r="AQ133" s="9" t="str">
        <f>IFERROR(__xludf.DUMMYFUNCTION("""COMPUTED_VALUE"""),"https://we-educacion.com/slides/gestion-agil-de-proyectos-515")</f>
        <v>https://we-educacion.com/slides/gestion-agil-de-proyectos-515</v>
      </c>
      <c r="AR133" s="5">
        <v>1.0</v>
      </c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</row>
    <row r="134" ht="15.75" customHeight="1">
      <c r="A134" s="5" t="s">
        <v>176</v>
      </c>
      <c r="B134" s="5" t="str">
        <f t="shared" si="1"/>
        <v>DIC. I - ED25</v>
      </c>
      <c r="C134" s="6" t="str">
        <f>IFERROR(__xludf.DUMMYFUNCTION("""COMPUTED_VALUE"""),"BI")</f>
        <v>BI</v>
      </c>
      <c r="D134" s="5" t="str">
        <f>IFERROR(__xludf.DUMMYFUNCTION("""COMPUTED_VALUE"""),"PEE")</f>
        <v>PEE</v>
      </c>
      <c r="E134" s="6" t="str">
        <f>IFERROR(__xludf.DUMMYFUNCTION("""COMPUTED_VALUE"""),"PEE ANALIST DATOS")</f>
        <v>PEE ANALIST DATOS</v>
      </c>
      <c r="F134" s="7">
        <f>IFERROR(__xludf.DUMMYFUNCTION("""COMPUTED_VALUE"""),46019.0)</f>
        <v>46019</v>
      </c>
      <c r="G134" s="6" t="str">
        <f>IFERROR(__xludf.DUMMYFUNCTION("""COMPUTED_VALUE"""),"SQL SERVER")</f>
        <v>SQL SERVER</v>
      </c>
      <c r="H134" s="7">
        <f>IFERROR(__xludf.DUMMYFUNCTION("""COMPUTED_VALUE"""),46019.0)</f>
        <v>46019</v>
      </c>
      <c r="I134" s="6" t="str">
        <f>IFERROR(__xludf.DUMMYFUNCTION("""COMPUTED_VALUE"""),"POWER BI")</f>
        <v>POWER BI</v>
      </c>
      <c r="J134" s="7">
        <f>IFERROR(__xludf.DUMMYFUNCTION("""COMPUTED_VALUE"""),46061.0)</f>
        <v>46061</v>
      </c>
      <c r="K134" s="6" t="str">
        <f>IFERROR(__xludf.DUMMYFUNCTION("""COMPUTED_VALUE"""),"PYTHON. DATOS")</f>
        <v>PYTHON. DATOS</v>
      </c>
      <c r="L134" s="7">
        <f>IFERROR(__xludf.DUMMYFUNCTION("""COMPUTED_VALUE"""),46103.0)</f>
        <v>46103</v>
      </c>
      <c r="M134" s="6"/>
      <c r="N134" s="7"/>
      <c r="O134" s="6"/>
      <c r="P134" s="7"/>
      <c r="Q134" s="6" t="str">
        <f>IFERROR(__xludf.DUMMYFUNCTION("""COMPUTED_VALUE"""),"Ana Lucia Palacios
David Llaja
Moisés Bautista")</f>
        <v>Ana Lucia Palacios
David Llaja
Moisés Bautista</v>
      </c>
      <c r="R134" s="5" t="str">
        <f>IFERROR(__xludf.DUMMYFUNCTION("""COMPUTED_VALUE"""),"Dom")</f>
        <v>Dom</v>
      </c>
      <c r="S134" s="6" t="str">
        <f>IFERROR(__xludf.DUMMYFUNCTION("""COMPUTED_VALUE"""),"9AM - 12PM")</f>
        <v>9AM - 12PM</v>
      </c>
      <c r="T134" s="7" t="str">
        <f>IFERROR(__xludf.DUMMYFUNCTION("""COMPUTED_VALUE"""),"Domingo 28 Diciembre")</f>
        <v>Domingo 28 Diciembre</v>
      </c>
      <c r="U134" s="7" t="str">
        <f>IFERROR(__xludf.DUMMYFUNCTION("""COMPUTED_VALUE"""),"Domingo 3 Mayo")</f>
        <v>Domingo 3 Mayo</v>
      </c>
      <c r="V134" s="8">
        <f>IFERROR(__xludf.DUMMYFUNCTION("""COMPUTED_VALUE"""),18.0)</f>
        <v>18</v>
      </c>
      <c r="W134" s="5" t="str">
        <f>IFERROR(__xludf.DUMMYFUNCTION("""COMPUTED_VALUE"""),"pdfs/BROCHURE PEE ANALISTA DE DATOS.pdf")</f>
        <v>pdfs/BROCHURE PEE ANALISTA DE DATOS.pdf</v>
      </c>
      <c r="X134" s="5" t="str">
        <f>IFERROR(__xludf.DUMMYFUNCTION("""COMPUTED_VALUE"""),"🔵 *Utilizarán Power BI, SQL Server y Python*👩🏻‍💻
👉🏼 Incluye tutorial y manual de instalación
💻 _*Importante*: Para la instalación se necesita una Laptop *Windows*_
🚨 *Por favor, revisa el BROCHURE* 👇🏻
Aqui encontrarás la información completa de"&amp;"l programa, el TEMARIO (malla curricular) y todos los BENEFICIOS 📚")</f>
        <v>🔵 *Utilizarán Power BI, SQL Server y Python*👩🏻‍💻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34" s="5" t="str">
        <f>IFERROR(__xludf.DUMMYFUNCTION("""COMPUTED_VALUE"""),"images/peedatos.jpg")</f>
        <v>images/peedatos.jpg</v>
      </c>
      <c r="Z134" s="5"/>
      <c r="AA134" s="5" t="str">
        <f>IFERROR(__xludf.DUMMYFUNCTION("""COMPUTED_VALUE"""),"NO")</f>
        <v>NO</v>
      </c>
      <c r="AB134" s="6">
        <f>IFERROR(__xludf.DUMMYFUNCTION("""COMPUTED_VALUE"""),2390.0)</f>
        <v>2390</v>
      </c>
      <c r="AC134" s="6">
        <f>IFERROR(__xludf.DUMMYFUNCTION("""COMPUTED_VALUE"""),2130.0)</f>
        <v>2130</v>
      </c>
      <c r="AD134" s="6">
        <f>IFERROR(__xludf.DUMMYFUNCTION("""COMPUTED_VALUE"""),1195.0)</f>
        <v>1195</v>
      </c>
      <c r="AE134" s="6">
        <f>IFERROR(__xludf.DUMMYFUNCTION("""COMPUTED_VALUE"""),1065.0)</f>
        <v>1065</v>
      </c>
      <c r="AF134" s="6">
        <f>IFERROR(__xludf.DUMMYFUNCTION("""COMPUTED_VALUE"""),250.0)</f>
        <v>250</v>
      </c>
      <c r="AG134" s="5">
        <f>IFERROR(__xludf.DUMMYFUNCTION("""COMPUTED_VALUE"""),350.0)</f>
        <v>350</v>
      </c>
      <c r="AH134" s="5"/>
      <c r="AI134" s="5">
        <f>IFERROR(__xludf.DUMMYFUNCTION("""COMPUTED_VALUE"""),958.5)</f>
        <v>958.5</v>
      </c>
      <c r="AJ134" s="5">
        <f>IFERROR(__xludf.DUMMYFUNCTION("""COMPUTED_VALUE"""),1075.5)</f>
        <v>1075.5</v>
      </c>
      <c r="AK134" s="5" t="str">
        <f>IFERROR(__xludf.DUMMYFUNCTION("""COMPUTED_VALUE"""),"Los analistas de datos son los profesionales más buscados 🔍
Aprende herramientas prácticas de análisis para transformar datos en decisiones 📊
👉🏻 Aquí tienes la información.")</f>
        <v>Los analistas de datos son los profesionales más buscados 🔍
Aprende herramientas prácticas de análisis para transformar datos en decisiones 📊
👉🏻 Aquí tienes la información.</v>
      </c>
      <c r="AL134" s="5" t="str">
        <f>IFERROR(__xludf.DUMMYFUNCTION("""COMPUTED_VALUE"""),"📊 Excelente, el PEE Analista de Datos te enseña herramientas claves como Power BI y SQL.")</f>
        <v>📊 Excelente, el PEE Analista de Datos te enseña herramientas claves como Power BI y SQL.</v>
      </c>
      <c r="AM134" s="5" t="str">
        <f>IFERROR(__xludf.DUMMYFUNCTION("""COMPUTED_VALUE"""),"💼 Buenísimo, el rol de Analista de Datos es uno de los más demandados actualmente.")</f>
        <v>💼 Buenísimo, el rol de Analista de Datos es uno de los más demandados actualmente.</v>
      </c>
      <c r="AN134" s="5" t="str">
        <f>IFERROR(__xludf.DUMMYFUNCTION("""COMPUTED_VALUE"""),"🎓 ¡Genial! Desde la universidad, este PEE te dará una habilidad muy valorada en tu carrera.")</f>
        <v>🎓 ¡Genial! Desde la universidad, este PEE te dará una habilidad muy valorada en tu carrera.</v>
      </c>
      <c r="AO134" s="5" t="str">
        <f>IFERROR(__xludf.DUMMYFUNCTION("""COMPUTED_VALUE"""),"🚀 ¡Perfecto! Con el PEE en Datos tendrás ventaja en empleos de inteligencia de negocios.")</f>
        <v>🚀 ¡Perfecto! Con el PEE en Datos tendrás ventaja en empleos de inteligencia de negocios.</v>
      </c>
      <c r="AP134" s="5" t="str">
        <f>IFERROR(__xludf.DUMMYFUNCTION("""COMPUTED_VALUE"""),"📉 ¡Excelente! Podrás aplicar análisis a tu propio negocio para crecer con datos reales.")</f>
        <v>📉 ¡Excelente! Podrás aplicar análisis a tu propio negocio para crecer con datos reales.</v>
      </c>
      <c r="AQ134" s="9" t="str">
        <f>IFERROR(__xludf.DUMMYFUNCTION("""COMPUTED_VALUE"""),"https://we-educacion.com/slides/pee-analista-de-datos-96")</f>
        <v>https://we-educacion.com/slides/pee-analista-de-datos-96</v>
      </c>
      <c r="AR134" s="5">
        <v>1.0</v>
      </c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</row>
    <row r="135" ht="15.75" customHeight="1">
      <c r="A135" s="5" t="s">
        <v>177</v>
      </c>
      <c r="B135" s="5" t="str">
        <f t="shared" si="1"/>
        <v>DIC. II - ED25</v>
      </c>
      <c r="C135" s="6" t="str">
        <f>IFERROR(__xludf.DUMMYFUNCTION("""COMPUTED_VALUE"""),"BI")</f>
        <v>BI</v>
      </c>
      <c r="D135" s="6" t="str">
        <f>IFERROR(__xludf.DUMMYFUNCTION("""COMPUTED_VALUE"""),"CURSO")</f>
        <v>CURSO</v>
      </c>
      <c r="E135" s="6" t="str">
        <f>IFERROR(__xludf.DUMMYFUNCTION("""COMPUTED_VALUE"""),"SQL SERVER")</f>
        <v>SQL SERVER</v>
      </c>
      <c r="F135" s="7">
        <f>IFERROR(__xludf.DUMMYFUNCTION("""COMPUTED_VALUE"""),46019.0)</f>
        <v>46019</v>
      </c>
      <c r="G135" s="6"/>
      <c r="H135" s="7"/>
      <c r="I135" s="6"/>
      <c r="J135" s="7"/>
      <c r="K135" s="6"/>
      <c r="L135" s="7"/>
      <c r="M135" s="6"/>
      <c r="N135" s="7"/>
      <c r="O135" s="6"/>
      <c r="P135" s="7"/>
      <c r="Q135" s="6" t="str">
        <f>IFERROR(__xludf.DUMMYFUNCTION("""COMPUTED_VALUE"""),"David Llaja
")</f>
        <v>David Llaja
</v>
      </c>
      <c r="R135" s="5" t="str">
        <f>IFERROR(__xludf.DUMMYFUNCTION("""COMPUTED_VALUE"""),"Dom")</f>
        <v>Dom</v>
      </c>
      <c r="S135" s="6" t="str">
        <f>IFERROR(__xludf.DUMMYFUNCTION("""COMPUTED_VALUE"""),"9AM - 12PM")</f>
        <v>9AM - 12PM</v>
      </c>
      <c r="T135" s="7" t="str">
        <f>IFERROR(__xludf.DUMMYFUNCTION("""COMPUTED_VALUE"""),"Domingo 28 Diciembre")</f>
        <v>Domingo 28 Diciembre</v>
      </c>
      <c r="U135" s="7" t="str">
        <f>IFERROR(__xludf.DUMMYFUNCTION("""COMPUTED_VALUE"""),"Domingo 1 Febrero")</f>
        <v>Domingo 1 Febrero</v>
      </c>
      <c r="V135" s="8">
        <f>IFERROR(__xludf.DUMMYFUNCTION("""COMPUTED_VALUE"""),6.0)</f>
        <v>6</v>
      </c>
      <c r="W135" s="5" t="str">
        <f>IFERROR(__xludf.DUMMYFUNCTION("""COMPUTED_VALUE"""),"pdfs/BROCHURE SQL SERVER.pdf")</f>
        <v>pdfs/BROCHURE SQL SERVER.pdf</v>
      </c>
      <c r="X135" s="5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35" s="5" t="str">
        <f>IFERROR(__xludf.DUMMYFUNCTION("""COMPUTED_VALUE"""),"images/sqlserver.jpg")</f>
        <v>images/sqlserver.jpg</v>
      </c>
      <c r="Z135" s="5" t="str">
        <f>IFERROR(__xludf.DUMMYFUNCTION("""COMPUTED_VALUE"""),"Avalado por Microsoft Partner Network")</f>
        <v>Avalado por Microsoft Partner Network</v>
      </c>
      <c r="AA135" s="5" t="str">
        <f>IFERROR(__xludf.DUMMYFUNCTION("""COMPUTED_VALUE"""),"NO")</f>
        <v>NO</v>
      </c>
      <c r="AB135" s="6">
        <f>IFERROR(__xludf.DUMMYFUNCTION("""COMPUTED_VALUE"""),830.0)</f>
        <v>830</v>
      </c>
      <c r="AC135" s="6">
        <f>IFERROR(__xludf.DUMMYFUNCTION("""COMPUTED_VALUE"""),740.0)</f>
        <v>740</v>
      </c>
      <c r="AD135" s="6">
        <f>IFERROR(__xludf.DUMMYFUNCTION("""COMPUTED_VALUE"""),415.0)</f>
        <v>415</v>
      </c>
      <c r="AE135" s="6">
        <f>IFERROR(__xludf.DUMMYFUNCTION("""COMPUTED_VALUE"""),370.0)</f>
        <v>370</v>
      </c>
      <c r="AF135" s="6">
        <f>IFERROR(__xludf.DUMMYFUNCTION("""COMPUTED_VALUE"""),150.0)</f>
        <v>150</v>
      </c>
      <c r="AG135" s="5">
        <f>IFERROR(__xludf.DUMMYFUNCTION("""COMPUTED_VALUE"""),150.0)</f>
        <v>150</v>
      </c>
      <c r="AH135" s="5"/>
      <c r="AI135" s="5">
        <f>IFERROR(__xludf.DUMMYFUNCTION("""COMPUTED_VALUE"""),333.0)</f>
        <v>333</v>
      </c>
      <c r="AJ135" s="5">
        <f>IFERROR(__xludf.DUMMYFUNCTION("""COMPUTED_VALUE"""),373.5)</f>
        <v>373.5</v>
      </c>
      <c r="AK135" s="5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135" s="5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135" s="5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135" s="5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135" s="5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135" s="5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135" s="9" t="str">
        <f>IFERROR(__xludf.DUMMYFUNCTION("""COMPUTED_VALUE"""),"https://we-educacion.com/slides/sql-server-for-analytics-52")</f>
        <v>https://we-educacion.com/slides/sql-server-for-analytics-52</v>
      </c>
      <c r="AR135" s="5">
        <v>1.0</v>
      </c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</row>
    <row r="136" ht="15.75" customHeight="1">
      <c r="A136" s="5" t="s">
        <v>178</v>
      </c>
      <c r="B136" s="5" t="str">
        <f t="shared" si="1"/>
        <v>ENE. I - ED26</v>
      </c>
      <c r="C136" s="6" t="str">
        <f>IFERROR(__xludf.DUMMYFUNCTION("""COMPUTED_VALUE"""),"PROCESOS")</f>
        <v>PROCESOS</v>
      </c>
      <c r="D136" s="6" t="str">
        <f>IFERROR(__xludf.DUMMYFUNCTION("""COMPUTED_VALUE"""),"CURSO")</f>
        <v>CURSO</v>
      </c>
      <c r="E136" s="6" t="str">
        <f>IFERROR(__xludf.DUMMYFUNCTION("""COMPUTED_VALUE"""),"POWER APPS AVANZ")</f>
        <v>POWER APPS AVANZ</v>
      </c>
      <c r="F136" s="7">
        <f>IFERROR(__xludf.DUMMYFUNCTION("""COMPUTED_VALUE"""),46025.0)</f>
        <v>46025</v>
      </c>
      <c r="G136" s="6"/>
      <c r="H136" s="7"/>
      <c r="I136" s="6"/>
      <c r="J136" s="7"/>
      <c r="K136" s="6"/>
      <c r="L136" s="7"/>
      <c r="M136" s="6"/>
      <c r="N136" s="7"/>
      <c r="O136" s="6"/>
      <c r="P136" s="7"/>
      <c r="Q136" s="6" t="str">
        <f>IFERROR(__xludf.DUMMYFUNCTION("""COMPUTED_VALUE"""),"Jesús Gaspar")</f>
        <v>Jesús Gaspar</v>
      </c>
      <c r="R136" s="5" t="str">
        <f>IFERROR(__xludf.DUMMYFUNCTION("""COMPUTED_VALUE"""),"Sáb")</f>
        <v>Sáb</v>
      </c>
      <c r="S136" s="6" t="str">
        <f>IFERROR(__xludf.DUMMYFUNCTION("""COMPUTED_VALUE"""),"3PM - 6PM")</f>
        <v>3PM - 6PM</v>
      </c>
      <c r="T136" s="7" t="str">
        <f>IFERROR(__xludf.DUMMYFUNCTION("""COMPUTED_VALUE"""),"Sábado 3 Enero")</f>
        <v>Sábado 3 Enero</v>
      </c>
      <c r="U136" s="7" t="str">
        <f>IFERROR(__xludf.DUMMYFUNCTION("""COMPUTED_VALUE"""),"Sábado 7 Febrero")</f>
        <v>Sábado 7 Febrero</v>
      </c>
      <c r="V136" s="8">
        <f>IFERROR(__xludf.DUMMYFUNCTION("""COMPUTED_VALUE"""),6.0)</f>
        <v>6</v>
      </c>
      <c r="W136" s="5" t="str">
        <f>IFERROR(__xludf.DUMMYFUNCTION("""COMPUTED_VALUE"""),"pdfs/BROCHURE POWER APPS &amp; AUTOMATE AVANZADO.pdf")</f>
        <v>pdfs/BROCHURE POWER APPS &amp; AUTOMATE AVANZADO.pdf</v>
      </c>
      <c r="X136" s="5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136" s="5" t="str">
        <f>IFERROR(__xludf.DUMMYFUNCTION("""COMPUTED_VALUE"""),"images/powerappavanz.jpg")</f>
        <v>images/powerappavanz.jpg</v>
      </c>
      <c r="Z136" s="5" t="str">
        <f>IFERROR(__xludf.DUMMYFUNCTION("""COMPUTED_VALUE"""),"Avalado por Microsoft Partner Network")</f>
        <v>Avalado por Microsoft Partner Network</v>
      </c>
      <c r="AA136" s="5" t="str">
        <f>IFERROR(__xludf.DUMMYFUNCTION("""COMPUTED_VALUE"""),"NO")</f>
        <v>NO</v>
      </c>
      <c r="AB136" s="6">
        <f>IFERROR(__xludf.DUMMYFUNCTION("""COMPUTED_VALUE"""),650.0)</f>
        <v>650</v>
      </c>
      <c r="AC136" s="6">
        <f>IFERROR(__xludf.DUMMYFUNCTION("""COMPUTED_VALUE"""),570.0)</f>
        <v>570</v>
      </c>
      <c r="AD136" s="6">
        <f>IFERROR(__xludf.DUMMYFUNCTION("""COMPUTED_VALUE"""),325.0)</f>
        <v>325</v>
      </c>
      <c r="AE136" s="6">
        <f>IFERROR(__xludf.DUMMYFUNCTION("""COMPUTED_VALUE"""),285.0)</f>
        <v>285</v>
      </c>
      <c r="AF136" s="6">
        <f>IFERROR(__xludf.DUMMYFUNCTION("""COMPUTED_VALUE"""),150.0)</f>
        <v>150</v>
      </c>
      <c r="AG136" s="5">
        <f>IFERROR(__xludf.DUMMYFUNCTION("""COMPUTED_VALUE"""),150.0)</f>
        <v>150</v>
      </c>
      <c r="AH136" s="5"/>
      <c r="AI136" s="5">
        <f>IFERROR(__xludf.DUMMYFUNCTION("""COMPUTED_VALUE"""),256.5)</f>
        <v>256.5</v>
      </c>
      <c r="AJ136" s="5">
        <f>IFERROR(__xludf.DUMMYFUNCTION("""COMPUTED_VALUE"""),292.5)</f>
        <v>292.5</v>
      </c>
      <c r="AK136" s="5" t="str">
        <f>IFERROR(__xludf.DUMMYFUNCTION("""COMPUTED_VALUE"""),"El futuro de los negocios es la automatización sin código 💡
Con Power Apps Avanzado diseñarás aplicaciones prácticas para optimizar procesos reales 📊.
Aquí te comparto la información 👇🏻")</f>
        <v>El futuro de los negocios es la automatización sin código 💡
Con Power Apps Avanzado diseñarás aplicaciones prácticas para optimizar procesos reales 📊.
Aquí te comparto la información 👇🏻</v>
      </c>
      <c r="AL136" s="5" t="str">
        <f>IFERROR(__xludf.DUMMYFUNCTION("""COMPUTED_VALUE"""),"⚡ Excelente, actualízate con Power Apps Avanzado y domina la automatización de procesos.")</f>
        <v>⚡ Excelente, actualízate con Power Apps Avanzado y domina la automatización de procesos.</v>
      </c>
      <c r="AM136" s="5" t="str">
        <f>IFERROR(__xludf.DUMMYFUNCTION("""COMPUTED_VALUE"""),"💼 Buenísimo, Power Apps Avanzado es muy buscado en empresas que digitalizan operaciones.")</f>
        <v>💼 Buenísimo, Power Apps Avanzado es muy buscado en empresas que digitalizan operaciones.</v>
      </c>
      <c r="AN136" s="5" t="str">
        <f>IFERROR(__xludf.DUMMYFUNCTION("""COMPUTED_VALUE"""),"🎓 ¡Genial! Con Power Apps Avanzado aprenderás a crear soluciones prácticas desde la universidad.")</f>
        <v>🎓 ¡Genial! Con Power Apps Avanzado aprenderás a crear soluciones prácticas desde la universidad.</v>
      </c>
      <c r="AO136" s="5" t="str">
        <f>IFERROR(__xludf.DUMMYFUNCTION("""COMPUTED_VALUE"""),"🚀 ¡Perfecto! Saber Power Apps Avanzado te dará ventaja frente a otros en prácticas de TI.")</f>
        <v>🚀 ¡Perfecto! Saber Power Apps Avanzado te dará ventaja frente a otros en prácticas de TI.</v>
      </c>
      <c r="AP136" s="5" t="str">
        <f>IFERROR(__xludf.DUMMYFUNCTION("""COMPUTED_VALUE"""),"📊 ¡Excelente! Con Power Apps Avanzado podrás optimizar tus procesos de negocio con apps propias.")</f>
        <v>📊 ¡Excelente! Con Power Apps Avanzado podrás optimizar tus procesos de negocio con apps propias.</v>
      </c>
      <c r="AQ136" s="9" t="str">
        <f>IFERROR(__xludf.DUMMYFUNCTION("""COMPUTED_VALUE"""),"https://we-educacion.com/slides/power-apps-automate-avanzado-1112")</f>
        <v>https://we-educacion.com/slides/power-apps-automate-avanzado-1112</v>
      </c>
      <c r="AR136" s="5">
        <v>1.0</v>
      </c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</row>
    <row r="137" ht="15.75" customHeight="1">
      <c r="A137" s="5" t="s">
        <v>179</v>
      </c>
      <c r="B137" s="5" t="str">
        <f t="shared" si="1"/>
        <v>ENE. I - ED26</v>
      </c>
      <c r="C137" s="6" t="str">
        <f>IFERROR(__xludf.DUMMYFUNCTION("""COMPUTED_VALUE"""),"DISEÑO Y MODELO GRÁFICO")</f>
        <v>DISEÑO Y MODELO GRÁFICO</v>
      </c>
      <c r="D137" s="6" t="str">
        <f>IFERROR(__xludf.DUMMYFUNCTION("""COMPUTED_VALUE"""),"CURSO")</f>
        <v>CURSO</v>
      </c>
      <c r="E137" s="6" t="str">
        <f>IFERROR(__xludf.DUMMYFUNCTION("""COMPUTED_VALUE"""),"BIM MANAGEMEMT ")</f>
        <v>BIM MANAGEMEMT </v>
      </c>
      <c r="F137" s="7">
        <f>IFERROR(__xludf.DUMMYFUNCTION("""COMPUTED_VALUE"""),46025.0)</f>
        <v>46025</v>
      </c>
      <c r="G137" s="6"/>
      <c r="H137" s="7"/>
      <c r="I137" s="6"/>
      <c r="J137" s="7"/>
      <c r="K137" s="6"/>
      <c r="L137" s="7"/>
      <c r="M137" s="6"/>
      <c r="N137" s="7"/>
      <c r="O137" s="6"/>
      <c r="P137" s="7"/>
      <c r="Q137" s="6"/>
      <c r="R137" s="5" t="str">
        <f>IFERROR(__xludf.DUMMYFUNCTION("""COMPUTED_VALUE"""),"Sáb")</f>
        <v>Sáb</v>
      </c>
      <c r="S137" s="6" t="str">
        <f>IFERROR(__xludf.DUMMYFUNCTION("""COMPUTED_VALUE"""),"3PM - 6PM")</f>
        <v>3PM - 6PM</v>
      </c>
      <c r="T137" s="7" t="str">
        <f>IFERROR(__xludf.DUMMYFUNCTION("""COMPUTED_VALUE"""),"Sábado 3 Enero")</f>
        <v>Sábado 3 Enero</v>
      </c>
      <c r="U137" s="7" t="str">
        <f>IFERROR(__xludf.DUMMYFUNCTION("""COMPUTED_VALUE"""),"Sábado 7 Febrero")</f>
        <v>Sábado 7 Febrero</v>
      </c>
      <c r="V137" s="8">
        <f>IFERROR(__xludf.DUMMYFUNCTION("""COMPUTED_VALUE"""),6.0)</f>
        <v>6</v>
      </c>
      <c r="W137" s="5"/>
      <c r="X137" s="5"/>
      <c r="Y137" s="5"/>
      <c r="Z137" s="5"/>
      <c r="AA137" s="5"/>
      <c r="AB137" s="6"/>
      <c r="AC137" s="6"/>
      <c r="AD137" s="6"/>
      <c r="AE137" s="6"/>
      <c r="AF137" s="6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 t="str">
        <f>IFERROR(__xludf.DUMMYFUNCTION("""COMPUTED_VALUE"""),"#N/A")</f>
        <v>#N/A</v>
      </c>
      <c r="AR137" s="5">
        <v>1.0</v>
      </c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</row>
    <row r="138" ht="15.75" customHeight="1">
      <c r="A138" s="5" t="s">
        <v>180</v>
      </c>
      <c r="B138" s="5" t="str">
        <f t="shared" si="1"/>
        <v>ENE. I - ED26</v>
      </c>
      <c r="C138" s="6" t="str">
        <f>IFERROR(__xludf.DUMMYFUNCTION("""COMPUTED_VALUE"""),"PROCESOS")</f>
        <v>PROCESOS</v>
      </c>
      <c r="D138" s="5" t="str">
        <f>IFERROR(__xludf.DUMMYFUNCTION("""COMPUTED_VALUE"""),"CURSO")</f>
        <v>CURSO</v>
      </c>
      <c r="E138" s="6" t="str">
        <f>IFERROR(__xludf.DUMMYFUNCTION("""COMPUTED_VALUE"""),"KPIS Y OKRS")</f>
        <v>KPIS Y OKRS</v>
      </c>
      <c r="F138" s="7">
        <f>IFERROR(__xludf.DUMMYFUNCTION("""COMPUTED_VALUE"""),46026.0)</f>
        <v>46026</v>
      </c>
      <c r="G138" s="6"/>
      <c r="H138" s="7"/>
      <c r="I138" s="6"/>
      <c r="J138" s="7"/>
      <c r="K138" s="6"/>
      <c r="L138" s="7"/>
      <c r="M138" s="6"/>
      <c r="N138" s="7"/>
      <c r="O138" s="6"/>
      <c r="P138" s="7"/>
      <c r="Q138" s="6" t="str">
        <f>IFERROR(__xludf.DUMMYFUNCTION("""COMPUTED_VALUE"""),"Luis Euribe")</f>
        <v>Luis Euribe</v>
      </c>
      <c r="R138" s="5" t="str">
        <f>IFERROR(__xludf.DUMMYFUNCTION("""COMPUTED_VALUE"""),"Dom")</f>
        <v>Dom</v>
      </c>
      <c r="S138" s="6" t="str">
        <f>IFERROR(__xludf.DUMMYFUNCTION("""COMPUTED_VALUE"""),"9AM - 12PM")</f>
        <v>9AM - 12PM</v>
      </c>
      <c r="T138" s="7" t="str">
        <f>IFERROR(__xludf.DUMMYFUNCTION("""COMPUTED_VALUE"""),"Domingo 4 Enero")</f>
        <v>Domingo 4 Enero</v>
      </c>
      <c r="U138" s="7" t="str">
        <f>IFERROR(__xludf.DUMMYFUNCTION("""COMPUTED_VALUE"""),"Domingo 8 Febrero")</f>
        <v>Domingo 8 Febrero</v>
      </c>
      <c r="V138" s="8">
        <f>IFERROR(__xludf.DUMMYFUNCTION("""COMPUTED_VALUE"""),5.0)</f>
        <v>5</v>
      </c>
      <c r="W138" s="5" t="str">
        <f>IFERROR(__xludf.DUMMYFUNCTION("""COMPUTED_VALUE"""),"pdfs/BROCHURE KPI'S Y OKR'S.pdf")</f>
        <v>pdfs/BROCHURE KPI'S Y OKR'S.pdf</v>
      </c>
      <c r="X138" s="5" t="str">
        <f>IFERROR(__xludf.DUMMYFUNCTION("""COMPUTED_VALUE"""),"🔵*¡Certificado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for"&amp;"matos
🚨 *Por favor, revisa el BROCHURE* 👇🏻
Aqui encontrarás la información completa del programa, el TEMARIO (malla curricular) y todos los BENEFICIOS 📚")</f>
        <v>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*Por favor, revisa el BROCHURE* 👇🏻
Aqui encontrarás la información completa del programa, el TEMARIO (malla curricular) y todos los BENEFICIOS 📚</v>
      </c>
      <c r="Y138" s="5" t="str">
        <f>IFERROR(__xludf.DUMMYFUNCTION("""COMPUTED_VALUE"""),"images/kpis.jpg")</f>
        <v>images/kpis.jpg</v>
      </c>
      <c r="Z138" s="5" t="str">
        <f>IFERROR(__xludf.DUMMYFUNCTION("""COMPUTED_VALUE"""),"Avalado por Microsoft Partner Network")</f>
        <v>Avalado por Microsoft Partner Network</v>
      </c>
      <c r="AA138" s="5" t="str">
        <f>IFERROR(__xludf.DUMMYFUNCTION("""COMPUTED_VALUE"""),"NO")</f>
        <v>NO</v>
      </c>
      <c r="AB138" s="6">
        <f>IFERROR(__xludf.DUMMYFUNCTION("""COMPUTED_VALUE"""),700.0)</f>
        <v>700</v>
      </c>
      <c r="AC138" s="6">
        <f>IFERROR(__xludf.DUMMYFUNCTION("""COMPUTED_VALUE"""),636.0)</f>
        <v>636</v>
      </c>
      <c r="AD138" s="6">
        <f>IFERROR(__xludf.DUMMYFUNCTION("""COMPUTED_VALUE"""),350.0)</f>
        <v>350</v>
      </c>
      <c r="AE138" s="6">
        <f>IFERROR(__xludf.DUMMYFUNCTION("""COMPUTED_VALUE"""),318.0)</f>
        <v>318</v>
      </c>
      <c r="AF138" s="6">
        <f>IFERROR(__xludf.DUMMYFUNCTION("""COMPUTED_VALUE"""),150.0)</f>
        <v>150</v>
      </c>
      <c r="AG138" s="5">
        <f>IFERROR(__xludf.DUMMYFUNCTION("""COMPUTED_VALUE"""),150.0)</f>
        <v>150</v>
      </c>
      <c r="AH138" s="5"/>
      <c r="AI138" s="5">
        <f>IFERROR(__xludf.DUMMYFUNCTION("""COMPUTED_VALUE"""),286.2)</f>
        <v>286.2</v>
      </c>
      <c r="AJ138" s="5">
        <f>IFERROR(__xludf.DUMMYFUNCTION("""COMPUTED_VALUE"""),315.0)</f>
        <v>315</v>
      </c>
      <c r="AK138" s="5" t="str">
        <f>IFERROR(__xludf.DUMMYFUNCTION("""COMPUTED_VALUE"""),"El éxito de los líderes está en medir lo que importa 📈
Con KPIs y OKRs aprenderás a establecer indicadores y objetivos estratégicos aplicados a casos reales 💼.
Aquí la información completa 👇🏻")</f>
        <v>El éxito de los líderes está en medir lo que importa 📈
Con KPIs y OKRs aprenderás a establecer indicadores y objetivos estratégicos aplicados a casos reales 💼.
Aquí la información completa 👇🏻</v>
      </c>
      <c r="AL138" s="5" t="str">
        <f>IFERROR(__xludf.DUMMYFUNCTION("""COMPUTED_VALUE"""),"🌍 *Excelente*, actualízate con *KPIS Y OKRS* y mantente competitivo en el mercado laboral.")</f>
        <v>🌍 *Excelente*, actualízate con *KPIS Y OKRS* y mantente competitivo en el mercado laboral.</v>
      </c>
      <c r="AM138" s="5" t="str">
        <f>IFERROR(__xludf.DUMMYFUNCTION("""COMPUTED_VALUE"""),"✨ Buenísimo, *KPIS Y OKRS* es de las competencias más pedidas por las empresas y aumentará tus oportunidades laborales.")</f>
        <v>✨ Buenísimo, *KPIS Y OKRS* es de las competencias más pedidas por las empresas y aumentará tus oportunidades laborales.</v>
      </c>
      <c r="AN138" s="5" t="str">
        <f>IFERROR(__xludf.DUMMYFUNCTION("""COMPUTED_VALUE"""),"🌍 ¡Genial! Con *KPIS Y OKRS* sumarás una habilidad poderosa que te diferenciará desde la universidad.")</f>
        <v>🌍 ¡Genial! Con *KPIS Y OKRS* sumarás una habilidad poderosa que te diferenciará desde la universidad.</v>
      </c>
      <c r="AO138" s="5" t="str">
        <f>IFERROR(__xludf.DUMMYFUNCTION("""COMPUTED_VALUE"""),"🛠️ ¡Perfecto! Saber *KPIS Y OKRS* te dará ventaja frente a otros postulantes para conseguir prácticas.")</f>
        <v>🛠️ ¡Perfecto! Saber *KPIS Y OKRS* te dará ventaja frente a otros postulantes para conseguir prácticas.</v>
      </c>
      <c r="AP138" s="5" t="str">
        <f>IFERROR(__xludf.DUMMYFUNCTION("""COMPUTED_VALUE"""),"🎓 ¡Excelente! Con *KPIS Y OKRS* podrás aplicarlo en tu negocio y tomar decisiones más inteligentes.")</f>
        <v>🎓 ¡Excelente! Con *KPIS Y OKRS* podrás aplicarlo en tu negocio y tomar decisiones más inteligentes.</v>
      </c>
      <c r="AQ138" s="9" t="str">
        <f>IFERROR(__xludf.DUMMYFUNCTION("""COMPUTED_VALUE"""),"https://we-educacion.com/slides/kpi-s-y-okr-s-203")</f>
        <v>https://we-educacion.com/slides/kpi-s-y-okr-s-203</v>
      </c>
      <c r="AR138" s="5">
        <v>1.0</v>
      </c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</row>
    <row r="139" ht="15.75" customHeight="1">
      <c r="A139" s="5" t="s">
        <v>181</v>
      </c>
      <c r="B139" s="5" t="str">
        <f t="shared" si="1"/>
        <v>ENE. I - ED26</v>
      </c>
      <c r="C139" s="6" t="str">
        <f>IFERROR(__xludf.DUMMYFUNCTION("""COMPUTED_VALUE"""),"PROYECTOS")</f>
        <v>PROYECTOS</v>
      </c>
      <c r="D139" s="5" t="str">
        <f>IFERROR(__xludf.DUMMYFUNCTION("""COMPUTED_VALUE"""),"CURSO")</f>
        <v>CURSO</v>
      </c>
      <c r="E139" s="6" t="str">
        <f>IFERROR(__xludf.DUMMYFUNCTION("""COMPUTED_VALUE"""),"GEST. ÁGIL PROYECT")</f>
        <v>GEST. ÁGIL PROYECT</v>
      </c>
      <c r="F139" s="7">
        <f>IFERROR(__xludf.DUMMYFUNCTION("""COMPUTED_VALUE"""),46026.0)</f>
        <v>46026</v>
      </c>
      <c r="G139" s="6"/>
      <c r="H139" s="7"/>
      <c r="I139" s="6"/>
      <c r="J139" s="7"/>
      <c r="K139" s="6"/>
      <c r="L139" s="7"/>
      <c r="M139" s="6"/>
      <c r="N139" s="7"/>
      <c r="O139" s="6"/>
      <c r="P139" s="7"/>
      <c r="Q139" s="6" t="str">
        <f>IFERROR(__xludf.DUMMYFUNCTION("""COMPUTED_VALUE"""),"Moisés Zabalbeascoa")</f>
        <v>Moisés Zabalbeascoa</v>
      </c>
      <c r="R139" s="5" t="str">
        <f>IFERROR(__xludf.DUMMYFUNCTION("""COMPUTED_VALUE"""),"Dom")</f>
        <v>Dom</v>
      </c>
      <c r="S139" s="6" t="str">
        <f>IFERROR(__xludf.DUMMYFUNCTION("""COMPUTED_VALUE"""),"3PM - 6PM")</f>
        <v>3PM - 6PM</v>
      </c>
      <c r="T139" s="7" t="str">
        <f>IFERROR(__xludf.DUMMYFUNCTION("""COMPUTED_VALUE"""),"Domingo 4 Enero")</f>
        <v>Domingo 4 Enero</v>
      </c>
      <c r="U139" s="7" t="str">
        <f>IFERROR(__xludf.DUMMYFUNCTION("""COMPUTED_VALUE"""),"Domingo 8 Febrero")</f>
        <v>Domingo 8 Febrero</v>
      </c>
      <c r="V139" s="8">
        <f>IFERROR(__xludf.DUMMYFUNCTION("""COMPUTED_VALUE"""),5.0)</f>
        <v>5</v>
      </c>
      <c r="W139" s="5" t="str">
        <f>IFERROR(__xludf.DUMMYFUNCTION("""COMPUTED_VALUE"""),"pdfs/BROCHURE GESTIÓN ÁGIL DE PROYECTOS.pdf")</f>
        <v>pdfs/BROCHURE GESTIÓN ÁGIL DE PROYECTOS.pdf</v>
      </c>
      <c r="X139" s="5" t="str">
        <f>IFERROR(__xludf.DUMMYFUNCTION("""COMPUTED_VALUE"""),"🔵 *¡Certificados Adicionales!* ⭐
👉🏻 Certificado *Scrum Fundamentals*
👉🏻 Certificado *Scrum Master* tiene la inversión de *$50* ~(Normal $150)~
_Incluye material de práctica y 2 intentos del examen_
🚨 *Por favor, revisa el BROCHURE* 👇🏻
Aqui encont"&amp;"rarás la información completa del programa, el TEMARIO (malla curricular) y todos los BENEFICIOS 📚")</f>
        <v>🔵 *¡Certificados Adicionales!* ⭐
👉🏻 Certificado *Scrum Fundamentals*
👉🏻 Certificado *Scrum Master* tiene la inversión de *$50* ~(Normal $150)~
_Incluye material de práctica y 2 intentos del examen_
🚨 *Por favor, revisa el BROCHURE* 👇🏻
Aqui encontrarás la información completa del programa, el TEMARIO (malla curricular) y todos los BENEFICIOS 📚</v>
      </c>
      <c r="Y139" s="5" t="str">
        <f>IFERROR(__xludf.DUMMYFUNCTION("""COMPUTED_VALUE"""),"images/gestagil.jpg")</f>
        <v>images/gestagil.jpg</v>
      </c>
      <c r="Z139" s="5"/>
      <c r="AA139" s="5" t="str">
        <f>IFERROR(__xludf.DUMMYFUNCTION("""COMPUTED_VALUE"""),"SI")</f>
        <v>SI</v>
      </c>
      <c r="AB139" s="6">
        <f>IFERROR(__xludf.DUMMYFUNCTION("""COMPUTED_VALUE"""),640.0)</f>
        <v>640</v>
      </c>
      <c r="AC139" s="6">
        <f>IFERROR(__xludf.DUMMYFUNCTION("""COMPUTED_VALUE"""),550.0)</f>
        <v>550</v>
      </c>
      <c r="AD139" s="6">
        <f>IFERROR(__xludf.DUMMYFUNCTION("""COMPUTED_VALUE"""),320.0)</f>
        <v>320</v>
      </c>
      <c r="AE139" s="6">
        <f>IFERROR(__xludf.DUMMYFUNCTION("""COMPUTED_VALUE"""),275.0)</f>
        <v>275</v>
      </c>
      <c r="AF139" s="6">
        <f>IFERROR(__xludf.DUMMYFUNCTION("""COMPUTED_VALUE"""),150.0)</f>
        <v>150</v>
      </c>
      <c r="AG139" s="5">
        <f>IFERROR(__xludf.DUMMYFUNCTION("""COMPUTED_VALUE"""),150.0)</f>
        <v>150</v>
      </c>
      <c r="AH139" s="5"/>
      <c r="AI139" s="5">
        <f>IFERROR(__xludf.DUMMYFUNCTION("""COMPUTED_VALUE"""),247.5)</f>
        <v>247.5</v>
      </c>
      <c r="AJ139" s="5">
        <f>IFERROR(__xludf.DUMMYFUNCTION("""COMPUTED_VALUE"""),288.0)</f>
        <v>288</v>
      </c>
      <c r="AK139" s="5" t="str">
        <f>IFERROR(__xludf.DUMMYFUNCTION("""COMPUTED_VALUE"""),"El lenguaje de los equipos de alto rendimiento es la agilidad 🚀
Con Gestión Ágil de Proyectos dominarás metodologías como SCRUM y Kanban aplicadas a negocios reales 💼.
Aquí tienes la info 👇🏻")</f>
        <v>El lenguaje de los equipos de alto rendimiento es la agilidad 🚀
Con Gestión Ágil de Proyectos dominarás metodologías como SCRUM y Kanban aplicadas a negocios reales 💼.
Aquí tienes la info 👇🏻</v>
      </c>
      <c r="AL139" s="5" t="str">
        <f>IFERROR(__xludf.DUMMYFUNCTION("""COMPUTED_VALUE"""),"📘 *Excelente*, actualízate con *GEST. ÁGIL PROYECT* y mantente competitivo en el mercado laboral.")</f>
        <v>📘 *Excelente*, actualízate con *GEST. ÁGIL PROYECT* y mantente competitivo en el mercado laboral.</v>
      </c>
      <c r="AM139" s="5" t="str">
        <f>IFERROR(__xludf.DUMMYFUNCTION("""COMPUTED_VALUE"""),"📈 Buenísimo, *GEST. ÁGIL PROYECT* es de las competencias más pedidas por las empresas y aumentará tus oportunidades laborales.")</f>
        <v>📈 Buenísimo, *GEST. ÁGIL PROYECT* es de las competencias más pedidas por las empresas y aumentará tus oportunidades laborales.</v>
      </c>
      <c r="AN139" s="5" t="str">
        <f>IFERROR(__xludf.DUMMYFUNCTION("""COMPUTED_VALUE"""),"📘 ¡Genial! Con *GEST. ÁGIL PROYECT* sumarás una habilidad poderosa que te diferenciará desde la universidad.")</f>
        <v>📘 ¡Genial! Con *GEST. ÁGIL PROYECT* sumarás una habilidad poderosa que te diferenciará desde la universidad.</v>
      </c>
      <c r="AO139" s="5" t="str">
        <f>IFERROR(__xludf.DUMMYFUNCTION("""COMPUTED_VALUE"""),"🔑 ¡Perfecto! Saber *GEST. ÁGIL PROYECT* te dará ventaja frente a otros postulantes para conseguir prácticas.")</f>
        <v>🔑 ¡Perfecto! Saber *GEST. ÁGIL PROYECT* te dará ventaja frente a otros postulantes para conseguir prácticas.</v>
      </c>
      <c r="AP139" s="5" t="str">
        <f>IFERROR(__xludf.DUMMYFUNCTION("""COMPUTED_VALUE"""),"📘 ¡Excelente! Con *GEST. ÁGIL PROYECT* podrás aplicarlo en tu negocio y tomar decisiones más inteligentes.")</f>
        <v>📘 ¡Excelente! Con *GEST. ÁGIL PROYECT* podrás aplicarlo en tu negocio y tomar decisiones más inteligentes.</v>
      </c>
      <c r="AQ139" s="9" t="str">
        <f>IFERROR(__xludf.DUMMYFUNCTION("""COMPUTED_VALUE"""),"https://we-educacion.com/slides/gestion-agil-de-proyectos-515")</f>
        <v>https://we-educacion.com/slides/gestion-agil-de-proyectos-515</v>
      </c>
      <c r="AR139" s="5">
        <v>1.0</v>
      </c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</row>
    <row r="140" ht="15.75" customHeight="1">
      <c r="A140" s="5" t="s">
        <v>182</v>
      </c>
      <c r="B140" s="5" t="str">
        <f t="shared" si="1"/>
        <v>ENE. I - ED26</v>
      </c>
      <c r="C140" s="6" t="str">
        <f>IFERROR(__xludf.DUMMYFUNCTION("""COMPUTED_VALUE"""),"SAP")</f>
        <v>SAP</v>
      </c>
      <c r="D140" s="6" t="str">
        <f>IFERROR(__xludf.DUMMYFUNCTION("""COMPUTED_VALUE"""),"CURSO")</f>
        <v>CURSO</v>
      </c>
      <c r="E140" s="6" t="str">
        <f>IFERROR(__xludf.DUMMYFUNCTION("""COMPUTED_VALUE"""),"SAP HANA PP")</f>
        <v>SAP HANA PP</v>
      </c>
      <c r="F140" s="7">
        <f>IFERROR(__xludf.DUMMYFUNCTION("""COMPUTED_VALUE"""),46026.0)</f>
        <v>46026</v>
      </c>
      <c r="G140" s="6"/>
      <c r="H140" s="7"/>
      <c r="I140" s="6"/>
      <c r="J140" s="7"/>
      <c r="K140" s="6"/>
      <c r="L140" s="7"/>
      <c r="M140" s="6"/>
      <c r="N140" s="7"/>
      <c r="O140" s="6"/>
      <c r="P140" s="7"/>
      <c r="Q140" s="6" t="str">
        <f>IFERROR(__xludf.DUMMYFUNCTION("""COMPUTED_VALUE"""),"Cesar Escarcena")</f>
        <v>Cesar Escarcena</v>
      </c>
      <c r="R140" s="5" t="str">
        <f>IFERROR(__xludf.DUMMYFUNCTION("""COMPUTED_VALUE"""),"Dom")</f>
        <v>Dom</v>
      </c>
      <c r="S140" s="6" t="str">
        <f>IFERROR(__xludf.DUMMYFUNCTION("""COMPUTED_VALUE"""),"9AM - 12PM")</f>
        <v>9AM - 12PM</v>
      </c>
      <c r="T140" s="7" t="str">
        <f>IFERROR(__xludf.DUMMYFUNCTION("""COMPUTED_VALUE"""),"Domingo 4 Enero")</f>
        <v>Domingo 4 Enero</v>
      </c>
      <c r="U140" s="7" t="str">
        <f>IFERROR(__xludf.DUMMYFUNCTION("""COMPUTED_VALUE"""),"Domingo 8 Febrero")</f>
        <v>Domingo 8 Febrero</v>
      </c>
      <c r="V140" s="8">
        <f>IFERROR(__xludf.DUMMYFUNCTION("""COMPUTED_VALUE"""),6.0)</f>
        <v>6</v>
      </c>
      <c r="W140" s="5" t="str">
        <f>IFERROR(__xludf.DUMMYFUNCTION("""COMPUTED_VALUE"""),"pdfs/BROCHURE SAP HANA PP MODULO PRODUCCION.pdf")</f>
        <v>pdfs/BROCHURE SAP HANA PP MODULO PRODUCCION.pdf</v>
      </c>
      <c r="X140" s="5" t="str">
        <f>IFERROR(__xludf.DUMMYFUNCTION("""COMPUTED_VALUE"""),"🔵 *Conoce TODOS los BENEFICIOS a los que accedes*
🔹 Acceso a *Campus Virtual* WE 👩🏻‍🏫
🔹 Material digital y grabación de clases 
🔹 Certificado digital con respaldo *SAP Partner*
🔹 04 Cursos Online de regalo con acceso ilimitado 📚
🔹 Acceso "&amp;"a *Curso SAP R3 con certificación* incluida
🔹 Taller de Automatización SAP con RPA
🔹 Garantía de Aprendizaje 100% 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140" s="5" t="str">
        <f>IFERROR(__xludf.DUMMYFUNCTION("""COMPUTED_VALUE"""),"images/sappp.jpg")</f>
        <v>images/sappp.jpg</v>
      </c>
      <c r="Z140" s="5" t="str">
        <f>IFERROR(__xludf.DUMMYFUNCTION("""COMPUTED_VALUE"""),"Avalado por SAP Partner Open")</f>
        <v>Avalado por SAP Partner Open</v>
      </c>
      <c r="AA140" s="5" t="str">
        <f>IFERROR(__xludf.DUMMYFUNCTION("""COMPUTED_VALUE"""),"NO")</f>
        <v>NO</v>
      </c>
      <c r="AB140" s="6">
        <f>IFERROR(__xludf.DUMMYFUNCTION("""COMPUTED_VALUE"""),900.0)</f>
        <v>900</v>
      </c>
      <c r="AC140" s="6">
        <f>IFERROR(__xludf.DUMMYFUNCTION("""COMPUTED_VALUE"""),750.0)</f>
        <v>750</v>
      </c>
      <c r="AD140" s="6">
        <f>IFERROR(__xludf.DUMMYFUNCTION("""COMPUTED_VALUE"""),450.0)</f>
        <v>450</v>
      </c>
      <c r="AE140" s="6">
        <f>IFERROR(__xludf.DUMMYFUNCTION("""COMPUTED_VALUE"""),375.0)</f>
        <v>375</v>
      </c>
      <c r="AF140" s="6">
        <f>IFERROR(__xludf.DUMMYFUNCTION("""COMPUTED_VALUE"""),150.0)</f>
        <v>150</v>
      </c>
      <c r="AG140" s="5">
        <f>IFERROR(__xludf.DUMMYFUNCTION("""COMPUTED_VALUE"""),150.0)</f>
        <v>150</v>
      </c>
      <c r="AH140" s="5"/>
      <c r="AI140" s="5">
        <f>IFERROR(__xludf.DUMMYFUNCTION("""COMPUTED_VALUE"""),337.5)</f>
        <v>337.5</v>
      </c>
      <c r="AJ140" s="5">
        <f>IFERROR(__xludf.DUMMYFUNCTION("""COMPUTED_VALUE"""),405.0)</f>
        <v>405</v>
      </c>
      <c r="AK140" s="5" t="str">
        <f>IFERROR(__xludf.DUMMYFUNCTION("""COMPUTED_VALUE"""),"La producción inteligente se gestiona con SAP HANA PP 📈
Con este programa aprenderás a planificar y ejecutar procesos productivos con casos aplicados 💼.
Aquí la info completa 👇🏻")</f>
        <v>La producción inteligente se gestiona con SAP HANA PP 📈
Con este programa aprenderás a planificar y ejecutar procesos productivos con casos aplicados 💼.
Aquí la info completa 👇🏻</v>
      </c>
      <c r="AL140" s="5" t="str">
        <f>IFERROR(__xludf.DUMMYFUNCTION("""COMPUTED_VALUE"""),"🏭 Excelente, actualízate con SAP PP y domina la planificación de la producción.")</f>
        <v>🏭 Excelente, actualízate con SAP PP y domina la planificación de la producción.</v>
      </c>
      <c r="AM140" s="5" t="str">
        <f>IFERROR(__xludf.DUMMYFUNCTION("""COMPUTED_VALUE"""),"💼 Buenísimo, SAP PP es muy requerido en empresas de manufactura y supply chain.")</f>
        <v>💼 Buenísimo, SAP PP es muy requerido en empresas de manufactura y supply chain.</v>
      </c>
      <c r="AN140" s="5" t="str">
        <f>IFERROR(__xludf.DUMMYFUNCTION("""COMPUTED_VALUE"""),"🎓 ¡Genial! Con SAP PP aprenderás planificación productiva desde la universidad.")</f>
        <v>🎓 ¡Genial! Con SAP PP aprenderás planificación productiva desde la universidad.</v>
      </c>
      <c r="AO140" s="5" t="str">
        <f>IFERROR(__xludf.DUMMYFUNCTION("""COMPUTED_VALUE"""),"🚀 ¡Perfecto! Con SAP PP tendrás ventaja en prácticas de operaciones y producción.")</f>
        <v>🚀 ¡Perfecto! Con SAP PP tendrás ventaja en prácticas de operaciones y producción.</v>
      </c>
      <c r="AP140" s="5" t="str">
        <f>IFERROR(__xludf.DUMMYFUNCTION("""COMPUTED_VALUE"""),"📊 ¡Excelente! Con SAP PP podrás organizar y optimizar procesos productivos en tu negocio.")</f>
        <v>📊 ¡Excelente! Con SAP PP podrás organizar y optimizar procesos productivos en tu negocio.</v>
      </c>
      <c r="AQ140" s="9" t="str">
        <f>IFERROR(__xludf.DUMMYFUNCTION("""COMPUTED_VALUE"""),"https://we-educacion.com/slides/sap-s-4-hana-pp-66")</f>
        <v>https://we-educacion.com/slides/sap-s-4-hana-pp-66</v>
      </c>
      <c r="AR140" s="5">
        <v>1.0</v>
      </c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</row>
    <row r="141" ht="15.75" customHeight="1">
      <c r="A141" s="5" t="s">
        <v>183</v>
      </c>
      <c r="B141" s="5" t="str">
        <f t="shared" si="1"/>
        <v>ENE. I - ED26</v>
      </c>
      <c r="C141" s="6" t="str">
        <f>IFERROR(__xludf.DUMMYFUNCTION("""COMPUTED_VALUE"""),"BI")</f>
        <v>BI</v>
      </c>
      <c r="D141" s="5" t="str">
        <f>IFERROR(__xludf.DUMMYFUNCTION("""COMPUTED_VALUE"""),"CURSO")</f>
        <v>CURSO</v>
      </c>
      <c r="E141" s="6" t="str">
        <f>IFERROR(__xludf.DUMMYFUNCTION("""COMPUTED_VALUE"""),"POWER BI AVANZ")</f>
        <v>POWER BI AVANZ</v>
      </c>
      <c r="F141" s="7">
        <f>IFERROR(__xludf.DUMMYFUNCTION("""COMPUTED_VALUE"""),46026.0)</f>
        <v>46026</v>
      </c>
      <c r="G141" s="6"/>
      <c r="H141" s="7"/>
      <c r="I141" s="6"/>
      <c r="J141" s="7"/>
      <c r="K141" s="6"/>
      <c r="L141" s="7"/>
      <c r="M141" s="6"/>
      <c r="N141" s="7"/>
      <c r="O141" s="6"/>
      <c r="P141" s="7"/>
      <c r="Q141" s="6" t="str">
        <f>IFERROR(__xludf.DUMMYFUNCTION("""COMPUTED_VALUE"""),"Diego Castillo")</f>
        <v>Diego Castillo</v>
      </c>
      <c r="R141" s="5" t="str">
        <f>IFERROR(__xludf.DUMMYFUNCTION("""COMPUTED_VALUE"""),"Dom")</f>
        <v>Dom</v>
      </c>
      <c r="S141" s="6" t="str">
        <f>IFERROR(__xludf.DUMMYFUNCTION("""COMPUTED_VALUE"""),"9AM - 12PM")</f>
        <v>9AM - 12PM</v>
      </c>
      <c r="T141" s="7" t="str">
        <f>IFERROR(__xludf.DUMMYFUNCTION("""COMPUTED_VALUE"""),"Domingo 4 Enero")</f>
        <v>Domingo 4 Enero</v>
      </c>
      <c r="U141" s="7" t="str">
        <f>IFERROR(__xludf.DUMMYFUNCTION("""COMPUTED_VALUE"""),"Domingo 8 Febrero")</f>
        <v>Domingo 8 Febrero</v>
      </c>
      <c r="V141" s="8">
        <f>IFERROR(__xludf.DUMMYFUNCTION("""COMPUTED_VALUE"""),6.0)</f>
        <v>6</v>
      </c>
      <c r="W141" s="5" t="str">
        <f>IFERROR(__xludf.DUMMYFUNCTION("""COMPUTED_VALUE"""),"pdfs/BROCHURE POWER BI AVANZADO.pdf")</f>
        <v>pdfs/BROCHURE POWER BI AVANZADO.pdf</v>
      </c>
      <c r="X141" s="5" t="str">
        <f>IFERROR(__xludf.DUMMYFUNCTION("""COMPUTED_VALUE"""),"🔵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BROCHU"&amp;"RE* 👇🏻
Aqui encontrarás la información completa del programa, el TEMARIO (malla curricular) y todos los BENEFICIOS 📚")</f>
        <v>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BROCHURE* 👇🏻
Aqui encontrarás la información completa del programa, el TEMARIO (malla curricular) y todos los BENEFICIOS 📚</v>
      </c>
      <c r="Y141" s="5" t="str">
        <f>IFERROR(__xludf.DUMMYFUNCTION("""COMPUTED_VALUE"""),"images/powerbiavanz.jpg")</f>
        <v>images/powerbiavanz.jpg</v>
      </c>
      <c r="Z141" s="5" t="str">
        <f>IFERROR(__xludf.DUMMYFUNCTION("""COMPUTED_VALUE"""),"Avalado por Microsoft Partner Network")</f>
        <v>Avalado por Microsoft Partner Network</v>
      </c>
      <c r="AA141" s="5" t="str">
        <f>IFERROR(__xludf.DUMMYFUNCTION("""COMPUTED_VALUE"""),"NO")</f>
        <v>NO</v>
      </c>
      <c r="AB141" s="6">
        <f>IFERROR(__xludf.DUMMYFUNCTION("""COMPUTED_VALUE"""),830.0)</f>
        <v>830</v>
      </c>
      <c r="AC141" s="6">
        <f>IFERROR(__xludf.DUMMYFUNCTION("""COMPUTED_VALUE"""),740.0)</f>
        <v>740</v>
      </c>
      <c r="AD141" s="6">
        <f>IFERROR(__xludf.DUMMYFUNCTION("""COMPUTED_VALUE"""),415.0)</f>
        <v>415</v>
      </c>
      <c r="AE141" s="6">
        <f>IFERROR(__xludf.DUMMYFUNCTION("""COMPUTED_VALUE"""),370.0)</f>
        <v>370</v>
      </c>
      <c r="AF141" s="6">
        <f>IFERROR(__xludf.DUMMYFUNCTION("""COMPUTED_VALUE"""),150.0)</f>
        <v>150</v>
      </c>
      <c r="AG141" s="5">
        <f>IFERROR(__xludf.DUMMYFUNCTION("""COMPUTED_VALUE"""),150.0)</f>
        <v>150</v>
      </c>
      <c r="AH141" s="5"/>
      <c r="AI141" s="5">
        <f>IFERROR(__xludf.DUMMYFUNCTION("""COMPUTED_VALUE"""),333.0)</f>
        <v>333</v>
      </c>
      <c r="AJ141" s="5">
        <f>IFERROR(__xludf.DUMMYFUNCTION("""COMPUTED_VALUE"""),373.5)</f>
        <v>373.5</v>
      </c>
      <c r="AK141" s="5" t="str">
        <f>IFERROR(__xludf.DUMMYFUNCTION("""COMPUTED_VALUE"""),"El poder está en la data, pero más en cómo la interpretas 🚀
Con Power BI Avanzado llevarás tus reportes y dashboards a un nivel profesional, con análisis que generan impacto en el negocio.
Aquí la info detallada 👇🏻")</f>
        <v>El poder está en la data, pero más en cómo la interpretas 🚀
Con Power BI Avanzado llevarás tus reportes y dashboards a un nivel profesional, con análisis que generan impacto en el negocio.
Aquí la info detallada 👇🏻</v>
      </c>
      <c r="AL141" s="5" t="str">
        <f>IFERROR(__xludf.DUMMYFUNCTION("""COMPUTED_VALUE"""),"Excelente 🙌, actualízate con Power BI Avanzado y lleva tus reportes a un nivel estratégico 🌐 que buscan las empresas.")</f>
        <v>Excelente 🙌, actualízate con Power BI Avanzado y lleva tus reportes a un nivel estratégico 🌐 que buscan las empresas.</v>
      </c>
      <c r="AM141" s="5" t="str">
        <f>IFERROR(__xludf.DUMMYFUNCTION("""COMPUTED_VALUE"""),"Buenísimo 💼, Power BI es altamente demandado 📊. Dominarlo abrirá más oportunidades laborales 🚀.")</f>
        <v>Buenísimo 💼, Power BI es altamente demandado 📊. Dominarlo abrirá más oportunidades laborales 🚀.</v>
      </c>
      <c r="AN141" s="5" t="str">
        <f>IFERROR(__xludf.DUMMYFUNCTION("""COMPUTED_VALUE"""),"¡Excelente! 🎓 Con Power BI Avanzado aprenderás a visualizar datos 📉📈 de forma profesional.")</f>
        <v>¡Excelente! 🎓 Con Power BI Avanzado aprenderás a visualizar datos 📉📈 de forma profesional.</v>
      </c>
      <c r="AO141" s="5" t="str">
        <f>IFERROR(__xludf.DUMMYFUNCTION("""COMPUTED_VALUE"""),"¡Perfecto! 🔑 Saber Power BI te dará ventaja frente a otros postulantes para prácticas en análisis de datos 💻.")</f>
        <v>¡Perfecto! 🔑 Saber Power BI te dará ventaja frente a otros postulantes para prácticas en análisis de datos 💻.</v>
      </c>
      <c r="AP141" s="5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Q141" s="9" t="str">
        <f>IFERROR(__xludf.DUMMYFUNCTION("""COMPUTED_VALUE"""),"https://we-educacion.com/slides/power-bi-avanzado-90")</f>
        <v>https://we-educacion.com/slides/power-bi-avanzado-90</v>
      </c>
      <c r="AR141" s="5">
        <v>1.0</v>
      </c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</row>
    <row r="142" ht="15.75" customHeight="1">
      <c r="A142" s="5" t="s">
        <v>184</v>
      </c>
      <c r="B142" s="5" t="str">
        <f t="shared" si="1"/>
        <v>ENE. I - ED26</v>
      </c>
      <c r="C142" s="6" t="str">
        <f>IFERROR(__xludf.DUMMYFUNCTION("""COMPUTED_VALUE"""),"BI")</f>
        <v>BI</v>
      </c>
      <c r="D142" s="6" t="str">
        <f>IFERROR(__xludf.DUMMYFUNCTION("""COMPUTED_VALUE"""),"ESP.")</f>
        <v>ESP.</v>
      </c>
      <c r="E142" s="6" t="str">
        <f>IFERROR(__xludf.DUMMYFUNCTION("""COMPUTED_VALUE"""),"ESP. POWER BI")</f>
        <v>ESP. POWER BI</v>
      </c>
      <c r="F142" s="7">
        <f>IFERROR(__xludf.DUMMYFUNCTION("""COMPUTED_VALUE"""),46026.0)</f>
        <v>46026</v>
      </c>
      <c r="G142" s="6" t="str">
        <f>IFERROR(__xludf.DUMMYFUNCTION("""COMPUTED_VALUE"""),"POWER BI")</f>
        <v>POWER BI</v>
      </c>
      <c r="H142" s="7">
        <f>IFERROR(__xludf.DUMMYFUNCTION("""COMPUTED_VALUE"""),46026.0)</f>
        <v>46026</v>
      </c>
      <c r="I142" s="6" t="str">
        <f>IFERROR(__xludf.DUMMYFUNCTION("""COMPUTED_VALUE"""),"POWER BI AVANZ")</f>
        <v>POWER BI AVANZ</v>
      </c>
      <c r="J142" s="7">
        <f>IFERROR(__xludf.DUMMYFUNCTION("""COMPUTED_VALUE"""),46068.0)</f>
        <v>46068</v>
      </c>
      <c r="K142" s="6"/>
      <c r="L142" s="7"/>
      <c r="M142" s="6"/>
      <c r="N142" s="7"/>
      <c r="O142" s="6"/>
      <c r="P142" s="7"/>
      <c r="Q142" s="6" t="str">
        <f>IFERROR(__xludf.DUMMYFUNCTION("""COMPUTED_VALUE"""),"Carlos Mesta
Moisés Bautista")</f>
        <v>Carlos Mesta
Moisés Bautista</v>
      </c>
      <c r="R142" s="5" t="str">
        <f>IFERROR(__xludf.DUMMYFUNCTION("""COMPUTED_VALUE"""),"Dom")</f>
        <v>Dom</v>
      </c>
      <c r="S142" s="6" t="str">
        <f>IFERROR(__xludf.DUMMYFUNCTION("""COMPUTED_VALUE"""),"9AM - 12PM")</f>
        <v>9AM - 12PM</v>
      </c>
      <c r="T142" s="7" t="str">
        <f>IFERROR(__xludf.DUMMYFUNCTION("""COMPUTED_VALUE"""),"Domingo 4 Enero")</f>
        <v>Domingo 4 Enero</v>
      </c>
      <c r="U142" s="7" t="str">
        <f>IFERROR(__xludf.DUMMYFUNCTION("""COMPUTED_VALUE"""),"Domingo 22 Marzo")</f>
        <v>Domingo 22 Marzo</v>
      </c>
      <c r="V142" s="8">
        <f>IFERROR(__xludf.DUMMYFUNCTION("""COMPUTED_VALUE"""),12.0)</f>
        <v>12</v>
      </c>
      <c r="W142" s="5" t="str">
        <f>IFERROR(__xludf.DUMMYFUNCTION("""COMPUTED_VALUE"""),"pdfs/BROCHURE ESPECIALIZACION DE POWER BI.pdf")</f>
        <v>pdfs/BROCHURE ESPECIALIZACION DE POWER BI.pdf</v>
      </c>
      <c r="X142" s="5" t="str">
        <f>IFERROR(__xludf.DUMMYFUNCTION("""COMPUTED_VALUE"""),"🔵 *Utilizarán Power BI Desktop y Power BI Pro* 👩🏻‍💻
👉🏼 Incluye tutorial y manual de instalación
👉🏼 Manual de Lenguaje DAX en Power BI
💻 _*Importante*: Para la instalación se necesita una Laptop *Windows*_
🚨 *Por favor, revisa el BROCHURE* 👇🏻
"&amp;"Aqui encontrarás la información completa del programa, el TEMARIO (malla curricular) y todos los BENEFICIOS 📚")</f>
        <v>🔵 *Utilizarán Power BI Desktop y Power BI Pro*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142" s="5" t="str">
        <f>IFERROR(__xludf.DUMMYFUNCTION("""COMPUTED_VALUE"""),"images/esppowerbi.jpg")</f>
        <v>images/esppowerbi.jpg</v>
      </c>
      <c r="Z142" s="5" t="str">
        <f>IFERROR(__xludf.DUMMYFUNCTION("""COMPUTED_VALUE"""),"Avalado por Microsoft Partner Network")</f>
        <v>Avalado por Microsoft Partner Network</v>
      </c>
      <c r="AA142" s="5" t="str">
        <f>IFERROR(__xludf.DUMMYFUNCTION("""COMPUTED_VALUE"""),"NO")</f>
        <v>NO</v>
      </c>
      <c r="AB142" s="6">
        <f>IFERROR(__xludf.DUMMYFUNCTION("""COMPUTED_VALUE"""),1600.0)</f>
        <v>1600</v>
      </c>
      <c r="AC142" s="6">
        <f>IFERROR(__xludf.DUMMYFUNCTION("""COMPUTED_VALUE"""),1400.0)</f>
        <v>1400</v>
      </c>
      <c r="AD142" s="6">
        <f>IFERROR(__xludf.DUMMYFUNCTION("""COMPUTED_VALUE"""),800.0)</f>
        <v>800</v>
      </c>
      <c r="AE142" s="6">
        <f>IFERROR(__xludf.DUMMYFUNCTION("""COMPUTED_VALUE"""),700.0)</f>
        <v>700</v>
      </c>
      <c r="AF142" s="6">
        <f>IFERROR(__xludf.DUMMYFUNCTION("""COMPUTED_VALUE"""),250.0)</f>
        <v>250</v>
      </c>
      <c r="AG142" s="5">
        <f>IFERROR(__xludf.DUMMYFUNCTION("""COMPUTED_VALUE"""),350.0)</f>
        <v>350</v>
      </c>
      <c r="AH142" s="5"/>
      <c r="AI142" s="5">
        <f>IFERROR(__xludf.DUMMYFUNCTION("""COMPUTED_VALUE"""),630.0)</f>
        <v>630</v>
      </c>
      <c r="AJ142" s="5">
        <f>IFERROR(__xludf.DUMMYFUNCTION("""COMPUTED_VALUE"""),720.0)</f>
        <v>720</v>
      </c>
      <c r="AK142" s="5" t="str">
        <f>IFERROR(__xludf.DUMMYFUNCTION("""COMPUTED_VALUE"""),"El lenguaje de las empresas hoy son los datos 🚀
Conviértete en especialista en Power BI y domina la visualización de información estratégica 📊
👉🏻 Aquí tienes el detalle.")</f>
        <v>El lenguaje de las empresas hoy son los datos 🚀
Conviértete en especialista en Power BI y domina la visualización de información estratégica 📊
👉🏻 Aquí tienes el detalle.</v>
      </c>
      <c r="AL142" s="5" t="str">
        <f>IFERROR(__xludf.DUMMYFUNCTION("""COMPUTED_VALUE"""),"📈 Excelente, actualízate con Power BI y domina la inteligencia de negocios.")</f>
        <v>📈 Excelente, actualízate con Power BI y domina la inteligencia de negocios.</v>
      </c>
      <c r="AM142" s="5" t="str">
        <f>IFERROR(__xludf.DUMMYFUNCTION("""COMPUTED_VALUE"""),"💼 Buenísimo, muy buscado en empresas que requieren análisis y dashboards.")</f>
        <v>💼 Buenísimo, muy buscado en empresas que requieren análisis y dashboards.</v>
      </c>
      <c r="AN142" s="5" t="str">
        <f>IFERROR(__xludf.DUMMYFUNCTION("""COMPUTED_VALUE"""),"🚀 Genial, será tu diferencial en el mercado laboral.")</f>
        <v>🚀 Genial, será tu diferencial en el mercado laboral.</v>
      </c>
      <c r="AO142" s="5" t="str">
        <f>IFERROR(__xludf.DUMMYFUNCTION("""COMPUTED_VALUE"""),"📊 Perfecto, Power BI te dará ventaja en reportes y decisiones en prácticas.")</f>
        <v>📊 Perfecto, Power BI te dará ventaja en reportes y decisiones en prácticas.</v>
      </c>
      <c r="AP142" s="5" t="str">
        <f>IFERROR(__xludf.DUMMYFUNCTION("""COMPUTED_VALUE"""),"🔑 Excelente, con Power BI podrás visualizar tu negocio con datos claros.")</f>
        <v>🔑 Excelente, con Power BI podrás visualizar tu negocio con datos claros.</v>
      </c>
      <c r="AQ142" s="9" t="str">
        <f>IFERROR(__xludf.DUMMYFUNCTION("""COMPUTED_VALUE"""),"https://we-educacion.com/slides/especializacion-en-power-bi-106")</f>
        <v>https://we-educacion.com/slides/especializacion-en-power-bi-106</v>
      </c>
      <c r="AR142" s="5">
        <v>1.0</v>
      </c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</row>
    <row r="143" ht="15.75" customHeight="1">
      <c r="A143" s="5" t="s">
        <v>185</v>
      </c>
      <c r="B143" s="5" t="str">
        <f t="shared" si="1"/>
        <v>ENE. I - ED26</v>
      </c>
      <c r="C143" s="6" t="str">
        <f>IFERROR(__xludf.DUMMYFUNCTION("""COMPUTED_VALUE"""),"BI")</f>
        <v>BI</v>
      </c>
      <c r="D143" s="6" t="str">
        <f>IFERROR(__xludf.DUMMYFUNCTION("""COMPUTED_VALUE"""),"CURSO")</f>
        <v>CURSO</v>
      </c>
      <c r="E143" s="6" t="str">
        <f>IFERROR(__xludf.DUMMYFUNCTION("""COMPUTED_VALUE"""),"POWER BI")</f>
        <v>POWER BI</v>
      </c>
      <c r="F143" s="7">
        <f>IFERROR(__xludf.DUMMYFUNCTION("""COMPUTED_VALUE"""),46026.0)</f>
        <v>46026</v>
      </c>
      <c r="G143" s="6"/>
      <c r="H143" s="7"/>
      <c r="I143" s="6"/>
      <c r="J143" s="7"/>
      <c r="K143" s="6"/>
      <c r="L143" s="7"/>
      <c r="M143" s="6"/>
      <c r="N143" s="7"/>
      <c r="O143" s="6"/>
      <c r="P143" s="7"/>
      <c r="Q143" s="6" t="str">
        <f>IFERROR(__xludf.DUMMYFUNCTION("""COMPUTED_VALUE"""),"Carlos Mesta")</f>
        <v>Carlos Mesta</v>
      </c>
      <c r="R143" s="5" t="str">
        <f>IFERROR(__xludf.DUMMYFUNCTION("""COMPUTED_VALUE"""),"Dom")</f>
        <v>Dom</v>
      </c>
      <c r="S143" s="6" t="str">
        <f>IFERROR(__xludf.DUMMYFUNCTION("""COMPUTED_VALUE"""),"9AM - 12PM")</f>
        <v>9AM - 12PM</v>
      </c>
      <c r="T143" s="7" t="str">
        <f>IFERROR(__xludf.DUMMYFUNCTION("""COMPUTED_VALUE"""),"Domingo 4 Enero")</f>
        <v>Domingo 4 Enero</v>
      </c>
      <c r="U143" s="7" t="str">
        <f>IFERROR(__xludf.DUMMYFUNCTION("""COMPUTED_VALUE"""),"Domingo 8 Febrero")</f>
        <v>Domingo 8 Febrero</v>
      </c>
      <c r="V143" s="8">
        <f>IFERROR(__xludf.DUMMYFUNCTION("""COMPUTED_VALUE"""),6.0)</f>
        <v>6</v>
      </c>
      <c r="W143" s="5" t="str">
        <f>IFERROR(__xludf.DUMMYFUNCTION("""COMPUTED_VALUE"""),"pdfs/BROCHURE POWER BI.pdf")</f>
        <v>pdfs/BROCHURE POWER BI.pdf</v>
      </c>
      <c r="X143" s="5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143" s="5" t="str">
        <f>IFERROR(__xludf.DUMMYFUNCTION("""COMPUTED_VALUE"""),"images/powerbi.jpg")</f>
        <v>images/powerbi.jpg</v>
      </c>
      <c r="Z143" s="5" t="str">
        <f>IFERROR(__xludf.DUMMYFUNCTION("""COMPUTED_VALUE"""),"Avalado por Microsoft Partner Network")</f>
        <v>Avalado por Microsoft Partner Network</v>
      </c>
      <c r="AA143" s="5" t="str">
        <f>IFERROR(__xludf.DUMMYFUNCTION("""COMPUTED_VALUE"""),"NO")</f>
        <v>NO</v>
      </c>
      <c r="AB143" s="6">
        <f>IFERROR(__xludf.DUMMYFUNCTION("""COMPUTED_VALUE"""),830.0)</f>
        <v>830</v>
      </c>
      <c r="AC143" s="6">
        <f>IFERROR(__xludf.DUMMYFUNCTION("""COMPUTED_VALUE"""),740.0)</f>
        <v>740</v>
      </c>
      <c r="AD143" s="6">
        <f>IFERROR(__xludf.DUMMYFUNCTION("""COMPUTED_VALUE"""),415.0)</f>
        <v>415</v>
      </c>
      <c r="AE143" s="6">
        <f>IFERROR(__xludf.DUMMYFUNCTION("""COMPUTED_VALUE"""),370.0)</f>
        <v>370</v>
      </c>
      <c r="AF143" s="6">
        <f>IFERROR(__xludf.DUMMYFUNCTION("""COMPUTED_VALUE"""),150.0)</f>
        <v>150</v>
      </c>
      <c r="AG143" s="5">
        <f>IFERROR(__xludf.DUMMYFUNCTION("""COMPUTED_VALUE"""),150.0)</f>
        <v>150</v>
      </c>
      <c r="AH143" s="5"/>
      <c r="AI143" s="5">
        <f>IFERROR(__xludf.DUMMYFUNCTION("""COMPUTED_VALUE"""),333.0)</f>
        <v>333</v>
      </c>
      <c r="AJ143" s="5">
        <f>IFERROR(__xludf.DUMMYFUNCTION("""COMPUTED_VALUE"""),373.5)</f>
        <v>373.5</v>
      </c>
      <c r="AK143" s="5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143" s="5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143" s="5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143" s="5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143" s="5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143" s="5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143" s="9" t="str">
        <f>IFERROR(__xludf.DUMMYFUNCTION("""COMPUTED_VALUE"""),"https://we-educacion.com/slides/power-bi-46")</f>
        <v>https://we-educacion.com/slides/power-bi-46</v>
      </c>
      <c r="AR143" s="5">
        <v>1.0</v>
      </c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</row>
    <row r="144" ht="15.75" customHeight="1">
      <c r="A144" s="5" t="s">
        <v>186</v>
      </c>
      <c r="B144" s="5" t="str">
        <f t="shared" si="1"/>
        <v>ENE. I - ED26</v>
      </c>
      <c r="C144" s="6" t="str">
        <f>IFERROR(__xludf.DUMMYFUNCTION("""COMPUTED_VALUE"""),"BI")</f>
        <v>BI</v>
      </c>
      <c r="D144" s="6" t="str">
        <f>IFERROR(__xludf.DUMMYFUNCTION("""COMPUTED_VALUE"""),"ESP.")</f>
        <v>ESP.</v>
      </c>
      <c r="E144" s="6" t="str">
        <f>IFERROR(__xludf.DUMMYFUNCTION("""COMPUTED_VALUE"""),"ESP. EN PYTHON DATA SCIENCE")</f>
        <v>ESP. EN PYTHON DATA SCIENCE</v>
      </c>
      <c r="F144" s="7">
        <f>IFERROR(__xludf.DUMMYFUNCTION("""COMPUTED_VALUE"""),46026.0)</f>
        <v>46026</v>
      </c>
      <c r="G144" s="6" t="str">
        <f>IFERROR(__xludf.DUMMYFUNCTION("""COMPUTED_VALUE"""),"PYTHON. DATOS")</f>
        <v>PYTHON. DATOS</v>
      </c>
      <c r="H144" s="7">
        <f>IFERROR(__xludf.DUMMYFUNCTION("""COMPUTED_VALUE"""),46026.0)</f>
        <v>46026</v>
      </c>
      <c r="I144" s="6" t="str">
        <f>IFERROR(__xludf.DUMMYFUNCTION("""COMPUTED_VALUE"""),"PYTHON AVANZ.")</f>
        <v>PYTHON AVANZ.</v>
      </c>
      <c r="J144" s="7">
        <f>IFERROR(__xludf.DUMMYFUNCTION("""COMPUTED_VALUE"""),46068.0)</f>
        <v>46068</v>
      </c>
      <c r="K144" s="6" t="str">
        <f>IFERROR(__xludf.DUMMYFUNCTION("""COMPUTED_VALUE"""),"IA &amp; DEEP LEARNING V2")</f>
        <v>IA &amp; DEEP LEARNING V2</v>
      </c>
      <c r="L144" s="7">
        <f>IFERROR(__xludf.DUMMYFUNCTION("""COMPUTED_VALUE"""),46110.0)</f>
        <v>46110</v>
      </c>
      <c r="M144" s="6"/>
      <c r="N144" s="7"/>
      <c r="O144" s="6"/>
      <c r="P144" s="7"/>
      <c r="Q144" s="6" t="str">
        <f>IFERROR(__xludf.DUMMYFUNCTION("""COMPUTED_VALUE"""),"Luis Espejo
Paul Gabino
Bryan Guerra")</f>
        <v>Luis Espejo
Paul Gabino
Bryan Guerra</v>
      </c>
      <c r="R144" s="5" t="str">
        <f>IFERROR(__xludf.DUMMYFUNCTION("""COMPUTED_VALUE"""),"Dom")</f>
        <v>Dom</v>
      </c>
      <c r="S144" s="6" t="str">
        <f>IFERROR(__xludf.DUMMYFUNCTION("""COMPUTED_VALUE"""),"9AM - 12PM")</f>
        <v>9AM - 12PM</v>
      </c>
      <c r="T144" s="7" t="str">
        <f>IFERROR(__xludf.DUMMYFUNCTION("""COMPUTED_VALUE"""),"Domingo 4 Enero")</f>
        <v>Domingo 4 Enero</v>
      </c>
      <c r="U144" s="7" t="str">
        <f>IFERROR(__xludf.DUMMYFUNCTION("""COMPUTED_VALUE"""),"Domingo 10 Mayo")</f>
        <v>Domingo 10 Mayo</v>
      </c>
      <c r="V144" s="8">
        <f>IFERROR(__xludf.DUMMYFUNCTION("""COMPUTED_VALUE"""),18.0)</f>
        <v>18</v>
      </c>
      <c r="W144" s="5" t="str">
        <f>IFERROR(__xludf.DUMMYFUNCTION("""COMPUTED_VALUE"""),"pdfs/ESPECIALIZACIÓN EN PYTHON DATA SCIENCE.pdf")</f>
        <v>pdfs/ESPECIALIZACIÓN EN PYTHON DATA SCIENCE.pdf</v>
      </c>
      <c r="X144" s="5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44" s="5" t="str">
        <f>IFERROR(__xludf.DUMMYFUNCTION("""COMPUTED_VALUE"""),"images/esppython.jpg")</f>
        <v>images/esppython.jpg</v>
      </c>
      <c r="Z144" s="5" t="str">
        <f>IFERROR(__xludf.DUMMYFUNCTION("""COMPUTED_VALUE"""),"Avalado por IBM® Partner World")</f>
        <v>Avalado por IBM® Partner World</v>
      </c>
      <c r="AA144" s="5" t="str">
        <f>IFERROR(__xludf.DUMMYFUNCTION("""COMPUTED_VALUE"""),"NO")</f>
        <v>NO</v>
      </c>
      <c r="AB144" s="6">
        <f>IFERROR(__xludf.DUMMYFUNCTION("""COMPUTED_VALUE"""),1840.0)</f>
        <v>1840</v>
      </c>
      <c r="AC144" s="6">
        <f>IFERROR(__xludf.DUMMYFUNCTION("""COMPUTED_VALUE"""),1740.0)</f>
        <v>1740</v>
      </c>
      <c r="AD144" s="6">
        <f>IFERROR(__xludf.DUMMYFUNCTION("""COMPUTED_VALUE"""),920.0)</f>
        <v>920</v>
      </c>
      <c r="AE144" s="6">
        <f>IFERROR(__xludf.DUMMYFUNCTION("""COMPUTED_VALUE"""),870.0)</f>
        <v>870</v>
      </c>
      <c r="AF144" s="6">
        <f>IFERROR(__xludf.DUMMYFUNCTION("""COMPUTED_VALUE"""),250.0)</f>
        <v>250</v>
      </c>
      <c r="AG144" s="5">
        <f>IFERROR(__xludf.DUMMYFUNCTION("""COMPUTED_VALUE"""),350.0)</f>
        <v>350</v>
      </c>
      <c r="AH144" s="5"/>
      <c r="AI144" s="5">
        <f>IFERROR(__xludf.DUMMYFUNCTION("""COMPUTED_VALUE"""),783.0)</f>
        <v>783</v>
      </c>
      <c r="AJ144" s="5">
        <f>IFERROR(__xludf.DUMMYFUNCTION("""COMPUTED_VALUE"""),828.0)</f>
        <v>828</v>
      </c>
      <c r="AK144" s="5" t="str">
        <f>IFERROR(__xludf.DUMMYFUNCTION("""COMPUTED_VALUE"""),"El lenguaje de la ciencia de datos es Python 🐍
Aprende a programar y aplicar modelos en Data Science para transformar información en valor 📊
👉🏻 Aquí tienes la información completa.")</f>
        <v>El lenguaje de la ciencia de datos es Python 🐍
Aprende a programar y aplicar modelos en Data Science para transformar información en valor 📊
👉🏻 Aquí tienes la información completa.</v>
      </c>
      <c r="AL144" s="5" t="str">
        <f>IFERROR(__xludf.DUMMYFUNCTION("""COMPUTED_VALUE"""),"📈 Excelente, actualízate con Python y Data Science, la base del análisis de datos moderno.")</f>
        <v>📈 Excelente, actualízate con Python y Data Science, la base del análisis de datos moderno.</v>
      </c>
      <c r="AM144" s="5" t="str">
        <f>IFERROR(__xludf.DUMMYFUNCTION("""COMPUTED_VALUE"""),"💡 Buenísimo, las empresas demandan especialistas en datos y Python.")</f>
        <v>💡 Buenísimo, las empresas demandan especialistas en datos y Python.</v>
      </c>
      <c r="AN144" s="5" t="str">
        <f>IFERROR(__xludf.DUMMYFUNCTION("""COMPUTED_VALUE"""),"⚡ Genial, dominar Python te dará habilidades muy valoradas en el mercado.")</f>
        <v>⚡ Genial, dominar Python te dará habilidades muy valoradas en el mercado.</v>
      </c>
      <c r="AO144" s="5" t="str">
        <f>IFERROR(__xludf.DUMMYFUNCTION("""COMPUTED_VALUE"""),"🚀 Perfecto, tener Python será tu ventaja en procesos de selección.")</f>
        <v>🚀 Perfecto, tener Python será tu ventaja en procesos de selección.</v>
      </c>
      <c r="AP144" s="5" t="str">
        <f>IFERROR(__xludf.DUMMYFUNCTION("""COMPUTED_VALUE"""),"📊 Excelente, con Python podrás analizar la información de tu negocio estratégicamente.")</f>
        <v>📊 Excelente, con Python podrás analizar la información de tu negocio estratégicamente.</v>
      </c>
      <c r="AQ144" s="9" t="str">
        <f>IFERROR(__xludf.DUMMYFUNCTION("""COMPUTED_VALUE"""),"https://we-educacion.com/slides/especializacion-en-python-data-science-507#")</f>
        <v>https://we-educacion.com/slides/especializacion-en-python-data-science-507#</v>
      </c>
      <c r="AR144" s="5">
        <v>1.0</v>
      </c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</row>
    <row r="145" ht="15.75" customHeight="1">
      <c r="A145" s="5" t="s">
        <v>187</v>
      </c>
      <c r="B145" s="5" t="str">
        <f t="shared" si="1"/>
        <v>ENE. I - ED26</v>
      </c>
      <c r="C145" s="6" t="str">
        <f>IFERROR(__xludf.DUMMYFUNCTION("""COMPUTED_VALUE"""),"BI")</f>
        <v>BI</v>
      </c>
      <c r="D145" s="5" t="str">
        <f>IFERROR(__xludf.DUMMYFUNCTION("""COMPUTED_VALUE"""),"CURSO")</f>
        <v>CURSO</v>
      </c>
      <c r="E145" s="6" t="str">
        <f>IFERROR(__xludf.DUMMYFUNCTION("""COMPUTED_VALUE"""),"PYTHON. DATOS")</f>
        <v>PYTHON. DATOS</v>
      </c>
      <c r="F145" s="7">
        <f>IFERROR(__xludf.DUMMYFUNCTION("""COMPUTED_VALUE"""),46026.0)</f>
        <v>46026</v>
      </c>
      <c r="G145" s="6"/>
      <c r="H145" s="7"/>
      <c r="I145" s="6"/>
      <c r="J145" s="7"/>
      <c r="K145" s="6"/>
      <c r="L145" s="7"/>
      <c r="M145" s="6"/>
      <c r="N145" s="7"/>
      <c r="O145" s="6"/>
      <c r="P145" s="7"/>
      <c r="Q145" s="6" t="str">
        <f>IFERROR(__xludf.DUMMYFUNCTION("""COMPUTED_VALUE"""),"Luis Espejo")</f>
        <v>Luis Espejo</v>
      </c>
      <c r="R145" s="5" t="str">
        <f>IFERROR(__xludf.DUMMYFUNCTION("""COMPUTED_VALUE"""),"Dom")</f>
        <v>Dom</v>
      </c>
      <c r="S145" s="6" t="str">
        <f>IFERROR(__xludf.DUMMYFUNCTION("""COMPUTED_VALUE"""),"9AM - 12PM")</f>
        <v>9AM - 12PM</v>
      </c>
      <c r="T145" s="7" t="str">
        <f>IFERROR(__xludf.DUMMYFUNCTION("""COMPUTED_VALUE"""),"Domingo 4 Enero")</f>
        <v>Domingo 4 Enero</v>
      </c>
      <c r="U145" s="7" t="str">
        <f>IFERROR(__xludf.DUMMYFUNCTION("""COMPUTED_VALUE"""),"Domingo 8 Febrero")</f>
        <v>Domingo 8 Febrero</v>
      </c>
      <c r="V145" s="8">
        <f>IFERROR(__xludf.DUMMYFUNCTION("""COMPUTED_VALUE"""),6.0)</f>
        <v>6</v>
      </c>
      <c r="W145" s="5" t="str">
        <f>IFERROR(__xludf.DUMMYFUNCTION("""COMPUTED_VALUE"""),"pdfs/BROCHURE PYTHON ANALISIS DE DATOS.pdf")</f>
        <v>pdfs/BROCHURE PYTHON ANALISIS DE DATOS.pdf</v>
      </c>
      <c r="X145" s="5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45" s="5" t="str">
        <f>IFERROR(__xludf.DUMMYFUNCTION("""COMPUTED_VALUE"""),"images/python.jpg")</f>
        <v>images/python.jpg</v>
      </c>
      <c r="Z145" s="5" t="str">
        <f>IFERROR(__xludf.DUMMYFUNCTION("""COMPUTED_VALUE"""),"Avalado por IBM® Partner World")</f>
        <v>Avalado por IBM® Partner World</v>
      </c>
      <c r="AA145" s="5" t="str">
        <f>IFERROR(__xludf.DUMMYFUNCTION("""COMPUTED_VALUE"""),"SI")</f>
        <v>SI</v>
      </c>
      <c r="AB145" s="6">
        <f>IFERROR(__xludf.DUMMYFUNCTION("""COMPUTED_VALUE"""),730.0)</f>
        <v>730</v>
      </c>
      <c r="AC145" s="6">
        <f>IFERROR(__xludf.DUMMYFUNCTION("""COMPUTED_VALUE"""),650.0)</f>
        <v>650</v>
      </c>
      <c r="AD145" s="6">
        <f>IFERROR(__xludf.DUMMYFUNCTION("""COMPUTED_VALUE"""),365.0)</f>
        <v>365</v>
      </c>
      <c r="AE145" s="6">
        <f>IFERROR(__xludf.DUMMYFUNCTION("""COMPUTED_VALUE"""),325.0)</f>
        <v>325</v>
      </c>
      <c r="AF145" s="6">
        <f>IFERROR(__xludf.DUMMYFUNCTION("""COMPUTED_VALUE"""),150.0)</f>
        <v>150</v>
      </c>
      <c r="AG145" s="5">
        <f>IFERROR(__xludf.DUMMYFUNCTION("""COMPUTED_VALUE"""),150.0)</f>
        <v>150</v>
      </c>
      <c r="AH145" s="5"/>
      <c r="AI145" s="5">
        <f>IFERROR(__xludf.DUMMYFUNCTION("""COMPUTED_VALUE"""),292.5)</f>
        <v>292.5</v>
      </c>
      <c r="AJ145" s="5">
        <f>IFERROR(__xludf.DUMMYFUNCTION("""COMPUTED_VALUE"""),328.5)</f>
        <v>328.5</v>
      </c>
      <c r="AK145" s="5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145" s="5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145" s="5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145" s="5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145" s="5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145" s="5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145" s="9" t="str">
        <f>IFERROR(__xludf.DUMMYFUNCTION("""COMPUTED_VALUE"""),"https://we-educacion.com/slides/python-analisis-de-datos-259")</f>
        <v>https://we-educacion.com/slides/python-analisis-de-datos-259</v>
      </c>
      <c r="AR145" s="5">
        <v>1.0</v>
      </c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</row>
    <row r="146" ht="15.75" customHeight="1">
      <c r="A146" s="5" t="s">
        <v>188</v>
      </c>
      <c r="B146" s="5" t="str">
        <f t="shared" si="1"/>
        <v>ENE. I - ED26</v>
      </c>
      <c r="C146" s="6" t="str">
        <f>IFERROR(__xludf.DUMMYFUNCTION("""COMPUTED_VALUE"""),"SAP")</f>
        <v>SAP</v>
      </c>
      <c r="D146" s="5" t="str">
        <f>IFERROR(__xludf.DUMMYFUNCTION("""COMPUTED_VALUE"""),"CURSO")</f>
        <v>CURSO</v>
      </c>
      <c r="E146" s="6" t="str">
        <f>IFERROR(__xludf.DUMMYFUNCTION("""COMPUTED_VALUE"""),"SAP HANA IN PRESENCIAL")</f>
        <v>SAP HANA IN PRESENCIAL</v>
      </c>
      <c r="F146" s="7">
        <f>IFERROR(__xludf.DUMMYFUNCTION("""COMPUTED_VALUE"""),46026.0)</f>
        <v>46026</v>
      </c>
      <c r="G146" s="6"/>
      <c r="H146" s="7"/>
      <c r="I146" s="6"/>
      <c r="J146" s="7"/>
      <c r="K146" s="6"/>
      <c r="L146" s="7"/>
      <c r="M146" s="6"/>
      <c r="N146" s="7"/>
      <c r="O146" s="6"/>
      <c r="P146" s="7"/>
      <c r="Q146" s="6" t="str">
        <f>IFERROR(__xludf.DUMMYFUNCTION("""COMPUTED_VALUE"""),"David Romero")</f>
        <v>David Romero</v>
      </c>
      <c r="R146" s="5" t="str">
        <f>IFERROR(__xludf.DUMMYFUNCTION("""COMPUTED_VALUE"""),"Dom")</f>
        <v>Dom</v>
      </c>
      <c r="S146" s="6" t="str">
        <f>IFERROR(__xludf.DUMMYFUNCTION("""COMPUTED_VALUE"""),"9AM - 1PM")</f>
        <v>9AM - 1PM</v>
      </c>
      <c r="T146" s="7" t="str">
        <f>IFERROR(__xludf.DUMMYFUNCTION("""COMPUTED_VALUE"""),"Domingo 4 Enero")</f>
        <v>Domingo 4 Enero</v>
      </c>
      <c r="U146" s="7" t="str">
        <f>IFERROR(__xludf.DUMMYFUNCTION("""COMPUTED_VALUE"""),"Domingo 1 Febrero")</f>
        <v>Domingo 1 Febrero</v>
      </c>
      <c r="V146" s="8">
        <f>IFERROR(__xludf.DUMMYFUNCTION("""COMPUTED_VALUE"""),5.0)</f>
        <v>5</v>
      </c>
      <c r="W146" s="5" t="str">
        <f>IFERROR(__xludf.DUMMYFUNCTION("""COMPUTED_VALUE"""),"pdfs/BROCHURE SAP S4 HANA IN PRESENCIAL.pdf")</f>
        <v>pdfs/BROCHURE SAP S4 HANA IN PRESENCIAL.pdf</v>
      </c>
      <c r="X146" s="5" t="str">
        <f>IFERROR(__xludf.DUMMYFUNCTION("""COMPUTED_VALUE"""),"🔵 *Utilizarán SAP HANA* 👩🏻‍💻
👉🏼 Incluye tutorial y manual de instalación
👉🏼 12 meses de Licencia SAP para practicar 🌟
👉🏼 Contarás con Soporte técnico
🚨 *Por favor, revisa el BROCHURE* 👇🏻
Aqui encontrarás la información completa del programa"&amp;", el TEMARIO (malla curricular) y todos los BENEFICIOS 📚")</f>
        <v>🔵 *Utilizarán SAP HANA* 👩🏻‍💻
👉🏼 Incluye tutorial y manual de instalación
👉🏼 12 meses de Licencia SAP para practicar 🌟
👉🏼 Contarás con Soporte técnico
🚨 *Por favor, revisa el BROCHURE* 👇🏻
Aqui encontrarás la información completa del programa, el TEMARIO (malla curricular) y todos los BENEFICIOS 📚</v>
      </c>
      <c r="Y146" s="5" t="str">
        <f>IFERROR(__xludf.DUMMYFUNCTION("""COMPUTED_VALUE"""),"images/sapinprese.jpg")</f>
        <v>images/sapinprese.jpg</v>
      </c>
      <c r="Z146" s="5" t="str">
        <f>IFERROR(__xludf.DUMMYFUNCTION("""COMPUTED_VALUE"""),"Avalado por SAP Partner Open")</f>
        <v>Avalado por SAP Partner Open</v>
      </c>
      <c r="AA146" s="5" t="str">
        <f>IFERROR(__xludf.DUMMYFUNCTION("""COMPUTED_VALUE"""),"NO")</f>
        <v>NO</v>
      </c>
      <c r="AB146" s="6">
        <f>IFERROR(__xludf.DUMMYFUNCTION("""COMPUTED_VALUE"""),1150.0)</f>
        <v>1150</v>
      </c>
      <c r="AC146" s="6">
        <f>IFERROR(__xludf.DUMMYFUNCTION("""COMPUTED_VALUE"""),1000.0)</f>
        <v>1000</v>
      </c>
      <c r="AD146" s="6">
        <f>IFERROR(__xludf.DUMMYFUNCTION("""COMPUTED_VALUE"""),575.0)</f>
        <v>575</v>
      </c>
      <c r="AE146" s="6">
        <f>IFERROR(__xludf.DUMMYFUNCTION("""COMPUTED_VALUE"""),500.0)</f>
        <v>500</v>
      </c>
      <c r="AF146" s="6">
        <f>IFERROR(__xludf.DUMMYFUNCTION("""COMPUTED_VALUE"""),150.0)</f>
        <v>150</v>
      </c>
      <c r="AG146" s="5">
        <f>IFERROR(__xludf.DUMMYFUNCTION("""COMPUTED_VALUE"""),150.0)</f>
        <v>150</v>
      </c>
      <c r="AH146" s="5"/>
      <c r="AI146" s="5">
        <f>IFERROR(__xludf.DUMMYFUNCTION("""COMPUTED_VALUE"""),450.0)</f>
        <v>450</v>
      </c>
      <c r="AJ146" s="5">
        <f>IFERROR(__xludf.DUMMYFUNCTION("""COMPUTED_VALUE"""),517.5)</f>
        <v>517.5</v>
      </c>
      <c r="AK146" s="5" t="str">
        <f>IFERROR(__xludf.DUMMYFUNCTION("""COMPUTED_VALUE"""),"La gestión de producción es aún más efectiva cuando es práctica y en vivo 📌
Con SAP HANA IN Presencial aprenderás a manejar procesos de manufactura directamente en entornos reales 💼.
Aquí la información 👇🏻")</f>
        <v>La gestión de producción es aún más efectiva cuando es práctica y en vivo 📌
Con SAP HANA IN Presencial aprenderás a manejar procesos de manufactura directamente en entornos reales 💼.
Aquí la información 👇🏻</v>
      </c>
      <c r="AL146" s="5" t="str">
        <f>IFERROR(__xludf.DUMMYFUNCTION("""COMPUTED_VALUE"""),"📦 Excelente, actualízate con SAP IN Presencial y aprende gestión de inventarios en vivo.")</f>
        <v>📦 Excelente, actualízate con SAP IN Presencial y aprende gestión de inventarios en vivo.</v>
      </c>
      <c r="AM146" s="5" t="str">
        <f>IFERROR(__xludf.DUMMYFUNCTION("""COMPUTED_VALUE"""),"💼 Buenísimo, SAP IN Presencial te conecta directamente con prácticas reales de empresa.")</f>
        <v>💼 Buenísimo, SAP IN Presencial te conecta directamente con prácticas reales de empresa.</v>
      </c>
      <c r="AN146" s="5" t="str">
        <f>IFERROR(__xludf.DUMMYFUNCTION("""COMPUTED_VALUE"""),"🎓 ¡Genial! De manera presencial aprender SAP IN te diferenciará.")</f>
        <v>🎓 ¡Genial! De manera presencial aprender SAP IN te diferenciará.</v>
      </c>
      <c r="AO146" s="5" t="str">
        <f>IFERROR(__xludf.DUMMYFUNCTION("""COMPUTED_VALUE"""),"🚀 ¡Perfecto! Con SAP IN Presencial tendrás ventaja en prácticas relacionadas con logística.")</f>
        <v>🚀 ¡Perfecto! Con SAP IN Presencial tendrás ventaja en prácticas relacionadas con logística.</v>
      </c>
      <c r="AP146" s="5" t="str">
        <f>IFERROR(__xludf.DUMMYFUNCTION("""COMPUTED_VALUE"""),"📊 ¡Excelente! Con SAP IN Presencial podrás optimizar inventarios en tu propio negocio.")</f>
        <v>📊 ¡Excelente! Con SAP IN Presencial podrás optimizar inventarios en tu propio negocio.</v>
      </c>
      <c r="AQ146" s="9" t="str">
        <f>IFERROR(__xludf.DUMMYFUNCTION("""COMPUTED_VALUE"""),"https://we-educacion.com/slides/sap-hana-integral-presencial-392")</f>
        <v>https://we-educacion.com/slides/sap-hana-integral-presencial-392</v>
      </c>
      <c r="AR146" s="5">
        <v>1.0</v>
      </c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</row>
    <row r="147" ht="15.75" customHeight="1">
      <c r="A147" s="5" t="s">
        <v>189</v>
      </c>
      <c r="B147" s="5" t="str">
        <f t="shared" si="1"/>
        <v>ENE. I - ED26</v>
      </c>
      <c r="C147" s="6" t="str">
        <f>IFERROR(__xludf.DUMMYFUNCTION("""COMPUTED_VALUE"""),"PROCESOS")</f>
        <v>PROCESOS</v>
      </c>
      <c r="D147" s="5" t="str">
        <f>IFERROR(__xludf.DUMMYFUNCTION("""COMPUTED_VALUE"""),"CURSO")</f>
        <v>CURSO</v>
      </c>
      <c r="E147" s="6" t="str">
        <f>IFERROR(__xludf.DUMMYFUNCTION("""COMPUTED_VALUE"""),"LEAN SIX SIGMA YELLOW")</f>
        <v>LEAN SIX SIGMA YELLOW</v>
      </c>
      <c r="F147" s="7">
        <f>IFERROR(__xludf.DUMMYFUNCTION("""COMPUTED_VALUE"""),46029.0)</f>
        <v>46029</v>
      </c>
      <c r="G147" s="6"/>
      <c r="H147" s="7"/>
      <c r="I147" s="6"/>
      <c r="J147" s="7"/>
      <c r="K147" s="6"/>
      <c r="L147" s="7"/>
      <c r="M147" s="6"/>
      <c r="N147" s="7"/>
      <c r="O147" s="6"/>
      <c r="P147" s="7"/>
      <c r="Q147" s="6" t="str">
        <f>IFERROR(__xludf.DUMMYFUNCTION("""COMPUTED_VALUE"""),"Monica Olivas")</f>
        <v>Monica Olivas</v>
      </c>
      <c r="R147" s="5" t="str">
        <f>IFERROR(__xludf.DUMMYFUNCTION("""COMPUTED_VALUE"""),"Mie")</f>
        <v>Mie</v>
      </c>
      <c r="S147" s="6" t="str">
        <f>IFERROR(__xludf.DUMMYFUNCTION("""COMPUTED_VALUE"""),"7PM - 10PM")</f>
        <v>7PM - 10PM</v>
      </c>
      <c r="T147" s="7" t="str">
        <f>IFERROR(__xludf.DUMMYFUNCTION("""COMPUTED_VALUE"""),"Miércoles 7 Enero")</f>
        <v>Miércoles 7 Enero</v>
      </c>
      <c r="U147" s="7" t="str">
        <f>IFERROR(__xludf.DUMMYFUNCTION("""COMPUTED_VALUE"""),"Miércoles 11 Febrero")</f>
        <v>Miércoles 11 Febrero</v>
      </c>
      <c r="V147" s="8">
        <f>IFERROR(__xludf.DUMMYFUNCTION("""COMPUTED_VALUE"""),6.0)</f>
        <v>6</v>
      </c>
      <c r="W147" s="5" t="str">
        <f>IFERROR(__xludf.DUMMYFUNCTION("""COMPUTED_VALUE"""),"pdfs/BROCHURE LEAN SIX SIGMA YELLOW BELT.pdf")</f>
        <v>pdfs/BROCHURE LEAN SIX SIGMA YELLOW BELT.pdf</v>
      </c>
      <c r="X147" s="5" t="str">
        <f>IFERROR(__xludf.DUMMYFUNCTION("""COMPUTED_VALUE"""),"🔵  *Utilizarán Minitab* 👩🏻‍💻
👉🏻 Incluye tutorial y manual de instalación
💻 _*Importante*: Para la instalación se necesita una Laptop *Windows*_
🚨 *Por favor, revisa el BROCHURE* 👇🏻
Aqui encontrarás la información completa del programa, el TEMAR"&amp;"IO (malla curricular) y todos los BENEFICIOS 📚")</f>
        <v>🔵  *Utilizarán Minitab* 👩🏻‍💻
👉🏻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47" s="5" t="str">
        <f>IFERROR(__xludf.DUMMYFUNCTION("""COMPUTED_VALUE"""),"images/leansix.jpg")</f>
        <v>images/leansix.jpg</v>
      </c>
      <c r="Z147" s="5"/>
      <c r="AA147" s="5" t="str">
        <f>IFERROR(__xludf.DUMMYFUNCTION("""COMPUTED_VALUE"""),"NO")</f>
        <v>NO</v>
      </c>
      <c r="AB147" s="6">
        <f>IFERROR(__xludf.DUMMYFUNCTION("""COMPUTED_VALUE"""),820.0)</f>
        <v>820</v>
      </c>
      <c r="AC147" s="6">
        <f>IFERROR(__xludf.DUMMYFUNCTION("""COMPUTED_VALUE"""),750.0)</f>
        <v>750</v>
      </c>
      <c r="AD147" s="6">
        <f>IFERROR(__xludf.DUMMYFUNCTION("""COMPUTED_VALUE"""),410.0)</f>
        <v>410</v>
      </c>
      <c r="AE147" s="6">
        <f>IFERROR(__xludf.DUMMYFUNCTION("""COMPUTED_VALUE"""),375.0)</f>
        <v>375</v>
      </c>
      <c r="AF147" s="6">
        <f>IFERROR(__xludf.DUMMYFUNCTION("""COMPUTED_VALUE"""),150.0)</f>
        <v>150</v>
      </c>
      <c r="AG147" s="5">
        <f>IFERROR(__xludf.DUMMYFUNCTION("""COMPUTED_VALUE"""),150.0)</f>
        <v>150</v>
      </c>
      <c r="AH147" s="5"/>
      <c r="AI147" s="5">
        <f>IFERROR(__xludf.DUMMYFUNCTION("""COMPUTED_VALUE"""),337.5)</f>
        <v>337.5</v>
      </c>
      <c r="AJ147" s="5">
        <f>IFERROR(__xludf.DUMMYFUNCTION("""COMPUTED_VALUE"""),369.0)</f>
        <v>369</v>
      </c>
      <c r="AK147" s="5" t="str">
        <f>IFERROR(__xludf.DUMMYFUNCTION("""COMPUTED_VALUE"""),"El primer paso hacia la excelencia es Lean Six Sigma Yellow Belt 🚀
Dominarás las bases de mejora continua y herramientas clave para procesos más eficientes 📊.
Aquí te comparto la información 👇🏻")</f>
        <v>El primer paso hacia la excelencia es Lean Six Sigma Yellow Belt 🚀
Dominarás las bases de mejora continua y herramientas clave para procesos más eficientes 📊.
Aquí te comparto la información 👇🏻</v>
      </c>
      <c r="AL147" s="5" t="str">
        <f>IFERROR(__xludf.DUMMYFUNCTION("""COMPUTED_VALUE"""),"📘 *Excelente*, actualízate con *LEAN SIX SIGMA YELLOW* y mantente competitivo en el mercado laboral.")</f>
        <v>📘 *Excelente*, actualízate con *LEAN SIX SIGMA YELLOW* y mantente competitivo en el mercado laboral.</v>
      </c>
      <c r="AM147" s="5" t="str">
        <f>IFERROR(__xludf.DUMMYFUNCTION("""COMPUTED_VALUE"""),"📈 Buenísimo, *LEAN SIX SIGMA YELLOW* es de las competencias más pedidas por las empresas y aumentará tus oportunidades laborales.")</f>
        <v>📈 Buenísimo, *LEAN SIX SIGMA YELLOW* es de las competencias más pedidas por las empresas y aumentará tus oportunidades laborales.</v>
      </c>
      <c r="AN147" s="5" t="str">
        <f>IFERROR(__xludf.DUMMYFUNCTION("""COMPUTED_VALUE"""),"⚡ ¡Genial! Con *LEAN SIX SIGMA YELLOW* sumarás una habilidad poderosa que te diferenciará desde la universidad.")</f>
        <v>⚡ ¡Genial! Con *LEAN SIX SIGMA YELLOW* sumarás una habilidad poderosa que te diferenciará desde la universidad.</v>
      </c>
      <c r="AO147" s="5" t="str">
        <f>IFERROR(__xludf.DUMMYFUNCTION("""COMPUTED_VALUE"""),"💼 ¡Perfecto! Saber *LEAN SIX SIGMA YELLOW* te dará ventaja frente a otros postulantes para conseguir prácticas.")</f>
        <v>💼 ¡Perfecto! Saber *LEAN SIX SIGMA YELLOW* te dará ventaja frente a otros postulantes para conseguir prácticas.</v>
      </c>
      <c r="AP147" s="5" t="str">
        <f>IFERROR(__xludf.DUMMYFUNCTION("""COMPUTED_VALUE"""),"📘 ¡Excelente! Con *LEAN SIX SIGMA YELLOW* podrás aplicarlo en tu negocio y tomar decisiones más inteligentes.")</f>
        <v>📘 ¡Excelente! Con *LEAN SIX SIGMA YELLOW* podrás aplicarlo en tu negocio y tomar decisiones más inteligentes.</v>
      </c>
      <c r="AQ147" s="9" t="str">
        <f>IFERROR(__xludf.DUMMYFUNCTION("""COMPUTED_VALUE"""),"https://we-educacion.com/slides/lean-six-sigma-yellow-belt-119")</f>
        <v>https://we-educacion.com/slides/lean-six-sigma-yellow-belt-119</v>
      </c>
      <c r="AR147" s="5">
        <v>1.0</v>
      </c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</row>
    <row r="148" ht="15.75" customHeight="1">
      <c r="A148" s="5" t="s">
        <v>190</v>
      </c>
      <c r="B148" s="5" t="str">
        <f t="shared" si="1"/>
        <v>ENE. I - ED26</v>
      </c>
      <c r="C148" s="6" t="str">
        <f>IFERROR(__xludf.DUMMYFUNCTION("""COMPUTED_VALUE"""),"BI")</f>
        <v>BI</v>
      </c>
      <c r="D148" s="5" t="str">
        <f>IFERROR(__xludf.DUMMYFUNCTION("""COMPUTED_VALUE"""),"CURSO")</f>
        <v>CURSO</v>
      </c>
      <c r="E148" s="6" t="str">
        <f>IFERROR(__xludf.DUMMYFUNCTION("""COMPUTED_VALUE"""),"SQL AVANZ")</f>
        <v>SQL AVANZ</v>
      </c>
      <c r="F148" s="7">
        <f>IFERROR(__xludf.DUMMYFUNCTION("""COMPUTED_VALUE"""),46030.0)</f>
        <v>46030</v>
      </c>
      <c r="G148" s="6"/>
      <c r="H148" s="7"/>
      <c r="I148" s="6"/>
      <c r="J148" s="7"/>
      <c r="K148" s="6"/>
      <c r="L148" s="7"/>
      <c r="M148" s="6"/>
      <c r="N148" s="7"/>
      <c r="O148" s="6"/>
      <c r="P148" s="7"/>
      <c r="Q148" s="6" t="str">
        <f>IFERROR(__xludf.DUMMYFUNCTION("""COMPUTED_VALUE"""),"Jorge Rodriguez")</f>
        <v>Jorge Rodriguez</v>
      </c>
      <c r="R148" s="5" t="str">
        <f>IFERROR(__xludf.DUMMYFUNCTION("""COMPUTED_VALUE"""),"Mar-Jue")</f>
        <v>Mar-Jue</v>
      </c>
      <c r="S148" s="6" t="str">
        <f>IFERROR(__xludf.DUMMYFUNCTION("""COMPUTED_VALUE"""),"7PM - 10PM")</f>
        <v>7PM - 10PM</v>
      </c>
      <c r="T148" s="7" t="str">
        <f>IFERROR(__xludf.DUMMYFUNCTION("""COMPUTED_VALUE"""),"Jueves 8 Enero")</f>
        <v>Jueves 8 Enero</v>
      </c>
      <c r="U148" s="7" t="str">
        <f>IFERROR(__xludf.DUMMYFUNCTION("""COMPUTED_VALUE"""),"Martes 27 Enero")</f>
        <v>Martes 27 Enero</v>
      </c>
      <c r="V148" s="8">
        <f>IFERROR(__xludf.DUMMYFUNCTION("""COMPUTED_VALUE"""),6.0)</f>
        <v>6</v>
      </c>
      <c r="W148" s="5" t="str">
        <f>IFERROR(__xludf.DUMMYFUNCTION("""COMPUTED_VALUE"""),"pdfs/BROCHURE SQL SERVER AVANZADO.pdf")</f>
        <v>pdfs/BROCHURE SQL SERVER AVANZADO.pdf</v>
      </c>
      <c r="X148" s="5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48" s="5" t="str">
        <f>IFERROR(__xludf.DUMMYFUNCTION("""COMPUTED_VALUE"""),"images/sqlavanz.jpg")</f>
        <v>images/sqlavanz.jpg</v>
      </c>
      <c r="Z148" s="5" t="str">
        <f>IFERROR(__xludf.DUMMYFUNCTION("""COMPUTED_VALUE"""),"Avalado por Microsoft Partner Network")</f>
        <v>Avalado por Microsoft Partner Network</v>
      </c>
      <c r="AA148" s="5" t="str">
        <f>IFERROR(__xludf.DUMMYFUNCTION("""COMPUTED_VALUE"""),"NO")</f>
        <v>NO</v>
      </c>
      <c r="AB148" s="6">
        <f>IFERROR(__xludf.DUMMYFUNCTION("""COMPUTED_VALUE"""),830.0)</f>
        <v>830</v>
      </c>
      <c r="AC148" s="6">
        <f>IFERROR(__xludf.DUMMYFUNCTION("""COMPUTED_VALUE"""),740.0)</f>
        <v>740</v>
      </c>
      <c r="AD148" s="6">
        <f>IFERROR(__xludf.DUMMYFUNCTION("""COMPUTED_VALUE"""),415.0)</f>
        <v>415</v>
      </c>
      <c r="AE148" s="6">
        <f>IFERROR(__xludf.DUMMYFUNCTION("""COMPUTED_VALUE"""),370.0)</f>
        <v>370</v>
      </c>
      <c r="AF148" s="6">
        <f>IFERROR(__xludf.DUMMYFUNCTION("""COMPUTED_VALUE"""),150.0)</f>
        <v>150</v>
      </c>
      <c r="AG148" s="5">
        <f>IFERROR(__xludf.DUMMYFUNCTION("""COMPUTED_VALUE"""),150.0)</f>
        <v>150</v>
      </c>
      <c r="AH148" s="5"/>
      <c r="AI148" s="5">
        <f>IFERROR(__xludf.DUMMYFUNCTION("""COMPUTED_VALUE"""),333.0)</f>
        <v>333</v>
      </c>
      <c r="AJ148" s="5">
        <f>IFERROR(__xludf.DUMMYFUNCTION("""COMPUTED_VALUE"""),373.5)</f>
        <v>373.5</v>
      </c>
      <c r="AK148" s="5" t="str">
        <f>IFERROR(__xludf.DUMMYFUNCTION("""COMPUTED_VALUE"""),"El poder de los datos se libera con SQL Avanzado 🔎
Aprenderás consultas complejas y análisis de bases de datos aplicables a proyectos reales 💻.
Aquí tienes la info completa 👇🏻")</f>
        <v>El poder de los datos se libera con SQL Avanzado 🔎
Aprenderás consultas complejas y análisis de bases de datos aplicables a proyectos reales 💻.
Aquí tienes la info completa 👇🏻</v>
      </c>
      <c r="AL148" s="5" t="str">
        <f>IFERROR(__xludf.DUMMYFUNCTION("""COMPUTED_VALUE"""),"💻 Excelente, actualízate con SQL Avanzado y domina la gestión de bases de datos.")</f>
        <v>💻 Excelente, actualízate con SQL Avanzado y domina la gestión de bases de datos.</v>
      </c>
      <c r="AM148" s="5" t="str">
        <f>IFERROR(__xludf.DUMMYFUNCTION("""COMPUTED_VALUE"""),"💼 Buenísimo, SQL es muy demandado en empresas que manejan grandes volúmenes de datos.")</f>
        <v>💼 Buenísimo, SQL es muy demandado en empresas que manejan grandes volúmenes de datos.</v>
      </c>
      <c r="AN148" s="5" t="str">
        <f>IFERROR(__xludf.DUMMYFUNCTION("""COMPUTED_VALUE"""),"🎓 ¡Genial! Con SQL Avanzado aprenderás análisis de datos desde la universidad.")</f>
        <v>🎓 ¡Genial! Con SQL Avanzado aprenderás análisis de datos desde la universidad.</v>
      </c>
      <c r="AO148" s="5" t="str">
        <f>IFERROR(__xludf.DUMMYFUNCTION("""COMPUTED_VALUE"""),"🚀 ¡Perfecto! Saber SQL te dará ventaja en prácticas de análisis e inteligencia de negocios.")</f>
        <v>🚀 ¡Perfecto! Saber SQL te dará ventaja en prácticas de análisis e inteligencia de negocios.</v>
      </c>
      <c r="AP148" s="5" t="str">
        <f>IFERROR(__xludf.DUMMYFUNCTION("""COMPUTED_VALUE"""),"📊 ¡Excelente! Con SQL Avanzado podrás manejar la información de tu negocio con precisión.")</f>
        <v>📊 ¡Excelente! Con SQL Avanzado podrás manejar la información de tu negocio con precisión.</v>
      </c>
      <c r="AQ148" s="9" t="str">
        <f>IFERROR(__xludf.DUMMYFUNCTION("""COMPUTED_VALUE"""),"https://we-educacion.com/slides/sql-server-avanzado-93")</f>
        <v>https://we-educacion.com/slides/sql-server-avanzado-93</v>
      </c>
      <c r="AR148" s="5">
        <v>1.0</v>
      </c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</row>
    <row r="149" ht="15.75" customHeight="1">
      <c r="A149" s="5" t="s">
        <v>191</v>
      </c>
      <c r="B149" s="5" t="str">
        <f t="shared" si="1"/>
        <v>ENE. I - ED26</v>
      </c>
      <c r="C149" s="6" t="str">
        <f>IFERROR(__xludf.DUMMYFUNCTION("""COMPUTED_VALUE"""),"SAP")</f>
        <v>SAP</v>
      </c>
      <c r="D149" s="6" t="str">
        <f>IFERROR(__xludf.DUMMYFUNCTION("""COMPUTED_VALUE"""),"CURSO")</f>
        <v>CURSO</v>
      </c>
      <c r="E149" s="6" t="str">
        <f>IFERROR(__xludf.DUMMYFUNCTION("""COMPUTED_VALUE"""),"SAP HANA IN")</f>
        <v>SAP HANA IN</v>
      </c>
      <c r="F149" s="7">
        <f>IFERROR(__xludf.DUMMYFUNCTION("""COMPUTED_VALUE"""),46030.0)</f>
        <v>46030</v>
      </c>
      <c r="G149" s="6"/>
      <c r="H149" s="7"/>
      <c r="I149" s="6"/>
      <c r="J149" s="7"/>
      <c r="K149" s="6"/>
      <c r="L149" s="7"/>
      <c r="M149" s="6"/>
      <c r="N149" s="7"/>
      <c r="O149" s="6"/>
      <c r="P149" s="7"/>
      <c r="Q149" s="6" t="str">
        <f>IFERROR(__xludf.DUMMYFUNCTION("""COMPUTED_VALUE"""),"Roller Rubio")</f>
        <v>Roller Rubio</v>
      </c>
      <c r="R149" s="5" t="str">
        <f>IFERROR(__xludf.DUMMYFUNCTION("""COMPUTED_VALUE"""),"Mar-Jue")</f>
        <v>Mar-Jue</v>
      </c>
      <c r="S149" s="6" t="str">
        <f>IFERROR(__xludf.DUMMYFUNCTION("""COMPUTED_VALUE"""),"7PM - 10PM")</f>
        <v>7PM - 10PM</v>
      </c>
      <c r="T149" s="7" t="str">
        <f>IFERROR(__xludf.DUMMYFUNCTION("""COMPUTED_VALUE"""),"Jueves 8 Enero")</f>
        <v>Jueves 8 Enero</v>
      </c>
      <c r="U149" s="7" t="str">
        <f>IFERROR(__xludf.DUMMYFUNCTION("""COMPUTED_VALUE"""),"Martes 27 Enero")</f>
        <v>Martes 27 Enero</v>
      </c>
      <c r="V149" s="8">
        <f>IFERROR(__xludf.DUMMYFUNCTION("""COMPUTED_VALUE"""),6.0)</f>
        <v>6</v>
      </c>
      <c r="W149" s="5" t="str">
        <f>IFERROR(__xludf.DUMMYFUNCTION("""COMPUTED_VALUE"""),"pdfs/BROCHURE SAP S4 HANA IN.pdf")</f>
        <v>pdfs/BROCHURE SAP S4 HANA IN.pdf</v>
      </c>
      <c r="X149" s="5" t="str">
        <f>IFERROR(__xludf.DUMMYFUNCTION("""COMPUTED_VALUE"""),"🔵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revisa"&amp;"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149" s="5" t="str">
        <f>IFERROR(__xludf.DUMMYFUNCTION("""COMPUTED_VALUE"""),"images/sapin.jpg")</f>
        <v>images/sapin.jpg</v>
      </c>
      <c r="Z149" s="5" t="str">
        <f>IFERROR(__xludf.DUMMYFUNCTION("""COMPUTED_VALUE"""),"Avalado por SAP Partner Open")</f>
        <v>Avalado por SAP Partner Open</v>
      </c>
      <c r="AA149" s="5" t="str">
        <f>IFERROR(__xludf.DUMMYFUNCTION("""COMPUTED_VALUE"""),"NO")</f>
        <v>NO</v>
      </c>
      <c r="AB149" s="6">
        <f>IFERROR(__xludf.DUMMYFUNCTION("""COMPUTED_VALUE"""),950.0)</f>
        <v>950</v>
      </c>
      <c r="AC149" s="6">
        <f>IFERROR(__xludf.DUMMYFUNCTION("""COMPUTED_VALUE"""),820.0)</f>
        <v>820</v>
      </c>
      <c r="AD149" s="6">
        <f>IFERROR(__xludf.DUMMYFUNCTION("""COMPUTED_VALUE"""),475.0)</f>
        <v>475</v>
      </c>
      <c r="AE149" s="6">
        <f>IFERROR(__xludf.DUMMYFUNCTION("""COMPUTED_VALUE"""),410.0)</f>
        <v>410</v>
      </c>
      <c r="AF149" s="6">
        <f>IFERROR(__xludf.DUMMYFUNCTION("""COMPUTED_VALUE"""),150.0)</f>
        <v>150</v>
      </c>
      <c r="AG149" s="5">
        <f>IFERROR(__xludf.DUMMYFUNCTION("""COMPUTED_VALUE"""),150.0)</f>
        <v>150</v>
      </c>
      <c r="AH149" s="5"/>
      <c r="AI149" s="5">
        <f>IFERROR(__xludf.DUMMYFUNCTION("""COMPUTED_VALUE"""),369.0)</f>
        <v>369</v>
      </c>
      <c r="AJ149" s="5">
        <f>IFERROR(__xludf.DUMMYFUNCTION("""COMPUTED_VALUE"""),427.5)</f>
        <v>427.5</v>
      </c>
      <c r="AK149" s="5" t="str">
        <f>IFERROR(__xludf.DUMMYFUNCTION("""COMPUTED_VALUE"""),"La producción eficiente habla con SAP HANA IN ⚙️
Con este programa aprenderás a planificar, controlar y ejecutar procesos de manufactura en SAP 💼.
Aquí te comparto la info 👇🏻")</f>
        <v>La producción eficiente habla con SAP HANA IN ⚙️
Con este programa aprenderás a planificar, controlar y ejecutar procesos de manufactura en SAP 💼.
Aquí te comparto la info 👇🏻</v>
      </c>
      <c r="AL149" s="5" t="str">
        <f>IFERROR(__xludf.DUMMYFUNCTION("""COMPUTED_VALUE"""),"🏭 Excelente, actualízate con SAP IN y domina la gestión de inventarios.")</f>
        <v>🏭 Excelente, actualízate con SAP IN y domina la gestión de inventarios.</v>
      </c>
      <c r="AM149" s="5" t="str">
        <f>IFERROR(__xludf.DUMMYFUNCTION("""COMPUTED_VALUE"""),"💼 Buenísimo, SAP IN es muy requerido en empresas de manufactura y logística.")</f>
        <v>💼 Buenísimo, SAP IN es muy requerido en empresas de manufactura y logística.</v>
      </c>
      <c r="AN149" s="5" t="str">
        <f>IFERROR(__xludf.DUMMYFUNCTION("""COMPUTED_VALUE"""),"🎓 ¡Genial! Con SAP IN aprenderás gestión de inventarios desde la universidad.")</f>
        <v>🎓 ¡Genial! Con SAP IN aprenderás gestión de inventarios desde la universidad.</v>
      </c>
      <c r="AO149" s="5" t="str">
        <f>IFERROR(__xludf.DUMMYFUNCTION("""COMPUTED_VALUE"""),"🚀 ¡Perfecto! Con SAP IN tendrás ventaja en prácticas de gestión de operaciones.")</f>
        <v>🚀 ¡Perfecto! Con SAP IN tendrás ventaja en prácticas de gestión de operaciones.</v>
      </c>
      <c r="AP149" s="5" t="str">
        <f>IFERROR(__xludf.DUMMYFUNCTION("""COMPUTED_VALUE"""),"📊 ¡Excelente! Con SAP IN podrás controlar y optimizar inventarios en tu negocio.")</f>
        <v>📊 ¡Excelente! Con SAP IN podrás controlar y optimizar inventarios en tu negocio.</v>
      </c>
      <c r="AQ149" s="9" t="str">
        <f>IFERROR(__xludf.DUMMYFUNCTION("""COMPUTED_VALUE"""),"https://we-educacion.com/slides/sap-s-4-hana-in-mm-fi-pp-sd-51")</f>
        <v>https://we-educacion.com/slides/sap-s-4-hana-in-mm-fi-pp-sd-51</v>
      </c>
      <c r="AR149" s="5">
        <v>1.0</v>
      </c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</row>
    <row r="150" ht="15.75" customHeight="1">
      <c r="A150" s="5" t="s">
        <v>192</v>
      </c>
      <c r="B150" s="5" t="str">
        <f t="shared" si="1"/>
        <v>ENE. I - ED26</v>
      </c>
      <c r="C150" s="6" t="str">
        <f>IFERROR(__xludf.DUMMYFUNCTION("""COMPUTED_VALUE"""),"SAP")</f>
        <v>SAP</v>
      </c>
      <c r="D150" s="5" t="str">
        <f>IFERROR(__xludf.DUMMYFUNCTION("""COMPUTED_VALUE"""),"CURSO")</f>
        <v>CURSO</v>
      </c>
      <c r="E150" s="6" t="str">
        <f>IFERROR(__xludf.DUMMYFUNCTION("""COMPUTED_VALUE"""),"SAP HANA SD")</f>
        <v>SAP HANA SD</v>
      </c>
      <c r="F150" s="7">
        <f>IFERROR(__xludf.DUMMYFUNCTION("""COMPUTED_VALUE"""),46030.0)</f>
        <v>46030</v>
      </c>
      <c r="G150" s="6"/>
      <c r="H150" s="7"/>
      <c r="I150" s="6"/>
      <c r="J150" s="7"/>
      <c r="K150" s="6"/>
      <c r="L150" s="7"/>
      <c r="M150" s="6"/>
      <c r="N150" s="7"/>
      <c r="O150" s="6"/>
      <c r="P150" s="7"/>
      <c r="Q150" s="6" t="str">
        <f>IFERROR(__xludf.DUMMYFUNCTION("""COMPUTED_VALUE"""),"Kevin Riquelme")</f>
        <v>Kevin Riquelme</v>
      </c>
      <c r="R150" s="5" t="str">
        <f>IFERROR(__xludf.DUMMYFUNCTION("""COMPUTED_VALUE"""),"Jue")</f>
        <v>Jue</v>
      </c>
      <c r="S150" s="6" t="str">
        <f>IFERROR(__xludf.DUMMYFUNCTION("""COMPUTED_VALUE"""),"7PM - 10PM")</f>
        <v>7PM - 10PM</v>
      </c>
      <c r="T150" s="7" t="str">
        <f>IFERROR(__xludf.DUMMYFUNCTION("""COMPUTED_VALUE"""),"Jueves 8 Enero")</f>
        <v>Jueves 8 Enero</v>
      </c>
      <c r="U150" s="7" t="str">
        <f>IFERROR(__xludf.DUMMYFUNCTION("""COMPUTED_VALUE"""),"Jueves 12 Febrero")</f>
        <v>Jueves 12 Febrero</v>
      </c>
      <c r="V150" s="8">
        <f>IFERROR(__xludf.DUMMYFUNCTION("""COMPUTED_VALUE"""),6.0)</f>
        <v>6</v>
      </c>
      <c r="W150" s="5" t="str">
        <f>IFERROR(__xludf.DUMMYFUNCTION("""COMPUTED_VALUE"""),"pdfs/BROCHURE SAP S4 HANA SD.pdf")</f>
        <v>pdfs/BROCHURE SAP S4 HANA SD.pdf</v>
      </c>
      <c r="X150" s="5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150" s="5" t="str">
        <f>IFERROR(__xludf.DUMMYFUNCTION("""COMPUTED_VALUE"""),"images/sapsd.jpg")</f>
        <v>images/sapsd.jpg</v>
      </c>
      <c r="Z150" s="5" t="str">
        <f>IFERROR(__xludf.DUMMYFUNCTION("""COMPUTED_VALUE"""),"Avalado por SAP Partner Open")</f>
        <v>Avalado por SAP Partner Open</v>
      </c>
      <c r="AA150" s="5" t="str">
        <f>IFERROR(__xludf.DUMMYFUNCTION("""COMPUTED_VALUE"""),"NO")</f>
        <v>NO</v>
      </c>
      <c r="AB150" s="6">
        <f>IFERROR(__xludf.DUMMYFUNCTION("""COMPUTED_VALUE"""),900.0)</f>
        <v>900</v>
      </c>
      <c r="AC150" s="6">
        <f>IFERROR(__xludf.DUMMYFUNCTION("""COMPUTED_VALUE"""),750.0)</f>
        <v>750</v>
      </c>
      <c r="AD150" s="6">
        <f>IFERROR(__xludf.DUMMYFUNCTION("""COMPUTED_VALUE"""),450.0)</f>
        <v>450</v>
      </c>
      <c r="AE150" s="6">
        <f>IFERROR(__xludf.DUMMYFUNCTION("""COMPUTED_VALUE"""),375.0)</f>
        <v>375</v>
      </c>
      <c r="AF150" s="6">
        <f>IFERROR(__xludf.DUMMYFUNCTION("""COMPUTED_VALUE"""),150.0)</f>
        <v>150</v>
      </c>
      <c r="AG150" s="5">
        <f>IFERROR(__xludf.DUMMYFUNCTION("""COMPUTED_VALUE"""),150.0)</f>
        <v>150</v>
      </c>
      <c r="AH150" s="5"/>
      <c r="AI150" s="5">
        <f>IFERROR(__xludf.DUMMYFUNCTION("""COMPUTED_VALUE"""),337.5)</f>
        <v>337.5</v>
      </c>
      <c r="AJ150" s="5">
        <f>IFERROR(__xludf.DUMMYFUNCTION("""COMPUTED_VALUE"""),405.0)</f>
        <v>405</v>
      </c>
      <c r="AK150" s="5" t="str">
        <f>IFERROR(__xludf.DUMMYFUNCTION("""COMPUTED_VALUE"""),"Las ventas y distribución de clase mundial se gestionan con SAP HANA SD 🌍
Aprenderás a optimizar procesos comerciales, facturación y clientes en entornos prácticos 💼.
Aquí tienes la info 👇🏻")</f>
        <v>Las ventas y distribución de clase mundial se gestionan con SAP HANA SD 🌍
Aprenderás a optimizar procesos comerciales, facturación y clientes en entornos prácticos 💼.
Aquí tienes la info 👇🏻</v>
      </c>
      <c r="AL150" s="5" t="str">
        <f>IFERROR(__xludf.DUMMYFUNCTION("""COMPUTED_VALUE"""),"📦 Excelente, actualízate con SAP SD y domina la gestión de ventas y distribución.")</f>
        <v>📦 Excelente, actualízate con SAP SD y domina la gestión de ventas y distribución.</v>
      </c>
      <c r="AM150" s="5" t="str">
        <f>IFERROR(__xludf.DUMMYFUNCTION("""COMPUTED_VALUE"""),"💼 Buenísimo, SAP SD es muy valorado en empresas comerciales y de logística.")</f>
        <v>💼 Buenísimo, SAP SD es muy valorado en empresas comerciales y de logística.</v>
      </c>
      <c r="AN150" s="5" t="str">
        <f>IFERROR(__xludf.DUMMYFUNCTION("""COMPUTED_VALUE"""),"🎓 ¡Genial! Con SAP SD aprenderás gestión de ventas desde la universidad.")</f>
        <v>🎓 ¡Genial! Con SAP SD aprenderás gestión de ventas desde la universidad.</v>
      </c>
      <c r="AO150" s="5" t="str">
        <f>IFERROR(__xludf.DUMMYFUNCTION("""COMPUTED_VALUE"""),"🚀 ¡Perfecto! Con SAP SD destacarás en prácticas en áreas comerciales y de supply chain.")</f>
        <v>🚀 ¡Perfecto! Con SAP SD destacarás en prácticas en áreas comerciales y de supply chain.</v>
      </c>
      <c r="AP150" s="5" t="str">
        <f>IFERROR(__xludf.DUMMYFUNCTION("""COMPUTED_VALUE"""),"📊 ¡Excelente! Con SAP SD optimizarás las ventas y distribución en tu negocio.")</f>
        <v>📊 ¡Excelente! Con SAP SD optimizarás las ventas y distribución en tu negocio.</v>
      </c>
      <c r="AQ150" s="9" t="str">
        <f>IFERROR(__xludf.DUMMYFUNCTION("""COMPUTED_VALUE"""),"https://we-educacion.com/slides/sap-s-4-hana-sd-194")</f>
        <v>https://we-educacion.com/slides/sap-s-4-hana-sd-194</v>
      </c>
      <c r="AR150" s="5">
        <v>1.0</v>
      </c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</row>
    <row r="151" ht="15.75" customHeight="1">
      <c r="A151" s="5" t="s">
        <v>193</v>
      </c>
      <c r="B151" s="5" t="str">
        <f t="shared" si="1"/>
        <v>ENE. II - ED26</v>
      </c>
      <c r="C151" s="6" t="str">
        <f>IFERROR(__xludf.DUMMYFUNCTION("""COMPUTED_VALUE"""),"BI")</f>
        <v>BI</v>
      </c>
      <c r="D151" s="5" t="str">
        <f>IFERROR(__xludf.DUMMYFUNCTION("""COMPUTED_VALUE"""),"CURSO")</f>
        <v>CURSO</v>
      </c>
      <c r="E151" s="6" t="str">
        <f>IFERROR(__xludf.DUMMYFUNCTION("""COMPUTED_VALUE"""),"PYTHON. DATOS")</f>
        <v>PYTHON. DATOS</v>
      </c>
      <c r="F151" s="7">
        <f>IFERROR(__xludf.DUMMYFUNCTION("""COMPUTED_VALUE"""),46030.0)</f>
        <v>46030</v>
      </c>
      <c r="G151" s="6"/>
      <c r="H151" s="7"/>
      <c r="I151" s="6"/>
      <c r="J151" s="7"/>
      <c r="K151" s="6"/>
      <c r="L151" s="7"/>
      <c r="M151" s="6"/>
      <c r="N151" s="7"/>
      <c r="O151" s="6"/>
      <c r="P151" s="7"/>
      <c r="Q151" s="6" t="str">
        <f>IFERROR(__xludf.DUMMYFUNCTION("""COMPUTED_VALUE"""),"Jhair Prado")</f>
        <v>Jhair Prado</v>
      </c>
      <c r="R151" s="5" t="str">
        <f>IFERROR(__xludf.DUMMYFUNCTION("""COMPUTED_VALUE"""),"Mar-Jue")</f>
        <v>Mar-Jue</v>
      </c>
      <c r="S151" s="6" t="str">
        <f>IFERROR(__xludf.DUMMYFUNCTION("""COMPUTED_VALUE"""),"7PM - 10PM")</f>
        <v>7PM - 10PM</v>
      </c>
      <c r="T151" s="7" t="str">
        <f>IFERROR(__xludf.DUMMYFUNCTION("""COMPUTED_VALUE"""),"Jueves 8 Enero")</f>
        <v>Jueves 8 Enero</v>
      </c>
      <c r="U151" s="7" t="str">
        <f>IFERROR(__xludf.DUMMYFUNCTION("""COMPUTED_VALUE"""),"Martes 27 Enero")</f>
        <v>Martes 27 Enero</v>
      </c>
      <c r="V151" s="8">
        <f>IFERROR(__xludf.DUMMYFUNCTION("""COMPUTED_VALUE"""),6.0)</f>
        <v>6</v>
      </c>
      <c r="W151" s="5" t="str">
        <f>IFERROR(__xludf.DUMMYFUNCTION("""COMPUTED_VALUE"""),"pdfs/BROCHURE PYTHON ANALISIS DE DATOS.pdf")</f>
        <v>pdfs/BROCHURE PYTHON ANALISIS DE DATOS.pdf</v>
      </c>
      <c r="X151" s="5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51" s="5" t="str">
        <f>IFERROR(__xludf.DUMMYFUNCTION("""COMPUTED_VALUE"""),"images/python.jpg")</f>
        <v>images/python.jpg</v>
      </c>
      <c r="Z151" s="5" t="str">
        <f>IFERROR(__xludf.DUMMYFUNCTION("""COMPUTED_VALUE"""),"Avalado por IBM® Partner World")</f>
        <v>Avalado por IBM® Partner World</v>
      </c>
      <c r="AA151" s="5" t="str">
        <f>IFERROR(__xludf.DUMMYFUNCTION("""COMPUTED_VALUE"""),"SI")</f>
        <v>SI</v>
      </c>
      <c r="AB151" s="6">
        <f>IFERROR(__xludf.DUMMYFUNCTION("""COMPUTED_VALUE"""),730.0)</f>
        <v>730</v>
      </c>
      <c r="AC151" s="6">
        <f>IFERROR(__xludf.DUMMYFUNCTION("""COMPUTED_VALUE"""),650.0)</f>
        <v>650</v>
      </c>
      <c r="AD151" s="6">
        <f>IFERROR(__xludf.DUMMYFUNCTION("""COMPUTED_VALUE"""),365.0)</f>
        <v>365</v>
      </c>
      <c r="AE151" s="6">
        <f>IFERROR(__xludf.DUMMYFUNCTION("""COMPUTED_VALUE"""),325.0)</f>
        <v>325</v>
      </c>
      <c r="AF151" s="6">
        <f>IFERROR(__xludf.DUMMYFUNCTION("""COMPUTED_VALUE"""),150.0)</f>
        <v>150</v>
      </c>
      <c r="AG151" s="5">
        <f>IFERROR(__xludf.DUMMYFUNCTION("""COMPUTED_VALUE"""),150.0)</f>
        <v>150</v>
      </c>
      <c r="AH151" s="5"/>
      <c r="AI151" s="5">
        <f>IFERROR(__xludf.DUMMYFUNCTION("""COMPUTED_VALUE"""),292.5)</f>
        <v>292.5</v>
      </c>
      <c r="AJ151" s="5">
        <f>IFERROR(__xludf.DUMMYFUNCTION("""COMPUTED_VALUE"""),328.5)</f>
        <v>328.5</v>
      </c>
      <c r="AK151" s="5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151" s="5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151" s="5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151" s="5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151" s="5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151" s="5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151" s="9" t="str">
        <f>IFERROR(__xludf.DUMMYFUNCTION("""COMPUTED_VALUE"""),"https://we-educacion.com/slides/python-analisis-de-datos-259")</f>
        <v>https://we-educacion.com/slides/python-analisis-de-datos-259</v>
      </c>
      <c r="AR151" s="5">
        <v>1.0</v>
      </c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</row>
    <row r="152" ht="15.75" customHeight="1">
      <c r="A152" s="5" t="s">
        <v>194</v>
      </c>
      <c r="B152" s="5" t="str">
        <f t="shared" si="1"/>
        <v>ENE. I - ED26</v>
      </c>
      <c r="C152" s="6" t="str">
        <f>IFERROR(__xludf.DUMMYFUNCTION("""COMPUTED_VALUE"""),"EXCEL")</f>
        <v>EXCEL</v>
      </c>
      <c r="D152" s="5" t="str">
        <f>IFERROR(__xludf.DUMMYFUNCTION("""COMPUTED_VALUE"""),"ESP.")</f>
        <v>ESP.</v>
      </c>
      <c r="E152" s="6" t="str">
        <f>IFERROR(__xludf.DUMMYFUNCTION("""COMPUTED_VALUE"""),"ESP. EXCEL EXP")</f>
        <v>ESP. EXCEL EXP</v>
      </c>
      <c r="F152" s="7">
        <f>IFERROR(__xludf.DUMMYFUNCTION("""COMPUTED_VALUE"""),46031.0)</f>
        <v>46031</v>
      </c>
      <c r="G152" s="6" t="str">
        <f>IFERROR(__xludf.DUMMYFUNCTION("""COMPUTED_VALUE"""),"EXCEL BÁSICO")</f>
        <v>EXCEL BÁSICO</v>
      </c>
      <c r="H152" s="7">
        <f>IFERROR(__xludf.DUMMYFUNCTION("""COMPUTED_VALUE"""),46031.0)</f>
        <v>46031</v>
      </c>
      <c r="I152" s="6" t="str">
        <f>IFERROR(__xludf.DUMMYFUNCTION("""COMPUTED_VALUE"""),"EXCEL INTERM")</f>
        <v>EXCEL INTERM</v>
      </c>
      <c r="J152" s="7">
        <f>IFERROR(__xludf.DUMMYFUNCTION("""COMPUTED_VALUE"""),46043.0)</f>
        <v>46043</v>
      </c>
      <c r="K152" s="6" t="str">
        <f>IFERROR(__xludf.DUMMYFUNCTION("""COMPUTED_VALUE"""),"EXCEL AVANZ")</f>
        <v>EXCEL AVANZ</v>
      </c>
      <c r="L152" s="7">
        <f>IFERROR(__xludf.DUMMYFUNCTION("""COMPUTED_VALUE"""),46057.0)</f>
        <v>46057</v>
      </c>
      <c r="M152" s="6" t="str">
        <f>IFERROR(__xludf.DUMMYFUNCTION("""COMPUTED_VALUE"""),"PROG. MACROS")</f>
        <v>PROG. MACROS</v>
      </c>
      <c r="N152" s="7">
        <f>IFERROR(__xludf.DUMMYFUNCTION("""COMPUTED_VALUE"""),46071.0)</f>
        <v>46071</v>
      </c>
      <c r="O152" s="6"/>
      <c r="P152" s="7"/>
      <c r="Q152" s="6" t="str">
        <f>IFERROR(__xludf.DUMMYFUNCTION("""COMPUTED_VALUE"""),"Jhon Lino
Jonathan Sanchez
Giancarlos Barboza
Julio Ccari")</f>
        <v>Jhon Lino
Jonathan Sanchez
Giancarlos Barboza
Julio Ccari</v>
      </c>
      <c r="R152" s="5" t="str">
        <f>IFERROR(__xludf.DUMMYFUNCTION("""COMPUTED_VALUE"""),"Lun-Mie-Vier")</f>
        <v>Lun-Mie-Vier</v>
      </c>
      <c r="S152" s="6" t="str">
        <f>IFERROR(__xludf.DUMMYFUNCTION("""COMPUTED_VALUE"""),"7PM - 10PM")</f>
        <v>7PM - 10PM</v>
      </c>
      <c r="T152" s="7" t="str">
        <f>IFERROR(__xludf.DUMMYFUNCTION("""COMPUTED_VALUE"""),"Viernes 9 Enero")</f>
        <v>Viernes 9 Enero</v>
      </c>
      <c r="U152" s="7" t="str">
        <f>IFERROR(__xludf.DUMMYFUNCTION("""COMPUTED_VALUE"""),"Lunes 2 Marzo")</f>
        <v>Lunes 2 Marzo</v>
      </c>
      <c r="V152" s="8">
        <f>IFERROR(__xludf.DUMMYFUNCTION("""COMPUTED_VALUE"""),23.0)</f>
        <v>23</v>
      </c>
      <c r="W152" s="5" t="str">
        <f>IFERROR(__xludf.DUMMYFUNCTION("""COMPUTED_VALUE"""),"pdfs/BROCHURE ESPECIALIZACION DE EXCEL EXPERT.pdf")</f>
        <v>pdfs/BROCHURE ESPECIALIZACION DE EXCEL EXPERT.pdf</v>
      </c>
      <c r="X152" s="5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MOS*
🔹 "&amp;"05 Cursos Online de regalo con acceso ilimitado 📚
🔹 Desarrollo y seguimiento de tu proyecto *(Evaluado)*
🔹 Contenido Integrado con Chat GPT
🔹 Garantía de Aprendizaje 100%
🚨 *Por favor, revisa el BROCHURE* 👇🏻
Aqui encontrarás la información complet"&amp;"a del programa, el TEMARIO (malla curricular) y todos los BENEFICIOS 📚")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52" s="5" t="str">
        <f>IFERROR(__xludf.DUMMYFUNCTION("""COMPUTED_VALUE"""),"images/excelexp.jpg")</f>
        <v>images/excelexp.jpg</v>
      </c>
      <c r="Z152" s="6" t="str">
        <f>IFERROR(__xludf.DUMMYFUNCTION("""COMPUTED_VALUE"""),"Avalado por Microsoft Partner Network")</f>
        <v>Avalado por Microsoft Partner Network</v>
      </c>
      <c r="AA152" s="6" t="str">
        <f>IFERROR(__xludf.DUMMYFUNCTION("""COMPUTED_VALUE"""),"NO")</f>
        <v>NO</v>
      </c>
      <c r="AB152" s="6">
        <f>IFERROR(__xludf.DUMMYFUNCTION("""COMPUTED_VALUE"""),1600.0)</f>
        <v>1600</v>
      </c>
      <c r="AC152" s="6">
        <f>IFERROR(__xludf.DUMMYFUNCTION("""COMPUTED_VALUE"""),1520.0)</f>
        <v>1520</v>
      </c>
      <c r="AD152" s="6">
        <f>IFERROR(__xludf.DUMMYFUNCTION("""COMPUTED_VALUE"""),800.0)</f>
        <v>800</v>
      </c>
      <c r="AE152" s="6">
        <f>IFERROR(__xludf.DUMMYFUNCTION("""COMPUTED_VALUE"""),760.0)</f>
        <v>760</v>
      </c>
      <c r="AF152" s="6">
        <f>IFERROR(__xludf.DUMMYFUNCTION("""COMPUTED_VALUE"""),250.0)</f>
        <v>250</v>
      </c>
      <c r="AG152" s="5">
        <f>IFERROR(__xludf.DUMMYFUNCTION("""COMPUTED_VALUE"""),350.0)</f>
        <v>350</v>
      </c>
      <c r="AH152" s="5"/>
      <c r="AI152" s="5">
        <f>IFERROR(__xludf.DUMMYFUNCTION("""COMPUTED_VALUE"""),684.0)</f>
        <v>684</v>
      </c>
      <c r="AJ152" s="5">
        <f>IFERROR(__xludf.DUMMYFUNCTION("""COMPUTED_VALUE"""),720.0)</f>
        <v>720</v>
      </c>
      <c r="AK152" s="5" t="str">
        <f>IFERROR(__xludf.DUMMYFUNCTION("""COMPUTED_VALUE"""),"El lenguaje de los profesionales competitivos es Excel Experto 🔥
En pocas semanas dominarás funciones avanzadas y automatización aplicada a casos reales de negocio.
Ahora te comparto la información completa 👇🏻")</f>
        <v>El lenguaje de los profesionales competitivos es Excel Experto 🔥
En pocas semanas dominarás funciones avanzadas y automatización aplicada a casos reales de negocio.
Ahora te comparto la información completa 👇🏻</v>
      </c>
      <c r="AL152" s="5" t="str">
        <f>IFERROR(__xludf.DUMMYFUNCTION("""COMPUTED_VALUE"""),"Excelente 🙌, con Excel Experto actualizarás tus habilidades en funciones avanzadas y automatización ⚡, manteniéndote competitivo.")</f>
        <v>Excelente 🙌, con Excel Experto actualizarás tus habilidades en funciones avanzadas y automatización ⚡, manteniéndote competitivo.</v>
      </c>
      <c r="AM152" s="5" t="str">
        <f>IFERROR(__xludf.DUMMYFUNCTION("""COMPUTED_VALUE"""),"Buenísimo 💼, Excel es de las competencias más pedidas 📊. Dominarlo abrirá más oportunidades laborales 🚀.")</f>
        <v>Buenísimo 💼, Excel es de las competencias más pedidas 📊. Dominarlo abrirá más oportunidades laborales 🚀.</v>
      </c>
      <c r="AN152" s="5" t="str">
        <f>IFERROR(__xludf.DUMMYFUNCTION("""COMPUTED_VALUE"""),"¡Excelente! 🎓 Con Excel Experto sumarás una ventaja práctica desde la universidad y destacarás en tus proyectos 📘.")</f>
        <v>¡Excelente! 🎓 Con Excel Experto sumarás una ventaja práctica desde la universidad y destacarás en tus proyectos 📘.</v>
      </c>
      <c r="AO152" s="5" t="str">
        <f>IFERROR(__xludf.DUMMYFUNCTION("""COMPUTED_VALUE"""),"¡Perfecto! 🔑 Saber Excel Experto te dará ventaja frente a otros postulantes, clave para conseguir prácticas 📝.")</f>
        <v>¡Perfecto! 🔑 Saber Excel Experto te dará ventaja frente a otros postulantes, clave para conseguir prácticas 📝.</v>
      </c>
      <c r="AP152" s="5" t="str">
        <f>IFERROR(__xludf.DUMMYFUNCTION("""COMPUTED_VALUE"""),"¡Excelente! 💡 Con Excel Experto podrás manejar y analizar la información de tu negocio 📈 de forma más profesional.")</f>
        <v>¡Excelente! 💡 Con Excel Experto podrás manejar y analizar la información de tu negocio 📈 de forma más profesional.</v>
      </c>
      <c r="AQ152" s="9" t="str">
        <f>IFERROR(__xludf.DUMMYFUNCTION("""COMPUTED_VALUE"""),"https://we-educacion.com/slides/especializacion-en-microsoft-excel-expert-272")</f>
        <v>https://we-educacion.com/slides/especializacion-en-microsoft-excel-expert-272</v>
      </c>
      <c r="AR152" s="5">
        <v>1.0</v>
      </c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</row>
    <row r="153" ht="15.75" customHeight="1">
      <c r="A153" s="5" t="s">
        <v>195</v>
      </c>
      <c r="B153" s="5" t="str">
        <f t="shared" si="1"/>
        <v>ENE. I - ED26</v>
      </c>
      <c r="C153" s="6" t="str">
        <f>IFERROR(__xludf.DUMMYFUNCTION("""COMPUTED_VALUE"""),"EXCEL")</f>
        <v>EXCEL</v>
      </c>
      <c r="D153" s="6" t="str">
        <f>IFERROR(__xludf.DUMMYFUNCTION("""COMPUTED_VALUE"""),"ESP.")</f>
        <v>ESP.</v>
      </c>
      <c r="E153" s="6" t="str">
        <f>IFERROR(__xludf.DUMMYFUNCTION("""COMPUTED_VALUE"""),"ESPEC. EXCEL")</f>
        <v>ESPEC. EXCEL</v>
      </c>
      <c r="F153" s="7">
        <f>IFERROR(__xludf.DUMMYFUNCTION("""COMPUTED_VALUE"""),46031.0)</f>
        <v>46031</v>
      </c>
      <c r="G153" s="6" t="str">
        <f>IFERROR(__xludf.DUMMYFUNCTION("""COMPUTED_VALUE"""),"EXCEL BÁSICO")</f>
        <v>EXCEL BÁSICO</v>
      </c>
      <c r="H153" s="7">
        <f>IFERROR(__xludf.DUMMYFUNCTION("""COMPUTED_VALUE"""),46031.0)</f>
        <v>46031</v>
      </c>
      <c r="I153" s="6" t="str">
        <f>IFERROR(__xludf.DUMMYFUNCTION("""COMPUTED_VALUE"""),"EXCEL INTERM")</f>
        <v>EXCEL INTERM</v>
      </c>
      <c r="J153" s="7">
        <f>IFERROR(__xludf.DUMMYFUNCTION("""COMPUTED_VALUE"""),46043.0)</f>
        <v>46043</v>
      </c>
      <c r="K153" s="6" t="str">
        <f>IFERROR(__xludf.DUMMYFUNCTION("""COMPUTED_VALUE"""),"EXCEL AVANZ")</f>
        <v>EXCEL AVANZ</v>
      </c>
      <c r="L153" s="7">
        <f>IFERROR(__xludf.DUMMYFUNCTION("""COMPUTED_VALUE"""),46057.0)</f>
        <v>46057</v>
      </c>
      <c r="M153" s="6"/>
      <c r="N153" s="7"/>
      <c r="O153" s="6"/>
      <c r="P153" s="7"/>
      <c r="Q153" s="6" t="str">
        <f>IFERROR(__xludf.DUMMYFUNCTION("""COMPUTED_VALUE"""),"Jhon Lino
Jonathan Sanchez
Giancarlos Barboza")</f>
        <v>Jhon Lino
Jonathan Sanchez
Giancarlos Barboza</v>
      </c>
      <c r="R153" s="5" t="str">
        <f>IFERROR(__xludf.DUMMYFUNCTION("""COMPUTED_VALUE"""),"Lun-Mie-Vier")</f>
        <v>Lun-Mie-Vier</v>
      </c>
      <c r="S153" s="6" t="str">
        <f>IFERROR(__xludf.DUMMYFUNCTION("""COMPUTED_VALUE"""),"7PM - 10PM")</f>
        <v>7PM - 10PM</v>
      </c>
      <c r="T153" s="7" t="str">
        <f>IFERROR(__xludf.DUMMYFUNCTION("""COMPUTED_VALUE"""),"Viernes 9 Enero")</f>
        <v>Viernes 9 Enero</v>
      </c>
      <c r="U153" s="7" t="str">
        <f>IFERROR(__xludf.DUMMYFUNCTION("""COMPUTED_VALUE"""),"Lunes 16 Febrero")</f>
        <v>Lunes 16 Febrero</v>
      </c>
      <c r="V153" s="8">
        <f>IFERROR(__xludf.DUMMYFUNCTION("""COMPUTED_VALUE"""),17.0)</f>
        <v>17</v>
      </c>
      <c r="W153" s="5" t="str">
        <f>IFERROR(__xludf.DUMMYFUNCTION("""COMPUTED_VALUE"""),"pdfs/BROCHURE ESPECIALIZACION DE EXCEL.pdf")</f>
        <v>pdfs/BROCHURE ESPECIALIZACION DE EXCEL.pdf</v>
      </c>
      <c r="X153" s="6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*Por favor, revisa el BROCHURE* 👇🏻
Aqui encontrarás la información completa del programa, el TEMARIO (malla curricular) y todos los BE"&amp;"NEFICIOS 📚")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53" s="5" t="str">
        <f>IFERROR(__xludf.DUMMYFUNCTION("""COMPUTED_VALUE"""),"images/espexcel.jpg")</f>
        <v>images/espexcel.jpg</v>
      </c>
      <c r="Z153" s="5" t="str">
        <f>IFERROR(__xludf.DUMMYFUNCTION("""COMPUTED_VALUE"""),"Avalado por Microsoft Partner Network")</f>
        <v>Avalado por Microsoft Partner Network</v>
      </c>
      <c r="AA153" s="5" t="str">
        <f>IFERROR(__xludf.DUMMYFUNCTION("""COMPUTED_VALUE"""),"NO")</f>
        <v>NO</v>
      </c>
      <c r="AB153" s="6">
        <f>IFERROR(__xludf.DUMMYFUNCTION("""COMPUTED_VALUE"""),1200.0)</f>
        <v>1200</v>
      </c>
      <c r="AC153" s="6">
        <f>IFERROR(__xludf.DUMMYFUNCTION("""COMPUTED_VALUE"""),1140.0)</f>
        <v>1140</v>
      </c>
      <c r="AD153" s="6">
        <f>IFERROR(__xludf.DUMMYFUNCTION("""COMPUTED_VALUE"""),600.0)</f>
        <v>600</v>
      </c>
      <c r="AE153" s="6">
        <f>IFERROR(__xludf.DUMMYFUNCTION("""COMPUTED_VALUE"""),570.0)</f>
        <v>570</v>
      </c>
      <c r="AF153" s="6">
        <f>IFERROR(__xludf.DUMMYFUNCTION("""COMPUTED_VALUE"""),250.0)</f>
        <v>250</v>
      </c>
      <c r="AG153" s="5">
        <f>IFERROR(__xludf.DUMMYFUNCTION("""COMPUTED_VALUE"""),350.0)</f>
        <v>350</v>
      </c>
      <c r="AH153" s="5"/>
      <c r="AI153" s="5">
        <f>IFERROR(__xludf.DUMMYFUNCTION("""COMPUTED_VALUE"""),513.0)</f>
        <v>513</v>
      </c>
      <c r="AJ153" s="5">
        <f>IFERROR(__xludf.DUMMYFUNCTION("""COMPUTED_VALUE"""),540.0)</f>
        <v>540</v>
      </c>
      <c r="AK153" s="5" t="str">
        <f>IFERROR(__xludf.DUMMYFUNCTION("""COMPUTED_VALUE"""),"Hoy el dominio de datos se traduce en oportunidades 🚀
Con la Especialización en Excel aprenderás a manejar información con agilidad y a tomar decisiones estratégicas con base en datos 💼.
Aquí tienes la info a detalle 👇🏻")</f>
        <v>Hoy el dominio de datos se traduce en oportunidades 🚀
Con la Especialización en Excel aprenderás a manejar información con agilidad y a tomar decisiones estratégicas con base en datos 💼.
Aquí tienes la info a detalle 👇🏻</v>
      </c>
      <c r="AL153" s="5" t="str">
        <f>IFERROR(__xludf.DUMMYFUNCTION("""COMPUTED_VALUE"""),"Excelente 🙌, actualízate con la Especialización en Excel y mantén al día tus competencias más demandadas 🔥.")</f>
        <v>Excelente 🙌, actualízate con la Especialización en Excel y mantén al día tus competencias más demandadas 🔥.</v>
      </c>
      <c r="AM153" s="5" t="str">
        <f>IFERROR(__xludf.DUMMYFUNCTION("""COMPUTED_VALUE"""),"Buenísimo 💼, las empresas valoran muchísimo el dominio de Excel. Con esta especialización, aumentarás tus opciones de empleo 🚀")</f>
        <v>Buenísimo 💼, las empresas valoran muchísimo el dominio de Excel. Con esta especialización, aumentarás tus opciones de empleo 🚀</v>
      </c>
      <c r="AN153" s="5" t="str">
        <f>IFERROR(__xludf.DUMMYFUNCTION("""COMPUTED_VALUE"""),"¡Excelente! 🎓 Con Excel aprenderás a manejar datos y reportes 📊, diferenciándote en la universidad.")</f>
        <v>¡Excelente! 🎓 Con Excel aprenderás a manejar datos y reportes 📊, diferenciándote en la universidad.</v>
      </c>
      <c r="AO153" s="5" t="str">
        <f>IFERROR(__xludf.DUMMYFUNCTION("""COMPUTED_VALUE"""),"¡Perfecto! ✅ Saber Excel es un plus muy valorado para acceder a prácticas 👩🏻‍💻👨🏻‍💻.")</f>
        <v>¡Perfecto! ✅ Saber Excel es un plus muy valorado para acceder a prácticas 👩🏻‍💻👨🏻‍💻.</v>
      </c>
      <c r="AP153" s="5" t="str">
        <f>IFERROR(__xludf.DUMMYFUNCTION("""COMPUTED_VALUE"""),"¡Excelente! 💡 Con Excel gestionarás tu negocio con reportes claros 📑 y decisiones inteligentes.")</f>
        <v>¡Excelente! 💡 Con Excel gestionarás tu negocio con reportes claros 📑 y decisiones inteligentes.</v>
      </c>
      <c r="AQ153" s="9" t="str">
        <f>IFERROR(__xludf.DUMMYFUNCTION("""COMPUTED_VALUE"""),"https://we-educacion.com/slides/especializacion-en-microsoft-excel-77")</f>
        <v>https://we-educacion.com/slides/especializacion-en-microsoft-excel-77</v>
      </c>
      <c r="AR153" s="5">
        <v>1.0</v>
      </c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</row>
    <row r="154" ht="15.75" customHeight="1">
      <c r="A154" s="5" t="s">
        <v>196</v>
      </c>
      <c r="B154" s="5" t="str">
        <f t="shared" si="1"/>
        <v>ENE. I - ED26</v>
      </c>
      <c r="C154" s="6" t="str">
        <f>IFERROR(__xludf.DUMMYFUNCTION("""COMPUTED_VALUE"""),"EXCEL")</f>
        <v>EXCEL</v>
      </c>
      <c r="D154" s="6" t="str">
        <f>IFERROR(__xludf.DUMMYFUNCTION("""COMPUTED_VALUE"""),"CURSO")</f>
        <v>CURSO</v>
      </c>
      <c r="E154" s="6" t="str">
        <f>IFERROR(__xludf.DUMMYFUNCTION("""COMPUTED_VALUE"""),"EXCEL BÁSICO")</f>
        <v>EXCEL BÁSICO</v>
      </c>
      <c r="F154" s="7">
        <f>IFERROR(__xludf.DUMMYFUNCTION("""COMPUTED_VALUE"""),46031.0)</f>
        <v>46031</v>
      </c>
      <c r="G154" s="6"/>
      <c r="H154" s="7"/>
      <c r="I154" s="6"/>
      <c r="J154" s="7"/>
      <c r="K154" s="6"/>
      <c r="L154" s="7"/>
      <c r="M154" s="6"/>
      <c r="N154" s="7"/>
      <c r="O154" s="6"/>
      <c r="P154" s="7"/>
      <c r="Q154" s="6" t="str">
        <f>IFERROR(__xludf.DUMMYFUNCTION("""COMPUTED_VALUE"""),"Jhon Lino
")</f>
        <v>Jhon Lino
</v>
      </c>
      <c r="R154" s="5" t="str">
        <f>IFERROR(__xludf.DUMMYFUNCTION("""COMPUTED_VALUE"""),"Lun-Mie-Vier")</f>
        <v>Lun-Mie-Vier</v>
      </c>
      <c r="S154" s="6" t="str">
        <f>IFERROR(__xludf.DUMMYFUNCTION("""COMPUTED_VALUE"""),"7PM - 10PM")</f>
        <v>7PM - 10PM</v>
      </c>
      <c r="T154" s="7" t="str">
        <f>IFERROR(__xludf.DUMMYFUNCTION("""COMPUTED_VALUE"""),"Viernes 9 Enero")</f>
        <v>Viernes 9 Enero</v>
      </c>
      <c r="U154" s="7" t="str">
        <f>IFERROR(__xludf.DUMMYFUNCTION("""COMPUTED_VALUE"""),"Lunes 19 Enero")</f>
        <v>Lunes 19 Enero</v>
      </c>
      <c r="V154" s="8">
        <f>IFERROR(__xludf.DUMMYFUNCTION("""COMPUTED_VALUE"""),5.0)</f>
        <v>5</v>
      </c>
      <c r="W154" s="5" t="str">
        <f>IFERROR(__xludf.DUMMYFUNCTION("""COMPUTED_VALUE"""),"pdfs/BROCHURE EXCEL BÁSICO.pdf")</f>
        <v>pdfs/BROCHURE EXCEL BÁSICO.pdf</v>
      </c>
      <c r="X154" s="5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54" s="5" t="str">
        <f>IFERROR(__xludf.DUMMYFUNCTION("""COMPUTED_VALUE"""),"images/excelbasico.jpg")</f>
        <v>images/excelbasico.jpg</v>
      </c>
      <c r="Z154" s="5" t="str">
        <f>IFERROR(__xludf.DUMMYFUNCTION("""COMPUTED_VALUE"""),"Avalado por Microsoft Partner Network")</f>
        <v>Avalado por Microsoft Partner Network</v>
      </c>
      <c r="AA154" s="5" t="str">
        <f>IFERROR(__xludf.DUMMYFUNCTION("""COMPUTED_VALUE"""),"NO")</f>
        <v>NO</v>
      </c>
      <c r="AB154" s="6">
        <f>IFERROR(__xludf.DUMMYFUNCTION("""COMPUTED_VALUE"""),400.0)</f>
        <v>400</v>
      </c>
      <c r="AC154" s="6">
        <f>IFERROR(__xludf.DUMMYFUNCTION("""COMPUTED_VALUE"""),380.0)</f>
        <v>380</v>
      </c>
      <c r="AD154" s="6">
        <f>IFERROR(__xludf.DUMMYFUNCTION("""COMPUTED_VALUE"""),200.0)</f>
        <v>200</v>
      </c>
      <c r="AE154" s="6">
        <f>IFERROR(__xludf.DUMMYFUNCTION("""COMPUTED_VALUE"""),190.0)</f>
        <v>190</v>
      </c>
      <c r="AF154" s="6">
        <f>IFERROR(__xludf.DUMMYFUNCTION("""COMPUTED_VALUE"""),150.0)</f>
        <v>150</v>
      </c>
      <c r="AG154" s="5">
        <f>IFERROR(__xludf.DUMMYFUNCTION("""COMPUTED_VALUE"""),150.0)</f>
        <v>150</v>
      </c>
      <c r="AH154" s="5"/>
      <c r="AI154" s="5">
        <f>IFERROR(__xludf.DUMMYFUNCTION("""COMPUTED_VALUE"""),171.0)</f>
        <v>171</v>
      </c>
      <c r="AJ154" s="5">
        <f>IFERROR(__xludf.DUMMYFUNCTION("""COMPUTED_VALUE"""),180.0)</f>
        <v>180</v>
      </c>
      <c r="AK154" s="5" t="str">
        <f>IFERROR(__xludf.DUMMYFUNCTION("""COMPUTED_VALUE"""),"Todo gran profesional empieza dominando Excel Básico 📝
En pocas semanas aprenderás a manejar hojas de cálculo y análisis de datos de forma práctica 💼.
Aquí la información completa 👇🏻")</f>
        <v>Todo gran profesional empieza dominando Excel Básico 📝
En pocas semanas aprenderás a manejar hojas de cálculo y análisis de datos de forma práctica 💼.
Aquí la información completa 👇🏻</v>
      </c>
      <c r="AL154" s="5" t="str">
        <f>IFERROR(__xludf.DUMMYFUNCTION("""COMPUTED_VALUE"""),"🔑 *Excelente*, actualízate con *EXCEL BÁSICO* y mantente competitivo en el mercado laboral.")</f>
        <v>🔑 *Excelente*, actualízate con *EXCEL BÁSICO* y mantente competitivo en el mercado laboral.</v>
      </c>
      <c r="AM154" s="5" t="str">
        <f>IFERROR(__xludf.DUMMYFUNCTION("""COMPUTED_VALUE"""),"💼 Buenísimo, *EXCEL BÁSICO* es de las competencias más pedidas por las empresas y aumentará tus oportunidades laborales.")</f>
        <v>💼 Buenísimo, *EXCEL BÁSICO* es de las competencias más pedidas por las empresas y aumentará tus oportunidades laborales.</v>
      </c>
      <c r="AN154" s="5" t="str">
        <f>IFERROR(__xludf.DUMMYFUNCTION("""COMPUTED_VALUE"""),"⚡ ¡Genial! Con *EXCEL BÁSICO* sumarás una habilidad poderosa que te diferenciará desde la universidad.")</f>
        <v>⚡ ¡Genial! Con *EXCEL BÁSICO* sumarás una habilidad poderosa que te diferenciará desde la universidad.</v>
      </c>
      <c r="AO154" s="5" t="str">
        <f>IFERROR(__xludf.DUMMYFUNCTION("""COMPUTED_VALUE"""),"🎓 ¡Perfecto! Saber *EXCEL BÁSICO* te dará ventaja frente a otros postulantes para conseguir prácticas.")</f>
        <v>🎓 ¡Perfecto! Saber *EXCEL BÁSICO* te dará ventaja frente a otros postulantes para conseguir prácticas.</v>
      </c>
      <c r="AP154" s="5" t="str">
        <f>IFERROR(__xludf.DUMMYFUNCTION("""COMPUTED_VALUE"""),"🏆 ¡Excelente! Con *EXCEL BÁSICO* podrás aplicarlo en tu negocio y tomar decisiones más inteligentes.")</f>
        <v>🏆 ¡Excelente! Con *EXCEL BÁSICO* podrás aplicarlo en tu negocio y tomar decisiones más inteligentes.</v>
      </c>
      <c r="AQ154" s="9" t="str">
        <f>IFERROR(__xludf.DUMMYFUNCTION("""COMPUTED_VALUE"""),"https://we-educacion.com/slides/microsoft-excel-basico-221")</f>
        <v>https://we-educacion.com/slides/microsoft-excel-basico-221</v>
      </c>
      <c r="AR154" s="5">
        <v>1.0</v>
      </c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</row>
    <row r="155" ht="15.75" customHeight="1">
      <c r="A155" s="5" t="s">
        <v>197</v>
      </c>
      <c r="B155" s="5" t="str">
        <f t="shared" si="1"/>
        <v>ENE. I - ED26</v>
      </c>
      <c r="C155" s="6" t="str">
        <f>IFERROR(__xludf.DUMMYFUNCTION("""COMPUTED_VALUE"""),"BI")</f>
        <v>BI</v>
      </c>
      <c r="D155" s="6" t="str">
        <f>IFERROR(__xludf.DUMMYFUNCTION("""COMPUTED_VALUE"""),"CURSO")</f>
        <v>CURSO</v>
      </c>
      <c r="E155" s="6" t="str">
        <f>IFERROR(__xludf.DUMMYFUNCTION("""COMPUTED_VALUE"""),"POWER BI PRESENCIAL")</f>
        <v>POWER BI PRESENCIAL</v>
      </c>
      <c r="F155" s="7">
        <f>IFERROR(__xludf.DUMMYFUNCTION("""COMPUTED_VALUE"""),46032.0)</f>
        <v>46032</v>
      </c>
      <c r="G155" s="6"/>
      <c r="H155" s="7"/>
      <c r="I155" s="6"/>
      <c r="J155" s="7"/>
      <c r="K155" s="6"/>
      <c r="L155" s="7"/>
      <c r="M155" s="6"/>
      <c r="N155" s="7"/>
      <c r="O155" s="6"/>
      <c r="P155" s="7"/>
      <c r="Q155" s="6" t="str">
        <f>IFERROR(__xludf.DUMMYFUNCTION("""COMPUTED_VALUE"""),"Ricardo Crispin")</f>
        <v>Ricardo Crispin</v>
      </c>
      <c r="R155" s="5" t="str">
        <f>IFERROR(__xludf.DUMMYFUNCTION("""COMPUTED_VALUE"""),"Sáb")</f>
        <v>Sáb</v>
      </c>
      <c r="S155" s="6" t="str">
        <f>IFERROR(__xludf.DUMMYFUNCTION("""COMPUTED_VALUE"""),"3:30PM - 7.30 PM")</f>
        <v>3:30PM - 7.30 PM</v>
      </c>
      <c r="T155" s="7" t="str">
        <f>IFERROR(__xludf.DUMMYFUNCTION("""COMPUTED_VALUE"""),"Sábado 10 Enero")</f>
        <v>Sábado 10 Enero</v>
      </c>
      <c r="U155" s="7" t="str">
        <f>IFERROR(__xludf.DUMMYFUNCTION("""COMPUTED_VALUE"""),"Sábado 7 Febrero")</f>
        <v>Sábado 7 Febrero</v>
      </c>
      <c r="V155" s="8">
        <f>IFERROR(__xludf.DUMMYFUNCTION("""COMPUTED_VALUE"""),5.0)</f>
        <v>5</v>
      </c>
      <c r="W155" s="5" t="str">
        <f>IFERROR(__xludf.DUMMYFUNCTION("""COMPUTED_VALUE"""),"pdfs/BROCHURE POWER BI PRESENCIAL.pdf")</f>
        <v>pdfs/BROCHURE POWER BI PRESENCIAL.pdf</v>
      </c>
      <c r="X155" s="5" t="str">
        <f>IFERROR(__xludf.DUMMYFUNCTION("""COMPUTED_VALUE"""),"🔹 Recuerda que si traes tu Propia Laptop a todas las sesiones, te descontamos S/50 en tu inscripción
🚨 Por favor, revisa el BROCHURE 👇🏻
Aqui encontrarás la información completa del programa: Temario (malla curricular) y todos los BENEFICIOS 📚
👉🏼 "&amp;"Te comparto un Modelo de Certificado que elevará tu perfil profesional ")</f>
        <v>🔹 Recuerda que si traes tu Propia Laptop a todas las sesiones, te descontamos S/50 en tu inscripción
🚨 Por favor, revisa el BROCHURE 👇🏻
Aqui encontrarás la información completa del programa: Temario (malla curricular) y todos los BENEFICIOS 📚
👉🏼 Te comparto un Modelo de Certificado que elevará tu perfil profesional </v>
      </c>
      <c r="Y155" s="5" t="str">
        <f>IFERROR(__xludf.DUMMYFUNCTION("""COMPUTED_VALUE"""),"images/powerbipres.jpg")</f>
        <v>images/powerbipres.jpg</v>
      </c>
      <c r="Z155" s="5" t="str">
        <f>IFERROR(__xludf.DUMMYFUNCTION("""COMPUTED_VALUE"""),"Avalado por Microsoft Partner Network")</f>
        <v>Avalado por Microsoft Partner Network</v>
      </c>
      <c r="AA155" s="5" t="str">
        <f>IFERROR(__xludf.DUMMYFUNCTION("""COMPUTED_VALUE"""),"NO")</f>
        <v>NO</v>
      </c>
      <c r="AB155" s="6">
        <f>IFERROR(__xludf.DUMMYFUNCTION("""COMPUTED_VALUE"""),940.0)</f>
        <v>940</v>
      </c>
      <c r="AC155" s="6">
        <f>IFERROR(__xludf.DUMMYFUNCTION("""COMPUTED_VALUE"""),860.0)</f>
        <v>860</v>
      </c>
      <c r="AD155" s="6">
        <f>IFERROR(__xludf.DUMMYFUNCTION("""COMPUTED_VALUE"""),470.0)</f>
        <v>470</v>
      </c>
      <c r="AE155" s="6">
        <f>IFERROR(__xludf.DUMMYFUNCTION("""COMPUTED_VALUE"""),430.0)</f>
        <v>430</v>
      </c>
      <c r="AF155" s="6">
        <f>IFERROR(__xludf.DUMMYFUNCTION("""COMPUTED_VALUE"""),150.0)</f>
        <v>150</v>
      </c>
      <c r="AG155" s="5">
        <f>IFERROR(__xludf.DUMMYFUNCTION("""COMPUTED_VALUE"""),150.0)</f>
        <v>150</v>
      </c>
      <c r="AH155" s="5"/>
      <c r="AI155" s="5">
        <f>IFERROR(__xludf.DUMMYFUNCTION("""COMPUTED_VALUE"""),387.0)</f>
        <v>387</v>
      </c>
      <c r="AJ155" s="5">
        <f>IFERROR(__xludf.DUMMYFUNCTION("""COMPUTED_VALUE"""),423.0)</f>
        <v>423</v>
      </c>
      <c r="AK155" s="5" t="str">
        <f>IFERROR(__xludf.DUMMYFUNCTION("""COMPUTED_VALUE"""),"La ventaja competitiva se gana con análisis de datos en vivo 📊
Con Power BI Presencial aprenderás a crear dashboards e informes aplicados a negocios reales 💼.
Aquí tienes la info 👇🏻")</f>
        <v>La ventaja competitiva se gana con análisis de datos en vivo 📊
Con Power BI Presencial aprenderás a crear dashboards e informes aplicados a negocios reales 💼.
Aquí tienes la info 👇🏻</v>
      </c>
      <c r="AL155" s="5" t="str">
        <f>IFERROR(__xludf.DUMMYFUNCTION("""COMPUTED_VALUE"""),"📊 Excelente, actualízate con Power BI Presencial y desarrolla tu capacidad de análisis estratégico.")</f>
        <v>📊 Excelente, actualízate con Power BI Presencial y desarrolla tu capacidad de análisis estratégico.</v>
      </c>
      <c r="AM155" s="5" t="str">
        <f>IFERROR(__xludf.DUMMYFUNCTION("""COMPUTED_VALUE"""),"💼 Buenísimo, Power BI es una de las herramientas más pedidas en el mercado laboral.")</f>
        <v>💼 Buenísimo, Power BI es una de las herramientas más pedidas en el mercado laboral.</v>
      </c>
      <c r="AN155" s="5" t="str">
        <f>IFERROR(__xludf.DUMMYFUNCTION("""COMPUTED_VALUE"""),"🎓 ¡Genial! Desde la universidad, aprender Power BI te dará un diferencial frente a tus compañeros.")</f>
        <v>🎓 ¡Genial! Desde la universidad, aprender Power BI te dará un diferencial frente a tus compañeros.</v>
      </c>
      <c r="AO155" s="5" t="str">
        <f>IFERROR(__xludf.DUMMYFUNCTION("""COMPUTED_VALUE"""),"🚀 ¡Perfecto! Dominar Power BI te permitirá acceder a prácticas en análisis de datos con ventaja.")</f>
        <v>🚀 ¡Perfecto! Dominar Power BI te permitirá acceder a prácticas en análisis de datos con ventaja.</v>
      </c>
      <c r="AP155" s="5" t="str">
        <f>IFERROR(__xludf.DUMMYFUNCTION("""COMPUTED_VALUE"""),"📈 ¡Excelente! Con Power BI Presencial mejorarás la toma de decisiones en tu negocio.")</f>
        <v>📈 ¡Excelente! Con Power BI Presencial mejorarás la toma de decisiones en tu negocio.</v>
      </c>
      <c r="AQ155" s="9" t="str">
        <f>IFERROR(__xludf.DUMMYFUNCTION("""COMPUTED_VALUE"""),"https://we-educacion.com/slides/power-bi-presencial-463")</f>
        <v>https://we-educacion.com/slides/power-bi-presencial-463</v>
      </c>
      <c r="AR155" s="5">
        <v>1.0</v>
      </c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</row>
    <row r="156" ht="15.75" customHeight="1">
      <c r="A156" s="5" t="s">
        <v>198</v>
      </c>
      <c r="B156" s="5" t="str">
        <f t="shared" si="1"/>
        <v>ENE. I - ED26</v>
      </c>
      <c r="C156" s="6" t="str">
        <f>IFERROR(__xludf.DUMMYFUNCTION("""COMPUTED_VALUE"""),"EXCEL")</f>
        <v>EXCEL</v>
      </c>
      <c r="D156" s="6" t="str">
        <f>IFERROR(__xludf.DUMMYFUNCTION("""COMPUTED_VALUE"""),"CURSO")</f>
        <v>CURSO</v>
      </c>
      <c r="E156" s="6" t="str">
        <f>IFERROR(__xludf.DUMMYFUNCTION("""COMPUTED_VALUE"""),"EXCEL INTERM PRESENCIAL")</f>
        <v>EXCEL INTERM PRESENCIAL</v>
      </c>
      <c r="F156" s="7">
        <f>IFERROR(__xludf.DUMMYFUNCTION("""COMPUTED_VALUE"""),46032.0)</f>
        <v>46032</v>
      </c>
      <c r="G156" s="6"/>
      <c r="H156" s="7"/>
      <c r="I156" s="6"/>
      <c r="J156" s="7"/>
      <c r="K156" s="6"/>
      <c r="L156" s="7"/>
      <c r="M156" s="6"/>
      <c r="N156" s="7"/>
      <c r="O156" s="6"/>
      <c r="P156" s="7"/>
      <c r="Q156" s="6" t="str">
        <f>IFERROR(__xludf.DUMMYFUNCTION("""COMPUTED_VALUE"""),"Miguel Aguilar")</f>
        <v>Miguel Aguilar</v>
      </c>
      <c r="R156" s="5" t="str">
        <f>IFERROR(__xludf.DUMMYFUNCTION("""COMPUTED_VALUE"""),"Sáb")</f>
        <v>Sáb</v>
      </c>
      <c r="S156" s="6" t="str">
        <f>IFERROR(__xludf.DUMMYFUNCTION("""COMPUTED_VALUE"""),"9AM - 1PM")</f>
        <v>9AM - 1PM</v>
      </c>
      <c r="T156" s="7" t="str">
        <f>IFERROR(__xludf.DUMMYFUNCTION("""COMPUTED_VALUE"""),"Sábado 10 Enero")</f>
        <v>Sábado 10 Enero</v>
      </c>
      <c r="U156" s="7" t="str">
        <f>IFERROR(__xludf.DUMMYFUNCTION("""COMPUTED_VALUE"""),"Sábado 7 Febrero")</f>
        <v>Sábado 7 Febrero</v>
      </c>
      <c r="V156" s="8">
        <f>IFERROR(__xludf.DUMMYFUNCTION("""COMPUTED_VALUE"""),5.0)</f>
        <v>5</v>
      </c>
      <c r="W156" s="5"/>
      <c r="X156" s="5"/>
      <c r="Y156" s="5"/>
      <c r="Z156" s="5"/>
      <c r="AA156" s="5"/>
      <c r="AB156" s="6"/>
      <c r="AC156" s="6"/>
      <c r="AD156" s="6"/>
      <c r="AE156" s="6"/>
      <c r="AF156" s="6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 t="str">
        <f>IFERROR(__xludf.DUMMYFUNCTION("""COMPUTED_VALUE"""),"#N/A")</f>
        <v>#N/A</v>
      </c>
      <c r="AR156" s="5">
        <v>1.0</v>
      </c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</row>
    <row r="157" ht="15.75" customHeight="1">
      <c r="A157" s="5" t="s">
        <v>199</v>
      </c>
      <c r="B157" s="5" t="str">
        <f t="shared" si="1"/>
        <v>ENE. I - ED26</v>
      </c>
      <c r="C157" s="6" t="str">
        <f>IFERROR(__xludf.DUMMYFUNCTION("""COMPUTED_VALUE"""),"LOGÍSTICA")</f>
        <v>LOGÍSTICA</v>
      </c>
      <c r="D157" s="5" t="str">
        <f>IFERROR(__xludf.DUMMYFUNCTION("""COMPUTED_VALUE"""),"CURSO")</f>
        <v>CURSO</v>
      </c>
      <c r="E157" s="6" t="str">
        <f>IFERROR(__xludf.DUMMYFUNCTION("""COMPUTED_VALUE"""),"PLAN. Y PRONOSTICO V2")</f>
        <v>PLAN. Y PRONOSTICO V2</v>
      </c>
      <c r="F157" s="7">
        <f>IFERROR(__xludf.DUMMYFUNCTION("""COMPUTED_VALUE"""),46033.0)</f>
        <v>46033</v>
      </c>
      <c r="G157" s="6"/>
      <c r="H157" s="7"/>
      <c r="I157" s="6"/>
      <c r="J157" s="7"/>
      <c r="K157" s="6"/>
      <c r="L157" s="7"/>
      <c r="M157" s="6"/>
      <c r="N157" s="7"/>
      <c r="O157" s="6"/>
      <c r="P157" s="7"/>
      <c r="Q157" s="6" t="str">
        <f>IFERROR(__xludf.DUMMYFUNCTION("""COMPUTED_VALUE"""),"Faridi Samhan")</f>
        <v>Faridi Samhan</v>
      </c>
      <c r="R157" s="5" t="str">
        <f>IFERROR(__xludf.DUMMYFUNCTION("""COMPUTED_VALUE"""),"Dom")</f>
        <v>Dom</v>
      </c>
      <c r="S157" s="6" t="str">
        <f>IFERROR(__xludf.DUMMYFUNCTION("""COMPUTED_VALUE"""),"9AM - 12PM")</f>
        <v>9AM - 12PM</v>
      </c>
      <c r="T157" s="7" t="str">
        <f>IFERROR(__xludf.DUMMYFUNCTION("""COMPUTED_VALUE"""),"Domingo 11 Enero")</f>
        <v>Domingo 11 Enero</v>
      </c>
      <c r="U157" s="7" t="str">
        <f>IFERROR(__xludf.DUMMYFUNCTION("""COMPUTED_VALUE"""),"Domingo 15 Febrero")</f>
        <v>Domingo 15 Febrero</v>
      </c>
      <c r="V157" s="8">
        <f>IFERROR(__xludf.DUMMYFUNCTION("""COMPUTED_VALUE"""),6.0)</f>
        <v>6</v>
      </c>
      <c r="W157" s="5" t="str">
        <f>IFERROR(__xludf.DUMMYFUNCTION("""COMPUTED_VALUE"""),"pdfs/BROCHURE PLANEAMIENTO Y PRONÓSTICO DE LA DEMANDA.pdf")</f>
        <v>pdfs/BROCHURE PLANEAMIENTO Y PRONÓSTICO DE LA DEMANDA.pdf</v>
      </c>
      <c r="X157" s="5" t="str">
        <f>IFERROR(__xludf.DUMMYFUNCTION("""COMPUTED_VALUE"""),"🔵 *Utilizarán Excel* 👩🏻‍💻
👉🏼 *¡Te regalamos el Curso Excel Intermedio!*
🚨 *Por favor, revisa el BROCHURE* 👇🏻
Aqui encontrarás la información completa del programa, el TEMARIO (malla curricular) y todos los BENEFICIOS 📚")</f>
        <v>🔵 *Utilizarán Excel* 👩🏻‍💻
👉🏼 *¡Te regalamos el Curso Excel Intermedio!*
🚨 *Por favor, revisa el BROCHURE* 👇🏻
Aqui encontrarás la información completa del programa, el TEMARIO (malla curricular) y todos los BENEFICIOS 📚</v>
      </c>
      <c r="Y157" s="5" t="str">
        <f>IFERROR(__xludf.DUMMYFUNCTION("""COMPUTED_VALUE"""),"images/planypronost.jpg")</f>
        <v>images/planypronost.jpg</v>
      </c>
      <c r="Z157" s="5"/>
      <c r="AA157" s="5"/>
      <c r="AB157" s="6">
        <f>IFERROR(__xludf.DUMMYFUNCTION("""COMPUTED_VALUE"""),830.0)</f>
        <v>830</v>
      </c>
      <c r="AC157" s="6">
        <f>IFERROR(__xludf.DUMMYFUNCTION("""COMPUTED_VALUE"""),770.0)</f>
        <v>770</v>
      </c>
      <c r="AD157" s="6">
        <f>IFERROR(__xludf.DUMMYFUNCTION("""COMPUTED_VALUE"""),415.0)</f>
        <v>415</v>
      </c>
      <c r="AE157" s="6">
        <f>IFERROR(__xludf.DUMMYFUNCTION("""COMPUTED_VALUE"""),385.0)</f>
        <v>385</v>
      </c>
      <c r="AF157" s="6">
        <f>IFERROR(__xludf.DUMMYFUNCTION("""COMPUTED_VALUE"""),150.0)</f>
        <v>150</v>
      </c>
      <c r="AG157" s="5">
        <f>IFERROR(__xludf.DUMMYFUNCTION("""COMPUTED_VALUE"""),150.0)</f>
        <v>150</v>
      </c>
      <c r="AH157" s="5"/>
      <c r="AI157" s="5">
        <f>IFERROR(__xludf.DUMMYFUNCTION("""COMPUTED_VALUE"""),346.5)</f>
        <v>346.5</v>
      </c>
      <c r="AJ157" s="5">
        <f>IFERROR(__xludf.DUMMYFUNCTION("""COMPUTED_VALUE"""),373.5)</f>
        <v>373.5</v>
      </c>
      <c r="AK157" s="5" t="str">
        <f>IFERROR(__xludf.DUMMYFUNCTION("""COMPUTED_VALUE"""),"Los líderes de hoy no solo ejecutan, anticipan 💡
Con Planeamiento y Pronóstico desarrollarás habilidades para proyectar escenarios reales y tomar decisiones con visión estratégica.
Revisa la información completa aquí 👇🏻")</f>
        <v>Los líderes de hoy no solo ejecutan, anticipan 💡
Con Planeamiento y Pronóstico desarrollarás habilidades para proyectar escenarios reales y tomar decisiones con visión estratégica.
Revisa la información completa aquí 👇🏻</v>
      </c>
      <c r="AL157" s="5" t="str">
        <f>IFERROR(__xludf.DUMMYFUNCTION("""COMPUTED_VALUE"""),"Excelente 🙌, actualizarte en Planeamiento y Pronóstico te ayudará a proyectar escenarios reales 🔮 y mantenerte competitivo.")</f>
        <v>Excelente 🙌, actualizarte en Planeamiento y Pronóstico te ayudará a proyectar escenarios reales 🔮 y mantenerte competitivo.</v>
      </c>
      <c r="AM157" s="5" t="str">
        <f>IFERROR(__xludf.DUMMYFUNCTION("""COMPUTED_VALUE"""),"Buenísimo 💼, esta herramienta es clave en empresas que buscan profesionales capaces de anticipar y planear estratégicamente 🧭.")</f>
        <v>Buenísimo 💼, esta herramienta es clave en empresas que buscan profesionales capaces de anticipar y planear estratégicamente 🧭.</v>
      </c>
      <c r="AN157" s="5" t="str">
        <f>IFERROR(__xludf.DUMMYFUNCTION("""COMPUTED_VALUE"""),"¡Excelente! 🎓 Aprender Planeamiento y Pronóstico te dará visión estratégica 👀 que te diferenciará.")</f>
        <v>¡Excelente! 🎓 Aprender Planeamiento y Pronóstico te dará visión estratégica 👀 que te diferenciará.</v>
      </c>
      <c r="AO157" s="5" t="str">
        <f>IFERROR(__xludf.DUMMYFUNCTION("""COMPUTED_VALUE"""),"¡Perfecto! 🔑 Tener conocimientos en Planeamiento y Pronóstico te dará ventaja en prácticas en planeamiento o finanzas 💹.")</f>
        <v>¡Perfecto! 🔑 Tener conocimientos en Planeamiento y Pronóstico te dará ventaja en prácticas en planeamiento o finanzas 💹.</v>
      </c>
      <c r="AP157" s="5" t="str">
        <f>IFERROR(__xludf.DUMMYFUNCTION("""COMPUTED_VALUE"""),"¡Excelente! 💡 Con Planeamiento y Pronóstico podrás anticipar resultados 📈 y tomar mejores decisiones en tu negocio.")</f>
        <v>¡Excelente! 💡 Con Planeamiento y Pronóstico podrás anticipar resultados 📈 y tomar mejores decisiones en tu negocio.</v>
      </c>
      <c r="AQ157" s="9" t="str">
        <f>IFERROR(__xludf.DUMMYFUNCTION("""COMPUTED_VALUE"""),"https://we-educacion.com/slides/planeamiento-pronostico-de-la-demanda-78")</f>
        <v>https://we-educacion.com/slides/planeamiento-pronostico-de-la-demanda-78</v>
      </c>
      <c r="AR157" s="5">
        <v>1.0</v>
      </c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</row>
    <row r="158" ht="15.75" customHeight="1">
      <c r="A158" s="5" t="s">
        <v>200</v>
      </c>
      <c r="B158" s="5" t="str">
        <f t="shared" si="1"/>
        <v>ENE. I - ED26</v>
      </c>
      <c r="C158" s="6" t="str">
        <f>IFERROR(__xludf.DUMMYFUNCTION("""COMPUTED_VALUE"""),"EXCEL")</f>
        <v>EXCEL</v>
      </c>
      <c r="D158" s="5" t="str">
        <f>IFERROR(__xludf.DUMMYFUNCTION("""COMPUTED_VALUE"""),"CURSO")</f>
        <v>CURSO</v>
      </c>
      <c r="E158" s="6" t="str">
        <f>IFERROR(__xludf.DUMMYFUNCTION("""COMPUTED_VALUE"""),"PROG. MACROS")</f>
        <v>PROG. MACROS</v>
      </c>
      <c r="F158" s="7">
        <f>IFERROR(__xludf.DUMMYFUNCTION("""COMPUTED_VALUE"""),46033.0)</f>
        <v>46033</v>
      </c>
      <c r="G158" s="6"/>
      <c r="H158" s="7"/>
      <c r="I158" s="6"/>
      <c r="J158" s="7"/>
      <c r="K158" s="6"/>
      <c r="L158" s="7"/>
      <c r="M158" s="6"/>
      <c r="N158" s="7"/>
      <c r="O158" s="6"/>
      <c r="P158" s="7"/>
      <c r="Q158" s="6" t="str">
        <f>IFERROR(__xludf.DUMMYFUNCTION("""COMPUTED_VALUE"""),"Julio Ccari")</f>
        <v>Julio Ccari</v>
      </c>
      <c r="R158" s="5" t="str">
        <f>IFERROR(__xludf.DUMMYFUNCTION("""COMPUTED_VALUE"""),"Dom")</f>
        <v>Dom</v>
      </c>
      <c r="S158" s="6" t="str">
        <f>IFERROR(__xludf.DUMMYFUNCTION("""COMPUTED_VALUE"""),"9AM - 12PM")</f>
        <v>9AM - 12PM</v>
      </c>
      <c r="T158" s="7" t="str">
        <f>IFERROR(__xludf.DUMMYFUNCTION("""COMPUTED_VALUE"""),"Domingo 11 Enero")</f>
        <v>Domingo 11 Enero</v>
      </c>
      <c r="U158" s="7" t="str">
        <f>IFERROR(__xludf.DUMMYFUNCTION("""COMPUTED_VALUE"""),"Domingo 15 Febrero")</f>
        <v>Domingo 15 Febrero</v>
      </c>
      <c r="V158" s="8">
        <f>IFERROR(__xludf.DUMMYFUNCTION("""COMPUTED_VALUE"""),6.0)</f>
        <v>6</v>
      </c>
      <c r="W158" s="5" t="str">
        <f>IFERROR(__xludf.DUMMYFUNCTION("""COMPUTED_VALUE"""),"pdfs/BROCHURE PROGRAMACION CON VBA MACROS.pdf")</f>
        <v>pdfs/BROCHURE PROGRAMACION CON VBA MACROS.pdf</v>
      </c>
      <c r="X158" s="5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58" s="5" t="str">
        <f>IFERROR(__xludf.DUMMYFUNCTION("""COMPUTED_VALUE"""),"images/macros.jpg")</f>
        <v>images/macros.jpg</v>
      </c>
      <c r="Z158" s="5" t="str">
        <f>IFERROR(__xludf.DUMMYFUNCTION("""COMPUTED_VALUE"""),"Avalado por Microsoft Partner Network")</f>
        <v>Avalado por Microsoft Partner Network</v>
      </c>
      <c r="AA158" s="5" t="str">
        <f>IFERROR(__xludf.DUMMYFUNCTION("""COMPUTED_VALUE"""),"NO")</f>
        <v>NO</v>
      </c>
      <c r="AB158" s="6">
        <f>IFERROR(__xludf.DUMMYFUNCTION("""COMPUTED_VALUE"""),470.0)</f>
        <v>470</v>
      </c>
      <c r="AC158" s="6">
        <f>IFERROR(__xludf.DUMMYFUNCTION("""COMPUTED_VALUE"""),440.0)</f>
        <v>440</v>
      </c>
      <c r="AD158" s="6">
        <f>IFERROR(__xludf.DUMMYFUNCTION("""COMPUTED_VALUE"""),235.0)</f>
        <v>235</v>
      </c>
      <c r="AE158" s="6">
        <f>IFERROR(__xludf.DUMMYFUNCTION("""COMPUTED_VALUE"""),220.0)</f>
        <v>220</v>
      </c>
      <c r="AF158" s="6">
        <f>IFERROR(__xludf.DUMMYFUNCTION("""COMPUTED_VALUE"""),150.0)</f>
        <v>150</v>
      </c>
      <c r="AG158" s="5">
        <f>IFERROR(__xludf.DUMMYFUNCTION("""COMPUTED_VALUE"""),150.0)</f>
        <v>150</v>
      </c>
      <c r="AH158" s="5"/>
      <c r="AI158" s="5">
        <f>IFERROR(__xludf.DUMMYFUNCTION("""COMPUTED_VALUE"""),198.0)</f>
        <v>198</v>
      </c>
      <c r="AJ158" s="5">
        <f>IFERROR(__xludf.DUMMYFUNCTION("""COMPUTED_VALUE"""),211.5)</f>
        <v>211.5</v>
      </c>
      <c r="AK158" s="5" t="str">
        <f>IFERROR(__xludf.DUMMYFUNCTION("""COMPUTED_VALUE"""),"El poder está en la automatización 📊
Con Programación en Macros aprenderás a optimizar procesos en Excel y ahorrar tiempo valioso ⏱️.
Aquí tienes la info 👇🏻")</f>
        <v>El poder está en la automatización 📊
Con Programación en Macros aprenderás a optimizar procesos en Excel y ahorrar tiempo valioso ⏱️.
Aquí tienes la info 👇🏻</v>
      </c>
      <c r="AL158" s="5" t="str">
        <f>IFERROR(__xludf.DUMMYFUNCTION("""COMPUTED_VALUE"""),"⚡ Excelente, actualízate con Macros en Excel y mejora tu productividad en el trabajo.")</f>
        <v>⚡ Excelente, actualízate con Macros en Excel y mejora tu productividad en el trabajo.</v>
      </c>
      <c r="AM158" s="5" t="str">
        <f>IFERROR(__xludf.DUMMYFUNCTION("""COMPUTED_VALUE"""),"💼 Buenísimo, dominar Macros es muy valorado en empresas para automatizar reportes.")</f>
        <v>💼 Buenísimo, dominar Macros es muy valorado en empresas para automatizar reportes.</v>
      </c>
      <c r="AN158" s="5" t="str">
        <f>IFERROR(__xludf.DUMMYFUNCTION("""COMPUTED_VALUE"""),"🎓 ¡Genial! Aprender Macros desde la universidad te hará más eficiente en proyectos académicos.")</f>
        <v>🎓 ¡Genial! Aprender Macros desde la universidad te hará más eficiente en proyectos académicos.</v>
      </c>
      <c r="AO158" s="5" t="str">
        <f>IFERROR(__xludf.DUMMYFUNCTION("""COMPUTED_VALUE"""),"🚀 ¡Perfecto! Con Macros podrás sobresalir en prácticas de áreas administrativas y financieras.")</f>
        <v>🚀 ¡Perfecto! Con Macros podrás sobresalir en prácticas de áreas administrativas y financieras.</v>
      </c>
      <c r="AP158" s="5" t="str">
        <f>IFERROR(__xludf.DUMMYFUNCTION("""COMPUTED_VALUE"""),"📊 ¡Excelente! Las Macros te permitirán ahorrar tiempo y optimizar tus procesos de negocio.")</f>
        <v>📊 ¡Excelente! Las Macros te permitirán ahorrar tiempo y optimizar tus procesos de negocio.</v>
      </c>
      <c r="AQ158" s="9" t="str">
        <f>IFERROR(__xludf.DUMMYFUNCTION("""COMPUTED_VALUE"""),"https://we-educacion.com/slides/programacion-con-vba-macros-en-excel-159")</f>
        <v>https://we-educacion.com/slides/programacion-con-vba-macros-en-excel-159</v>
      </c>
      <c r="AR158" s="5">
        <v>1.0</v>
      </c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</row>
    <row r="159" ht="15.75" customHeight="1">
      <c r="A159" s="5" t="s">
        <v>201</v>
      </c>
      <c r="B159" s="5" t="str">
        <f t="shared" si="1"/>
        <v>ENE. I - ED26</v>
      </c>
      <c r="C159" s="6" t="str">
        <f>IFERROR(__xludf.DUMMYFUNCTION("""COMPUTED_VALUE"""),"LOGÍSTICA")</f>
        <v>LOGÍSTICA</v>
      </c>
      <c r="D159" s="5" t="str">
        <f>IFERROR(__xludf.DUMMYFUNCTION("""COMPUTED_VALUE"""),"CURSO")</f>
        <v>CURSO</v>
      </c>
      <c r="E159" s="6" t="str">
        <f>IFERROR(__xludf.DUMMYFUNCTION("""COMPUTED_VALUE"""),"GER. CENTRO DISTRIB.")</f>
        <v>GER. CENTRO DISTRIB.</v>
      </c>
      <c r="F159" s="7">
        <f>IFERROR(__xludf.DUMMYFUNCTION("""COMPUTED_VALUE"""),46033.0)</f>
        <v>46033</v>
      </c>
      <c r="G159" s="6"/>
      <c r="H159" s="7"/>
      <c r="I159" s="6"/>
      <c r="J159" s="7"/>
      <c r="K159" s="6"/>
      <c r="L159" s="7"/>
      <c r="M159" s="6"/>
      <c r="N159" s="7"/>
      <c r="O159" s="6"/>
      <c r="P159" s="7"/>
      <c r="Q159" s="6" t="str">
        <f>IFERROR(__xludf.DUMMYFUNCTION("""COMPUTED_VALUE"""),"Jose Prado")</f>
        <v>Jose Prado</v>
      </c>
      <c r="R159" s="5" t="str">
        <f>IFERROR(__xludf.DUMMYFUNCTION("""COMPUTED_VALUE"""),"Dom")</f>
        <v>Dom</v>
      </c>
      <c r="S159" s="6" t="str">
        <f>IFERROR(__xludf.DUMMYFUNCTION("""COMPUTED_VALUE"""),"9AM - 12PM")</f>
        <v>9AM - 12PM</v>
      </c>
      <c r="T159" s="7" t="str">
        <f>IFERROR(__xludf.DUMMYFUNCTION("""COMPUTED_VALUE"""),"Domingo 11 Enero")</f>
        <v>Domingo 11 Enero</v>
      </c>
      <c r="U159" s="7" t="str">
        <f>IFERROR(__xludf.DUMMYFUNCTION("""COMPUTED_VALUE"""),"Domingo 8 Febrero")</f>
        <v>Domingo 8 Febrero</v>
      </c>
      <c r="V159" s="8">
        <f>IFERROR(__xludf.DUMMYFUNCTION("""COMPUTED_VALUE"""),5.0)</f>
        <v>5</v>
      </c>
      <c r="W159" s="5" t="str">
        <f>IFERROR(__xludf.DUMMYFUNCTION("""COMPUTED_VALUE"""),"pdfs/BROCHURE DISTRIBUCION Y ALMACENES.pdf")</f>
        <v>pdfs/BROCHURE DISTRIBUCION Y ALMACENES.pdf</v>
      </c>
      <c r="X159" s="5" t="str">
        <f>IFERROR(__xludf.DUMMYFUNCTION("""COMPUTED_VALUE"""),"🔵 *Conoce TODOS los BENEFICIOS a los que accedes*
🔹 Acceso a *Campus Virtual* WE 👩🏻‍🏫
🔹 Material digital y grabación de clases 
🔹 Certificado digital incluido
🔹 *05 Cursos Online de regalo* con acceso ilimitado 📚
🔹 Desarrollo y seguimiento de t"&amp;"u proyecto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*05 Cursos Online de regalo*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159" s="5" t="str">
        <f>IFERROR(__xludf.DUMMYFUNCTION("""COMPUTED_VALUE"""),"images/gercentro.jpg")</f>
        <v>images/gercentro.jpg</v>
      </c>
      <c r="Z159" s="5"/>
      <c r="AA159" s="5" t="str">
        <f>IFERROR(__xludf.DUMMYFUNCTION("""COMPUTED_VALUE"""),"NO")</f>
        <v>NO</v>
      </c>
      <c r="AB159" s="6">
        <f>IFERROR(__xludf.DUMMYFUNCTION("""COMPUTED_VALUE"""),830.0)</f>
        <v>830</v>
      </c>
      <c r="AC159" s="6">
        <f>IFERROR(__xludf.DUMMYFUNCTION("""COMPUTED_VALUE"""),770.0)</f>
        <v>770</v>
      </c>
      <c r="AD159" s="6">
        <f>IFERROR(__xludf.DUMMYFUNCTION("""COMPUTED_VALUE"""),415.0)</f>
        <v>415</v>
      </c>
      <c r="AE159" s="6">
        <f>IFERROR(__xludf.DUMMYFUNCTION("""COMPUTED_VALUE"""),385.0)</f>
        <v>385</v>
      </c>
      <c r="AF159" s="6">
        <f>IFERROR(__xludf.DUMMYFUNCTION("""COMPUTED_VALUE"""),150.0)</f>
        <v>150</v>
      </c>
      <c r="AG159" s="5">
        <f>IFERROR(__xludf.DUMMYFUNCTION("""COMPUTED_VALUE"""),150.0)</f>
        <v>150</v>
      </c>
      <c r="AH159" s="5"/>
      <c r="AI159" s="5">
        <f>IFERROR(__xludf.DUMMYFUNCTION("""COMPUTED_VALUE"""),346.5)</f>
        <v>346.5</v>
      </c>
      <c r="AJ159" s="5">
        <f>IFERROR(__xludf.DUMMYFUNCTION("""COMPUTED_VALUE"""),373.5)</f>
        <v>373.5</v>
      </c>
      <c r="AK159" s="5" t="str">
        <f>IFERROR(__xludf.DUMMYFUNCTION("""COMPUTED_VALUE"""),"La clave de la logística moderna es la gestión eficiente de centros de distribución 📦
Con este programa aprenderás a optimizar operaciones, inventarios y flujos reales de negocio 💼.
Aquí te comparto la información 👇🏻")</f>
        <v>La clave de la logística moderna es la gestión eficiente de centros de distribución 📦
Con este programa aprenderás a optimizar operaciones, inventarios y flujos reales de negocio 💼.
Aquí te comparto la información 👇🏻</v>
      </c>
      <c r="AL159" s="5" t="str">
        <f>IFERROR(__xludf.DUMMYFUNCTION("""COMPUTED_VALUE"""),"📈 *Excelente*, actualízate con *GER. CENTRO DISTRIB.* y mantente competitivo en el mercado laboral.")</f>
        <v>📈 *Excelente*, actualízate con *GER. CENTRO DISTRIB.* y mantente competitivo en el mercado laboral.</v>
      </c>
      <c r="AM159" s="5" t="str">
        <f>IFERROR(__xludf.DUMMYFUNCTION("""COMPUTED_VALUE"""),"📈 Buenísimo, *GER. CENTRO DISTRIB.* es de las competencias más pedidas por las empresas y aumentará tus oportunidades laborales.")</f>
        <v>📈 Buenísimo, *GER. CENTRO DISTRIB.* es de las competencias más pedidas por las empresas y aumentará tus oportunidades laborales.</v>
      </c>
      <c r="AN159" s="5" t="str">
        <f>IFERROR(__xludf.DUMMYFUNCTION("""COMPUTED_VALUE"""),"🌍 ¡Genial! Con *GER. CENTRO DISTRIB.* sumarás una habilidad poderosa que te diferenciará desde la universidad.")</f>
        <v>🌍 ¡Genial! Con *GER. CENTRO DISTRIB.* sumarás una habilidad poderosa que te diferenciará desde la universidad.</v>
      </c>
      <c r="AO159" s="5" t="str">
        <f>IFERROR(__xludf.DUMMYFUNCTION("""COMPUTED_VALUE"""),"🏆 ¡Perfecto! Saber *GER. CENTRO DISTRIB.* te dará ventaja frente a otros postulantes para conseguir prácticas.")</f>
        <v>🏆 ¡Perfecto! Saber *GER. CENTRO DISTRIB.* te dará ventaja frente a otros postulantes para conseguir prácticas.</v>
      </c>
      <c r="AP159" s="5" t="str">
        <f>IFERROR(__xludf.DUMMYFUNCTION("""COMPUTED_VALUE"""),"📊 ¡Excelente! Con *GER. CENTRO DISTRIB.* podrás aplicarlo en tu negocio y tomar decisiones más inteligentes.")</f>
        <v>📊 ¡Excelente! Con *GER. CENTRO DISTRIB.* podrás aplicarlo en tu negocio y tomar decisiones más inteligentes.</v>
      </c>
      <c r="AQ159" s="9" t="str">
        <f>IFERROR(__xludf.DUMMYFUNCTION("""COMPUTED_VALUE"""),"https://we-educacion.com/slides/distribucion-y-almacenes-68")</f>
        <v>https://we-educacion.com/slides/distribucion-y-almacenes-68</v>
      </c>
      <c r="AR159" s="5">
        <v>1.0</v>
      </c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</row>
    <row r="160" ht="15.75" customHeight="1">
      <c r="A160" s="5" t="s">
        <v>202</v>
      </c>
      <c r="B160" s="5" t="str">
        <f t="shared" si="1"/>
        <v>ENE. I - ED26</v>
      </c>
      <c r="C160" s="6" t="str">
        <f>IFERROR(__xludf.DUMMYFUNCTION("""COMPUTED_VALUE"""),"LOGÍSTICA")</f>
        <v>LOGÍSTICA</v>
      </c>
      <c r="D160" s="6" t="str">
        <f>IFERROR(__xludf.DUMMYFUNCTION("""COMPUTED_VALUE"""),"DIPLOMADO")</f>
        <v>DIPLOMADO</v>
      </c>
      <c r="E160" s="6" t="str">
        <f>IFERROR(__xludf.DUMMYFUNCTION("""COMPUTED_VALUE"""),"DIP SUPPLY V3")</f>
        <v>DIP SUPPLY V3</v>
      </c>
      <c r="F160" s="7">
        <f>IFERROR(__xludf.DUMMYFUNCTION("""COMPUTED_VALUE"""),46033.0)</f>
        <v>46033</v>
      </c>
      <c r="G160" s="6" t="str">
        <f>IFERROR(__xludf.DUMMYFUNCTION("""COMPUTED_VALUE"""),"PLAN. Y PRONOSTICO V2")</f>
        <v>PLAN. Y PRONOSTICO V2</v>
      </c>
      <c r="H160" s="7">
        <f>IFERROR(__xludf.DUMMYFUNCTION("""COMPUTED_VALUE"""),46033.0)</f>
        <v>46033</v>
      </c>
      <c r="I160" s="6" t="str">
        <f>IFERROR(__xludf.DUMMYFUNCTION("""COMPUTED_VALUE"""),"GEST. COMP. Y PROV.")</f>
        <v>GEST. COMP. Y PROV.</v>
      </c>
      <c r="J160" s="7">
        <f>IFERROR(__xludf.DUMMYFUNCTION("""COMPUTED_VALUE"""),46075.0)</f>
        <v>46075</v>
      </c>
      <c r="K160" s="6" t="str">
        <f>IFERROR(__xludf.DUMMYFUNCTION("""COMPUTED_VALUE"""),"GER. CENTRO DISTRIB.")</f>
        <v>GER. CENTRO DISTRIB.</v>
      </c>
      <c r="L160" s="7">
        <f>IFERROR(__xludf.DUMMYFUNCTION("""COMPUTED_VALUE"""),46131.0)</f>
        <v>46131</v>
      </c>
      <c r="M160" s="6" t="str">
        <f>IFERROR(__xludf.DUMMYFUNCTION("""COMPUTED_VALUE"""),"GEST TRANSPORTES")</f>
        <v>GEST TRANSPORTES</v>
      </c>
      <c r="N160" s="7">
        <f>IFERROR(__xludf.DUMMYFUNCTION("""COMPUTED_VALUE"""),46166.0)</f>
        <v>46166</v>
      </c>
      <c r="O160" s="6" t="str">
        <f>IFERROR(__xludf.DUMMYFUNCTION("""COMPUTED_VALUE"""),"LEAN LOGISTICS")</f>
        <v>LEAN LOGISTICS</v>
      </c>
      <c r="P160" s="7">
        <f>IFERROR(__xludf.DUMMYFUNCTION("""COMPUTED_VALUE"""),46201.0)</f>
        <v>46201</v>
      </c>
      <c r="Q160" s="6" t="str">
        <f>IFERROR(__xludf.DUMMYFUNCTION("""COMPUTED_VALUE"""),"Faridi Samhan
Sonia Guerra
Stephanie La Torre
Hernán Vizcardo
Roger  Liy")</f>
        <v>Faridi Samhan
Sonia Guerra
Stephanie La Torre
Hernán Vizcardo
Roger  Liy</v>
      </c>
      <c r="R160" s="5" t="str">
        <f>IFERROR(__xludf.DUMMYFUNCTION("""COMPUTED_VALUE"""),"Dom")</f>
        <v>Dom</v>
      </c>
      <c r="S160" s="6" t="str">
        <f>IFERROR(__xludf.DUMMYFUNCTION("""COMPUTED_VALUE"""),"9AM - 12PM")</f>
        <v>9AM - 12PM</v>
      </c>
      <c r="T160" s="7" t="str">
        <f>IFERROR(__xludf.DUMMYFUNCTION("""COMPUTED_VALUE"""),"Domingo 11 Enero")</f>
        <v>Domingo 11 Enero</v>
      </c>
      <c r="U160" s="7" t="str">
        <f>IFERROR(__xludf.DUMMYFUNCTION("""COMPUTED_VALUE"""),"Domingo 2 Agosto")</f>
        <v>Domingo 2 Agosto</v>
      </c>
      <c r="V160" s="8">
        <f>IFERROR(__xludf.DUMMYFUNCTION("""COMPUTED_VALUE"""),28.0)</f>
        <v>28</v>
      </c>
      <c r="W160" s="5" t="str">
        <f>IFERROR(__xludf.DUMMYFUNCTION("""COMPUTED_VALUE"""),"pdfs/BROCHURE DIPLOMADO SUPPLY CHAIN MANAGEMENT.pdf")</f>
        <v>pdfs/BROCHURE DIPLOMADO SUPPLY CHAIN MANAGEMENT.pdf</v>
      </c>
      <c r="X160" s="5" t="str">
        <f>IFERROR(__xludf.DUMMYFUNCTION("""COMPUTED_VALUE"""),"🔵 *Utilizarán Excel* 👩🏻‍💻
👉🏼 Brindaremos formatos y plantillas
🚨 *Por favor, revisa el BROCHURE* 👇🏻
Aqui encontrarás la información completa del programa, el TEMARIO (malla curricular) y todos los BENEFICIOS 📚")</f>
        <v>🔵 *Utilizarán Excel* 👩🏻‍💻
👉🏼 Brindaremos formatos y plantillas
🚨 *Por favor, revisa el BROCHURE* 👇🏻
Aqui encontrarás la información completa del programa, el TEMARIO (malla curricular) y todos los BENEFICIOS 📚</v>
      </c>
      <c r="Y160" s="5" t="str">
        <f>IFERROR(__xludf.DUMMYFUNCTION("""COMPUTED_VALUE"""),"images/dipsupply.jpg")</f>
        <v>images/dipsupply.jpg</v>
      </c>
      <c r="Z160" s="5"/>
      <c r="AA160" s="5"/>
      <c r="AB160" s="6">
        <f>IFERROR(__xludf.DUMMYFUNCTION("""COMPUTED_VALUE"""),4060.0)</f>
        <v>4060</v>
      </c>
      <c r="AC160" s="6">
        <f>IFERROR(__xludf.DUMMYFUNCTION("""COMPUTED_VALUE"""),3710.0)</f>
        <v>3710</v>
      </c>
      <c r="AD160" s="6">
        <f>IFERROR(__xludf.DUMMYFUNCTION("""COMPUTED_VALUE"""),2030.0)</f>
        <v>2030</v>
      </c>
      <c r="AE160" s="6">
        <f>IFERROR(__xludf.DUMMYFUNCTION("""COMPUTED_VALUE"""),1855.0)</f>
        <v>1855</v>
      </c>
      <c r="AF160" s="6">
        <f>IFERROR(__xludf.DUMMYFUNCTION("""COMPUTED_VALUE"""),250.0)</f>
        <v>250</v>
      </c>
      <c r="AG160" s="5">
        <f>IFERROR(__xludf.DUMMYFUNCTION("""COMPUTED_VALUE"""),350.0)</f>
        <v>350</v>
      </c>
      <c r="AH160" s="5"/>
      <c r="AI160" s="5">
        <f>IFERROR(__xludf.DUMMYFUNCTION("""COMPUTED_VALUE"""),1669.5)</f>
        <v>1669.5</v>
      </c>
      <c r="AJ160" s="5">
        <f>IFERROR(__xludf.DUMMYFUNCTION("""COMPUTED_VALUE"""),1827.0)</f>
        <v>1827</v>
      </c>
      <c r="AK160" s="5" t="str">
        <f>IFERROR(__xludf.DUMMYFUNCTION("""COMPUTED_VALUE"""),"📦 *El éxito de las empresas depende de cadenas de suministro eficientes* 🌎🚀
En este diplomado aprenderás a gestionar la logística, compras y distribución con un enfoque estratégico y práctico, aplicando herramientas modernas para optimizar procesos de "&amp;"principio a fin ⚙️📊
Ahora te adjunto la información a detalle 👇🏻")</f>
        <v>📦 *El éxito de las empresas depende de cadenas de suministro eficientes* 🌎🚀
En este diplomado aprenderás a gestionar la logística, compras y distribución con un enfoque estratégico y práctico, aplicando herramientas modernas para optimizar procesos de principio a fin ⚙️📊
Ahora te adjunto la información a detalle 👇🏻</v>
      </c>
      <c r="AL160" s="5" t="str">
        <f>IFERROR(__xludf.DUMMYFUNCTION("""COMPUTED_VALUE"""),"*Excelente*, actualiza tus conocimientos y domina la gestión de la cadena de suministro con un enfoque moderno 🚀.")</f>
        <v>*Excelente*, actualiza tus conocimientos y domina la gestión de la cadena de suministro con un enfoque moderno 🚀.</v>
      </c>
      <c r="AM160" s="5" t="str">
        <f>IFERROR(__xludf.DUMMYFUNCTION("""COMPUTED_VALUE"""),"Buenísimo, Supply Chain es altamente demandado y te dará un plus en tu CV para más oportunidades laborales 🧳.")</f>
        <v>Buenísimo, Supply Chain es altamente demandado y te dará un plus en tu CV para más oportunidades laborales 🧳.</v>
      </c>
      <c r="AN160" s="5" t="str">
        <f>IFERROR(__xludf.DUMMYFUNCTION("""COMPUTED_VALUE"""),"¡Excelente!. podrás complementar lo que ves en la universidad con herramientas prácticas de Supply Chain, y así destacar tu Perfil Profesional 🚀.")</f>
        <v>¡Excelente!. podrás complementar lo que ves en la universidad con herramientas prácticas de Supply Chain, y así destacar tu Perfil Profesional 🚀.</v>
      </c>
      <c r="AO160" s="5" t="str">
        <f>IFERROR(__xludf.DUMMYFUNCTION("""COMPUTED_VALUE"""),"¡Perfecto!, el conocimiento en Supply Chain es muy valorado y te ayudará a destacar al postular a prácticas 🧳.")</f>
        <v>¡Perfecto!, el conocimiento en Supply Chain es muy valorado y te ayudará a destacar al postular a prácticas 🧳.</v>
      </c>
      <c r="AP160" s="5" t="str">
        <f>IFERROR(__xludf.DUMMYFUNCTION("""COMPUTED_VALUE"""),"¡Excelente!, con Supply Chain optimizarás logística, compras y distribución, llevando tu negocio al siguiente nivel 🚀.")</f>
        <v>¡Excelente!, con Supply Chain optimizarás logística, compras y distribución, llevando tu negocio al siguiente nivel 🚀.</v>
      </c>
      <c r="AQ160" s="9" t="str">
        <f>IFERROR(__xludf.DUMMYFUNCTION("""COMPUTED_VALUE"""),"https://we-educacion.com/slides/diplomado-en-supply-chain-management-49")</f>
        <v>https://we-educacion.com/slides/diplomado-en-supply-chain-management-49</v>
      </c>
      <c r="AR160" s="5">
        <v>1.0</v>
      </c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</row>
    <row r="161" ht="15.75" customHeight="1">
      <c r="A161" s="5" t="s">
        <v>203</v>
      </c>
      <c r="B161" s="5" t="str">
        <f t="shared" si="1"/>
        <v>ENE. I - ED26</v>
      </c>
      <c r="C161" s="6" t="str">
        <f>IFERROR(__xludf.DUMMYFUNCTION("""COMPUTED_VALUE"""),"PROCESOS")</f>
        <v>PROCESOS</v>
      </c>
      <c r="D161" s="6" t="str">
        <f>IFERROR(__xludf.DUMMYFUNCTION("""COMPUTED_VALUE"""),"ESP.")</f>
        <v>ESP.</v>
      </c>
      <c r="E161" s="6" t="str">
        <f>IFERROR(__xludf.DUMMYFUNCTION("""COMPUTED_VALUE"""),"ESP. POWER APPS Y AUT.")</f>
        <v>ESP. POWER APPS Y AUT.</v>
      </c>
      <c r="F161" s="7">
        <f>IFERROR(__xludf.DUMMYFUNCTION("""COMPUTED_VALUE"""),46033.0)</f>
        <v>46033</v>
      </c>
      <c r="G161" s="6" t="str">
        <f>IFERROR(__xludf.DUMMYFUNCTION("""COMPUTED_VALUE"""),"POWER APPS Y AUT.")</f>
        <v>POWER APPS Y AUT.</v>
      </c>
      <c r="H161" s="7">
        <f>IFERROR(__xludf.DUMMYFUNCTION("""COMPUTED_VALUE"""),46033.0)</f>
        <v>46033</v>
      </c>
      <c r="I161" s="6" t="str">
        <f>IFERROR(__xludf.DUMMYFUNCTION("""COMPUTED_VALUE"""),"POWER APPS AVANZ")</f>
        <v>POWER APPS AVANZ</v>
      </c>
      <c r="J161" s="7">
        <f>IFERROR(__xludf.DUMMYFUNCTION("""COMPUTED_VALUE"""),46075.0)</f>
        <v>46075</v>
      </c>
      <c r="K161" s="6"/>
      <c r="L161" s="7"/>
      <c r="M161" s="6"/>
      <c r="N161" s="7"/>
      <c r="O161" s="6"/>
      <c r="P161" s="7"/>
      <c r="Q161" s="6" t="str">
        <f>IFERROR(__xludf.DUMMYFUNCTION("""COMPUTED_VALUE"""),"Cristian Raymondi
Jesús Gaspar")</f>
        <v>Cristian Raymondi
Jesús Gaspar</v>
      </c>
      <c r="R161" s="5" t="str">
        <f>IFERROR(__xludf.DUMMYFUNCTION("""COMPUTED_VALUE"""),"Dom")</f>
        <v>Dom</v>
      </c>
      <c r="S161" s="6" t="str">
        <f>IFERROR(__xludf.DUMMYFUNCTION("""COMPUTED_VALUE"""),"9AM - 12PM")</f>
        <v>9AM - 12PM</v>
      </c>
      <c r="T161" s="7" t="str">
        <f>IFERROR(__xludf.DUMMYFUNCTION("""COMPUTED_VALUE"""),"Domingo 11 Enero")</f>
        <v>Domingo 11 Enero</v>
      </c>
      <c r="U161" s="7" t="str">
        <f>IFERROR(__xludf.DUMMYFUNCTION("""COMPUTED_VALUE"""),"Domingo 29 Marzo")</f>
        <v>Domingo 29 Marzo</v>
      </c>
      <c r="V161" s="8">
        <f>IFERROR(__xludf.DUMMYFUNCTION("""COMPUTED_VALUE"""),12.0)</f>
        <v>12</v>
      </c>
      <c r="W161" s="5" t="str">
        <f>IFERROR(__xludf.DUMMYFUNCTION("""COMPUTED_VALUE"""),"pdfs/BROCHURE ESPECIALIZACION DE POWER APSS Y POWER AUTOMATE")</f>
        <v>pdfs/BROCHURE ESPECIALIZACION DE POWER APSS Y POWER AUTOMATE</v>
      </c>
      <c r="X161" s="5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161" s="5" t="str">
        <f>IFERROR(__xludf.DUMMYFUNCTION("""COMPUTED_VALUE"""),"images/esppowerapp.jpg")</f>
        <v>images/esppowerapp.jpg</v>
      </c>
      <c r="Z161" s="5" t="str">
        <f>IFERROR(__xludf.DUMMYFUNCTION("""COMPUTED_VALUE"""),"Avalado por Microsoft Partner Network")</f>
        <v>Avalado por Microsoft Partner Network</v>
      </c>
      <c r="AA161" s="5" t="str">
        <f>IFERROR(__xludf.DUMMYFUNCTION("""COMPUTED_VALUE"""),"NO")</f>
        <v>NO</v>
      </c>
      <c r="AB161" s="6">
        <f>IFERROR(__xludf.DUMMYFUNCTION("""COMPUTED_VALUE"""),1300.0)</f>
        <v>1300</v>
      </c>
      <c r="AC161" s="6">
        <f>IFERROR(__xludf.DUMMYFUNCTION("""COMPUTED_VALUE"""),1140.0)</f>
        <v>1140</v>
      </c>
      <c r="AD161" s="6">
        <f>IFERROR(__xludf.DUMMYFUNCTION("""COMPUTED_VALUE"""),650.0)</f>
        <v>650</v>
      </c>
      <c r="AE161" s="6">
        <f>IFERROR(__xludf.DUMMYFUNCTION("""COMPUTED_VALUE"""),570.0)</f>
        <v>570</v>
      </c>
      <c r="AF161" s="6">
        <f>IFERROR(__xludf.DUMMYFUNCTION("""COMPUTED_VALUE"""),250.0)</f>
        <v>250</v>
      </c>
      <c r="AG161" s="5">
        <f>IFERROR(__xludf.DUMMYFUNCTION("""COMPUTED_VALUE"""),350.0)</f>
        <v>350</v>
      </c>
      <c r="AH161" s="5"/>
      <c r="AI161" s="5">
        <f>IFERROR(__xludf.DUMMYFUNCTION("""COMPUTED_VALUE"""),513.0)</f>
        <v>513</v>
      </c>
      <c r="AJ161" s="5">
        <f>IFERROR(__xludf.DUMMYFUNCTION("""COMPUTED_VALUE"""),585.0)</f>
        <v>585</v>
      </c>
      <c r="AK161" s="5" t="str">
        <f>IFERROR(__xludf.DUMMYFUNCTION("""COMPUTED_VALUE"""),"La transformación digital está en tus manos 📲
Domina Power Apps y Power Automate para crear soluciones ágiles sin necesidad de programar 🤖
👉🏻 Te paso la información.")</f>
        <v>La transformación digital está en tus manos 📲
Domina Power Apps y Power Automate para crear soluciones ágiles sin necesidad de programar 🤖
👉🏻 Te paso la información.</v>
      </c>
      <c r="AL161" s="5" t="str">
        <f>IFERROR(__xludf.DUMMYFUNCTION("""COMPUTED_VALUE"""),"⚡ Excelente, actualízate en Power Apps y Automatización y crea soluciones innovadoras.")</f>
        <v>⚡ Excelente, actualízate en Power Apps y Automatización y crea soluciones innovadoras.</v>
      </c>
      <c r="AM161" s="5" t="str">
        <f>IFERROR(__xludf.DUMMYFUNCTION("""COMPUTED_VALUE"""),"🚀 Buenísimo, empresas buscan expertos en digitalización de procesos.")</f>
        <v>🚀 Buenísimo, empresas buscan expertos en digitalización de procesos.</v>
      </c>
      <c r="AN161" s="5" t="str">
        <f>IFERROR(__xludf.DUMMYFUNCTION("""COMPUTED_VALUE"""),"💡 Genial, estas herramientas harán tu perfil altamente competitivo.")</f>
        <v>💡 Genial, estas herramientas harán tu perfil altamente competitivo.</v>
      </c>
      <c r="AO161" s="5" t="str">
        <f>IFERROR(__xludf.DUMMYFUNCTION("""COMPUTED_VALUE"""),"📋 Perfecto, tendrás ventaja inmediata en prácticas de automatización.")</f>
        <v>📋 Perfecto, tendrás ventaja inmediata en prácticas de automatización.</v>
      </c>
      <c r="AP161" s="5" t="str">
        <f>IFERROR(__xludf.DUMMYFUNCTION("""COMPUTED_VALUE"""),"📊 Excelente, podrás crear apps propias y automatizar tu negocio.")</f>
        <v>📊 Excelente, podrás crear apps propias y automatizar tu negocio.</v>
      </c>
      <c r="AQ161" s="9" t="str">
        <f>IFERROR(__xludf.DUMMYFUNCTION("""COMPUTED_VALUE"""),"https://we-educacion.com/slides/especializacion-en-power-apps-automate-1113")</f>
        <v>https://we-educacion.com/slides/especializacion-en-power-apps-automate-1113</v>
      </c>
      <c r="AR161" s="5">
        <v>1.0</v>
      </c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</row>
    <row r="162" ht="15.75" customHeight="1">
      <c r="A162" s="5" t="s">
        <v>204</v>
      </c>
      <c r="B162" s="5" t="str">
        <f t="shared" si="1"/>
        <v>ENE. I - ED26</v>
      </c>
      <c r="C162" s="6" t="str">
        <f>IFERROR(__xludf.DUMMYFUNCTION("""COMPUTED_VALUE"""),"PROCESOS")</f>
        <v>PROCESOS</v>
      </c>
      <c r="D162" s="6" t="str">
        <f>IFERROR(__xludf.DUMMYFUNCTION("""COMPUTED_VALUE"""),"CURSO")</f>
        <v>CURSO</v>
      </c>
      <c r="E162" s="6" t="str">
        <f>IFERROR(__xludf.DUMMYFUNCTION("""COMPUTED_VALUE"""),"POWER APPS Y AUT.")</f>
        <v>POWER APPS Y AUT.</v>
      </c>
      <c r="F162" s="7">
        <f>IFERROR(__xludf.DUMMYFUNCTION("""COMPUTED_VALUE"""),46033.0)</f>
        <v>46033</v>
      </c>
      <c r="G162" s="6"/>
      <c r="H162" s="7"/>
      <c r="I162" s="6"/>
      <c r="J162" s="7"/>
      <c r="K162" s="6"/>
      <c r="L162" s="7"/>
      <c r="M162" s="6"/>
      <c r="N162" s="7"/>
      <c r="O162" s="6"/>
      <c r="P162" s="7"/>
      <c r="Q162" s="6" t="str">
        <f>IFERROR(__xludf.DUMMYFUNCTION("""COMPUTED_VALUE"""),"Cristian Raymondi")</f>
        <v>Cristian Raymondi</v>
      </c>
      <c r="R162" s="5" t="str">
        <f>IFERROR(__xludf.DUMMYFUNCTION("""COMPUTED_VALUE"""),"Dom")</f>
        <v>Dom</v>
      </c>
      <c r="S162" s="6" t="str">
        <f>IFERROR(__xludf.DUMMYFUNCTION("""COMPUTED_VALUE"""),"9AM - 12PM")</f>
        <v>9AM - 12PM</v>
      </c>
      <c r="T162" s="7" t="str">
        <f>IFERROR(__xludf.DUMMYFUNCTION("""COMPUTED_VALUE"""),"Domingo 11 Enero")</f>
        <v>Domingo 11 Enero</v>
      </c>
      <c r="U162" s="7" t="str">
        <f>IFERROR(__xludf.DUMMYFUNCTION("""COMPUTED_VALUE"""),"Domingo 15 Febrero")</f>
        <v>Domingo 15 Febrero</v>
      </c>
      <c r="V162" s="8">
        <f>IFERROR(__xludf.DUMMYFUNCTION("""COMPUTED_VALUE"""),6.0)</f>
        <v>6</v>
      </c>
      <c r="W162" s="5" t="str">
        <f>IFERROR(__xludf.DUMMYFUNCTION("""COMPUTED_VALUE"""),"pdfs/BROCHURE POWER APPS &amp; AUTOMATE.pdf")</f>
        <v>pdfs/BROCHURE POWER APPS &amp; AUTOMATE.pdf</v>
      </c>
      <c r="X162" s="5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162" s="5" t="str">
        <f>IFERROR(__xludf.DUMMYFUNCTION("""COMPUTED_VALUE"""),"images/powerapp.jpg")</f>
        <v>images/powerapp.jpg</v>
      </c>
      <c r="Z162" s="5" t="str">
        <f>IFERROR(__xludf.DUMMYFUNCTION("""COMPUTED_VALUE"""),"Avalado por Microsoft Partner Network")</f>
        <v>Avalado por Microsoft Partner Network</v>
      </c>
      <c r="AA162" s="5" t="str">
        <f>IFERROR(__xludf.DUMMYFUNCTION("""COMPUTED_VALUE"""),"NO")</f>
        <v>NO</v>
      </c>
      <c r="AB162" s="6">
        <f>IFERROR(__xludf.DUMMYFUNCTION("""COMPUTED_VALUE"""),650.0)</f>
        <v>650</v>
      </c>
      <c r="AC162" s="6">
        <f>IFERROR(__xludf.DUMMYFUNCTION("""COMPUTED_VALUE"""),570.0)</f>
        <v>570</v>
      </c>
      <c r="AD162" s="6">
        <f>IFERROR(__xludf.DUMMYFUNCTION("""COMPUTED_VALUE"""),325.0)</f>
        <v>325</v>
      </c>
      <c r="AE162" s="6">
        <f>IFERROR(__xludf.DUMMYFUNCTION("""COMPUTED_VALUE"""),285.0)</f>
        <v>285</v>
      </c>
      <c r="AF162" s="6">
        <f>IFERROR(__xludf.DUMMYFUNCTION("""COMPUTED_VALUE"""),150.0)</f>
        <v>150</v>
      </c>
      <c r="AG162" s="5">
        <f>IFERROR(__xludf.DUMMYFUNCTION("""COMPUTED_VALUE"""),150.0)</f>
        <v>150</v>
      </c>
      <c r="AH162" s="5"/>
      <c r="AI162" s="5">
        <f>IFERROR(__xludf.DUMMYFUNCTION("""COMPUTED_VALUE"""),256.5)</f>
        <v>256.5</v>
      </c>
      <c r="AJ162" s="5">
        <f>IFERROR(__xludf.DUMMYFUNCTION("""COMPUTED_VALUE"""),292.5)</f>
        <v>292.5</v>
      </c>
      <c r="AK162" s="5" t="str">
        <f>IFERROR(__xludf.DUMMYFUNCTION("""COMPUTED_VALUE"""),"Los líderes modernos impulsan la eficiencia con automatización inteligente 🤖
Con este programa dominarás Power Apps y Power Automate para transformar procesos empresariales 🚀.
Aquí la info completa 👇🏻")</f>
        <v>Los líderes modernos impulsan la eficiencia con automatización inteligente 🤖
Con este programa dominarás Power Apps y Power Automate para transformar procesos empresariales 🚀.
Aquí la info completa 👇🏻</v>
      </c>
      <c r="AL162" s="5" t="str">
        <f>IFERROR(__xludf.DUMMYFUNCTION("""COMPUTED_VALUE"""),"⚡ Excelente, actualízate con Power Apps y Automatización, la clave para transformar procesos digitales.")</f>
        <v>⚡ Excelente, actualízate con Power Apps y Automatización, la clave para transformar procesos digitales.</v>
      </c>
      <c r="AM162" s="5" t="str">
        <f>IFERROR(__xludf.DUMMYFUNCTION("""COMPUTED_VALUE"""),"💼 Buenísimo, Power Apps y Automatización es muy demandado en empresas que buscan eficiencia.")</f>
        <v>💼 Buenísimo, Power Apps y Automatización es muy demandado en empresas que buscan eficiencia.</v>
      </c>
      <c r="AN162" s="5" t="str">
        <f>IFERROR(__xludf.DUMMYFUNCTION("""COMPUTED_VALUE"""),"🎓 ¡Genial! Aprender automatización desde la universidad te dará una gran ventaja en el futuro.")</f>
        <v>🎓 ¡Genial! Aprender automatización desde la universidad te dará una gran ventaja en el futuro.</v>
      </c>
      <c r="AO162" s="5" t="str">
        <f>IFERROR(__xludf.DUMMYFUNCTION("""COMPUTED_VALUE"""),"🚀 ¡Perfecto! Con Power Apps y Automatización destacarás en prácticas en áreas de innovación.")</f>
        <v>🚀 ¡Perfecto! Con Power Apps y Automatización destacarás en prácticas en áreas de innovación.</v>
      </c>
      <c r="AP162" s="5" t="str">
        <f>IFERROR(__xludf.DUMMYFUNCTION("""COMPUTED_VALUE"""),"📊 ¡Excelente! Podrás crear soluciones automáticas para tu negocio y optimizar tu tiempo.")</f>
        <v>📊 ¡Excelente! Podrás crear soluciones automáticas para tu negocio y optimizar tu tiempo.</v>
      </c>
      <c r="AQ162" s="9" t="str">
        <f>IFERROR(__xludf.DUMMYFUNCTION("""COMPUTED_VALUE"""),"https://we-educacion.com/slides/power-apps-automate-1073")</f>
        <v>https://we-educacion.com/slides/power-apps-automate-1073</v>
      </c>
      <c r="AR162" s="5">
        <v>1.0</v>
      </c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</row>
    <row r="163" ht="15.75" customHeight="1">
      <c r="A163" s="5" t="s">
        <v>205</v>
      </c>
      <c r="B163" s="5" t="str">
        <f t="shared" si="1"/>
        <v>ENE. I - ED26</v>
      </c>
      <c r="C163" s="6" t="str">
        <f>IFERROR(__xludf.DUMMYFUNCTION("""COMPUTED_VALUE"""),"MKT")</f>
        <v>MKT</v>
      </c>
      <c r="D163" s="6" t="str">
        <f>IFERROR(__xludf.DUMMYFUNCTION("""COMPUTED_VALUE"""),"CURSO")</f>
        <v>CURSO</v>
      </c>
      <c r="E163" s="6" t="str">
        <f>IFERROR(__xludf.DUMMYFUNCTION("""COMPUTED_VALUE"""),"ESTR. Y TEC. COMERCIALES")</f>
        <v>ESTR. Y TEC. COMERCIALES</v>
      </c>
      <c r="F163" s="7">
        <f>IFERROR(__xludf.DUMMYFUNCTION("""COMPUTED_VALUE"""),46037.0)</f>
        <v>46037</v>
      </c>
      <c r="G163" s="6"/>
      <c r="H163" s="7"/>
      <c r="I163" s="6"/>
      <c r="J163" s="7"/>
      <c r="K163" s="6"/>
      <c r="L163" s="7"/>
      <c r="M163" s="6"/>
      <c r="N163" s="7"/>
      <c r="O163" s="6"/>
      <c r="P163" s="7"/>
      <c r="Q163" s="6" t="str">
        <f>IFERROR(__xludf.DUMMYFUNCTION("""COMPUTED_VALUE"""),"Johana Pacheco")</f>
        <v>Johana Pacheco</v>
      </c>
      <c r="R163" s="5" t="str">
        <f>IFERROR(__xludf.DUMMYFUNCTION("""COMPUTED_VALUE"""),"Mar-Jue")</f>
        <v>Mar-Jue</v>
      </c>
      <c r="S163" s="6" t="str">
        <f>IFERROR(__xludf.DUMMYFUNCTION("""COMPUTED_VALUE"""),"7PM - 10PM")</f>
        <v>7PM - 10PM</v>
      </c>
      <c r="T163" s="7" t="str">
        <f>IFERROR(__xludf.DUMMYFUNCTION("""COMPUTED_VALUE"""),"Jueves 15 Enero")</f>
        <v>Jueves 15 Enero</v>
      </c>
      <c r="U163" s="7" t="str">
        <f>IFERROR(__xludf.DUMMYFUNCTION("""COMPUTED_VALUE"""),"Martes 3 Febrero")</f>
        <v>Martes 3 Febrero</v>
      </c>
      <c r="V163" s="8">
        <f>IFERROR(__xludf.DUMMYFUNCTION("""COMPUTED_VALUE"""),6.0)</f>
        <v>6</v>
      </c>
      <c r="W163" s="5" t="str">
        <f>IFERROR(__xludf.DUMMYFUNCTION("""COMPUTED_VALUE"""),"pdfs/BROCHURE ESTRATEGIAS Y TECNICAS COMERCIALES.pdf")</f>
        <v>pdfs/BROCHURE ESTRATEGIAS Y TECNICAS COMERCIALES.pdf</v>
      </c>
      <c r="X163" s="5" t="str">
        <f>IFERROR(__xludf.DUMMYFUNCTION("""COMPUTED_VALUE"""),"👩🏻‍💻 Aplicarán Automatización de correos, Journey Map, Plan de Acción y mucho más. 
🚨 Por favor, revisa el BROCHURE 👇🏻
Aqui encontrarás la información completa del programa: Temario (malla curricular) y todos los BENEFICIOS 📚
👉🏼 Te comparto un "&amp;"Modelo de Certificado que elevará tu perfil profesional ")</f>
        <v>👩🏻‍💻 Aplicarán Automatización de correos, Journey Map, Plan de Acción y mucho más. 
🚨 Por favor, revisa el BROCHURE 👇🏻
Aqui encontrarás la información completa del programa: Temario (malla curricular) y todos los BENEFICIOS 📚
👉🏼 Te comparto un Modelo de Certificado que elevará tu perfil profesional </v>
      </c>
      <c r="Y163" s="5"/>
      <c r="Z163" s="5"/>
      <c r="AA163" s="5" t="str">
        <f>IFERROR(__xludf.DUMMYFUNCTION("""COMPUTED_VALUE"""),"NO")</f>
        <v>NO</v>
      </c>
      <c r="AB163" s="6">
        <f>IFERROR(__xludf.DUMMYFUNCTION("""COMPUTED_VALUE"""),650.0)</f>
        <v>650</v>
      </c>
      <c r="AC163" s="6">
        <f>IFERROR(__xludf.DUMMYFUNCTION("""COMPUTED_VALUE"""),600.0)</f>
        <v>600</v>
      </c>
      <c r="AD163" s="6">
        <f>IFERROR(__xludf.DUMMYFUNCTION("""COMPUTED_VALUE"""),325.0)</f>
        <v>325</v>
      </c>
      <c r="AE163" s="6">
        <f>IFERROR(__xludf.DUMMYFUNCTION("""COMPUTED_VALUE"""),300.0)</f>
        <v>300</v>
      </c>
      <c r="AF163" s="6">
        <f>IFERROR(__xludf.DUMMYFUNCTION("""COMPUTED_VALUE"""),150.0)</f>
        <v>150</v>
      </c>
      <c r="AG163" s="5">
        <f>IFERROR(__xludf.DUMMYFUNCTION("""COMPUTED_VALUE"""),150.0)</f>
        <v>150</v>
      </c>
      <c r="AH163" s="5"/>
      <c r="AI163" s="5">
        <f>IFERROR(__xludf.DUMMYFUNCTION("""COMPUTED_VALUE"""),270.0)</f>
        <v>270</v>
      </c>
      <c r="AJ163" s="5">
        <f>IFERROR(__xludf.DUMMYFUNCTION("""COMPUTED_VALUE"""),292.5)</f>
        <v>292.5</v>
      </c>
      <c r="AK163" s="5" t="str">
        <f>IFERROR(__xludf.DUMMYFUNCTION("""COMPUTED_VALUE"""),"El motor de las empresas líderes es la gestión comercial estratégica 💡
Con Estrategias y Técnicas Comerciales aprenderás a diseñar y aplicar tácticas de venta con casos reales 🏆.
Aquí te comparto la información 👇🏻")</f>
        <v>El motor de las empresas líderes es la gestión comercial estratégica 💡
Con Estrategias y Técnicas Comerciales aprenderás a diseñar y aplicar tácticas de venta con casos reales 🏆.
Aquí te comparto la información 👇🏻</v>
      </c>
      <c r="AL163" s="5" t="str">
        <f>IFERROR(__xludf.DUMMYFUNCTION("""COMPUTED_VALUE"""),"🛠️ *Excelente*, actualízate con *ESTR. Y TEC. COMERCIALES* y mantente competitivo en el mercado laboral.")</f>
        <v>🛠️ *Excelente*, actualízate con *ESTR. Y TEC. COMERCIALES* y mantente competitivo en el mercado laboral.</v>
      </c>
      <c r="AM163" s="5" t="str">
        <f>IFERROR(__xludf.DUMMYFUNCTION("""COMPUTED_VALUE"""),"💼 Buenísimo, *ESTR. Y TEC. COMERCIALES* es de las competencias más pedidas por las empresas y aumentará tus oportunidades laborales.")</f>
        <v>💼 Buenísimo, *ESTR. Y TEC. COMERCIALES* es de las competencias más pedidas por las empresas y aumentará tus oportunidades laborales.</v>
      </c>
      <c r="AN163" s="5" t="str">
        <f>IFERROR(__xludf.DUMMYFUNCTION("""COMPUTED_VALUE"""),"💼 ¡Genial! Con *ESTR. Y TEC. COMERCIALES* sumarás una habilidad poderosa que te diferenciará desde la universidad.")</f>
        <v>💼 ¡Genial! Con *ESTR. Y TEC. COMERCIALES* sumarás una habilidad poderosa que te diferenciará desde la universidad.</v>
      </c>
      <c r="AO163" s="5" t="str">
        <f>IFERROR(__xludf.DUMMYFUNCTION("""COMPUTED_VALUE"""),"🚀 ¡Perfecto! Saber *ESTR. Y TEC. COMERCIALES* te dará ventaja frente a otros postulantes para conseguir prácticas.")</f>
        <v>🚀 ¡Perfecto! Saber *ESTR. Y TEC. COMERCIALES* te dará ventaja frente a otros postulantes para conseguir prácticas.</v>
      </c>
      <c r="AP163" s="5" t="str">
        <f>IFERROR(__xludf.DUMMYFUNCTION("""COMPUTED_VALUE"""),"💼 ¡Excelente! Con *ESTR. Y TEC. COMERCIALES* podrás aplicarlo en tu negocio y tomar decisiones más inteligentes.")</f>
        <v>💼 ¡Excelente! Con *ESTR. Y TEC. COMERCIALES* podrás aplicarlo en tu negocio y tomar decisiones más inteligentes.</v>
      </c>
      <c r="AQ163" s="5"/>
      <c r="AR163" s="5">
        <v>1.0</v>
      </c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</row>
    <row r="164" ht="15.75" customHeight="1">
      <c r="A164" s="5" t="s">
        <v>206</v>
      </c>
      <c r="B164" s="5" t="str">
        <f t="shared" si="1"/>
        <v>ENE. I - ED26</v>
      </c>
      <c r="C164" s="6" t="str">
        <f>IFERROR(__xludf.DUMMYFUNCTION("""COMPUTED_VALUE"""),"PROYECTOS")</f>
        <v>PROYECTOS</v>
      </c>
      <c r="D164" s="6" t="str">
        <f>IFERROR(__xludf.DUMMYFUNCTION("""COMPUTED_VALUE"""),"CURSO")</f>
        <v>CURSO</v>
      </c>
      <c r="E164" s="6" t="str">
        <f>IFERROR(__xludf.DUMMYFUNCTION("""COMPUTED_VALUE"""),"MS PROJECT")</f>
        <v>MS PROJECT</v>
      </c>
      <c r="F164" s="7">
        <f>IFERROR(__xludf.DUMMYFUNCTION("""COMPUTED_VALUE"""),46037.0)</f>
        <v>46037</v>
      </c>
      <c r="G164" s="6"/>
      <c r="H164" s="7"/>
      <c r="I164" s="6"/>
      <c r="J164" s="7"/>
      <c r="K164" s="6"/>
      <c r="L164" s="7"/>
      <c r="M164" s="6"/>
      <c r="N164" s="7"/>
      <c r="O164" s="6"/>
      <c r="P164" s="7"/>
      <c r="Q164" s="6" t="str">
        <f>IFERROR(__xludf.DUMMYFUNCTION("""COMPUTED_VALUE"""),"Piero Prieto")</f>
        <v>Piero Prieto</v>
      </c>
      <c r="R164" s="5" t="str">
        <f>IFERROR(__xludf.DUMMYFUNCTION("""COMPUTED_VALUE"""),"Jue")</f>
        <v>Jue</v>
      </c>
      <c r="S164" s="6" t="str">
        <f>IFERROR(__xludf.DUMMYFUNCTION("""COMPUTED_VALUE"""),"7PM - 10PM")</f>
        <v>7PM - 10PM</v>
      </c>
      <c r="T164" s="7" t="str">
        <f>IFERROR(__xludf.DUMMYFUNCTION("""COMPUTED_VALUE"""),"Jueves 15 Enero")</f>
        <v>Jueves 15 Enero</v>
      </c>
      <c r="U164" s="7" t="str">
        <f>IFERROR(__xludf.DUMMYFUNCTION("""COMPUTED_VALUE"""),"Jueves 19 Febrero")</f>
        <v>Jueves 19 Febrero</v>
      </c>
      <c r="V164" s="8">
        <f>IFERROR(__xludf.DUMMYFUNCTION("""COMPUTED_VALUE"""),6.0)</f>
        <v>6</v>
      </c>
      <c r="W164" s="5" t="str">
        <f>IFERROR(__xludf.DUMMYFUNCTION("""COMPUTED_VALUE"""),"pdfs/BROCHURE MS PROJECT.pdf")</f>
        <v>pdfs/BROCHURE MS PROJECT.pdf</v>
      </c>
      <c r="X164" s="5" t="str">
        <f>IFERROR(__xludf.DUMMYFUNCTION("""COMPUTED_VALUE"""),"🔵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64" s="5" t="str">
        <f>IFERROR(__xludf.DUMMYFUNCTION("""COMPUTED_VALUE"""),"images/msproject.jpg")</f>
        <v>images/msproject.jpg</v>
      </c>
      <c r="Z164" s="5" t="str">
        <f>IFERROR(__xludf.DUMMYFUNCTION("""COMPUTED_VALUE"""),"Avalado por Microsoft Partner Network")</f>
        <v>Avalado por Microsoft Partner Network</v>
      </c>
      <c r="AA164" s="5" t="str">
        <f>IFERROR(__xludf.DUMMYFUNCTION("""COMPUTED_VALUE"""),"SI")</f>
        <v>SI</v>
      </c>
      <c r="AB164" s="6">
        <f>IFERROR(__xludf.DUMMYFUNCTION("""COMPUTED_VALUE"""),610.0)</f>
        <v>610</v>
      </c>
      <c r="AC164" s="6">
        <f>IFERROR(__xludf.DUMMYFUNCTION("""COMPUTED_VALUE"""),550.0)</f>
        <v>550</v>
      </c>
      <c r="AD164" s="6">
        <f>IFERROR(__xludf.DUMMYFUNCTION("""COMPUTED_VALUE"""),305.0)</f>
        <v>305</v>
      </c>
      <c r="AE164" s="6">
        <f>IFERROR(__xludf.DUMMYFUNCTION("""COMPUTED_VALUE"""),275.0)</f>
        <v>275</v>
      </c>
      <c r="AF164" s="6">
        <f>IFERROR(__xludf.DUMMYFUNCTION("""COMPUTED_VALUE"""),150.0)</f>
        <v>150</v>
      </c>
      <c r="AG164" s="5">
        <f>IFERROR(__xludf.DUMMYFUNCTION("""COMPUTED_VALUE"""),150.0)</f>
        <v>150</v>
      </c>
      <c r="AH164" s="5"/>
      <c r="AI164" s="5">
        <f>IFERROR(__xludf.DUMMYFUNCTION("""COMPUTED_VALUE"""),247.5)</f>
        <v>247.5</v>
      </c>
      <c r="AJ164" s="5">
        <f>IFERROR(__xludf.DUMMYFUNCTION("""COMPUTED_VALUE"""),274.5)</f>
        <v>274.5</v>
      </c>
      <c r="AK164" s="5" t="str">
        <f>IFERROR(__xludf.DUMMYFUNCTION("""COMPUTED_VALUE"""),"✨ *Planificar bien es la clave para que todo proyecto tenga éxito.*
Aprende a gestionar tareas, tiempos y recursos con Microsoft Project de forma práctica y profesional 📅
Ahora te adjunto la información a detalle 👇🏻")</f>
        <v>✨ *Planificar bien es la clave para que todo proyecto tenga éxito.*
Aprende a gestionar tareas, tiempos y recursos con Microsoft Project de forma práctica y profesional 📅
Ahora te adjunto la información a detalle 👇🏻</v>
      </c>
      <c r="AL164" s="5" t="str">
        <f>IFERROR(__xludf.DUMMYFUNCTION("""COMPUTED_VALUE"""),"✨ Excelente, actualízate con MS Project y gestiona proyectos de manera más eficiente.")</f>
        <v>✨ Excelente, actualízate con MS Project y gestiona proyectos de manera más eficiente.</v>
      </c>
      <c r="AM164" s="5" t="str">
        <f>IFERROR(__xludf.DUMMYFUNCTION("""COMPUTED_VALUE"""),"💼 Buenísimo, MS Project es muy valorado por las empresas que buscan profesionales de gestión.")</f>
        <v>💼 Buenísimo, MS Project es muy valorado por las empresas que buscan profesionales de gestión.</v>
      </c>
      <c r="AN164" s="5" t="str">
        <f>IFERROR(__xludf.DUMMYFUNCTION("""COMPUTED_VALUE"""),"🎓 ¡Genial! Con MS Project aprenderás a organizar proyectos de forma práctica desde la universidad.")</f>
        <v>🎓 ¡Genial! Con MS Project aprenderás a organizar proyectos de forma práctica desde la universidad.</v>
      </c>
      <c r="AO164" s="5" t="str">
        <f>IFERROR(__xludf.DUMMYFUNCTION("""COMPUTED_VALUE"""),"🚀 ¡Perfecto! Saber MS Project te dará ventaja en prácticas relacionadas a gestión de proyectos.")</f>
        <v>🚀 ¡Perfecto! Saber MS Project te dará ventaja en prácticas relacionadas a gestión de proyectos.</v>
      </c>
      <c r="AP164" s="5" t="str">
        <f>IFERROR(__xludf.DUMMYFUNCTION("""COMPUTED_VALUE"""),"📊 ¡Excelente! Con MS Project podrás planificar y controlar tus propios proyectos de manera profesional.")</f>
        <v>📊 ¡Excelente! Con MS Project podrás planificar y controlar tus propios proyectos de manera profesional.</v>
      </c>
      <c r="AQ164" s="9" t="str">
        <f>IFERROR(__xludf.DUMMYFUNCTION("""COMPUTED_VALUE"""),"https://we-educacion.com/slides/ms-project-basico-intermedio-95")</f>
        <v>https://we-educacion.com/slides/ms-project-basico-intermedio-95</v>
      </c>
      <c r="AR164" s="5">
        <v>1.0</v>
      </c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</row>
    <row r="165" ht="15.75" customHeight="1">
      <c r="A165" s="5" t="s">
        <v>207</v>
      </c>
      <c r="B165" s="5" t="str">
        <f t="shared" si="1"/>
        <v>ENE. I - ED26</v>
      </c>
      <c r="C165" s="6" t="str">
        <f>IFERROR(__xludf.DUMMYFUNCTION("""COMPUTED_VALUE"""),"BI")</f>
        <v>BI</v>
      </c>
      <c r="D165" s="5" t="str">
        <f>IFERROR(__xludf.DUMMYFUNCTION("""COMPUTED_VALUE"""),"CURSO")</f>
        <v>CURSO</v>
      </c>
      <c r="E165" s="6" t="str">
        <f>IFERROR(__xludf.DUMMYFUNCTION("""COMPUTED_VALUE"""),"AZURE")</f>
        <v>AZURE</v>
      </c>
      <c r="F165" s="7">
        <f>IFERROR(__xludf.DUMMYFUNCTION("""COMPUTED_VALUE"""),46037.0)</f>
        <v>46037</v>
      </c>
      <c r="G165" s="6"/>
      <c r="H165" s="7"/>
      <c r="I165" s="6"/>
      <c r="J165" s="7"/>
      <c r="K165" s="6"/>
      <c r="L165" s="7"/>
      <c r="M165" s="6"/>
      <c r="N165" s="7"/>
      <c r="O165" s="6"/>
      <c r="P165" s="7"/>
      <c r="Q165" s="6" t="str">
        <f>IFERROR(__xludf.DUMMYFUNCTION("""COMPUTED_VALUE"""),"Geanfranco Palomino")</f>
        <v>Geanfranco Palomino</v>
      </c>
      <c r="R165" s="5" t="str">
        <f>IFERROR(__xludf.DUMMYFUNCTION("""COMPUTED_VALUE"""),"Mar-Jue")</f>
        <v>Mar-Jue</v>
      </c>
      <c r="S165" s="6" t="str">
        <f>IFERROR(__xludf.DUMMYFUNCTION("""COMPUTED_VALUE"""),"7PM - 10PM")</f>
        <v>7PM - 10PM</v>
      </c>
      <c r="T165" s="7" t="str">
        <f>IFERROR(__xludf.DUMMYFUNCTION("""COMPUTED_VALUE"""),"Jueves 15 Enero")</f>
        <v>Jueves 15 Enero</v>
      </c>
      <c r="U165" s="7" t="str">
        <f>IFERROR(__xludf.DUMMYFUNCTION("""COMPUTED_VALUE"""),"Martes 3 Febrero")</f>
        <v>Martes 3 Febrero</v>
      </c>
      <c r="V165" s="8">
        <f>IFERROR(__xludf.DUMMYFUNCTION("""COMPUTED_VALUE"""),6.0)</f>
        <v>6</v>
      </c>
      <c r="W165" s="5" t="str">
        <f>IFERROR(__xludf.DUMMYFUNCTION("""COMPUTED_VALUE"""),"pdfs/BROCHURE AZURE DATA FUNDAMENTALS.pdf")</f>
        <v>pdfs/BROCHURE AZURE DATA FUNDAMENTALS.pdf</v>
      </c>
      <c r="X165" s="5" t="str">
        <f>IFERROR(__xludf.DUMMYFUNCTION("""COMPUTED_VALUE"""),"🔹 Utilizarán Azure Cloud 👩🏻‍💻
👉🏼 Te guiamos en clases a crear tu Cuenta 
🚨 Por favor, revisa el BROCHURE 👇🏻
Aqui encontrarás la información completa del programa: Temario (malla curricular) y todos los BENEFICIOS 📚")</f>
        <v>🔹 Utilizarán Azure Cloud 👩🏻‍💻
👉🏼 Te guiamos en clases a crear tu Cuenta 
🚨 Por favor, revisa el BROCHURE 👇🏻
Aqui encontrarás la información completa del programa: Temario (malla curricular) y todos los BENEFICIOS 📚</v>
      </c>
      <c r="Y165" s="5" t="str">
        <f>IFERROR(__xludf.DUMMYFUNCTION("""COMPUTED_VALUE"""),"images/azure.jpg")</f>
        <v>images/azure.jpg</v>
      </c>
      <c r="Z165" s="5"/>
      <c r="AA165" s="5"/>
      <c r="AB165" s="6">
        <f>IFERROR(__xludf.DUMMYFUNCTION("""COMPUTED_VALUE"""),600.0)</f>
        <v>600</v>
      </c>
      <c r="AC165" s="6">
        <f>IFERROR(__xludf.DUMMYFUNCTION("""COMPUTED_VALUE"""),550.0)</f>
        <v>550</v>
      </c>
      <c r="AD165" s="6">
        <f>IFERROR(__xludf.DUMMYFUNCTION("""COMPUTED_VALUE"""),300.0)</f>
        <v>300</v>
      </c>
      <c r="AE165" s="6">
        <f>IFERROR(__xludf.DUMMYFUNCTION("""COMPUTED_VALUE"""),275.0)</f>
        <v>275</v>
      </c>
      <c r="AF165" s="6">
        <f>IFERROR(__xludf.DUMMYFUNCTION("""COMPUTED_VALUE"""),150.0)</f>
        <v>150</v>
      </c>
      <c r="AG165" s="5">
        <f>IFERROR(__xludf.DUMMYFUNCTION("""COMPUTED_VALUE"""),150.0)</f>
        <v>150</v>
      </c>
      <c r="AH165" s="5"/>
      <c r="AI165" s="5">
        <f>IFERROR(__xludf.DUMMYFUNCTION("""COMPUTED_VALUE"""),247.5)</f>
        <v>247.5</v>
      </c>
      <c r="AJ165" s="5">
        <f>IFERROR(__xludf.DUMMYFUNCTION("""COMPUTED_VALUE"""),270.0)</f>
        <v>270</v>
      </c>
      <c r="AK165" s="5" t="str">
        <f>IFERROR(__xludf.DUMMYFUNCTION("""COMPUTED_VALUE"""),"El futuro de la tecnología se escribe en la nube 🌐
Con Azure dominarás servicios en la nube de manera práctica y aplicable, con proyectos reales 💻.
Aquí tienes la info a detalle 👇🏻")</f>
        <v>El futuro de la tecnología se escribe en la nube 🌐
Con Azure dominarás servicios en la nube de manera práctica y aplicable, con proyectos reales 💻.
Aquí tienes la info a detalle 👇🏻</v>
      </c>
      <c r="AL165" s="5" t="str">
        <f>IFERROR(__xludf.DUMMYFUNCTION("""COMPUTED_VALUE"""),"☁️ *Excelente*, actualízate con *Azure* y mantente a la vanguardia en computación en la nube.")</f>
        <v>☁️ *Excelente*, actualízate con *Azure* y mantente a la vanguardia en computación en la nube.</v>
      </c>
      <c r="AM165" s="5" t="str">
        <f>IFERROR(__xludf.DUMMYFUNCTION("""COMPUTED_VALUE"""),"💼 Buenísimo, *Azure* es muy solicitado en empresas. Dominarlo aumentará tus oportunidades laborales.")</f>
        <v>💼 Buenísimo, *Azure* es muy solicitado en empresas. Dominarlo aumentará tus oportunidades laborales.</v>
      </c>
      <c r="AN165" s="5" t="str">
        <f>IFERROR(__xludf.DUMMYFUNCTION("""COMPUTED_VALUE"""),"📘 ¡Excelente! Con *Azure* sumarás una habilidad clave que te diferenciará desde la universidad.")</f>
        <v>📘 ¡Excelente! Con *Azure* sumarás una habilidad clave que te diferenciará desde la universidad.</v>
      </c>
      <c r="AO165" s="5" t="str">
        <f>IFERROR(__xludf.DUMMYFUNCTION("""COMPUTED_VALUE"""),"🚀 ¡Perfecto! Con *Azure* tendrás ventaja para conseguir prácticas en proyectos de nube.")</f>
        <v>🚀 ¡Perfecto! Con *Azure* tendrás ventaja para conseguir prácticas en proyectos de nube.</v>
      </c>
      <c r="AP165" s="5" t="str">
        <f>IFERROR(__xludf.DUMMYFUNCTION("""COMPUTED_VALUE"""),"📊 ¡Muy bien! Con *Azure* podrás escalar tus propios proyectos y negocios de manera profesional.")</f>
        <v>📊 ¡Muy bien! Con *Azure* podrás escalar tus propios proyectos y negocios de manera profesional.</v>
      </c>
      <c r="AQ165" s="9" t="str">
        <f>IFERROR(__xludf.DUMMYFUNCTION("""COMPUTED_VALUE"""),"https://we-educacion.com/slides/azure-data-fundamentals-1225#")</f>
        <v>https://we-educacion.com/slides/azure-data-fundamentals-1225#</v>
      </c>
      <c r="AR165" s="5">
        <v>1.0</v>
      </c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</row>
    <row r="166" ht="15.75" customHeight="1">
      <c r="A166" s="5" t="s">
        <v>208</v>
      </c>
      <c r="B166" s="5" t="str">
        <f t="shared" si="1"/>
        <v>ENE. I - ED26</v>
      </c>
      <c r="C166" s="6" t="str">
        <f>IFERROR(__xludf.DUMMYFUNCTION("""COMPUTED_VALUE"""),"SAP")</f>
        <v>SAP</v>
      </c>
      <c r="D166" s="5" t="str">
        <f>IFERROR(__xludf.DUMMYFUNCTION("""COMPUTED_VALUE"""),"CURSO")</f>
        <v>CURSO</v>
      </c>
      <c r="E166" s="6" t="str">
        <f>IFERROR(__xludf.DUMMYFUNCTION("""COMPUTED_VALUE"""),"SAP HANA HCM")</f>
        <v>SAP HANA HCM</v>
      </c>
      <c r="F166" s="7">
        <f>IFERROR(__xludf.DUMMYFUNCTION("""COMPUTED_VALUE"""),46039.0)</f>
        <v>46039</v>
      </c>
      <c r="G166" s="6"/>
      <c r="H166" s="7"/>
      <c r="I166" s="6"/>
      <c r="J166" s="7"/>
      <c r="K166" s="6"/>
      <c r="L166" s="7"/>
      <c r="M166" s="6"/>
      <c r="N166" s="7"/>
      <c r="O166" s="6"/>
      <c r="P166" s="7"/>
      <c r="Q166" s="6" t="str">
        <f>IFERROR(__xludf.DUMMYFUNCTION("""COMPUTED_VALUE"""),"José Andres")</f>
        <v>José Andres</v>
      </c>
      <c r="R166" s="5" t="str">
        <f>IFERROR(__xludf.DUMMYFUNCTION("""COMPUTED_VALUE"""),"Sáb")</f>
        <v>Sáb</v>
      </c>
      <c r="S166" s="6" t="str">
        <f>IFERROR(__xludf.DUMMYFUNCTION("""COMPUTED_VALUE"""),"3PM - 6PM")</f>
        <v>3PM - 6PM</v>
      </c>
      <c r="T166" s="7" t="str">
        <f>IFERROR(__xludf.DUMMYFUNCTION("""COMPUTED_VALUE"""),"Sábado 17 Enero")</f>
        <v>Sábado 17 Enero</v>
      </c>
      <c r="U166" s="7" t="str">
        <f>IFERROR(__xludf.DUMMYFUNCTION("""COMPUTED_VALUE"""),"Sábado 21 Febrero")</f>
        <v>Sábado 21 Febrero</v>
      </c>
      <c r="V166" s="8">
        <f>IFERROR(__xludf.DUMMYFUNCTION("""COMPUTED_VALUE"""),6.0)</f>
        <v>6</v>
      </c>
      <c r="W166" s="5" t="str">
        <f>IFERROR(__xludf.DUMMYFUNCTION("""COMPUTED_VALUE"""),"pdfs/BROCHURE SAP S4 HANA HCM.pdf")</f>
        <v>pdfs/BROCHURE SAP S4 HANA HCM.pdf</v>
      </c>
      <c r="X166" s="5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03 Cursos Online de regalo con acceso ilimitado 📚
🔹 Taller de"&amp;" Automatización SAP con RPA
🔹 Garantía de Aprendizaje 100% 
🔹 Desarrollo y seguimiento de tu proyecto *(Evaluado)*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03 Cursos Online de regalo con acceso ilimitado 📚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166" s="5" t="str">
        <f>IFERROR(__xludf.DUMMYFUNCTION("""COMPUTED_VALUE"""),"images/hcm.jpg")</f>
        <v>images/hcm.jpg</v>
      </c>
      <c r="Z166" s="5" t="str">
        <f>IFERROR(__xludf.DUMMYFUNCTION("""COMPUTED_VALUE"""),"Avalado por SAP Partner Open")</f>
        <v>Avalado por SAP Partner Open</v>
      </c>
      <c r="AA166" s="5" t="str">
        <f>IFERROR(__xludf.DUMMYFUNCTION("""COMPUTED_VALUE"""),"NO")</f>
        <v>NO</v>
      </c>
      <c r="AB166" s="6">
        <f>IFERROR(__xludf.DUMMYFUNCTION("""COMPUTED_VALUE"""),900.0)</f>
        <v>900</v>
      </c>
      <c r="AC166" s="6">
        <f>IFERROR(__xludf.DUMMYFUNCTION("""COMPUTED_VALUE"""),750.0)</f>
        <v>750</v>
      </c>
      <c r="AD166" s="6">
        <f>IFERROR(__xludf.DUMMYFUNCTION("""COMPUTED_VALUE"""),450.0)</f>
        <v>450</v>
      </c>
      <c r="AE166" s="6">
        <f>IFERROR(__xludf.DUMMYFUNCTION("""COMPUTED_VALUE"""),375.0)</f>
        <v>375</v>
      </c>
      <c r="AF166" s="6">
        <f>IFERROR(__xludf.DUMMYFUNCTION("""COMPUTED_VALUE"""),150.0)</f>
        <v>150</v>
      </c>
      <c r="AG166" s="5">
        <f>IFERROR(__xludf.DUMMYFUNCTION("""COMPUTED_VALUE"""),150.0)</f>
        <v>150</v>
      </c>
      <c r="AH166" s="5"/>
      <c r="AI166" s="5">
        <f>IFERROR(__xludf.DUMMYFUNCTION("""COMPUTED_VALUE"""),337.5)</f>
        <v>337.5</v>
      </c>
      <c r="AJ166" s="5">
        <f>IFERROR(__xludf.DUMMYFUNCTION("""COMPUTED_VALUE"""),405.0)</f>
        <v>405</v>
      </c>
      <c r="AK166" s="5" t="str">
        <f>IFERROR(__xludf.DUMMYFUNCTION("""COMPUTED_VALUE"""),"El capital más importante son las personas 👤
Con SAP HANA HCM aprenderás a gestionar talento humano, nóminas y procesos de RRHH en entornos reales 📊.
Aquí tienes la info 👇🏻")</f>
        <v>El capital más importante son las personas 👤
Con SAP HANA HCM aprenderás a gestionar talento humano, nóminas y procesos de RRHH en entornos reales 📊.
Aquí tienes la info 👇🏻</v>
      </c>
      <c r="AL166" s="5" t="str">
        <f>IFERROR(__xludf.DUMMYFUNCTION("""COMPUTED_VALUE"""),"👥 Excelente, actualízate con SAP HCM y domina la gestión de talento en SAP.")</f>
        <v>👥 Excelente, actualízate con SAP HCM y domina la gestión de talento en SAP.</v>
      </c>
      <c r="AM166" s="5" t="str">
        <f>IFERROR(__xludf.DUMMYFUNCTION("""COMPUTED_VALUE"""),"💼 Buenísimo, SAP HCM es muy buscado en empresas que manejan recursos humanos.")</f>
        <v>💼 Buenísimo, SAP HCM es muy buscado en empresas que manejan recursos humanos.</v>
      </c>
      <c r="AN166" s="5" t="str">
        <f>IFERROR(__xludf.DUMMYFUNCTION("""COMPUTED_VALUE"""),"🎓 ¡Genial! Con SAP HCM aprenderás gestión de personas desde la universidad.")</f>
        <v>🎓 ¡Genial! Con SAP HCM aprenderás gestión de personas desde la universidad.</v>
      </c>
      <c r="AO166" s="5" t="str">
        <f>IFERROR(__xludf.DUMMYFUNCTION("""COMPUTED_VALUE"""),"🚀 ¡Perfecto! Con SAP HCM podrás acceder a prácticas en recursos humanos.")</f>
        <v>🚀 ¡Perfecto! Con SAP HCM podrás acceder a prácticas en recursos humanos.</v>
      </c>
      <c r="AP166" s="5" t="str">
        <f>IFERROR(__xludf.DUMMYFUNCTION("""COMPUTED_VALUE"""),"📊 ¡Excelente! Con SAP HCM podrás gestionar el talento de tu negocio de forma más estratégica.")</f>
        <v>📊 ¡Excelente! Con SAP HCM podrás gestionar el talento de tu negocio de forma más estratégica.</v>
      </c>
      <c r="AQ166" s="9" t="str">
        <f>IFERROR(__xludf.DUMMYFUNCTION("""COMPUTED_VALUE"""),"https://we-educacion.com/slides/sap-s-4-hana-hcm-1134#")</f>
        <v>https://we-educacion.com/slides/sap-s-4-hana-hcm-1134#</v>
      </c>
      <c r="AR166" s="5">
        <v>1.0</v>
      </c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</row>
    <row r="167" ht="15.75" customHeight="1">
      <c r="A167" s="5" t="s">
        <v>209</v>
      </c>
      <c r="B167" s="5" t="str">
        <f t="shared" si="1"/>
        <v>ENE. I - ED26</v>
      </c>
      <c r="C167" s="6" t="str">
        <f>IFERROR(__xludf.DUMMYFUNCTION("""COMPUTED_VALUE"""),"SAP")</f>
        <v>SAP</v>
      </c>
      <c r="D167" s="5" t="str">
        <f>IFERROR(__xludf.DUMMYFUNCTION("""COMPUTED_VALUE"""),"CURSO")</f>
        <v>CURSO</v>
      </c>
      <c r="E167" s="6" t="str">
        <f>IFERROR(__xludf.DUMMYFUNCTION("""COMPUTED_VALUE"""),"SAP HANA FI")</f>
        <v>SAP HANA FI</v>
      </c>
      <c r="F167" s="7">
        <f>IFERROR(__xludf.DUMMYFUNCTION("""COMPUTED_VALUE"""),46040.0)</f>
        <v>46040</v>
      </c>
      <c r="G167" s="6"/>
      <c r="H167" s="7"/>
      <c r="I167" s="6"/>
      <c r="J167" s="7"/>
      <c r="K167" s="6"/>
      <c r="L167" s="7"/>
      <c r="M167" s="6"/>
      <c r="N167" s="7"/>
      <c r="O167" s="6"/>
      <c r="P167" s="7"/>
      <c r="Q167" s="6" t="str">
        <f>IFERROR(__xludf.DUMMYFUNCTION("""COMPUTED_VALUE"""),"Karim Millan")</f>
        <v>Karim Millan</v>
      </c>
      <c r="R167" s="5" t="str">
        <f>IFERROR(__xludf.DUMMYFUNCTION("""COMPUTED_VALUE"""),"Dom")</f>
        <v>Dom</v>
      </c>
      <c r="S167" s="6" t="str">
        <f>IFERROR(__xludf.DUMMYFUNCTION("""COMPUTED_VALUE"""),"9AM - 12PM")</f>
        <v>9AM - 12PM</v>
      </c>
      <c r="T167" s="7" t="str">
        <f>IFERROR(__xludf.DUMMYFUNCTION("""COMPUTED_VALUE"""),"Domingo 18 Enero")</f>
        <v>Domingo 18 Enero</v>
      </c>
      <c r="U167" s="7" t="str">
        <f>IFERROR(__xludf.DUMMYFUNCTION("""COMPUTED_VALUE"""),"Domingo 22 Febrero")</f>
        <v>Domingo 22 Febrero</v>
      </c>
      <c r="V167" s="8">
        <f>IFERROR(__xludf.DUMMYFUNCTION("""COMPUTED_VALUE"""),6.0)</f>
        <v>6</v>
      </c>
      <c r="W167" s="5" t="str">
        <f>IFERROR(__xludf.DUMMYFUNCTION("""COMPUTED_VALUE"""),"pdfs/BROCHURE SAP HANA FI MODULO FINANZAS.pdf")</f>
        <v>pdfs/BROCHURE SAP HANA FI MODULO FINANZAS.pdf</v>
      </c>
      <c r="X167" s="5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167" s="5" t="str">
        <f>IFERROR(__xludf.DUMMYFUNCTION("""COMPUTED_VALUE"""),"images/sapfi.jpg")</f>
        <v>images/sapfi.jpg</v>
      </c>
      <c r="Z167" s="5" t="str">
        <f>IFERROR(__xludf.DUMMYFUNCTION("""COMPUTED_VALUE"""),"Avalado por SAP Partner Open")</f>
        <v>Avalado por SAP Partner Open</v>
      </c>
      <c r="AA167" s="5" t="str">
        <f>IFERROR(__xludf.DUMMYFUNCTION("""COMPUTED_VALUE"""),"NO")</f>
        <v>NO</v>
      </c>
      <c r="AB167" s="6">
        <f>IFERROR(__xludf.DUMMYFUNCTION("""COMPUTED_VALUE"""),900.0)</f>
        <v>900</v>
      </c>
      <c r="AC167" s="6">
        <f>IFERROR(__xludf.DUMMYFUNCTION("""COMPUTED_VALUE"""),750.0)</f>
        <v>750</v>
      </c>
      <c r="AD167" s="6">
        <f>IFERROR(__xludf.DUMMYFUNCTION("""COMPUTED_VALUE"""),450.0)</f>
        <v>450</v>
      </c>
      <c r="AE167" s="6">
        <f>IFERROR(__xludf.DUMMYFUNCTION("""COMPUTED_VALUE"""),375.0)</f>
        <v>375</v>
      </c>
      <c r="AF167" s="6">
        <f>IFERROR(__xludf.DUMMYFUNCTION("""COMPUTED_VALUE"""),150.0)</f>
        <v>150</v>
      </c>
      <c r="AG167" s="5">
        <f>IFERROR(__xludf.DUMMYFUNCTION("""COMPUTED_VALUE"""),150.0)</f>
        <v>150</v>
      </c>
      <c r="AH167" s="5"/>
      <c r="AI167" s="5">
        <f>IFERROR(__xludf.DUMMYFUNCTION("""COMPUTED_VALUE"""),337.5)</f>
        <v>337.5</v>
      </c>
      <c r="AJ167" s="5">
        <f>IFERROR(__xludf.DUMMYFUNCTION("""COMPUTED_VALUE"""),405.0)</f>
        <v>405</v>
      </c>
      <c r="AK167" s="5" t="str">
        <f>IFERROR(__xludf.DUMMYFUNCTION("""COMPUTED_VALUE"""),"El lenguaje financiero global se habla con SAP HANA FI 💼
Con este programa aprenderás a gestionar contabilidad y finanzas de forma práctica en SAP 🚀.
Aquí la información completa 👇🏻")</f>
        <v>El lenguaje financiero global se habla con SAP HANA FI 💼
Con este programa aprenderás a gestionar contabilidad y finanzas de forma práctica en SAP 🚀.
Aquí la información completa 👇🏻</v>
      </c>
      <c r="AL167" s="5" t="str">
        <f>IFERROR(__xludf.DUMMYFUNCTION("""COMPUTED_VALUE"""),"💰 Excelente, actualízate con SAP FI y domina la gestión financiera en SAP.")</f>
        <v>💰 Excelente, actualízate con SAP FI y domina la gestión financiera en SAP.</v>
      </c>
      <c r="AM167" s="5" t="str">
        <f>IFERROR(__xludf.DUMMYFUNCTION("""COMPUTED_VALUE"""),"💼 Buenísimo, SAP FI es clave en empresas que manejan contabilidad y finanzas.")</f>
        <v>💼 Buenísimo, SAP FI es clave en empresas que manejan contabilidad y finanzas.</v>
      </c>
      <c r="AN167" s="5" t="str">
        <f>IFERROR(__xludf.DUMMYFUNCTION("""COMPUTED_VALUE"""),"🎓 ¡Genial! Aprender SAP FI en la universidad fortalecerá tu perfil en finanzas.")</f>
        <v>🎓 ¡Genial! Aprender SAP FI en la universidad fortalecerá tu perfil en finanzas.</v>
      </c>
      <c r="AO167" s="5" t="str">
        <f>IFERROR(__xludf.DUMMYFUNCTION("""COMPUTED_VALUE"""),"🚀 ¡Perfecto! Con SAP FI tendrás ventaja en prácticas de contabilidad y finanzas.")</f>
        <v>🚀 ¡Perfecto! Con SAP FI tendrás ventaja en prácticas de contabilidad y finanzas.</v>
      </c>
      <c r="AP167" s="5" t="str">
        <f>IFERROR(__xludf.DUMMYFUNCTION("""COMPUTED_VALUE"""),"📊 ¡Excelente! Con SAP FI podrás llevar la contabilidad de tu negocio con precisión.")</f>
        <v>📊 ¡Excelente! Con SAP FI podrás llevar la contabilidad de tu negocio con precisión.</v>
      </c>
      <c r="AQ167" s="9" t="str">
        <f>IFERROR(__xludf.DUMMYFUNCTION("""COMPUTED_VALUE"""),"https://we-educacion.com/slides/sap-s-4-hana-fi-54")</f>
        <v>https://we-educacion.com/slides/sap-s-4-hana-fi-54</v>
      </c>
      <c r="AR167" s="5">
        <v>1.0</v>
      </c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</row>
    <row r="168" ht="15.75" customHeight="1">
      <c r="A168" s="5" t="s">
        <v>210</v>
      </c>
      <c r="B168" s="5" t="str">
        <f t="shared" si="1"/>
        <v>ENE. I - ED26</v>
      </c>
      <c r="C168" s="6" t="str">
        <f>IFERROR(__xludf.DUMMYFUNCTION("""COMPUTED_VALUE"""),"PROYECTOS")</f>
        <v>PROYECTOS</v>
      </c>
      <c r="D168" s="6" t="str">
        <f>IFERROR(__xludf.DUMMYFUNCTION("""COMPUTED_VALUE"""),"DIPLOMADO")</f>
        <v>DIPLOMADO</v>
      </c>
      <c r="E168" s="6" t="str">
        <f>IFERROR(__xludf.DUMMYFUNCTION("""COMPUTED_VALUE"""),"DIP GEST PROYECTOS V4")</f>
        <v>DIP GEST PROYECTOS V4</v>
      </c>
      <c r="F168" s="7">
        <f>IFERROR(__xludf.DUMMYFUNCTION("""COMPUTED_VALUE"""),46040.0)</f>
        <v>46040</v>
      </c>
      <c r="G168" s="6" t="str">
        <f>IFERROR(__xludf.DUMMYFUNCTION("""COMPUTED_VALUE"""),"GEST PROYECT I")</f>
        <v>GEST PROYECT I</v>
      </c>
      <c r="H168" s="7">
        <f>IFERROR(__xludf.DUMMYFUNCTION("""COMPUTED_VALUE"""),46040.0)</f>
        <v>46040</v>
      </c>
      <c r="I168" s="6" t="str">
        <f>IFERROR(__xludf.DUMMYFUNCTION("""COMPUTED_VALUE"""),"GEST. ÁGIL PROYECT")</f>
        <v>GEST. ÁGIL PROYECT</v>
      </c>
      <c r="J168" s="7">
        <f>IFERROR(__xludf.DUMMYFUNCTION("""COMPUTED_VALUE"""),46082.0)</f>
        <v>46082</v>
      </c>
      <c r="K168" s="6" t="str">
        <f>IFERROR(__xludf.DUMMYFUNCTION("""COMPUTED_VALUE"""),"MS PROJECT")</f>
        <v>MS PROJECT</v>
      </c>
      <c r="L168" s="7">
        <f>IFERROR(__xludf.DUMMYFUNCTION("""COMPUTED_VALUE"""),46124.0)</f>
        <v>46124</v>
      </c>
      <c r="M168" s="6" t="str">
        <f>IFERROR(__xludf.DUMMYFUNCTION("""COMPUTED_VALUE"""),"PMO")</f>
        <v>PMO</v>
      </c>
      <c r="N168" s="7">
        <f>IFERROR(__xludf.DUMMYFUNCTION("""COMPUTED_VALUE"""),46173.0)</f>
        <v>46173</v>
      </c>
      <c r="O168" s="6" t="str">
        <f>IFERROR(__xludf.DUMMYFUNCTION("""COMPUTED_VALUE"""),"GEST FINANC. PROYECT")</f>
        <v>GEST FINANC. PROYECT</v>
      </c>
      <c r="P168" s="7">
        <f>IFERROR(__xludf.DUMMYFUNCTION("""COMPUTED_VALUE"""),46222.0)</f>
        <v>46222</v>
      </c>
      <c r="Q168" s="6" t="str">
        <f>IFERROR(__xludf.DUMMYFUNCTION("""COMPUTED_VALUE"""),"Luis Torres
Juan Bravo
Alejandro Mas
Aurio de la Cruz
Elmer León")</f>
        <v>Luis Torres
Juan Bravo
Alejandro Mas
Aurio de la Cruz
Elmer León</v>
      </c>
      <c r="R168" s="5" t="str">
        <f>IFERROR(__xludf.DUMMYFUNCTION("""COMPUTED_VALUE"""),"Dom")</f>
        <v>Dom</v>
      </c>
      <c r="S168" s="6" t="str">
        <f>IFERROR(__xludf.DUMMYFUNCTION("""COMPUTED_VALUE"""),"9AM - 12PM")</f>
        <v>9AM - 12PM</v>
      </c>
      <c r="T168" s="7" t="str">
        <f>IFERROR(__xludf.DUMMYFUNCTION("""COMPUTED_VALUE"""),"Domingo 18 Enero")</f>
        <v>Domingo 18 Enero</v>
      </c>
      <c r="U168" s="7" t="str">
        <f>IFERROR(__xludf.DUMMYFUNCTION("""COMPUTED_VALUE"""),"Domingo 23 Agosto")</f>
        <v>Domingo 23 Agosto</v>
      </c>
      <c r="V168" s="8">
        <f>IFERROR(__xludf.DUMMYFUNCTION("""COMPUTED_VALUE"""),29.0)</f>
        <v>29</v>
      </c>
      <c r="W168" s="6" t="str">
        <f>IFERROR(__xludf.DUMMYFUNCTION("""COMPUTED_VALUE"""),"pdfs/BROCHURE DIPLOMADO GESTION DE PROYECTOS.pdf")</f>
        <v>pdfs/BROCHURE DIPLOMADO GESTION DE PROYECTOS.pdf</v>
      </c>
      <c r="X168" s="6" t="str">
        <f>IFERROR(__xludf.DUMMYFUNCTION("""COMPUTED_VALUE"""),"🔵 Accede a la CERTIFICACIÓN PMI READY 💻⭐
👉🏼 Material de práctica (Previo al examen) 
👉🏼 Glosario: Conceptos en inglés
🔵 Podrás sustentar las 23 horas solicitadas por parte del CAPM
🔹 Utilizarán MS Project, Excel y Power BI 👩🏻‍💻
👉🏼 Incluye t"&amp;"utorial y manual de instalación
💻 Importante: Para la instalación se necesita una Laptop Windows
Por tu inscripción Al Contado, participa del Congreso de Proyectos en Modalidad General 🔝 
🚨 Por favor, revisa el BROCHURE 👇🏻
Aqui encontrarás la infor"&amp;"mación completa del programa: Temario (malla curricular) y todos los BENEFICIOS ")</f>
        <v>🔵 Accede a la CERTIFICACIÓN PMI READY 💻⭐
👉🏼 Material de práctica (Previo al examen) 
👉🏼 Glosario: Conceptos en inglés
🔵 Podrás sustentar las 23 horas solicitadas por parte del CAPM
🔹 Utilizarán MS Project, Excel y Power BI 👩🏻‍💻
👉🏼 Incluye tutorial y manual de instalación
💻 Importante: Para la instalación se necesita una Laptop Windows
Por tu inscripción Al Contado, participa del Congreso de Proyectos en Modalidad General 🔝 
🚨 Por favor, revisa el BROCHURE 👇🏻
Aqui encontrarás la información completa del programa: Temario (malla curricular) y todos los BENEFICIOS </v>
      </c>
      <c r="Y168" s="5" t="str">
        <f>IFERROR(__xludf.DUMMYFUNCTION("""COMPUTED_VALUE"""),"images/dipproyect.jpg")</f>
        <v>images/dipproyect.jpg</v>
      </c>
      <c r="Z168" s="5"/>
      <c r="AA168" s="5"/>
      <c r="AB168" s="6">
        <f>IFERROR(__xludf.DUMMYFUNCTION("""COMPUTED_VALUE"""),3385.0)</f>
        <v>3385</v>
      </c>
      <c r="AC168" s="6">
        <f>IFERROR(__xludf.DUMMYFUNCTION("""COMPUTED_VALUE"""),3010.0)</f>
        <v>3010</v>
      </c>
      <c r="AD168" s="6">
        <f>IFERROR(__xludf.DUMMYFUNCTION("""COMPUTED_VALUE"""),1692.5)</f>
        <v>1692.5</v>
      </c>
      <c r="AE168" s="6">
        <f>IFERROR(__xludf.DUMMYFUNCTION("""COMPUTED_VALUE"""),1505.0)</f>
        <v>1505</v>
      </c>
      <c r="AF168" s="6">
        <f>IFERROR(__xludf.DUMMYFUNCTION("""COMPUTED_VALUE"""),250.0)</f>
        <v>250</v>
      </c>
      <c r="AG168" s="5">
        <f>IFERROR(__xludf.DUMMYFUNCTION("""COMPUTED_VALUE"""),350.0)</f>
        <v>350</v>
      </c>
      <c r="AH168" s="5"/>
      <c r="AI168" s="5">
        <f>IFERROR(__xludf.DUMMYFUNCTION("""COMPUTED_VALUE"""),1354.5)</f>
        <v>1354.5</v>
      </c>
      <c r="AJ168" s="5">
        <f>IFERROR(__xludf.DUMMYFUNCTION("""COMPUTED_VALUE"""),1523.25)</f>
        <v>1523.25</v>
      </c>
      <c r="AK168" s="5" t="str">
        <f>IFERROR(__xludf.DUMMYFUNCTION("""COMPUTED_VALUE"""),"El liderazgo de proyectos es el motor de las organizaciones 🚀
Aprende metodologías ágiles y herramientas de gestión para llevar tus proyectos al éxito 📈
👉🏻 Aquí tienes la información completa.")</f>
        <v>El liderazgo de proyectos es el motor de las organizaciones 🚀
Aprende metodologías ágiles y herramientas de gestión para llevar tus proyectos al éxito 📈
👉🏻 Aquí tienes la información completa.</v>
      </c>
      <c r="AL168" s="5" t="str">
        <f>IFERROR(__xludf.DUMMYFUNCTION("""COMPUTED_VALUE"""),"📂 Excelente, con el Diplomado en Gestión de Proyectos dominarás metodologías ágiles y PMI.")</f>
        <v>📂 Excelente, con el Diplomado en Gestión de Proyectos dominarás metodologías ágiles y PMI.</v>
      </c>
      <c r="AM168" s="5" t="str">
        <f>IFERROR(__xludf.DUMMYFUNCTION("""COMPUTED_VALUE"""),"💼 Buenísimo, este Diplomado abre puertas en empresas que lideran proyectos estratégicos.")</f>
        <v>💼 Buenísimo, este Diplomado abre puertas en empresas que lideran proyectos estratégicos.</v>
      </c>
      <c r="AN168" s="5" t="str">
        <f>IFERROR(__xludf.DUMMYFUNCTION("""COMPUTED_VALUE"""),"🎓 ¡Genial! Desde la universidad, este Diplomado te dará ventaja en planificación y control.")</f>
        <v>🎓 ¡Genial! Desde la universidad, este Diplomado te dará ventaja en planificación y control.</v>
      </c>
      <c r="AO168" s="5" t="str">
        <f>IFERROR(__xludf.DUMMYFUNCTION("""COMPUTED_VALUE"""),"🚀 ¡Perfecto! Con el Diplomado en Proyectos resaltarás en prácticas de gestión e innovación.")</f>
        <v>🚀 ¡Perfecto! Con el Diplomado en Proyectos resaltarás en prácticas de gestión e innovación.</v>
      </c>
      <c r="AP168" s="5" t="str">
        <f>IFERROR(__xludf.DUMMYFUNCTION("""COMPUTED_VALUE"""),"📊 ¡Excelente! Podrás aplicar lo aprendido para dirigir proyectos propios o de tu negocio.")</f>
        <v>📊 ¡Excelente! Podrás aplicar lo aprendido para dirigir proyectos propios o de tu negocio.</v>
      </c>
      <c r="AQ168" s="9" t="str">
        <f>IFERROR(__xludf.DUMMYFUNCTION("""COMPUTED_VALUE"""),"https://we-educacion.com/slides/diplomado-en-gestion-de-proyectos-209")</f>
        <v>https://we-educacion.com/slides/diplomado-en-gestion-de-proyectos-209</v>
      </c>
      <c r="AR168" s="5">
        <v>1.0</v>
      </c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</row>
    <row r="169" ht="15.75" customHeight="1">
      <c r="A169" s="5" t="s">
        <v>211</v>
      </c>
      <c r="B169" s="5" t="str">
        <f t="shared" si="1"/>
        <v>ENE. I - ED26</v>
      </c>
      <c r="C169" s="6" t="str">
        <f>IFERROR(__xludf.DUMMYFUNCTION("""COMPUTED_VALUE"""),"PROYECTOS")</f>
        <v>PROYECTOS</v>
      </c>
      <c r="D169" s="5" t="str">
        <f>IFERROR(__xludf.DUMMYFUNCTION("""COMPUTED_VALUE"""),"PEE")</f>
        <v>PEE</v>
      </c>
      <c r="E169" s="6" t="str">
        <f>IFERROR(__xludf.DUMMYFUNCTION("""COMPUTED_VALUE"""),"PEE ANALIST PROY V4")</f>
        <v>PEE ANALIST PROY V4</v>
      </c>
      <c r="F169" s="7">
        <f>IFERROR(__xludf.DUMMYFUNCTION("""COMPUTED_VALUE"""),46040.0)</f>
        <v>46040</v>
      </c>
      <c r="G169" s="6" t="str">
        <f>IFERROR(__xludf.DUMMYFUNCTION("""COMPUTED_VALUE"""),"GEST PROYECT I")</f>
        <v>GEST PROYECT I</v>
      </c>
      <c r="H169" s="7">
        <f>IFERROR(__xludf.DUMMYFUNCTION("""COMPUTED_VALUE"""),46040.0)</f>
        <v>46040</v>
      </c>
      <c r="I169" s="6" t="str">
        <f>IFERROR(__xludf.DUMMYFUNCTION("""COMPUTED_VALUE"""),"GEST. ÁGIL PROYECT")</f>
        <v>GEST. ÁGIL PROYECT</v>
      </c>
      <c r="J169" s="7">
        <f>IFERROR(__xludf.DUMMYFUNCTION("""COMPUTED_VALUE"""),46082.0)</f>
        <v>46082</v>
      </c>
      <c r="K169" s="6" t="str">
        <f>IFERROR(__xludf.DUMMYFUNCTION("""COMPUTED_VALUE"""),"MS PROJECT")</f>
        <v>MS PROJECT</v>
      </c>
      <c r="L169" s="7">
        <f>IFERROR(__xludf.DUMMYFUNCTION("""COMPUTED_VALUE"""),46124.0)</f>
        <v>46124</v>
      </c>
      <c r="M169" s="6"/>
      <c r="N169" s="7"/>
      <c r="O169" s="6"/>
      <c r="P169" s="7"/>
      <c r="Q169" s="6" t="str">
        <f>IFERROR(__xludf.DUMMYFUNCTION("""COMPUTED_VALUE"""),"Luis Torres
Juan Bravo
Alejandro Mas")</f>
        <v>Luis Torres
Juan Bravo
Alejandro Mas</v>
      </c>
      <c r="R169" s="5" t="str">
        <f>IFERROR(__xludf.DUMMYFUNCTION("""COMPUTED_VALUE"""),"Dom")</f>
        <v>Dom</v>
      </c>
      <c r="S169" s="6" t="str">
        <f>IFERROR(__xludf.DUMMYFUNCTION("""COMPUTED_VALUE"""),"9AM - 12PM")</f>
        <v>9AM - 12PM</v>
      </c>
      <c r="T169" s="7" t="str">
        <f>IFERROR(__xludf.DUMMYFUNCTION("""COMPUTED_VALUE"""),"Domingo 18 Enero")</f>
        <v>Domingo 18 Enero</v>
      </c>
      <c r="U169" s="7" t="str">
        <f>IFERROR(__xludf.DUMMYFUNCTION("""COMPUTED_VALUE"""),"Domingo 24 Mayo")</f>
        <v>Domingo 24 Mayo</v>
      </c>
      <c r="V169" s="8">
        <f>IFERROR(__xludf.DUMMYFUNCTION("""COMPUTED_VALUE"""),18.0)</f>
        <v>18</v>
      </c>
      <c r="W169" s="5" t="str">
        <f>IFERROR(__xludf.DUMMYFUNCTION("""COMPUTED_VALUE"""),"pdfs/BROCHURE PEE ANALISTA DE PROYECTOS.pdf")</f>
        <v>pdfs/BROCHURE PEE ANALISTA DE PROYECTOS.pdf</v>
      </c>
      <c r="X169" s="5" t="str">
        <f>IFERROR(__xludf.DUMMYFUNCTION("""COMPUTED_VALUE"""),"🔵 *Utilizarán Excel, Ms Project y Power BI*👩🏻‍💻
👉🏼 Incluye tutorial y manual de instalación
👉🏼 ¡Además te regalamos los cursos online!
💻 _*Importante*: Para la instalación se necesita una Laptop *Windows*_
🚨 *Por favor, revisa el BROCHURE* 👇🏻"&amp;"
Aqui encontrarás la información completa del programa, el TEMARIO (malla curricular) y todos los BENEFICIOS 📚")</f>
        <v>🔵 *Utilizarán Excel, Ms Project y Power BI*👩🏻‍💻
👉🏼 Incluye tutorial y manual de instalación
👉🏼 ¡Además te regalamos los cursos online!
💻 _*Importante*: Para la instalación se necesita una Laptop *Windows*_
🚨 *Por favor, revisa el BROCHURE* 👇🏻
Aqui encontrarás la información completa del programa, el TEMARIO (malla curricular) y todos los BENEFICIOS 📚</v>
      </c>
      <c r="Y169" s="5" t="str">
        <f>IFERROR(__xludf.DUMMYFUNCTION("""COMPUTED_VALUE"""),"images/peeproyectos.jpg")</f>
        <v>images/peeproyectos.jpg</v>
      </c>
      <c r="Z169" s="5"/>
      <c r="AA169" s="5"/>
      <c r="AB169" s="6">
        <f>IFERROR(__xludf.DUMMYFUNCTION("""COMPUTED_VALUE"""),1985.0)</f>
        <v>1985</v>
      </c>
      <c r="AC169" s="6">
        <f>IFERROR(__xludf.DUMMYFUNCTION("""COMPUTED_VALUE"""),1810.0)</f>
        <v>1810</v>
      </c>
      <c r="AD169" s="6">
        <f>IFERROR(__xludf.DUMMYFUNCTION("""COMPUTED_VALUE"""),992.5)</f>
        <v>992.5</v>
      </c>
      <c r="AE169" s="6">
        <f>IFERROR(__xludf.DUMMYFUNCTION("""COMPUTED_VALUE"""),905.0)</f>
        <v>905</v>
      </c>
      <c r="AF169" s="6">
        <f>IFERROR(__xludf.DUMMYFUNCTION("""COMPUTED_VALUE"""),250.0)</f>
        <v>250</v>
      </c>
      <c r="AG169" s="5">
        <f>IFERROR(__xludf.DUMMYFUNCTION("""COMPUTED_VALUE"""),350.0)</f>
        <v>350</v>
      </c>
      <c r="AH169" s="5"/>
      <c r="AI169" s="5">
        <f>IFERROR(__xludf.DUMMYFUNCTION("""COMPUTED_VALUE"""),814.5)</f>
        <v>814.5</v>
      </c>
      <c r="AJ169" s="5">
        <f>IFERROR(__xludf.DUMMYFUNCTION("""COMPUTED_VALUE"""),893.25)</f>
        <v>893.25</v>
      </c>
      <c r="AK169" s="5" t="str">
        <f>IFERROR(__xludf.DUMMYFUNCTION("""COMPUTED_VALUE"""),"*La clave del éxito en las empresas hoy es la gestión efectiva de proyectos* 🚀
En pocas semanas dominarás cómo planificar, organizar y ejecutar proyectos con herramientas prácticas y casos reales ⚙️
Ahora te comparto la información a detalle 👇🏻")</f>
        <v>*La clave del éxito en las empresas hoy es la gestión efectiva de proyectos* 🚀
En pocas semanas dominarás cómo planificar, organizar y ejecutar proyectos con herramientas prácticas y casos reales ⚙️
Ahora te comparto la información a detalle 👇🏻</v>
      </c>
      <c r="AL169" s="5" t="str">
        <f>IFERROR(__xludf.DUMMYFUNCTION("""COMPUTED_VALUE"""),"*Excelente*, actualiza tus conocimientos y domina la gestión de proyectos con metodologías modernas 🚀.")</f>
        <v>*Excelente*, actualiza tus conocimientos y domina la gestión de proyectos con metodologías modernas 🚀.</v>
      </c>
      <c r="AM169" s="5" t="str">
        <f>IFERROR(__xludf.DUMMYFUNCTION("""COMPUTED_VALUE"""),"Buenísimo, la gestión de proyectos es muy demandada y te dará un plus en tu CV para más oportunidades laborales 🧳.")</f>
        <v>Buenísimo, la gestión de proyectos es muy demandada y te dará un plus en tu CV para más oportunidades laborales 🧳.</v>
      </c>
      <c r="AN169" s="5" t="str">
        <f>IFERROR(__xludf.DUMMYFUNCTION("""COMPUTED_VALUE""")," ¡Excelente!. podrás complementar lo que ves en la universidad con herramientas prácticas de proyectos y así destacar tu Perfil Profesional 🚀.")</f>
        <v> ¡Excelente!. podrás complementar lo que ves en la universidad con herramientas prácticas de proyectos y así destacar tu Perfil Profesional 🚀.</v>
      </c>
      <c r="AO169" s="5" t="str">
        <f>IFERROR(__xludf.DUMMYFUNCTION("""COMPUTED_VALUE"""),"¡Perfecto!, la gestión de proyectos es muy valorada y te ayudará a sobresalir al postular a prácticas 🧳.")</f>
        <v>¡Perfecto!, la gestión de proyectos es muy valorada y te ayudará a sobresalir al postular a prácticas 🧳.</v>
      </c>
      <c r="AP169" s="5" t="str">
        <f>IFERROR(__xludf.DUMMYFUNCTION("""COMPUTED_VALUE"""),"¡Excelente!, con la gestión de proyectos podrás organizar mejor tus iniciativas y hacer crecer tu negocio 🚀.")</f>
        <v>¡Excelente!, con la gestión de proyectos podrás organizar mejor tus iniciativas y hacer crecer tu negocio 🚀.</v>
      </c>
      <c r="AQ169" s="9" t="str">
        <f>IFERROR(__xludf.DUMMYFUNCTION("""COMPUTED_VALUE"""),"https://we-educacion.com/slides/pee-analista-de-proyectos-163")</f>
        <v>https://we-educacion.com/slides/pee-analista-de-proyectos-163</v>
      </c>
      <c r="AR169" s="5">
        <v>1.0</v>
      </c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</row>
    <row r="170" ht="15.75" customHeight="1">
      <c r="A170" s="5" t="s">
        <v>212</v>
      </c>
      <c r="B170" s="5" t="str">
        <f t="shared" si="1"/>
        <v>ENE. I - ED26</v>
      </c>
      <c r="C170" s="6" t="str">
        <f>IFERROR(__xludf.DUMMYFUNCTION("""COMPUTED_VALUE"""),"PROYECTOS")</f>
        <v>PROYECTOS</v>
      </c>
      <c r="D170" s="5" t="str">
        <f>IFERROR(__xludf.DUMMYFUNCTION("""COMPUTED_VALUE"""),"ESP.")</f>
        <v>ESP.</v>
      </c>
      <c r="E170" s="6" t="str">
        <f>IFERROR(__xludf.DUMMYFUNCTION("""COMPUTED_VALUE"""),"ESP. GEST. PROYECTOS V3")</f>
        <v>ESP. GEST. PROYECTOS V3</v>
      </c>
      <c r="F170" s="7">
        <f>IFERROR(__xludf.DUMMYFUNCTION("""COMPUTED_VALUE"""),46040.0)</f>
        <v>46040</v>
      </c>
      <c r="G170" s="6" t="str">
        <f>IFERROR(__xludf.DUMMYFUNCTION("""COMPUTED_VALUE"""),"GEST PROYECT I")</f>
        <v>GEST PROYECT I</v>
      </c>
      <c r="H170" s="7">
        <f>IFERROR(__xludf.DUMMYFUNCTION("""COMPUTED_VALUE"""),46040.0)</f>
        <v>46040</v>
      </c>
      <c r="I170" s="6" t="str">
        <f>IFERROR(__xludf.DUMMYFUNCTION("""COMPUTED_VALUE"""),"GEST. ÁGIL PROYECT")</f>
        <v>GEST. ÁGIL PROYECT</v>
      </c>
      <c r="J170" s="7">
        <f>IFERROR(__xludf.DUMMYFUNCTION("""COMPUTED_VALUE"""),46082.0)</f>
        <v>46082</v>
      </c>
      <c r="K170" s="6"/>
      <c r="L170" s="7"/>
      <c r="M170" s="6"/>
      <c r="N170" s="7"/>
      <c r="O170" s="6"/>
      <c r="P170" s="7"/>
      <c r="Q170" s="6" t="str">
        <f>IFERROR(__xludf.DUMMYFUNCTION("""COMPUTED_VALUE"""),"Luis Torres
Juan Bravo")</f>
        <v>Luis Torres
Juan Bravo</v>
      </c>
      <c r="R170" s="5" t="str">
        <f>IFERROR(__xludf.DUMMYFUNCTION("""COMPUTED_VALUE"""),"Dom")</f>
        <v>Dom</v>
      </c>
      <c r="S170" s="6" t="str">
        <f>IFERROR(__xludf.DUMMYFUNCTION("""COMPUTED_VALUE"""),"9AM - 12PM")</f>
        <v>9AM - 12PM</v>
      </c>
      <c r="T170" s="7" t="str">
        <f>IFERROR(__xludf.DUMMYFUNCTION("""COMPUTED_VALUE"""),"Domingo 18 Enero")</f>
        <v>Domingo 18 Enero</v>
      </c>
      <c r="U170" s="7" t="str">
        <f>IFERROR(__xludf.DUMMYFUNCTION("""COMPUTED_VALUE"""),"Domingo 29 Marzo")</f>
        <v>Domingo 29 Marzo</v>
      </c>
      <c r="V170" s="8">
        <f>IFERROR(__xludf.DUMMYFUNCTION("""COMPUTED_VALUE"""),11.0)</f>
        <v>11</v>
      </c>
      <c r="W170" s="5" t="str">
        <f>IFERROR(__xludf.DUMMYFUNCTION("""COMPUTED_VALUE"""),"pdfs/BROCHURE ESPECIALIZACION EN GESTIÓN DE PROYECTOS.pdf")</f>
        <v>pdfs/BROCHURE ESPECIALIZACION EN GESTIÓN DE PROYECTOS.pdf</v>
      </c>
      <c r="X170" s="5" t="str">
        <f>IFERROR(__xludf.DUMMYFUNCTION("""COMPUTED_VALUE"""),"🔹 Utilizarán Excel👩🏻‍💻
👉🏼 Incluye tutorial y manual de instalación
👉🏼 ¡Además te regalamos el curso online!
🚨 Por favor, revisa el BROCHURE 👇🏻
Aqui encontrarás la información completa del programa: Temario (malla curricular) y todos los BENEFI"&amp;"CIOS 📚")</f>
        <v>🔹 Utilizarán Excel👩🏻‍💻
👉🏼 Incluye tutorial y manual de instalación
👉🏼 ¡Además te regalamos el curso online!
🚨 Por favor, revisa el BROCHURE 👇🏻
Aqui encontrarás la información completa del programa: Temario (malla curricular) y todos los BENEFICIOS 📚</v>
      </c>
      <c r="Y170" s="5" t="str">
        <f>IFERROR(__xludf.DUMMYFUNCTION("""COMPUTED_VALUE"""),"images/espproyectos.jpg")</f>
        <v>images/espproyectos.jpg</v>
      </c>
      <c r="Z170" s="5"/>
      <c r="AA170" s="5"/>
      <c r="AB170" s="6">
        <f>IFERROR(__xludf.DUMMYFUNCTION("""COMPUTED_VALUE"""),1420.0)</f>
        <v>1420</v>
      </c>
      <c r="AC170" s="6">
        <f>IFERROR(__xludf.DUMMYFUNCTION("""COMPUTED_VALUE"""),1300.0)</f>
        <v>1300</v>
      </c>
      <c r="AD170" s="6">
        <f>IFERROR(__xludf.DUMMYFUNCTION("""COMPUTED_VALUE"""),710.0)</f>
        <v>710</v>
      </c>
      <c r="AE170" s="6">
        <f>IFERROR(__xludf.DUMMYFUNCTION("""COMPUTED_VALUE"""),650.0)</f>
        <v>650</v>
      </c>
      <c r="AF170" s="6">
        <f>IFERROR(__xludf.DUMMYFUNCTION("""COMPUTED_VALUE"""),250.0)</f>
        <v>250</v>
      </c>
      <c r="AG170" s="5">
        <f>IFERROR(__xludf.DUMMYFUNCTION("""COMPUTED_VALUE"""),350.0)</f>
        <v>350</v>
      </c>
      <c r="AH170" s="5"/>
      <c r="AI170" s="5">
        <f>IFERROR(__xludf.DUMMYFUNCTION("""COMPUTED_VALUE"""),585.0)</f>
        <v>585</v>
      </c>
      <c r="AJ170" s="5">
        <f>IFERROR(__xludf.DUMMYFUNCTION("""COMPUTED_VALUE"""),639.0)</f>
        <v>639</v>
      </c>
      <c r="AK170" s="5" t="str">
        <f>IFERROR(__xludf.DUMMYFUNCTION("""COMPUTED_VALUE"""),"Los proyectos exitosos requieren líderes preparados 🏗️
Domina metodologías y herramientas para gestionar proyectos de forma efectiva 📊
👉🏻 Te envío la información.")</f>
        <v>Los proyectos exitosos requieren líderes preparados 🏗️
Domina metodologías y herramientas para gestionar proyectos de forma efectiva 📊
👉🏻 Te envío la información.</v>
      </c>
      <c r="AL170" s="5" t="str">
        <f>IFERROR(__xludf.DUMMYFUNCTION("""COMPUTED_VALUE"""),"📋 Excelente, actualízate en Gestión de Proyectos y lidera con éxito.")</f>
        <v>📋 Excelente, actualízate en Gestión de Proyectos y lidera con éxito.</v>
      </c>
      <c r="AM170" s="5" t="str">
        <f>IFERROR(__xludf.DUMMYFUNCTION("""COMPUTED_VALUE"""),"💼 Buenísimo, el mercado busca expertos en dirección de proyectos.")</f>
        <v>💼 Buenísimo, el mercado busca expertos en dirección de proyectos.</v>
      </c>
      <c r="AN170" s="5" t="str">
        <f>IFERROR(__xludf.DUMMYFUNCTION("""COMPUTED_VALUE"""),"🚀 Genial, tu perfil sumará una habilidad clave en coordinación de equipos.")</f>
        <v>🚀 Genial, tu perfil sumará una habilidad clave en coordinación de equipos.</v>
      </c>
      <c r="AO170" s="5" t="str">
        <f>IFERROR(__xludf.DUMMYFUNCTION("""COMPUTED_VALUE"""),"🔑 Perfecto, tendrás ventaja en prácticas de gestión y planificación.")</f>
        <v>🔑 Perfecto, tendrás ventaja en prácticas de gestión y planificación.</v>
      </c>
      <c r="AP170" s="5" t="str">
        <f>IFERROR(__xludf.DUMMYFUNCTION("""COMPUTED_VALUE"""),"📊 Excelente, aplicarás gestión de proyectos en tu propio negocio.")</f>
        <v>📊 Excelente, aplicarás gestión de proyectos en tu propio negocio.</v>
      </c>
      <c r="AQ170" s="9" t="str">
        <f>IFERROR(__xludf.DUMMYFUNCTION("""COMPUTED_VALUE"""),"https://we-educacion.com/slides/especializacion-en-gestion-de-proyectos-350")</f>
        <v>https://we-educacion.com/slides/especializacion-en-gestion-de-proyectos-350</v>
      </c>
      <c r="AR170" s="5">
        <v>1.0</v>
      </c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</row>
    <row r="171" ht="15.75" customHeight="1">
      <c r="A171" s="5" t="s">
        <v>213</v>
      </c>
      <c r="B171" s="5" t="str">
        <f t="shared" si="1"/>
        <v>ENE. I - ED26</v>
      </c>
      <c r="C171" s="6" t="str">
        <f>IFERROR(__xludf.DUMMYFUNCTION("""COMPUTED_VALUE"""),"PROYECTOS")</f>
        <v>PROYECTOS</v>
      </c>
      <c r="D171" s="5" t="str">
        <f>IFERROR(__xludf.DUMMYFUNCTION("""COMPUTED_VALUE"""),"CURSO")</f>
        <v>CURSO</v>
      </c>
      <c r="E171" s="6" t="str">
        <f>IFERROR(__xludf.DUMMYFUNCTION("""COMPUTED_VALUE"""),"GEST PROYECT I")</f>
        <v>GEST PROYECT I</v>
      </c>
      <c r="F171" s="7">
        <f>IFERROR(__xludf.DUMMYFUNCTION("""COMPUTED_VALUE"""),46040.0)</f>
        <v>46040</v>
      </c>
      <c r="G171" s="6"/>
      <c r="H171" s="7"/>
      <c r="I171" s="6"/>
      <c r="J171" s="7"/>
      <c r="K171" s="6"/>
      <c r="L171" s="7"/>
      <c r="M171" s="6"/>
      <c r="N171" s="7"/>
      <c r="O171" s="6"/>
      <c r="P171" s="7"/>
      <c r="Q171" s="6" t="str">
        <f>IFERROR(__xludf.DUMMYFUNCTION("""COMPUTED_VALUE"""),"Luis Torres")</f>
        <v>Luis Torres</v>
      </c>
      <c r="R171" s="5" t="str">
        <f>IFERROR(__xludf.DUMMYFUNCTION("""COMPUTED_VALUE"""),"Dom")</f>
        <v>Dom</v>
      </c>
      <c r="S171" s="6" t="str">
        <f>IFERROR(__xludf.DUMMYFUNCTION("""COMPUTED_VALUE"""),"9AM - 12PM")</f>
        <v>9AM - 12PM</v>
      </c>
      <c r="T171" s="7" t="str">
        <f>IFERROR(__xludf.DUMMYFUNCTION("""COMPUTED_VALUE"""),"Domingo 18 Enero")</f>
        <v>Domingo 18 Enero</v>
      </c>
      <c r="U171" s="7" t="str">
        <f>IFERROR(__xludf.DUMMYFUNCTION("""COMPUTED_VALUE"""),"Domingo 22 Febrero")</f>
        <v>Domingo 22 Febrero</v>
      </c>
      <c r="V171" s="8">
        <f>IFERROR(__xludf.DUMMYFUNCTION("""COMPUTED_VALUE"""),6.0)</f>
        <v>6</v>
      </c>
      <c r="W171" s="5" t="str">
        <f>IFERROR(__xludf.DUMMYFUNCTION("""COMPUTED_VALUE"""),"pdfs/BROCHURE GESTION DE PROYECTOS I.pdf")</f>
        <v>pdfs/BROCHURE GESTION DE PROYECTOS I.pdf</v>
      </c>
      <c r="X171" s="5" t="str">
        <f>IFERROR(__xludf.DUMMYFUNCTION("""COMPUTED_VALUE"""),"🔵 *Utilizarán Excel*
🚨 *Por favor, revisa el BROCHURE* 👇🏻
Aqui encontrarás la información completa del programa, el TEMARIO (malla curricular) y todos los BENEFICIOS 📚")</f>
        <v>🔵 *Utilizarán Excel*
🚨 *Por favor, revisa el BROCHURE* 👇🏻
Aqui encontrarás la información completa del programa, el TEMARIO (malla curricular) y todos los BENEFICIOS 📚</v>
      </c>
      <c r="Y171" s="5" t="str">
        <f>IFERROR(__xludf.DUMMYFUNCTION("""COMPUTED_VALUE"""),"images/gestproyect.jpg")</f>
        <v>images/gestproyect.jpg</v>
      </c>
      <c r="Z171" s="5"/>
      <c r="AA171" s="5" t="str">
        <f>IFERROR(__xludf.DUMMYFUNCTION("""COMPUTED_VALUE"""),"NO")</f>
        <v>NO</v>
      </c>
      <c r="AB171" s="6">
        <f>IFERROR(__xludf.DUMMYFUNCTION("""COMPUTED_VALUE"""),860.0)</f>
        <v>860</v>
      </c>
      <c r="AC171" s="6">
        <f>IFERROR(__xludf.DUMMYFUNCTION("""COMPUTED_VALUE"""),750.0)</f>
        <v>750</v>
      </c>
      <c r="AD171" s="6">
        <f>IFERROR(__xludf.DUMMYFUNCTION("""COMPUTED_VALUE"""),430.0)</f>
        <v>430</v>
      </c>
      <c r="AE171" s="6">
        <f>IFERROR(__xludf.DUMMYFUNCTION("""COMPUTED_VALUE"""),375.0)</f>
        <v>375</v>
      </c>
      <c r="AF171" s="6">
        <f>IFERROR(__xludf.DUMMYFUNCTION("""COMPUTED_VALUE"""),150.0)</f>
        <v>150</v>
      </c>
      <c r="AG171" s="5">
        <f>IFERROR(__xludf.DUMMYFUNCTION("""COMPUTED_VALUE"""),150.0)</f>
        <v>150</v>
      </c>
      <c r="AH171" s="5"/>
      <c r="AI171" s="5">
        <f>IFERROR(__xludf.DUMMYFUNCTION("""COMPUTED_VALUE"""),337.5)</f>
        <v>337.5</v>
      </c>
      <c r="AJ171" s="5">
        <f>IFERROR(__xludf.DUMMYFUNCTION("""COMPUTED_VALUE"""),387.0)</f>
        <v>387</v>
      </c>
      <c r="AK171" s="5" t="str">
        <f>IFERROR(__xludf.DUMMYFUNCTION("""COMPUTED_VALUE"""),"El liderazgo moderno comienza con la planificación efectiva 🗂️
Con Gestión de Proyectos I aprenderás las bases y herramientas clave para dirigir proyectos con éxito 🚀.
Aquí la información completa 👇🏻")</f>
        <v>El liderazgo moderno comienza con la planificación efectiva 🗂️
Con Gestión de Proyectos I aprenderás las bases y herramientas clave para dirigir proyectos con éxito 🚀.
Aquí la información completa 👇🏻</v>
      </c>
      <c r="AL171" s="5" t="str">
        <f>IFERROR(__xludf.DUMMYFUNCTION("""COMPUTED_VALUE"""),"*Excelente*, actualiza tus conocimientos y domina la gestión de proyectos 🚀.")</f>
        <v>*Excelente*, actualiza tus conocimientos y domina la gestión de proyectos 🚀.</v>
      </c>
      <c r="AM171" s="5" t="str">
        <f>IFERROR(__xludf.DUMMYFUNCTION("""COMPUTED_VALUE"""),"Buenísimo, la *gestión de proyectos* es muy demandada y te dará un plus en tu CV y más oportunidades laborales 🧳")</f>
        <v>Buenísimo, la *gestión de proyectos* es muy demandada y te dará un plus en tu CV y más oportunidades laborales 🧳</v>
      </c>
      <c r="AN171" s="5" t="str">
        <f>IFERROR(__xludf.DUMMYFUNCTION("""COMPUTED_VALUE"""),"¡Excelente!. podrás complementar lo que ves en la universidad con herramientas prácticas y aplicables, y así destacar tu *Perfil Profesional* 🚀. ")</f>
        <v>¡Excelente!. podrás complementar lo que ves en la universidad con herramientas prácticas y aplicables, y así destacar tu *Perfil Profesional* 🚀. </v>
      </c>
      <c r="AO171" s="5" t="str">
        <f>IFERROR(__xludf.DUMMYFUNCTION("""COMPUTED_VALUE"""),"¡Perfecto!, la gestión de proyectos es muy valorada por las empresas y te hará destacar al postular a prácticas 🧳")</f>
        <v>¡Perfecto!, la gestión de proyectos es muy valorada por las empresas y te hará destacar al postular a prácticas 🧳</v>
      </c>
      <c r="AP171" s="5" t="str">
        <f>IFERROR(__xludf.DUMMYFUNCTION("""COMPUTED_VALUE"""),"¡Excelente!, con la gestión de proyectos podrás organizar mejor tus proyectos y hacer crecer tu negocio 🚀.")</f>
        <v>¡Excelente!, con la gestión de proyectos podrás organizar mejor tus proyectos y hacer crecer tu negocio 🚀.</v>
      </c>
      <c r="AQ171" s="9" t="str">
        <f>IFERROR(__xludf.DUMMYFUNCTION("""COMPUTED_VALUE"""),"https://we-educacion.com/slides/gestion-de-proyectos-162")</f>
        <v>https://we-educacion.com/slides/gestion-de-proyectos-162</v>
      </c>
      <c r="AR171" s="5">
        <v>1.0</v>
      </c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</row>
    <row r="172" ht="15.75" customHeight="1">
      <c r="A172" s="5" t="s">
        <v>214</v>
      </c>
      <c r="B172" s="5" t="str">
        <f t="shared" si="1"/>
        <v>ENE. I - ED26</v>
      </c>
      <c r="C172" s="6" t="str">
        <f>IFERROR(__xludf.DUMMYFUNCTION("""COMPUTED_VALUE"""),"EXCEL")</f>
        <v>EXCEL</v>
      </c>
      <c r="D172" s="6" t="str">
        <f>IFERROR(__xludf.DUMMYFUNCTION("""COMPUTED_VALUE"""),"CURSO")</f>
        <v>CURSO</v>
      </c>
      <c r="E172" s="6" t="str">
        <f>IFERROR(__xludf.DUMMYFUNCTION("""COMPUTED_VALUE"""),"EXCEL INTERM")</f>
        <v>EXCEL INTERM</v>
      </c>
      <c r="F172" s="7">
        <f>IFERROR(__xludf.DUMMYFUNCTION("""COMPUTED_VALUE"""),46043.0)</f>
        <v>46043</v>
      </c>
      <c r="G172" s="6"/>
      <c r="H172" s="7"/>
      <c r="I172" s="6"/>
      <c r="J172" s="7"/>
      <c r="K172" s="6"/>
      <c r="L172" s="7"/>
      <c r="M172" s="6"/>
      <c r="N172" s="7"/>
      <c r="O172" s="6"/>
      <c r="P172" s="7"/>
      <c r="Q172" s="6" t="str">
        <f>IFERROR(__xludf.DUMMYFUNCTION("""COMPUTED_VALUE"""),"Jonathan Sanchez")</f>
        <v>Jonathan Sanchez</v>
      </c>
      <c r="R172" s="5" t="str">
        <f>IFERROR(__xludf.DUMMYFUNCTION("""COMPUTED_VALUE"""),"Lun-Mie-Vier")</f>
        <v>Lun-Mie-Vier</v>
      </c>
      <c r="S172" s="6" t="str">
        <f>IFERROR(__xludf.DUMMYFUNCTION("""COMPUTED_VALUE"""),"7PM - 10PM")</f>
        <v>7PM - 10PM</v>
      </c>
      <c r="T172" s="7" t="str">
        <f>IFERROR(__xludf.DUMMYFUNCTION("""COMPUTED_VALUE"""),"Miércoles 21 Enero")</f>
        <v>Miércoles 21 Enero</v>
      </c>
      <c r="U172" s="7" t="str">
        <f>IFERROR(__xludf.DUMMYFUNCTION("""COMPUTED_VALUE"""),"Lunes 2 Febrero")</f>
        <v>Lunes 2 Febrero</v>
      </c>
      <c r="V172" s="8">
        <f>IFERROR(__xludf.DUMMYFUNCTION("""COMPUTED_VALUE"""),6.0)</f>
        <v>6</v>
      </c>
      <c r="W172" s="5" t="str">
        <f>IFERROR(__xludf.DUMMYFUNCTION("""COMPUTED_VALUE"""),"pdfs/BROCHURE EXCEL INTERMEDIO.pdf")</f>
        <v>pdfs/BROCHURE EXCEL INTERMEDIO.pdf</v>
      </c>
      <c r="X172" s="5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72" s="5" t="str">
        <f>IFERROR(__xludf.DUMMYFUNCTION("""COMPUTED_VALUE"""),"images/excelinterm.jpg")</f>
        <v>images/excelinterm.jpg</v>
      </c>
      <c r="Z172" s="5" t="str">
        <f>IFERROR(__xludf.DUMMYFUNCTION("""COMPUTED_VALUE"""),"Avalado por Microsoft Partner Network")</f>
        <v>Avalado por Microsoft Partner Network</v>
      </c>
      <c r="AA172" s="5" t="str">
        <f>IFERROR(__xludf.DUMMYFUNCTION("""COMPUTED_VALUE"""),"NO")</f>
        <v>NO</v>
      </c>
      <c r="AB172" s="6">
        <f>IFERROR(__xludf.DUMMYFUNCTION("""COMPUTED_VALUE"""),420.0)</f>
        <v>420</v>
      </c>
      <c r="AC172" s="6">
        <f>IFERROR(__xludf.DUMMYFUNCTION("""COMPUTED_VALUE"""),400.0)</f>
        <v>400</v>
      </c>
      <c r="AD172" s="6">
        <f>IFERROR(__xludf.DUMMYFUNCTION("""COMPUTED_VALUE"""),210.0)</f>
        <v>210</v>
      </c>
      <c r="AE172" s="6">
        <f>IFERROR(__xludf.DUMMYFUNCTION("""COMPUTED_VALUE"""),200.0)</f>
        <v>200</v>
      </c>
      <c r="AF172" s="6">
        <f>IFERROR(__xludf.DUMMYFUNCTION("""COMPUTED_VALUE"""),150.0)</f>
        <v>150</v>
      </c>
      <c r="AG172" s="5">
        <f>IFERROR(__xludf.DUMMYFUNCTION("""COMPUTED_VALUE"""),150.0)</f>
        <v>150</v>
      </c>
      <c r="AH172" s="5"/>
      <c r="AI172" s="5">
        <f>IFERROR(__xludf.DUMMYFUNCTION("""COMPUTED_VALUE"""),180.0)</f>
        <v>180</v>
      </c>
      <c r="AJ172" s="5">
        <f>IFERROR(__xludf.DUMMYFUNCTION("""COMPUTED_VALUE"""),189.0)</f>
        <v>189</v>
      </c>
      <c r="AK172" s="5" t="str">
        <f>IFERROR(__xludf.DUMMYFUNCTION("""COMPUTED_VALUE"""),"El siguiente paso en tu crecimiento es Excel Intermedio 🚀
Consolidarás fórmulas, tablas y reportes aplicables en entornos reales de trabajo 💻.
Aquí tienes la info 👇🏻")</f>
        <v>El siguiente paso en tu crecimiento es Excel Intermedio 🚀
Consolidarás fórmulas, tablas y reportes aplicables en entornos reales de trabajo 💻.
Aquí tienes la info 👇🏻</v>
      </c>
      <c r="AL172" s="5" t="str">
        <f>IFERROR(__xludf.DUMMYFUNCTION("""COMPUTED_VALUE"""),"💼 *Excelente*, actualízate con *EXCEL INTERM* y mantente competitivo en el mercado laboral.")</f>
        <v>💼 *Excelente*, actualízate con *EXCEL INTERM* y mantente competitivo en el mercado laboral.</v>
      </c>
      <c r="AM172" s="5" t="str">
        <f>IFERROR(__xludf.DUMMYFUNCTION("""COMPUTED_VALUE"""),"📘 Buenísimo, *EXCEL INTERM* es de las competencias más pedidas por las empresas y aumentará tus oportunidades laborales.")</f>
        <v>📘 Buenísimo, *EXCEL INTERM* es de las competencias más pedidas por las empresas y aumentará tus oportunidades laborales.</v>
      </c>
      <c r="AN172" s="5" t="str">
        <f>IFERROR(__xludf.DUMMYFUNCTION("""COMPUTED_VALUE"""),"🔑 ¡Genial! Con *EXCEL INTERM* sumarás una habilidad poderosa que te diferenciará desde la universidad.")</f>
        <v>🔑 ¡Genial! Con *EXCEL INTERM* sumarás una habilidad poderosa que te diferenciará desde la universidad.</v>
      </c>
      <c r="AO172" s="5" t="str">
        <f>IFERROR(__xludf.DUMMYFUNCTION("""COMPUTED_VALUE"""),"🔑 ¡Perfecto! Saber *EXCEL INTERM* te dará ventaja frente a otros postulantes para conseguir prácticas.")</f>
        <v>🔑 ¡Perfecto! Saber *EXCEL INTERM* te dará ventaja frente a otros postulantes para conseguir prácticas.</v>
      </c>
      <c r="AP172" s="5" t="str">
        <f>IFERROR(__xludf.DUMMYFUNCTION("""COMPUTED_VALUE"""),"✨ ¡Excelente! Con *EXCEL INTERM* podrás aplicarlo en tu negocio y tomar decisiones más inteligentes.")</f>
        <v>✨ ¡Excelente! Con *EXCEL INTERM* podrás aplicarlo en tu negocio y tomar decisiones más inteligentes.</v>
      </c>
      <c r="AQ172" s="9" t="str">
        <f>IFERROR(__xludf.DUMMYFUNCTION("""COMPUTED_VALUE"""),"https://we-educacion.com/slides/microsoft-excel-intermedio-82")</f>
        <v>https://we-educacion.com/slides/microsoft-excel-intermedio-82</v>
      </c>
      <c r="AR172" s="5">
        <v>1.0</v>
      </c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</row>
    <row r="173" ht="15.75" customHeight="1">
      <c r="A173" s="5" t="s">
        <v>215</v>
      </c>
      <c r="B173" s="5" t="str">
        <f t="shared" si="1"/>
        <v>ENE. I - ED26</v>
      </c>
      <c r="C173" s="6" t="str">
        <f>IFERROR(__xludf.DUMMYFUNCTION("""COMPUTED_VALUE"""),"BI")</f>
        <v>BI</v>
      </c>
      <c r="D173" s="6" t="str">
        <f>IFERROR(__xludf.DUMMYFUNCTION("""COMPUTED_VALUE"""),"PEE")</f>
        <v>PEE</v>
      </c>
      <c r="E173" s="6" t="str">
        <f>IFERROR(__xludf.DUMMYFUNCTION("""COMPUTED_VALUE"""),"PEE ANALIST DATOS")</f>
        <v>PEE ANALIST DATOS</v>
      </c>
      <c r="F173" s="7">
        <f>IFERROR(__xludf.DUMMYFUNCTION("""COMPUTED_VALUE"""),46043.0)</f>
        <v>46043</v>
      </c>
      <c r="G173" s="6" t="str">
        <f>IFERROR(__xludf.DUMMYFUNCTION("""COMPUTED_VALUE"""),"SQL SERVER")</f>
        <v>SQL SERVER</v>
      </c>
      <c r="H173" s="7">
        <f>IFERROR(__xludf.DUMMYFUNCTION("""COMPUTED_VALUE"""),46043.0)</f>
        <v>46043</v>
      </c>
      <c r="I173" s="6" t="str">
        <f>IFERROR(__xludf.DUMMYFUNCTION("""COMPUTED_VALUE"""),"POWER BI")</f>
        <v>POWER BI</v>
      </c>
      <c r="J173" s="7">
        <f>IFERROR(__xludf.DUMMYFUNCTION("""COMPUTED_VALUE"""),46071.0)</f>
        <v>46071</v>
      </c>
      <c r="K173" s="6" t="str">
        <f>IFERROR(__xludf.DUMMYFUNCTION("""COMPUTED_VALUE"""),"PYTHON. DATOS")</f>
        <v>PYTHON. DATOS</v>
      </c>
      <c r="L173" s="7">
        <f>IFERROR(__xludf.DUMMYFUNCTION("""COMPUTED_VALUE"""),46099.0)</f>
        <v>46099</v>
      </c>
      <c r="M173" s="6"/>
      <c r="N173" s="7"/>
      <c r="O173" s="6"/>
      <c r="P173" s="7"/>
      <c r="Q173" s="6" t="str">
        <f>IFERROR(__xludf.DUMMYFUNCTION("""COMPUTED_VALUE"""),"David Llaja
Carlos De La Lama
Brigitt Ramirez")</f>
        <v>David Llaja
Carlos De La Lama
Brigitt Ramirez</v>
      </c>
      <c r="R173" s="5" t="str">
        <f>IFERROR(__xludf.DUMMYFUNCTION("""COMPUTED_VALUE"""),"Lun-Mie")</f>
        <v>Lun-Mie</v>
      </c>
      <c r="S173" s="6" t="str">
        <f>IFERROR(__xludf.DUMMYFUNCTION("""COMPUTED_VALUE"""),"7PM - 10PM")</f>
        <v>7PM - 10PM</v>
      </c>
      <c r="T173" s="7" t="str">
        <f>IFERROR(__xludf.DUMMYFUNCTION("""COMPUTED_VALUE"""),"Miércoles 21 Enero")</f>
        <v>Miércoles 21 Enero</v>
      </c>
      <c r="U173" s="7" t="str">
        <f>IFERROR(__xludf.DUMMYFUNCTION("""COMPUTED_VALUE"""),"Lunes 6 Abril")</f>
        <v>Lunes 6 Abril</v>
      </c>
      <c r="V173" s="8">
        <f>IFERROR(__xludf.DUMMYFUNCTION("""COMPUTED_VALUE"""),18.0)</f>
        <v>18</v>
      </c>
      <c r="W173" s="5" t="str">
        <f>IFERROR(__xludf.DUMMYFUNCTION("""COMPUTED_VALUE"""),"pdfs/BROCHURE PEE ANALISTA DE DATOS.pdf")</f>
        <v>pdfs/BROCHURE PEE ANALISTA DE DATOS.pdf</v>
      </c>
      <c r="X173" s="5" t="str">
        <f>IFERROR(__xludf.DUMMYFUNCTION("""COMPUTED_VALUE"""),"🔵 *Utilizarán Power BI, SQL Server y Python*👩🏻‍💻
👉🏼 Incluye tutorial y manual de instalación
💻 _*Importante*: Para la instalación se necesita una Laptop *Windows*_
🚨 *Por favor, revisa el BROCHURE* 👇🏻
Aqui encontrarás la información completa de"&amp;"l programa, el TEMARIO (malla curricular) y todos los BENEFICIOS 📚")</f>
        <v>🔵 *Utilizarán Power BI, SQL Server y Python*👩🏻‍💻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73" s="5" t="str">
        <f>IFERROR(__xludf.DUMMYFUNCTION("""COMPUTED_VALUE"""),"images/peedatos.jpg")</f>
        <v>images/peedatos.jpg</v>
      </c>
      <c r="Z173" s="5"/>
      <c r="AA173" s="5" t="str">
        <f>IFERROR(__xludf.DUMMYFUNCTION("""COMPUTED_VALUE"""),"NO")</f>
        <v>NO</v>
      </c>
      <c r="AB173" s="6">
        <f>IFERROR(__xludf.DUMMYFUNCTION("""COMPUTED_VALUE"""),2390.0)</f>
        <v>2390</v>
      </c>
      <c r="AC173" s="6">
        <f>IFERROR(__xludf.DUMMYFUNCTION("""COMPUTED_VALUE"""),2130.0)</f>
        <v>2130</v>
      </c>
      <c r="AD173" s="6">
        <f>IFERROR(__xludf.DUMMYFUNCTION("""COMPUTED_VALUE"""),1195.0)</f>
        <v>1195</v>
      </c>
      <c r="AE173" s="6">
        <f>IFERROR(__xludf.DUMMYFUNCTION("""COMPUTED_VALUE"""),1065.0)</f>
        <v>1065</v>
      </c>
      <c r="AF173" s="6">
        <f>IFERROR(__xludf.DUMMYFUNCTION("""COMPUTED_VALUE"""),250.0)</f>
        <v>250</v>
      </c>
      <c r="AG173" s="5">
        <f>IFERROR(__xludf.DUMMYFUNCTION("""COMPUTED_VALUE"""),350.0)</f>
        <v>350</v>
      </c>
      <c r="AH173" s="5"/>
      <c r="AI173" s="5">
        <f>IFERROR(__xludf.DUMMYFUNCTION("""COMPUTED_VALUE"""),958.5)</f>
        <v>958.5</v>
      </c>
      <c r="AJ173" s="5">
        <f>IFERROR(__xludf.DUMMYFUNCTION("""COMPUTED_VALUE"""),1075.5)</f>
        <v>1075.5</v>
      </c>
      <c r="AK173" s="5" t="str">
        <f>IFERROR(__xludf.DUMMYFUNCTION("""COMPUTED_VALUE"""),"Los analistas de datos son los profesionales más buscados 🔍
Aprende herramientas prácticas de análisis para transformar datos en decisiones 📊
👉🏻 Aquí tienes la información.")</f>
        <v>Los analistas de datos son los profesionales más buscados 🔍
Aprende herramientas prácticas de análisis para transformar datos en decisiones 📊
👉🏻 Aquí tienes la información.</v>
      </c>
      <c r="AL173" s="5" t="str">
        <f>IFERROR(__xludf.DUMMYFUNCTION("""COMPUTED_VALUE"""),"📊 Excelente, el PEE Analista de Datos te enseña herramientas claves como Power BI y SQL.")</f>
        <v>📊 Excelente, el PEE Analista de Datos te enseña herramientas claves como Power BI y SQL.</v>
      </c>
      <c r="AM173" s="5" t="str">
        <f>IFERROR(__xludf.DUMMYFUNCTION("""COMPUTED_VALUE"""),"💼 Buenísimo, el rol de Analista de Datos es uno de los más demandados actualmente.")</f>
        <v>💼 Buenísimo, el rol de Analista de Datos es uno de los más demandados actualmente.</v>
      </c>
      <c r="AN173" s="5" t="str">
        <f>IFERROR(__xludf.DUMMYFUNCTION("""COMPUTED_VALUE"""),"🎓 ¡Genial! Desde la universidad, este PEE te dará una habilidad muy valorada en tu carrera.")</f>
        <v>🎓 ¡Genial! Desde la universidad, este PEE te dará una habilidad muy valorada en tu carrera.</v>
      </c>
      <c r="AO173" s="5" t="str">
        <f>IFERROR(__xludf.DUMMYFUNCTION("""COMPUTED_VALUE"""),"🚀 ¡Perfecto! Con el PEE en Datos tendrás ventaja en empleos de inteligencia de negocios.")</f>
        <v>🚀 ¡Perfecto! Con el PEE en Datos tendrás ventaja en empleos de inteligencia de negocios.</v>
      </c>
      <c r="AP173" s="5" t="str">
        <f>IFERROR(__xludf.DUMMYFUNCTION("""COMPUTED_VALUE"""),"📉 ¡Excelente! Podrás aplicar análisis a tu propio negocio para crecer con datos reales.")</f>
        <v>📉 ¡Excelente! Podrás aplicar análisis a tu propio negocio para crecer con datos reales.</v>
      </c>
      <c r="AQ173" s="9" t="str">
        <f>IFERROR(__xludf.DUMMYFUNCTION("""COMPUTED_VALUE"""),"https://we-educacion.com/slides/pee-analista-de-datos-96")</f>
        <v>https://we-educacion.com/slides/pee-analista-de-datos-96</v>
      </c>
      <c r="AR173" s="5">
        <v>1.0</v>
      </c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</row>
    <row r="174" ht="15.75" customHeight="1">
      <c r="A174" s="5" t="s">
        <v>216</v>
      </c>
      <c r="B174" s="5" t="str">
        <f t="shared" si="1"/>
        <v>ENE. I - ED26</v>
      </c>
      <c r="C174" s="6" t="str">
        <f>IFERROR(__xludf.DUMMYFUNCTION("""COMPUTED_VALUE"""),"BI")</f>
        <v>BI</v>
      </c>
      <c r="D174" s="6" t="str">
        <f>IFERROR(__xludf.DUMMYFUNCTION("""COMPUTED_VALUE"""),"ESP.")</f>
        <v>ESP.</v>
      </c>
      <c r="E174" s="6" t="str">
        <f>IFERROR(__xludf.DUMMYFUNCTION("""COMPUTED_VALUE"""),"ESP. SQL SERVER")</f>
        <v>ESP. SQL SERVER</v>
      </c>
      <c r="F174" s="7">
        <f>IFERROR(__xludf.DUMMYFUNCTION("""COMPUTED_VALUE"""),46043.0)</f>
        <v>46043</v>
      </c>
      <c r="G174" s="6" t="str">
        <f>IFERROR(__xludf.DUMMYFUNCTION("""COMPUTED_VALUE"""),"SQL SERVER")</f>
        <v>SQL SERVER</v>
      </c>
      <c r="H174" s="7">
        <f>IFERROR(__xludf.DUMMYFUNCTION("""COMPUTED_VALUE"""),46043.0)</f>
        <v>46043</v>
      </c>
      <c r="I174" s="6" t="str">
        <f>IFERROR(__xludf.DUMMYFUNCTION("""COMPUTED_VALUE"""),"SQL AVANZ")</f>
        <v>SQL AVANZ</v>
      </c>
      <c r="J174" s="7">
        <f>IFERROR(__xludf.DUMMYFUNCTION("""COMPUTED_VALUE"""),46064.0)</f>
        <v>46064</v>
      </c>
      <c r="K174" s="6"/>
      <c r="L174" s="7"/>
      <c r="M174" s="6"/>
      <c r="N174" s="7"/>
      <c r="O174" s="6"/>
      <c r="P174" s="7"/>
      <c r="Q174" s="6" t="str">
        <f>IFERROR(__xludf.DUMMYFUNCTION("""COMPUTED_VALUE"""),"David Llaja
Oscar Moreno")</f>
        <v>David Llaja
Oscar Moreno</v>
      </c>
      <c r="R174" s="5" t="str">
        <f>IFERROR(__xludf.DUMMYFUNCTION("""COMPUTED_VALUE"""),"Lun-Mie")</f>
        <v>Lun-Mie</v>
      </c>
      <c r="S174" s="6" t="str">
        <f>IFERROR(__xludf.DUMMYFUNCTION("""COMPUTED_VALUE"""),"7PM - 10PM")</f>
        <v>7PM - 10PM</v>
      </c>
      <c r="T174" s="7" t="str">
        <f>IFERROR(__xludf.DUMMYFUNCTION("""COMPUTED_VALUE"""),"Miércoles 21 Enero")</f>
        <v>Miércoles 21 Enero</v>
      </c>
      <c r="U174" s="7" t="str">
        <f>IFERROR(__xludf.DUMMYFUNCTION("""COMPUTED_VALUE"""),"Lunes 2 Marzo")</f>
        <v>Lunes 2 Marzo</v>
      </c>
      <c r="V174" s="8">
        <f>IFERROR(__xludf.DUMMYFUNCTION("""COMPUTED_VALUE"""),12.0)</f>
        <v>12</v>
      </c>
      <c r="W174" s="5" t="str">
        <f>IFERROR(__xludf.DUMMYFUNCTION("""COMPUTED_VALUE"""),"pdfs/BROCHURE ESPECIALIZACION DE SQL.pdf")</f>
        <v>pdfs/BROCHURE ESPECIALIZACION DE SQL.pdf</v>
      </c>
      <c r="X174" s="5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74" s="5" t="str">
        <f>IFERROR(__xludf.DUMMYFUNCTION("""COMPUTED_VALUE"""),"images/espsql.jpg")</f>
        <v>images/espsql.jpg</v>
      </c>
      <c r="Z174" s="5" t="str">
        <f>IFERROR(__xludf.DUMMYFUNCTION("""COMPUTED_VALUE"""),"Avalado por Microsoft Partner Network")</f>
        <v>Avalado por Microsoft Partner Network</v>
      </c>
      <c r="AA174" s="5" t="str">
        <f>IFERROR(__xludf.DUMMYFUNCTION("""COMPUTED_VALUE"""),"NO")</f>
        <v>NO</v>
      </c>
      <c r="AB174" s="6">
        <f>IFERROR(__xludf.DUMMYFUNCTION("""COMPUTED_VALUE"""),1600.0)</f>
        <v>1600</v>
      </c>
      <c r="AC174" s="6">
        <f>IFERROR(__xludf.DUMMYFUNCTION("""COMPUTED_VALUE"""),1400.0)</f>
        <v>1400</v>
      </c>
      <c r="AD174" s="6">
        <f>IFERROR(__xludf.DUMMYFUNCTION("""COMPUTED_VALUE"""),800.0)</f>
        <v>800</v>
      </c>
      <c r="AE174" s="6">
        <f>IFERROR(__xludf.DUMMYFUNCTION("""COMPUTED_VALUE"""),700.0)</f>
        <v>700</v>
      </c>
      <c r="AF174" s="6">
        <f>IFERROR(__xludf.DUMMYFUNCTION("""COMPUTED_VALUE"""),250.0)</f>
        <v>250</v>
      </c>
      <c r="AG174" s="5">
        <f>IFERROR(__xludf.DUMMYFUNCTION("""COMPUTED_VALUE"""),350.0)</f>
        <v>350</v>
      </c>
      <c r="AH174" s="5"/>
      <c r="AI174" s="5">
        <f>IFERROR(__xludf.DUMMYFUNCTION("""COMPUTED_VALUE"""),630.0)</f>
        <v>630</v>
      </c>
      <c r="AJ174" s="5">
        <f>IFERROR(__xludf.DUMMYFUNCTION("""COMPUTED_VALUE"""),720.0)</f>
        <v>720</v>
      </c>
      <c r="AK174" s="5" t="str">
        <f>IFERROR(__xludf.DUMMYFUNCTION("""COMPUTED_VALUE"""),"Las bases de datos mueven el mundo 💾
Aprende a gestionar y optimizar información con SQL Server para un control eficiente 📊
👉🏻 Aquí está la información.")</f>
        <v>Las bases de datos mueven el mundo 💾
Aprende a gestionar y optimizar información con SQL Server para un control eficiente 📊
👉🏻 Aquí está la información.</v>
      </c>
      <c r="AL174" s="5" t="str">
        <f>IFERROR(__xludf.DUMMYFUNCTION("""COMPUTED_VALUE"""),"💾 Excelente, actualízate en SQL Server y gestiona datos con eficiencia.")</f>
        <v>💾 Excelente, actualízate en SQL Server y gestiona datos con eficiencia.</v>
      </c>
      <c r="AM174" s="5" t="str">
        <f>IFERROR(__xludf.DUMMYFUNCTION("""COMPUTED_VALUE"""),"🏢 Buenísimo, las empresas buscan expertos en bases de datos corporativas.")</f>
        <v>🏢 Buenísimo, las empresas buscan expertos en bases de datos corporativas.</v>
      </c>
      <c r="AN174" s="5" t="str">
        <f>IFERROR(__xludf.DUMMYFUNCTION("""COMPUTED_VALUE"""),"⚡ Genial, dominar SQL Server elevará tu perfil en gestión de información.")</f>
        <v>⚡ Genial, dominar SQL Server elevará tu perfil en gestión de información.</v>
      </c>
      <c r="AO174" s="5" t="str">
        <f>IFERROR(__xludf.DUMMYFUNCTION("""COMPUTED_VALUE"""),"🚀 Perfecto, SQL será tu ventaja en prácticas de análisis y TI.")</f>
        <v>🚀 Perfecto, SQL será tu ventaja en prácticas de análisis y TI.</v>
      </c>
      <c r="AP174" s="5" t="str">
        <f>IFERROR(__xludf.DUMMYFUNCTION("""COMPUTED_VALUE"""),"📊 Excelente, podrás gestionar tus datos con control y rapidez como independiente.")</f>
        <v>📊 Excelente, podrás gestionar tus datos con control y rapidez como independiente.</v>
      </c>
      <c r="AQ174" s="9" t="str">
        <f>IFERROR(__xludf.DUMMYFUNCTION("""COMPUTED_VALUE"""),"https://we-educacion.com/slides/especializacion-en-sql-server-107")</f>
        <v>https://we-educacion.com/slides/especializacion-en-sql-server-107</v>
      </c>
      <c r="AR174" s="5">
        <v>1.0</v>
      </c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</row>
    <row r="175" ht="15.75" customHeight="1">
      <c r="A175" s="5" t="s">
        <v>217</v>
      </c>
      <c r="B175" s="5" t="str">
        <f t="shared" si="1"/>
        <v>ENE. I - ED26</v>
      </c>
      <c r="C175" s="6" t="str">
        <f>IFERROR(__xludf.DUMMYFUNCTION("""COMPUTED_VALUE"""),"BI")</f>
        <v>BI</v>
      </c>
      <c r="D175" s="5" t="str">
        <f>IFERROR(__xludf.DUMMYFUNCTION("""COMPUTED_VALUE"""),"CURSO")</f>
        <v>CURSO</v>
      </c>
      <c r="E175" s="6" t="str">
        <f>IFERROR(__xludf.DUMMYFUNCTION("""COMPUTED_VALUE"""),"SQL SERVER")</f>
        <v>SQL SERVER</v>
      </c>
      <c r="F175" s="7">
        <f>IFERROR(__xludf.DUMMYFUNCTION("""COMPUTED_VALUE"""),46043.0)</f>
        <v>46043</v>
      </c>
      <c r="G175" s="6"/>
      <c r="H175" s="7"/>
      <c r="I175" s="6"/>
      <c r="J175" s="7"/>
      <c r="K175" s="6"/>
      <c r="L175" s="7"/>
      <c r="M175" s="6"/>
      <c r="N175" s="7"/>
      <c r="O175" s="6"/>
      <c r="P175" s="7"/>
      <c r="Q175" s="6" t="str">
        <f>IFERROR(__xludf.DUMMYFUNCTION("""COMPUTED_VALUE"""),"David Llaja")</f>
        <v>David Llaja</v>
      </c>
      <c r="R175" s="5" t="str">
        <f>IFERROR(__xludf.DUMMYFUNCTION("""COMPUTED_VALUE"""),"Lun-Mie")</f>
        <v>Lun-Mie</v>
      </c>
      <c r="S175" s="6" t="str">
        <f>IFERROR(__xludf.DUMMYFUNCTION("""COMPUTED_VALUE"""),"7PM - 10PM")</f>
        <v>7PM - 10PM</v>
      </c>
      <c r="T175" s="7" t="str">
        <f>IFERROR(__xludf.DUMMYFUNCTION("""COMPUTED_VALUE"""),"Miércoles 21 Enero")</f>
        <v>Miércoles 21 Enero</v>
      </c>
      <c r="U175" s="7" t="str">
        <f>IFERROR(__xludf.DUMMYFUNCTION("""COMPUTED_VALUE"""),"Lunes 9 Febrero")</f>
        <v>Lunes 9 Febrero</v>
      </c>
      <c r="V175" s="8">
        <f>IFERROR(__xludf.DUMMYFUNCTION("""COMPUTED_VALUE"""),6.0)</f>
        <v>6</v>
      </c>
      <c r="W175" s="5" t="str">
        <f>IFERROR(__xludf.DUMMYFUNCTION("""COMPUTED_VALUE"""),"pdfs/BROCHURE SQL SERVER.pdf")</f>
        <v>pdfs/BROCHURE SQL SERVER.pdf</v>
      </c>
      <c r="X175" s="5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75" s="5" t="str">
        <f>IFERROR(__xludf.DUMMYFUNCTION("""COMPUTED_VALUE"""),"images/sqlserver.jpg")</f>
        <v>images/sqlserver.jpg</v>
      </c>
      <c r="Z175" s="5" t="str">
        <f>IFERROR(__xludf.DUMMYFUNCTION("""COMPUTED_VALUE"""),"Avalado por Microsoft Partner Network")</f>
        <v>Avalado por Microsoft Partner Network</v>
      </c>
      <c r="AA175" s="5" t="str">
        <f>IFERROR(__xludf.DUMMYFUNCTION("""COMPUTED_VALUE"""),"NO")</f>
        <v>NO</v>
      </c>
      <c r="AB175" s="6">
        <f>IFERROR(__xludf.DUMMYFUNCTION("""COMPUTED_VALUE"""),830.0)</f>
        <v>830</v>
      </c>
      <c r="AC175" s="6">
        <f>IFERROR(__xludf.DUMMYFUNCTION("""COMPUTED_VALUE"""),740.0)</f>
        <v>740</v>
      </c>
      <c r="AD175" s="6">
        <f>IFERROR(__xludf.DUMMYFUNCTION("""COMPUTED_VALUE"""),415.0)</f>
        <v>415</v>
      </c>
      <c r="AE175" s="6">
        <f>IFERROR(__xludf.DUMMYFUNCTION("""COMPUTED_VALUE"""),370.0)</f>
        <v>370</v>
      </c>
      <c r="AF175" s="6">
        <f>IFERROR(__xludf.DUMMYFUNCTION("""COMPUTED_VALUE"""),150.0)</f>
        <v>150</v>
      </c>
      <c r="AG175" s="5">
        <f>IFERROR(__xludf.DUMMYFUNCTION("""COMPUTED_VALUE"""),150.0)</f>
        <v>150</v>
      </c>
      <c r="AH175" s="5"/>
      <c r="AI175" s="5">
        <f>IFERROR(__xludf.DUMMYFUNCTION("""COMPUTED_VALUE"""),333.0)</f>
        <v>333</v>
      </c>
      <c r="AJ175" s="5">
        <f>IFERROR(__xludf.DUMMYFUNCTION("""COMPUTED_VALUE"""),373.5)</f>
        <v>373.5</v>
      </c>
      <c r="AK175" s="5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175" s="5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175" s="5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175" s="5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175" s="5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175" s="5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175" s="9" t="str">
        <f>IFERROR(__xludf.DUMMYFUNCTION("""COMPUTED_VALUE"""),"https://we-educacion.com/slides/sql-server-for-analytics-52")</f>
        <v>https://we-educacion.com/slides/sql-server-for-analytics-52</v>
      </c>
      <c r="AR175" s="5">
        <v>1.0</v>
      </c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</row>
    <row r="176" ht="15.75" customHeight="1">
      <c r="A176" s="5" t="s">
        <v>218</v>
      </c>
      <c r="B176" s="5" t="str">
        <f t="shared" si="1"/>
        <v>ENE. I - ED26</v>
      </c>
      <c r="C176" s="6" t="str">
        <f>IFERROR(__xludf.DUMMYFUNCTION("""COMPUTED_VALUE"""),"SAP")</f>
        <v>SAP</v>
      </c>
      <c r="D176" s="5" t="str">
        <f>IFERROR(__xludf.DUMMYFUNCTION("""COMPUTED_VALUE"""),"ESP.")</f>
        <v>ESP.</v>
      </c>
      <c r="E176" s="6" t="str">
        <f>IFERROR(__xludf.DUMMYFUNCTION("""COMPUTED_VALUE"""),"ESPEC. SAP LOG. INTEGRAL")</f>
        <v>ESPEC. SAP LOG. INTEGRAL</v>
      </c>
      <c r="F176" s="7">
        <f>IFERROR(__xludf.DUMMYFUNCTION("""COMPUTED_VALUE"""),46044.0)</f>
        <v>46044</v>
      </c>
      <c r="G176" s="6" t="str">
        <f>IFERROR(__xludf.DUMMYFUNCTION("""COMPUTED_VALUE"""),"SAP HANA MM")</f>
        <v>SAP HANA MM</v>
      </c>
      <c r="H176" s="7">
        <f>IFERROR(__xludf.DUMMYFUNCTION("""COMPUTED_VALUE"""),46044.0)</f>
        <v>46044</v>
      </c>
      <c r="I176" s="6" t="str">
        <f>IFERROR(__xludf.DUMMYFUNCTION("""COMPUTED_VALUE"""),"SAP HANA EWM")</f>
        <v>SAP HANA EWM</v>
      </c>
      <c r="J176" s="7">
        <f>IFERROR(__xludf.DUMMYFUNCTION("""COMPUTED_VALUE"""),46065.0)</f>
        <v>46065</v>
      </c>
      <c r="K176" s="6" t="str">
        <f>IFERROR(__xludf.DUMMYFUNCTION("""COMPUTED_VALUE"""),"SAP HANA SD")</f>
        <v>SAP HANA SD</v>
      </c>
      <c r="L176" s="7">
        <f>IFERROR(__xludf.DUMMYFUNCTION("""COMPUTED_VALUE"""),46086.0)</f>
        <v>46086</v>
      </c>
      <c r="M176" s="6"/>
      <c r="N176" s="7"/>
      <c r="O176" s="6"/>
      <c r="P176" s="7"/>
      <c r="Q176" s="6" t="str">
        <f>IFERROR(__xludf.DUMMYFUNCTION("""COMPUTED_VALUE"""),"Carlos Espinoza
Maria Sandiga
Kevin Riquelme")</f>
        <v>Carlos Espinoza
Maria Sandiga
Kevin Riquelme</v>
      </c>
      <c r="R176" s="5" t="str">
        <f>IFERROR(__xludf.DUMMYFUNCTION("""COMPUTED_VALUE"""),"Mar-Jue")</f>
        <v>Mar-Jue</v>
      </c>
      <c r="S176" s="6" t="str">
        <f>IFERROR(__xludf.DUMMYFUNCTION("""COMPUTED_VALUE"""),"7PM - 10PM")</f>
        <v>7PM - 10PM</v>
      </c>
      <c r="T176" s="7" t="str">
        <f>IFERROR(__xludf.DUMMYFUNCTION("""COMPUTED_VALUE"""),"Jueves 22 Enero")</f>
        <v>Jueves 22 Enero</v>
      </c>
      <c r="U176" s="7" t="str">
        <f>IFERROR(__xludf.DUMMYFUNCTION("""COMPUTED_VALUE"""),"Martes 24 Marzo")</f>
        <v>Martes 24 Marzo</v>
      </c>
      <c r="V176" s="8">
        <f>IFERROR(__xludf.DUMMYFUNCTION("""COMPUTED_VALUE"""),18.0)</f>
        <v>18</v>
      </c>
      <c r="W176" s="5" t="str">
        <f>IFERROR(__xludf.DUMMYFUNCTION("""COMPUTED_VALUE"""),"pdfs/BROCHURE ESPECIALIZACION DE SAP HANA LOGISTICA INTEGRAL.pdf")</f>
        <v>pdfs/BROCHURE ESPECIALIZACION DE SAP HANA LOGISTICA INTEGRAL.pdf</v>
      </c>
      <c r="X176" s="6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Y176" s="5"/>
      <c r="Z176" s="5" t="str">
        <f>IFERROR(__xludf.DUMMYFUNCTION("""COMPUTED_VALUE"""),"Avalado por SAP Partner Open")</f>
        <v>Avalado por SAP Partner Open</v>
      </c>
      <c r="AA176" s="5" t="str">
        <f>IFERROR(__xludf.DUMMYFUNCTION("""COMPUTED_VALUE"""),"NO")</f>
        <v>NO</v>
      </c>
      <c r="AB176" s="6">
        <f>IFERROR(__xludf.DUMMYFUNCTION("""COMPUTED_VALUE"""),1900.0)</f>
        <v>1900</v>
      </c>
      <c r="AC176" s="6">
        <f>IFERROR(__xludf.DUMMYFUNCTION("""COMPUTED_VALUE"""),1750.0)</f>
        <v>1750</v>
      </c>
      <c r="AD176" s="6">
        <f>IFERROR(__xludf.DUMMYFUNCTION("""COMPUTED_VALUE"""),950.0)</f>
        <v>950</v>
      </c>
      <c r="AE176" s="6">
        <f>IFERROR(__xludf.DUMMYFUNCTION("""COMPUTED_VALUE"""),875.0)</f>
        <v>875</v>
      </c>
      <c r="AF176" s="6">
        <f>IFERROR(__xludf.DUMMYFUNCTION("""COMPUTED_VALUE"""),250.0)</f>
        <v>250</v>
      </c>
      <c r="AG176" s="5">
        <f>IFERROR(__xludf.DUMMYFUNCTION("""COMPUTED_VALUE"""),350.0)</f>
        <v>350</v>
      </c>
      <c r="AH176" s="5"/>
      <c r="AI176" s="5">
        <f>IFERROR(__xludf.DUMMYFUNCTION("""COMPUTED_VALUE"""),787.5)</f>
        <v>787.5</v>
      </c>
      <c r="AJ176" s="5">
        <f>IFERROR(__xludf.DUMMYFUNCTION("""COMPUTED_VALUE"""),855.0)</f>
        <v>855</v>
      </c>
      <c r="AK176" s="5" t="str">
        <f>IFERROR(__xludf.DUMMYFUNCTION("""COMPUTED_VALUE"""),"La logística eficiente mueve los negocios 📦
Domina la gestión integral en SAP y destaca en supply chain y operaciones 🚛
👉🏻 Te envío el detalle.")</f>
        <v>La logística eficiente mueve los negocios 📦
Domina la gestión integral en SAP y destaca en supply chain y operaciones 🚛
👉🏻 Te envío el detalle.</v>
      </c>
      <c r="AL176" s="5" t="str">
        <f>IFERROR(__xludf.DUMMYFUNCTION("""COMPUTED_VALUE"""),"📦 Excelente, actualízate en SAP Logística Integral y controla toda la cadena de suministro.")</f>
        <v>📦 Excelente, actualízate en SAP Logística Integral y controla toda la cadena de suministro.</v>
      </c>
      <c r="AM176" s="5" t="str">
        <f>IFERROR(__xludf.DUMMYFUNCTION("""COMPUTED_VALUE"""),"💼 Buenísimo, muy solicitado en empresas que requieren gestión logística con SAP.")</f>
        <v>💼 Buenísimo, muy solicitado en empresas que requieren gestión logística con SAP.</v>
      </c>
      <c r="AN176" s="5" t="str">
        <f>IFERROR(__xludf.DUMMYFUNCTION("""COMPUTED_VALUE"""),"📈 Genial, tendrás ventaja en procesos integrados de distribución y abastecimiento.")</f>
        <v>📈 Genial, tendrás ventaja en procesos integrados de distribución y abastecimiento.</v>
      </c>
      <c r="AO176" s="5" t="str">
        <f>IFERROR(__xludf.DUMMYFUNCTION("""COMPUTED_VALUE"""),"🚀 Perfecto, SAP Logística será tu plus en prácticas de supply chain.")</f>
        <v>🚀 Perfecto, SAP Logística será tu plus en prácticas de supply chain.</v>
      </c>
      <c r="AP176" s="5" t="str">
        <f>IFERROR(__xludf.DUMMYFUNCTION("""COMPUTED_VALUE"""),"🔑 Excelente, podrás gestionar inventarios y operaciones de tu propio negocio.")</f>
        <v>🔑 Excelente, podrás gestionar inventarios y operaciones de tu propio negocio.</v>
      </c>
      <c r="AQ176" s="9" t="str">
        <f>IFERROR(__xludf.DUMMYFUNCTION("""COMPUTED_VALUE"""),"https://we-educacion.com/slides/especializacion-en-sap-s-4-hana-logistica-integral-108")</f>
        <v>https://we-educacion.com/slides/especializacion-en-sap-s-4-hana-logistica-integral-108</v>
      </c>
      <c r="AR176" s="5">
        <v>1.0</v>
      </c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</row>
    <row r="177" ht="15.75" customHeight="1">
      <c r="A177" s="5" t="s">
        <v>219</v>
      </c>
      <c r="B177" s="5" t="str">
        <f t="shared" si="1"/>
        <v>ENE. I - ED26</v>
      </c>
      <c r="C177" s="6" t="str">
        <f>IFERROR(__xludf.DUMMYFUNCTION("""COMPUTED_VALUE"""),"SAP")</f>
        <v>SAP</v>
      </c>
      <c r="D177" s="5" t="str">
        <f>IFERROR(__xludf.DUMMYFUNCTION("""COMPUTED_VALUE"""),"ESP.")</f>
        <v>ESP.</v>
      </c>
      <c r="E177" s="6" t="str">
        <f>IFERROR(__xludf.DUMMYFUNCTION("""COMPUTED_VALUE"""),"ESPEC.SAP HANA COMP. Y ALM.")</f>
        <v>ESPEC.SAP HANA COMP. Y ALM.</v>
      </c>
      <c r="F177" s="7">
        <f>IFERROR(__xludf.DUMMYFUNCTION("""COMPUTED_VALUE"""),46044.0)</f>
        <v>46044</v>
      </c>
      <c r="G177" s="6" t="str">
        <f>IFERROR(__xludf.DUMMYFUNCTION("""COMPUTED_VALUE"""),"SAP HANA MM")</f>
        <v>SAP HANA MM</v>
      </c>
      <c r="H177" s="7">
        <f>IFERROR(__xludf.DUMMYFUNCTION("""COMPUTED_VALUE"""),46044.0)</f>
        <v>46044</v>
      </c>
      <c r="I177" s="6" t="str">
        <f>IFERROR(__xludf.DUMMYFUNCTION("""COMPUTED_VALUE"""),"SAP HANA EWM")</f>
        <v>SAP HANA EWM</v>
      </c>
      <c r="J177" s="7">
        <f>IFERROR(__xludf.DUMMYFUNCTION("""COMPUTED_VALUE"""),46065.0)</f>
        <v>46065</v>
      </c>
      <c r="K177" s="6"/>
      <c r="L177" s="7"/>
      <c r="M177" s="6"/>
      <c r="N177" s="7"/>
      <c r="O177" s="6"/>
      <c r="P177" s="7"/>
      <c r="Q177" s="6" t="str">
        <f>IFERROR(__xludf.DUMMYFUNCTION("""COMPUTED_VALUE"""),"Carlos Espinoza
Maria Sandiga")</f>
        <v>Carlos Espinoza
Maria Sandiga</v>
      </c>
      <c r="R177" s="5" t="str">
        <f>IFERROR(__xludf.DUMMYFUNCTION("""COMPUTED_VALUE"""),"Mar-Jue")</f>
        <v>Mar-Jue</v>
      </c>
      <c r="S177" s="6" t="str">
        <f>IFERROR(__xludf.DUMMYFUNCTION("""COMPUTED_VALUE"""),"7PM - 10PM")</f>
        <v>7PM - 10PM</v>
      </c>
      <c r="T177" s="7" t="str">
        <f>IFERROR(__xludf.DUMMYFUNCTION("""COMPUTED_VALUE"""),"Jueves 22 Enero")</f>
        <v>Jueves 22 Enero</v>
      </c>
      <c r="U177" s="7" t="str">
        <f>IFERROR(__xludf.DUMMYFUNCTION("""COMPUTED_VALUE"""),"Martes 3 Marzo")</f>
        <v>Martes 3 Marzo</v>
      </c>
      <c r="V177" s="8">
        <f>IFERROR(__xludf.DUMMYFUNCTION("""COMPUTED_VALUE"""),12.0)</f>
        <v>12</v>
      </c>
      <c r="W177" s="5" t="str">
        <f>IFERROR(__xludf.DUMMYFUNCTION("""COMPUTED_VALUE"""),"pdfs/BROCHURE ESPECIALIZACION SAP HANA COMPRAS Y ALMACENES.pdf")</f>
        <v>pdfs/BROCHURE ESPECIALIZACION SAP HANA COMPRAS Y ALMACENES.pdf</v>
      </c>
      <c r="X177" s="5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Y177" s="5"/>
      <c r="Z177" s="5" t="str">
        <f>IFERROR(__xludf.DUMMYFUNCTION("""COMPUTED_VALUE"""),"Avalado por SAP Partner Open")</f>
        <v>Avalado por SAP Partner Open</v>
      </c>
      <c r="AA177" s="5" t="str">
        <f>IFERROR(__xludf.DUMMYFUNCTION("""COMPUTED_VALUE"""),"NO")</f>
        <v>NO</v>
      </c>
      <c r="AB177" s="6">
        <f>IFERROR(__xludf.DUMMYFUNCTION("""COMPUTED_VALUE"""),1350.0)</f>
        <v>1350</v>
      </c>
      <c r="AC177" s="6">
        <f>IFERROR(__xludf.DUMMYFUNCTION("""COMPUTED_VALUE"""),1250.0)</f>
        <v>1250</v>
      </c>
      <c r="AD177" s="6">
        <f>IFERROR(__xludf.DUMMYFUNCTION("""COMPUTED_VALUE"""),675.0)</f>
        <v>675</v>
      </c>
      <c r="AE177" s="6">
        <f>IFERROR(__xludf.DUMMYFUNCTION("""COMPUTED_VALUE"""),625.0)</f>
        <v>625</v>
      </c>
      <c r="AF177" s="6">
        <f>IFERROR(__xludf.DUMMYFUNCTION("""COMPUTED_VALUE"""),250.0)</f>
        <v>250</v>
      </c>
      <c r="AG177" s="5">
        <f>IFERROR(__xludf.DUMMYFUNCTION("""COMPUTED_VALUE"""),350.0)</f>
        <v>350</v>
      </c>
      <c r="AH177" s="5"/>
      <c r="AI177" s="5">
        <f>IFERROR(__xludf.DUMMYFUNCTION("""COMPUTED_VALUE"""),562.5)</f>
        <v>562.5</v>
      </c>
      <c r="AJ177" s="5">
        <f>IFERROR(__xludf.DUMMYFUNCTION("""COMPUTED_VALUE"""),607.5)</f>
        <v>607.5</v>
      </c>
      <c r="AK177" s="5" t="str">
        <f>IFERROR(__xludf.DUMMYFUNCTION("""COMPUTED_VALUE"""),"Las compras y almacén son el corazón de la operación 🏭
Especialízate en SAP HANA Compras y Almacén y optimiza la gestión de inventarios 📊
👉🏻 Te paso la información completa.")</f>
        <v>Las compras y almacén son el corazón de la operación 🏭
Especialízate en SAP HANA Compras y Almacén y optimiza la gestión de inventarios 📊
👉🏻 Te paso la información completa.</v>
      </c>
      <c r="AL177" s="5" t="str">
        <f>IFERROR(__xludf.DUMMYFUNCTION("""COMPUTED_VALUE"""),"📦 Excelente, actualízate en SAP HANA Compras y Almacén y domina procesos clave.")</f>
        <v>📦 Excelente, actualízate en SAP HANA Compras y Almacén y domina procesos clave.</v>
      </c>
      <c r="AM177" s="5" t="str">
        <f>IFERROR(__xludf.DUMMYFUNCTION("""COMPUTED_VALUE"""),"🏭 Buenísimo, las empresas valoran expertos en gestión de compras e inventarios.")</f>
        <v>🏭 Buenísimo, las empresas valoran expertos en gestión de compras e inventarios.</v>
      </c>
      <c r="AN177" s="5" t="str">
        <f>IFERROR(__xludf.DUMMYFUNCTION("""COMPUTED_VALUE"""),"📊 Genial, te dará ventaja en procesos de almacén y abastecimiento.")</f>
        <v>📊 Genial, te dará ventaja en procesos de almacén y abastecimiento.</v>
      </c>
      <c r="AO177" s="5" t="str">
        <f>IFERROR(__xludf.DUMMYFUNCTION("""COMPUTED_VALUE"""),"🚀 Perfecto, SAP HANA en logística será tu diferencial en prácticas de supply chain.")</f>
        <v>🚀 Perfecto, SAP HANA en logística será tu diferencial en prácticas de supply chain.</v>
      </c>
      <c r="AP177" s="5" t="str">
        <f>IFERROR(__xludf.DUMMYFUNCTION("""COMPUTED_VALUE"""),"🔑 Excelente, podrás controlar stock y compras en tu propio negocio.")</f>
        <v>🔑 Excelente, podrás controlar stock y compras en tu propio negocio.</v>
      </c>
      <c r="AQ177" s="9" t="str">
        <f>IFERROR(__xludf.DUMMYFUNCTION("""COMPUTED_VALUE"""),"https://we-educacion.com/slides/especializacion-en-sap-s-4-hana-compras-y-almacenes-358")</f>
        <v>https://we-educacion.com/slides/especializacion-en-sap-s-4-hana-compras-y-almacenes-358</v>
      </c>
      <c r="AR177" s="5">
        <v>1.0</v>
      </c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</row>
    <row r="178" ht="15.75" customHeight="1">
      <c r="A178" s="5" t="s">
        <v>220</v>
      </c>
      <c r="B178" s="5" t="str">
        <f t="shared" si="1"/>
        <v>ENE. I - ED26</v>
      </c>
      <c r="C178" s="6" t="str">
        <f>IFERROR(__xludf.DUMMYFUNCTION("""COMPUTED_VALUE"""),"SAP")</f>
        <v>SAP</v>
      </c>
      <c r="D178" s="6" t="str">
        <f>IFERROR(__xludf.DUMMYFUNCTION("""COMPUTED_VALUE"""),"ESP.")</f>
        <v>ESP.</v>
      </c>
      <c r="E178" s="6" t="str">
        <f>IFERROR(__xludf.DUMMYFUNCTION("""COMPUTED_VALUE"""),"ESPEC.SAP HANA PLANIF. DE LA PROD.")</f>
        <v>ESPEC.SAP HANA PLANIF. DE LA PROD.</v>
      </c>
      <c r="F178" s="7">
        <f>IFERROR(__xludf.DUMMYFUNCTION("""COMPUTED_VALUE"""),46044.0)</f>
        <v>46044</v>
      </c>
      <c r="G178" s="6" t="str">
        <f>IFERROR(__xludf.DUMMYFUNCTION("""COMPUTED_VALUE"""),"SAP HANA MM")</f>
        <v>SAP HANA MM</v>
      </c>
      <c r="H178" s="7">
        <f>IFERROR(__xludf.DUMMYFUNCTION("""COMPUTED_VALUE"""),46044.0)</f>
        <v>46044</v>
      </c>
      <c r="I178" s="6" t="str">
        <f>IFERROR(__xludf.DUMMYFUNCTION("""COMPUTED_VALUE"""),"SAP HANA PP")</f>
        <v>SAP HANA PP</v>
      </c>
      <c r="J178" s="7">
        <f>IFERROR(__xludf.DUMMYFUNCTION("""COMPUTED_VALUE"""),46065.0)</f>
        <v>46065</v>
      </c>
      <c r="K178" s="6"/>
      <c r="L178" s="7"/>
      <c r="M178" s="6"/>
      <c r="N178" s="7"/>
      <c r="O178" s="6"/>
      <c r="P178" s="7"/>
      <c r="Q178" s="6" t="str">
        <f>IFERROR(__xludf.DUMMYFUNCTION("""COMPUTED_VALUE"""),"Carlos Espinoza
Cesar Escarcena")</f>
        <v>Carlos Espinoza
Cesar Escarcena</v>
      </c>
      <c r="R178" s="5" t="str">
        <f>IFERROR(__xludf.DUMMYFUNCTION("""COMPUTED_VALUE"""),"Mar-Jue")</f>
        <v>Mar-Jue</v>
      </c>
      <c r="S178" s="6" t="str">
        <f>IFERROR(__xludf.DUMMYFUNCTION("""COMPUTED_VALUE"""),"7PM - 10PM")</f>
        <v>7PM - 10PM</v>
      </c>
      <c r="T178" s="7" t="str">
        <f>IFERROR(__xludf.DUMMYFUNCTION("""COMPUTED_VALUE"""),"Jueves 22 Enero")</f>
        <v>Jueves 22 Enero</v>
      </c>
      <c r="U178" s="7" t="str">
        <f>IFERROR(__xludf.DUMMYFUNCTION("""COMPUTED_VALUE"""),"Domingo 26 Octubre")</f>
        <v>Domingo 26 Octubre</v>
      </c>
      <c r="V178" s="8">
        <f>IFERROR(__xludf.DUMMYFUNCTION("""COMPUTED_VALUE"""),12.0)</f>
        <v>12</v>
      </c>
      <c r="W178" s="5" t="str">
        <f>IFERROR(__xludf.DUMMYFUNCTION("""COMPUTED_VALUE"""),"pdfs/BROCHURE ESPECIALIZACION SAP HANA PLANIFICACIÓN DE LA PRODUCCIÓN.pdf")</f>
        <v>pdfs/BROCHURE ESPECIALIZACION SAP HANA PLANIFICACIÓN DE LA PRODUCCIÓN.pdf</v>
      </c>
      <c r="X178" s="5" t="str">
        <f>IFERROR(__xludf.DUMMYFUNCTION("""COMPUTED_VALUE"""),"🔵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ne"&amp;"cesita una Laptop *Windows*_
🚨 *Por favor, revisa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*Por favor, revisa el BROCHURE* 👇🏻
Aqui encontrarás la información completa del programa, el TEMARIO (malla curricular) y todos los BENEFICIOS 📚</v>
      </c>
      <c r="Y178" s="5" t="str">
        <f>IFERROR(__xludf.DUMMYFUNCTION("""COMPUTED_VALUE"""),"images/espsaphanaplan.jpg")</f>
        <v>images/espsaphanaplan.jpg</v>
      </c>
      <c r="Z178" s="5" t="str">
        <f>IFERROR(__xludf.DUMMYFUNCTION("""COMPUTED_VALUE"""),"Avalado por SAP Partner Open")</f>
        <v>Avalado por SAP Partner Open</v>
      </c>
      <c r="AA178" s="5" t="str">
        <f>IFERROR(__xludf.DUMMYFUNCTION("""COMPUTED_VALUE"""),"NO")</f>
        <v>NO</v>
      </c>
      <c r="AB178" s="6">
        <f>IFERROR(__xludf.DUMMYFUNCTION("""COMPUTED_VALUE"""),1350.0)</f>
        <v>1350</v>
      </c>
      <c r="AC178" s="6">
        <f>IFERROR(__xludf.DUMMYFUNCTION("""COMPUTED_VALUE"""),1250.0)</f>
        <v>1250</v>
      </c>
      <c r="AD178" s="6">
        <f>IFERROR(__xludf.DUMMYFUNCTION("""COMPUTED_VALUE"""),675.0)</f>
        <v>675</v>
      </c>
      <c r="AE178" s="6">
        <f>IFERROR(__xludf.DUMMYFUNCTION("""COMPUTED_VALUE"""),625.0)</f>
        <v>625</v>
      </c>
      <c r="AF178" s="6">
        <f>IFERROR(__xludf.DUMMYFUNCTION("""COMPUTED_VALUE"""),250.0)</f>
        <v>250</v>
      </c>
      <c r="AG178" s="5">
        <f>IFERROR(__xludf.DUMMYFUNCTION("""COMPUTED_VALUE"""),350.0)</f>
        <v>350</v>
      </c>
      <c r="AH178" s="5"/>
      <c r="AI178" s="5">
        <f>IFERROR(__xludf.DUMMYFUNCTION("""COMPUTED_VALUE"""),562.5)</f>
        <v>562.5</v>
      </c>
      <c r="AJ178" s="5">
        <f>IFERROR(__xludf.DUMMYFUNCTION("""COMPUTED_VALUE"""),607.5)</f>
        <v>607.5</v>
      </c>
      <c r="AK178" s="5" t="str">
        <f>IFERROR(__xludf.DUMMYFUNCTION("""COMPUTED_VALUE"""),"La producción inteligente necesita planificación 🏗️
Aprende SAP HANA Producción para optimizar operaciones industriales 🔧
👉🏻 Te paso la info completa.")</f>
        <v>La producción inteligente necesita planificación 🏗️
Aprende SAP HANA Producción para optimizar operaciones industriales 🔧
👉🏻 Te paso la info completa.</v>
      </c>
      <c r="AL178" s="5" t="str">
        <f>IFERROR(__xludf.DUMMYFUNCTION("""COMPUTED_VALUE"""),"🏭 Excelente, actualízate en SAP HANA Producción y optimiza procesos productivos.")</f>
        <v>🏭 Excelente, actualízate en SAP HANA Producción y optimiza procesos productivos.</v>
      </c>
      <c r="AM178" s="5" t="str">
        <f>IFERROR(__xludf.DUMMYFUNCTION("""COMPUTED_VALUE"""),"💼 Buenísimo, muy demandado en empresas industriales que requieren planificación de planta.")</f>
        <v>💼 Buenísimo, muy demandado en empresas industriales que requieren planificación de planta.</v>
      </c>
      <c r="AN178" s="5" t="str">
        <f>IFERROR(__xludf.DUMMYFUNCTION("""COMPUTED_VALUE"""),"📊 Genial, te dará ventaja en control de la producción y operaciones.")</f>
        <v>📊 Genial, te dará ventaja en control de la producción y operaciones.</v>
      </c>
      <c r="AO178" s="5" t="str">
        <f>IFERROR(__xludf.DUMMYFUNCTION("""COMPUTED_VALUE"""),"🚀 Perfecto, SAP Producción será tu plus en prácticas de manufactura.")</f>
        <v>🚀 Perfecto, SAP Producción será tu plus en prácticas de manufactura.</v>
      </c>
      <c r="AP178" s="5" t="str">
        <f>IFERROR(__xludf.DUMMYFUNCTION("""COMPUTED_VALUE"""),"📈 Excelente, como independiente podrás reducir costos y mejorar procesos en tu negocio.")</f>
        <v>📈 Excelente, como independiente podrás reducir costos y mejorar procesos en tu negocio.</v>
      </c>
      <c r="AQ178" s="9" t="str">
        <f>IFERROR(__xludf.DUMMYFUNCTION("""COMPUTED_VALUE"""),"https://we-educacion.com/slides/especializacion-en-sap-s-4-hana-planificacion-de-la-produccion-357")</f>
        <v>https://we-educacion.com/slides/especializacion-en-sap-s-4-hana-planificacion-de-la-produccion-357</v>
      </c>
      <c r="AR178" s="5">
        <v>1.0</v>
      </c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</row>
    <row r="179" ht="15.75" customHeight="1">
      <c r="A179" s="5" t="s">
        <v>221</v>
      </c>
      <c r="B179" s="5" t="str">
        <f t="shared" si="1"/>
        <v>ENE. I - ED26</v>
      </c>
      <c r="C179" s="6" t="str">
        <f>IFERROR(__xludf.DUMMYFUNCTION("""COMPUTED_VALUE"""),"SAP")</f>
        <v>SAP</v>
      </c>
      <c r="D179" s="5" t="str">
        <f>IFERROR(__xludf.DUMMYFUNCTION("""COMPUTED_VALUE"""),"CURSO")</f>
        <v>CURSO</v>
      </c>
      <c r="E179" s="6" t="str">
        <f>IFERROR(__xludf.DUMMYFUNCTION("""COMPUTED_VALUE"""),"SAP HANA MM")</f>
        <v>SAP HANA MM</v>
      </c>
      <c r="F179" s="7">
        <f>IFERROR(__xludf.DUMMYFUNCTION("""COMPUTED_VALUE"""),46044.0)</f>
        <v>46044</v>
      </c>
      <c r="G179" s="6"/>
      <c r="H179" s="7"/>
      <c r="I179" s="6"/>
      <c r="J179" s="7"/>
      <c r="K179" s="6"/>
      <c r="L179" s="7"/>
      <c r="M179" s="6"/>
      <c r="N179" s="7"/>
      <c r="O179" s="6"/>
      <c r="P179" s="7"/>
      <c r="Q179" s="6" t="str">
        <f>IFERROR(__xludf.DUMMYFUNCTION("""COMPUTED_VALUE"""),"Carlos Espinoza
")</f>
        <v>Carlos Espinoza
</v>
      </c>
      <c r="R179" s="5" t="str">
        <f>IFERROR(__xludf.DUMMYFUNCTION("""COMPUTED_VALUE"""),"Mar-Jue")</f>
        <v>Mar-Jue</v>
      </c>
      <c r="S179" s="6" t="str">
        <f>IFERROR(__xludf.DUMMYFUNCTION("""COMPUTED_VALUE"""),"7PM - 10PM")</f>
        <v>7PM - 10PM</v>
      </c>
      <c r="T179" s="7" t="str">
        <f>IFERROR(__xludf.DUMMYFUNCTION("""COMPUTED_VALUE"""),"Jueves 22 Enero")</f>
        <v>Jueves 22 Enero</v>
      </c>
      <c r="U179" s="7" t="str">
        <f>IFERROR(__xludf.DUMMYFUNCTION("""COMPUTED_VALUE"""),"Martes 10 Febrero")</f>
        <v>Martes 10 Febrero</v>
      </c>
      <c r="V179" s="8">
        <f>IFERROR(__xludf.DUMMYFUNCTION("""COMPUTED_VALUE"""),6.0)</f>
        <v>6</v>
      </c>
      <c r="W179" s="6" t="str">
        <f>IFERROR(__xludf.DUMMYFUNCTION("""COMPUTED_VALUE"""),"pdfs/BROCHURE SAP HANA MM MODULO LOGISTICO.pdf")</f>
        <v>pdfs/BROCHURE SAP HANA MM MODULO LOGISTICO.pdf</v>
      </c>
      <c r="X179" s="5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179" s="5" t="str">
        <f>IFERROR(__xludf.DUMMYFUNCTION("""COMPUTED_VALUE"""),"images/sapmm.jpg")</f>
        <v>images/sapmm.jpg</v>
      </c>
      <c r="Z179" s="5" t="str">
        <f>IFERROR(__xludf.DUMMYFUNCTION("""COMPUTED_VALUE"""),"Avalado por SAP Partner Open")</f>
        <v>Avalado por SAP Partner Open</v>
      </c>
      <c r="AA179" s="5" t="str">
        <f>IFERROR(__xludf.DUMMYFUNCTION("""COMPUTED_VALUE"""),"NO")</f>
        <v>NO</v>
      </c>
      <c r="AB179" s="6">
        <f>IFERROR(__xludf.DUMMYFUNCTION("""COMPUTED_VALUE"""),950.0)</f>
        <v>950</v>
      </c>
      <c r="AC179" s="6">
        <f>IFERROR(__xludf.DUMMYFUNCTION("""COMPUTED_VALUE"""),820.0)</f>
        <v>820</v>
      </c>
      <c r="AD179" s="6">
        <f>IFERROR(__xludf.DUMMYFUNCTION("""COMPUTED_VALUE"""),475.0)</f>
        <v>475</v>
      </c>
      <c r="AE179" s="6">
        <f>IFERROR(__xludf.DUMMYFUNCTION("""COMPUTED_VALUE"""),410.0)</f>
        <v>410</v>
      </c>
      <c r="AF179" s="6">
        <f>IFERROR(__xludf.DUMMYFUNCTION("""COMPUTED_VALUE"""),150.0)</f>
        <v>150</v>
      </c>
      <c r="AG179" s="5">
        <f>IFERROR(__xludf.DUMMYFUNCTION("""COMPUTED_VALUE"""),150.0)</f>
        <v>150</v>
      </c>
      <c r="AH179" s="5"/>
      <c r="AI179" s="5">
        <f>IFERROR(__xludf.DUMMYFUNCTION("""COMPUTED_VALUE"""),369.0)</f>
        <v>369</v>
      </c>
      <c r="AJ179" s="5">
        <f>IFERROR(__xludf.DUMMYFUNCTION("""COMPUTED_VALUE"""),427.5)</f>
        <v>427.5</v>
      </c>
      <c r="AK179" s="5" t="str">
        <f>IFERROR(__xludf.DUMMYFUNCTION("""COMPUTED_VALUE"""),"La gestión de materiales evoluciona con SAP HANA MM 🌐
Domina procesos de compras, inventarios y logística con un enfoque práctico y aplicable al día a día empresarial.
Aquí encuentras la info completa 👇🏻")</f>
        <v>La gestión de materiales evoluciona con SAP HANA MM 🌐
Domina procesos de compras, inventarios y logística con un enfoque práctico y aplicable al día a día empresarial.
Aquí encuentras la info completa 👇🏻</v>
      </c>
      <c r="AL179" s="5" t="str">
        <f>IFERROR(__xludf.DUMMYFUNCTION("""COMPUTED_VALUE"""),"Excelente 🙌, actualizarte con SAP HANA MM te dará un plus competitivo en gestión de materiales 📦 y compras.")</f>
        <v>Excelente 🙌, actualizarte con SAP HANA MM te dará un plus competitivo en gestión de materiales 📦 y compras.</v>
      </c>
      <c r="AM179" s="5" t="str">
        <f>IFERROR(__xludf.DUMMYFUNCTION("""COMPUTED_VALUE"""),"Buenísimo 💼, SAP es altamente valorado en empresas grandes 🌐. Dominar HANA MM abrirá más oportunidades 🚀.")</f>
        <v>Buenísimo 💼, SAP es altamente valorado en empresas grandes 🌐. Dominar HANA MM abrirá más oportunidades 🚀.</v>
      </c>
      <c r="AN179" s="5" t="str">
        <f>IFERROR(__xludf.DUMMYFUNCTION("""COMPUTED_VALUE"""),"¡Excelente! 🎓 Con SAP HANA MM aprenderás sobre procesos logísticos 🔄 que te diferenciarán desde la universidad.")</f>
        <v>¡Excelente! 🎓 Con SAP HANA MM aprenderás sobre procesos logísticos 🔄 que te diferenciarán desde la universidad.</v>
      </c>
      <c r="AO179" s="5" t="str">
        <f>IFERROR(__xludf.DUMMYFUNCTION("""COMPUTED_VALUE"""),"¡Perfecto! 🔑 Conocer SAP te dará ventaja frente a otros postulantes y será clave para prácticas en logística 📝.")</f>
        <v>¡Perfecto! 🔑 Conocer SAP te dará ventaja frente a otros postulantes y será clave para prácticas en logística 📝.</v>
      </c>
      <c r="AP179" s="5" t="str">
        <f>IFERROR(__xludf.DUMMYFUNCTION("""COMPUTED_VALUE"""),"¡Excelente! 💡 Con SAP HANA MM podrás optimizar inventarios 📦 y procesos en tu propio negocio.")</f>
        <v>¡Excelente! 💡 Con SAP HANA MM podrás optimizar inventarios 📦 y procesos en tu propio negocio.</v>
      </c>
      <c r="AQ179" s="9" t="str">
        <f>IFERROR(__xludf.DUMMYFUNCTION("""COMPUTED_VALUE"""),"https://we-educacion.com/slides/sap-s-4-hana-mm-45")</f>
        <v>https://we-educacion.com/slides/sap-s-4-hana-mm-45</v>
      </c>
      <c r="AR179" s="5">
        <v>1.0</v>
      </c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</row>
    <row r="180" ht="15.75" customHeight="1">
      <c r="A180" s="5" t="s">
        <v>222</v>
      </c>
      <c r="B180" s="5" t="str">
        <f t="shared" si="1"/>
        <v>ENE. I - ED26</v>
      </c>
      <c r="C180" s="6" t="str">
        <f>IFERROR(__xludf.DUMMYFUNCTION("""COMPUTED_VALUE"""),"LOGÍSTICA")</f>
        <v>LOGÍSTICA</v>
      </c>
      <c r="D180" s="5" t="str">
        <f>IFERROR(__xludf.DUMMYFUNCTION("""COMPUTED_VALUE"""),"CURSO")</f>
        <v>CURSO</v>
      </c>
      <c r="E180" s="6" t="str">
        <f>IFERROR(__xludf.DUMMYFUNCTION("""COMPUTED_VALUE"""),"LEAN LOGISTICS")</f>
        <v>LEAN LOGISTICS</v>
      </c>
      <c r="F180" s="7">
        <f>IFERROR(__xludf.DUMMYFUNCTION("""COMPUTED_VALUE"""),46044.0)</f>
        <v>46044</v>
      </c>
      <c r="G180" s="6"/>
      <c r="H180" s="7"/>
      <c r="I180" s="6"/>
      <c r="J180" s="7"/>
      <c r="K180" s="6"/>
      <c r="L180" s="7"/>
      <c r="M180" s="6"/>
      <c r="N180" s="7"/>
      <c r="O180" s="6"/>
      <c r="P180" s="7"/>
      <c r="Q180" s="6" t="str">
        <f>IFERROR(__xludf.DUMMYFUNCTION("""COMPUTED_VALUE"""),"Roger Liy")</f>
        <v>Roger Liy</v>
      </c>
      <c r="R180" s="5" t="str">
        <f>IFERROR(__xludf.DUMMYFUNCTION("""COMPUTED_VALUE"""),"Jue")</f>
        <v>Jue</v>
      </c>
      <c r="S180" s="6" t="str">
        <f>IFERROR(__xludf.DUMMYFUNCTION("""COMPUTED_VALUE"""),"7PM - 10PM")</f>
        <v>7PM - 10PM</v>
      </c>
      <c r="T180" s="7" t="str">
        <f>IFERROR(__xludf.DUMMYFUNCTION("""COMPUTED_VALUE"""),"Jueves 22 Enero")</f>
        <v>Jueves 22 Enero</v>
      </c>
      <c r="U180" s="7" t="str">
        <f>IFERROR(__xludf.DUMMYFUNCTION("""COMPUTED_VALUE"""),"Jueves 26 Febrero")</f>
        <v>Jueves 26 Febrero</v>
      </c>
      <c r="V180" s="8">
        <f>IFERROR(__xludf.DUMMYFUNCTION("""COMPUTED_VALUE"""),6.0)</f>
        <v>6</v>
      </c>
      <c r="W180" s="5" t="str">
        <f>IFERROR(__xludf.DUMMYFUNCTION("""COMPUTED_VALUE"""),"pdfs/BROCHURE LEAN LOGISTICS.pdf")</f>
        <v>pdfs/BROCHURE LEAN LOGISTICS.pdf</v>
      </c>
      <c r="X180" s="5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180" s="5" t="str">
        <f>IFERROR(__xludf.DUMMYFUNCTION("""COMPUTED_VALUE"""),"images/leanlogistic.jpg")</f>
        <v>images/leanlogistic.jpg</v>
      </c>
      <c r="Z180" s="5"/>
      <c r="AA180" s="5" t="str">
        <f>IFERROR(__xludf.DUMMYFUNCTION("""COMPUTED_VALUE"""),"NO")</f>
        <v>NO</v>
      </c>
      <c r="AB180" s="6">
        <f>IFERROR(__xludf.DUMMYFUNCTION("""COMPUTED_VALUE"""),820.0)</f>
        <v>820</v>
      </c>
      <c r="AC180" s="6">
        <f>IFERROR(__xludf.DUMMYFUNCTION("""COMPUTED_VALUE"""),710.0)</f>
        <v>710</v>
      </c>
      <c r="AD180" s="6">
        <f>IFERROR(__xludf.DUMMYFUNCTION("""COMPUTED_VALUE"""),410.0)</f>
        <v>410</v>
      </c>
      <c r="AE180" s="6">
        <f>IFERROR(__xludf.DUMMYFUNCTION("""COMPUTED_VALUE"""),355.0)</f>
        <v>355</v>
      </c>
      <c r="AF180" s="6">
        <f>IFERROR(__xludf.DUMMYFUNCTION("""COMPUTED_VALUE"""),150.0)</f>
        <v>150</v>
      </c>
      <c r="AG180" s="5">
        <f>IFERROR(__xludf.DUMMYFUNCTION("""COMPUTED_VALUE"""),150.0)</f>
        <v>150</v>
      </c>
      <c r="AH180" s="5"/>
      <c r="AI180" s="5">
        <f>IFERROR(__xludf.DUMMYFUNCTION("""COMPUTED_VALUE"""),319.5)</f>
        <v>319.5</v>
      </c>
      <c r="AJ180" s="5">
        <f>IFERROR(__xludf.DUMMYFUNCTION("""COMPUTED_VALUE"""),369.0)</f>
        <v>369</v>
      </c>
      <c r="AK180" s="5" t="str">
        <f>IFERROR(__xludf.DUMMYFUNCTION("""COMPUTED_VALUE"""),"La eficiencia en la cadena de suministro empieza con Lean Logistics 🔄
Aprenderás a optimizar costos, tiempos y flujos logísticos con herramientas prácticas 📦.
Aquí te comparto la info 👇🏻")</f>
        <v>La eficiencia en la cadena de suministro empieza con Lean Logistics 🔄
Aprenderás a optimizar costos, tiempos y flujos logísticos con herramientas prácticas 📦.
Aquí te comparto la info 👇🏻</v>
      </c>
      <c r="AL180" s="5" t="str">
        <f>IFERROR(__xludf.DUMMYFUNCTION("""COMPUTED_VALUE"""),"🏆 *Excelente*, actualízate con *LEAN LOGISTICS* y mantente competitivo en el mercado laboral.")</f>
        <v>🏆 *Excelente*, actualízate con *LEAN LOGISTICS* y mantente competitivo en el mercado laboral.</v>
      </c>
      <c r="AM180" s="5" t="str">
        <f>IFERROR(__xludf.DUMMYFUNCTION("""COMPUTED_VALUE"""),"📘 Buenísimo, *LEAN LOGISTICS* es de las competencias más pedidas por las empresas y aumentará tus oportunidades laborales.")</f>
        <v>📘 Buenísimo, *LEAN LOGISTICS* es de las competencias más pedidas por las empresas y aumentará tus oportunidades laborales.</v>
      </c>
      <c r="AN180" s="5" t="str">
        <f>IFERROR(__xludf.DUMMYFUNCTION("""COMPUTED_VALUE"""),"🎓 ¡Genial! Con *LEAN LOGISTICS* sumarás una habilidad poderosa que te diferenciará desde la universidad.")</f>
        <v>🎓 ¡Genial! Con *LEAN LOGISTICS* sumarás una habilidad poderosa que te diferenciará desde la universidad.</v>
      </c>
      <c r="AO180" s="5" t="str">
        <f>IFERROR(__xludf.DUMMYFUNCTION("""COMPUTED_VALUE"""),"✨ ¡Perfecto! Saber *LEAN LOGISTICS* te dará ventaja frente a otros postulantes para conseguir prácticas.")</f>
        <v>✨ ¡Perfecto! Saber *LEAN LOGISTICS* te dará ventaja frente a otros postulantes para conseguir prácticas.</v>
      </c>
      <c r="AP180" s="5" t="str">
        <f>IFERROR(__xludf.DUMMYFUNCTION("""COMPUTED_VALUE"""),"🚀 ¡Excelente! Con *LEAN LOGISTICS* podrás aplicarlo en tu negocio y tomar decisiones más inteligentes.")</f>
        <v>🚀 ¡Excelente! Con *LEAN LOGISTICS* podrás aplicarlo en tu negocio y tomar decisiones más inteligentes.</v>
      </c>
      <c r="AQ180" s="9" t="str">
        <f>IFERROR(__xludf.DUMMYFUNCTION("""COMPUTED_VALUE"""),"https://we-educacion.com/slides/lean-logistics-67")</f>
        <v>https://we-educacion.com/slides/lean-logistics-67</v>
      </c>
      <c r="AR180" s="5">
        <v>1.0</v>
      </c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</row>
    <row r="181" ht="15.75" customHeight="1">
      <c r="A181" s="5" t="s">
        <v>223</v>
      </c>
      <c r="B181" s="5" t="str">
        <f t="shared" si="1"/>
        <v>ENE. II - ED26</v>
      </c>
      <c r="C181" s="6" t="str">
        <f>IFERROR(__xludf.DUMMYFUNCTION("""COMPUTED_VALUE"""),"PROCESOS")</f>
        <v>PROCESOS</v>
      </c>
      <c r="D181" s="5" t="str">
        <f>IFERROR(__xludf.DUMMYFUNCTION("""COMPUTED_VALUE"""),"CURSO")</f>
        <v>CURSO</v>
      </c>
      <c r="E181" s="6" t="str">
        <f>IFERROR(__xludf.DUMMYFUNCTION("""COMPUTED_VALUE"""),"POWER APPS AVANZ")</f>
        <v>POWER APPS AVANZ</v>
      </c>
      <c r="F181" s="7">
        <f>IFERROR(__xludf.DUMMYFUNCTION("""COMPUTED_VALUE"""),46044.0)</f>
        <v>46044</v>
      </c>
      <c r="G181" s="6"/>
      <c r="H181" s="7"/>
      <c r="I181" s="6"/>
      <c r="J181" s="7"/>
      <c r="K181" s="6"/>
      <c r="L181" s="7"/>
      <c r="M181" s="6"/>
      <c r="N181" s="7"/>
      <c r="O181" s="6"/>
      <c r="P181" s="7"/>
      <c r="Q181" s="6" t="str">
        <f>IFERROR(__xludf.DUMMYFUNCTION("""COMPUTED_VALUE"""),"Bjnik Cruz")</f>
        <v>Bjnik Cruz</v>
      </c>
      <c r="R181" s="5" t="str">
        <f>IFERROR(__xludf.DUMMYFUNCTION("""COMPUTED_VALUE"""),"Mar-Jue")</f>
        <v>Mar-Jue</v>
      </c>
      <c r="S181" s="6" t="str">
        <f>IFERROR(__xludf.DUMMYFUNCTION("""COMPUTED_VALUE"""),"7PM - 10PM")</f>
        <v>7PM - 10PM</v>
      </c>
      <c r="T181" s="7" t="str">
        <f>IFERROR(__xludf.DUMMYFUNCTION("""COMPUTED_VALUE"""),"Jueves 22 Enero")</f>
        <v>Jueves 22 Enero</v>
      </c>
      <c r="U181" s="7" t="str">
        <f>IFERROR(__xludf.DUMMYFUNCTION("""COMPUTED_VALUE"""),"Martes 10 Febrero")</f>
        <v>Martes 10 Febrero</v>
      </c>
      <c r="V181" s="8">
        <f>IFERROR(__xludf.DUMMYFUNCTION("""COMPUTED_VALUE"""),6.0)</f>
        <v>6</v>
      </c>
      <c r="W181" s="5" t="str">
        <f>IFERROR(__xludf.DUMMYFUNCTION("""COMPUTED_VALUE"""),"pdfs/BROCHURE POWER APPS &amp; AUTOMATE AVANZADO.pdf")</f>
        <v>pdfs/BROCHURE POWER APPS &amp; AUTOMATE AVANZADO.pdf</v>
      </c>
      <c r="X181" s="5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181" s="5" t="str">
        <f>IFERROR(__xludf.DUMMYFUNCTION("""COMPUTED_VALUE"""),"images/powerappavanz.jpg")</f>
        <v>images/powerappavanz.jpg</v>
      </c>
      <c r="Z181" s="5" t="str">
        <f>IFERROR(__xludf.DUMMYFUNCTION("""COMPUTED_VALUE"""),"Avalado por Microsoft Partner Network")</f>
        <v>Avalado por Microsoft Partner Network</v>
      </c>
      <c r="AA181" s="5" t="str">
        <f>IFERROR(__xludf.DUMMYFUNCTION("""COMPUTED_VALUE"""),"NO")</f>
        <v>NO</v>
      </c>
      <c r="AB181" s="6">
        <f>IFERROR(__xludf.DUMMYFUNCTION("""COMPUTED_VALUE"""),650.0)</f>
        <v>650</v>
      </c>
      <c r="AC181" s="6">
        <f>IFERROR(__xludf.DUMMYFUNCTION("""COMPUTED_VALUE"""),570.0)</f>
        <v>570</v>
      </c>
      <c r="AD181" s="6">
        <f>IFERROR(__xludf.DUMMYFUNCTION("""COMPUTED_VALUE"""),325.0)</f>
        <v>325</v>
      </c>
      <c r="AE181" s="6">
        <f>IFERROR(__xludf.DUMMYFUNCTION("""COMPUTED_VALUE"""),285.0)</f>
        <v>285</v>
      </c>
      <c r="AF181" s="6">
        <f>IFERROR(__xludf.DUMMYFUNCTION("""COMPUTED_VALUE"""),150.0)</f>
        <v>150</v>
      </c>
      <c r="AG181" s="5">
        <f>IFERROR(__xludf.DUMMYFUNCTION("""COMPUTED_VALUE"""),150.0)</f>
        <v>150</v>
      </c>
      <c r="AH181" s="5"/>
      <c r="AI181" s="5">
        <f>IFERROR(__xludf.DUMMYFUNCTION("""COMPUTED_VALUE"""),256.5)</f>
        <v>256.5</v>
      </c>
      <c r="AJ181" s="5">
        <f>IFERROR(__xludf.DUMMYFUNCTION("""COMPUTED_VALUE"""),292.5)</f>
        <v>292.5</v>
      </c>
      <c r="AK181" s="5" t="str">
        <f>IFERROR(__xludf.DUMMYFUNCTION("""COMPUTED_VALUE"""),"El futuro de los negocios es la automatización sin código 💡
Con Power Apps Avanzado diseñarás aplicaciones prácticas para optimizar procesos reales 📊.
Aquí te comparto la información 👇🏻")</f>
        <v>El futuro de los negocios es la automatización sin código 💡
Con Power Apps Avanzado diseñarás aplicaciones prácticas para optimizar procesos reales 📊.
Aquí te comparto la información 👇🏻</v>
      </c>
      <c r="AL181" s="5" t="str">
        <f>IFERROR(__xludf.DUMMYFUNCTION("""COMPUTED_VALUE"""),"⚡ Excelente, actualízate con Power Apps Avanzado y domina la automatización de procesos.")</f>
        <v>⚡ Excelente, actualízate con Power Apps Avanzado y domina la automatización de procesos.</v>
      </c>
      <c r="AM181" s="5" t="str">
        <f>IFERROR(__xludf.DUMMYFUNCTION("""COMPUTED_VALUE"""),"💼 Buenísimo, Power Apps Avanzado es muy buscado en empresas que digitalizan operaciones.")</f>
        <v>💼 Buenísimo, Power Apps Avanzado es muy buscado en empresas que digitalizan operaciones.</v>
      </c>
      <c r="AN181" s="5" t="str">
        <f>IFERROR(__xludf.DUMMYFUNCTION("""COMPUTED_VALUE"""),"🎓 ¡Genial! Con Power Apps Avanzado aprenderás a crear soluciones prácticas desde la universidad.")</f>
        <v>🎓 ¡Genial! Con Power Apps Avanzado aprenderás a crear soluciones prácticas desde la universidad.</v>
      </c>
      <c r="AO181" s="5" t="str">
        <f>IFERROR(__xludf.DUMMYFUNCTION("""COMPUTED_VALUE"""),"🚀 ¡Perfecto! Saber Power Apps Avanzado te dará ventaja frente a otros en prácticas de TI.")</f>
        <v>🚀 ¡Perfecto! Saber Power Apps Avanzado te dará ventaja frente a otros en prácticas de TI.</v>
      </c>
      <c r="AP181" s="5" t="str">
        <f>IFERROR(__xludf.DUMMYFUNCTION("""COMPUTED_VALUE"""),"📊 ¡Excelente! Con Power Apps Avanzado podrás optimizar tus procesos de negocio con apps propias.")</f>
        <v>📊 ¡Excelente! Con Power Apps Avanzado podrás optimizar tus procesos de negocio con apps propias.</v>
      </c>
      <c r="AQ181" s="9" t="str">
        <f>IFERROR(__xludf.DUMMYFUNCTION("""COMPUTED_VALUE"""),"https://we-educacion.com/slides/power-apps-automate-avanzado-1112")</f>
        <v>https://we-educacion.com/slides/power-apps-automate-avanzado-1112</v>
      </c>
      <c r="AR181" s="5">
        <v>1.0</v>
      </c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</row>
    <row r="182" ht="15.75" customHeight="1">
      <c r="A182" s="5" t="s">
        <v>224</v>
      </c>
      <c r="B182" s="5" t="str">
        <f t="shared" si="1"/>
        <v>ENE. I - ED26</v>
      </c>
      <c r="C182" s="6" t="str">
        <f>IFERROR(__xludf.DUMMYFUNCTION("""COMPUTED_VALUE"""),"LOGÍSTICA")</f>
        <v>LOGÍSTICA</v>
      </c>
      <c r="D182" s="5" t="str">
        <f>IFERROR(__xludf.DUMMYFUNCTION("""COMPUTED_VALUE"""),"CURSO")</f>
        <v>CURSO</v>
      </c>
      <c r="E182" s="6" t="str">
        <f>IFERROR(__xludf.DUMMYFUNCTION("""COMPUTED_VALUE"""),"GEST. COMP. Y PROV.")</f>
        <v>GEST. COMP. Y PROV.</v>
      </c>
      <c r="F182" s="7">
        <f>IFERROR(__xludf.DUMMYFUNCTION("""COMPUTED_VALUE"""),46044.0)</f>
        <v>46044</v>
      </c>
      <c r="G182" s="6"/>
      <c r="H182" s="7"/>
      <c r="I182" s="6"/>
      <c r="J182" s="7"/>
      <c r="K182" s="6"/>
      <c r="L182" s="7"/>
      <c r="M182" s="6"/>
      <c r="N182" s="7"/>
      <c r="O182" s="6"/>
      <c r="P182" s="7"/>
      <c r="Q182" s="6" t="str">
        <f>IFERROR(__xludf.DUMMYFUNCTION("""COMPUTED_VALUE"""),"Mariela Sandoval")</f>
        <v>Mariela Sandoval</v>
      </c>
      <c r="R182" s="5" t="str">
        <f>IFERROR(__xludf.DUMMYFUNCTION("""COMPUTED_VALUE"""),"Jue")</f>
        <v>Jue</v>
      </c>
      <c r="S182" s="6" t="str">
        <f>IFERROR(__xludf.DUMMYFUNCTION("""COMPUTED_VALUE"""),"7PM - 10PM")</f>
        <v>7PM - 10PM</v>
      </c>
      <c r="T182" s="7" t="str">
        <f>IFERROR(__xludf.DUMMYFUNCTION("""COMPUTED_VALUE"""),"Jueves 22 Enero")</f>
        <v>Jueves 22 Enero</v>
      </c>
      <c r="U182" s="7" t="str">
        <f>IFERROR(__xludf.DUMMYFUNCTION("""COMPUTED_VALUE"""),"Jueves 26 Febrero")</f>
        <v>Jueves 26 Febrero</v>
      </c>
      <c r="V182" s="8">
        <f>IFERROR(__xludf.DUMMYFUNCTION("""COMPUTED_VALUE"""),6.0)</f>
        <v>6</v>
      </c>
      <c r="W182" s="5" t="str">
        <f>IFERROR(__xludf.DUMMYFUNCTION("""COMPUTED_VALUE"""),"pdfs/BROCHURE GEST DE COMPRAS Y PROVEEDORES.pdf")</f>
        <v>pdfs/BROCHURE GEST DE COMPRAS Y PROVEEDORES.pdf</v>
      </c>
      <c r="X182" s="5" t="str">
        <f>IFERROR(__xludf.DUMMYFUNCTION("""COMPUTED_VALUE"""),"🔵 *Conoce TODOS los BENEFICIOS a los que accedes*
🔹 Acceso a Campus Virtual WE 👩🏻‍🏫
🔹 Material digital y grabación de clases 
🔹 Certificado digital 
🔹 04 Cursos Online de regalo con acceso ilimitado 📚
🔹 Desarrollo y seguimiento de tu proyecto *"&amp;"(Evaluado)*
🔹 Garantía de Aprendizaje 100%
🚨 *Revisa el BROCHURE* 👇🏻")</f>
        <v>🔵 *Conoce TODOS los BENEFICIOS a los que accedes*
🔹 Acceso a Campus Virtual WE 👩🏻‍🏫
🔹 Material digital y grabación de clases 
🔹 Certificado digital 
🔹 04 Cursos Online de regalo con acceso ilimitado 📚
🔹 Desarrollo y seguimiento de tu proyecto *(Evaluado)*
🔹 Garantía de Aprendizaje 100%
🚨 *Revisa el BROCHURE* 👇🏻</v>
      </c>
      <c r="Y182" s="5" t="str">
        <f>IFERROR(__xludf.DUMMYFUNCTION("""COMPUTED_VALUE"""),"images/gestcomp.jpg")</f>
        <v>images/gestcomp.jpg</v>
      </c>
      <c r="Z182" s="5"/>
      <c r="AA182" s="5" t="str">
        <f>IFERROR(__xludf.DUMMYFUNCTION("""COMPUTED_VALUE"""),"SI")</f>
        <v>SI</v>
      </c>
      <c r="AB182" s="6">
        <f>IFERROR(__xludf.DUMMYFUNCTION("""COMPUTED_VALUE"""),830.0)</f>
        <v>830</v>
      </c>
      <c r="AC182" s="6">
        <f>IFERROR(__xludf.DUMMYFUNCTION("""COMPUTED_VALUE"""),770.0)</f>
        <v>770</v>
      </c>
      <c r="AD182" s="6">
        <f>IFERROR(__xludf.DUMMYFUNCTION("""COMPUTED_VALUE"""),415.0)</f>
        <v>415</v>
      </c>
      <c r="AE182" s="6">
        <f>IFERROR(__xludf.DUMMYFUNCTION("""COMPUTED_VALUE"""),385.0)</f>
        <v>385</v>
      </c>
      <c r="AF182" s="6">
        <f>IFERROR(__xludf.DUMMYFUNCTION("""COMPUTED_VALUE"""),150.0)</f>
        <v>150</v>
      </c>
      <c r="AG182" s="5">
        <f>IFERROR(__xludf.DUMMYFUNCTION("""COMPUTED_VALUE"""),150.0)</f>
        <v>150</v>
      </c>
      <c r="AH182" s="5"/>
      <c r="AI182" s="5">
        <f>IFERROR(__xludf.DUMMYFUNCTION("""COMPUTED_VALUE"""),346.5)</f>
        <v>346.5</v>
      </c>
      <c r="AJ182" s="5">
        <f>IFERROR(__xludf.DUMMYFUNCTION("""COMPUTED_VALUE"""),373.5)</f>
        <v>373.5</v>
      </c>
      <c r="AK182" s="5" t="str">
        <f>IFERROR(__xludf.DUMMYFUNCTION("""COMPUTED_VALUE"""),"La clave de la rentabilidad está en una gestión estratégica de compras 💰
Con Gestión de Compras y Proveedores aprenderás a negociar, evaluar y optimizar relaciones con proveedores 💼.
Aquí te comparto la info 👇🏻")</f>
        <v>La clave de la rentabilidad está en una gestión estratégica de compras 💰
Con Gestión de Compras y Proveedores aprenderás a negociar, evaluar y optimizar relaciones con proveedores 💼.
Aquí te comparto la info 👇🏻</v>
      </c>
      <c r="AL182" s="5" t="str">
        <f>IFERROR(__xludf.DUMMYFUNCTION("""COMPUTED_VALUE"""),"🎓 *Excelente*, actualízate con *GEST. COMP. Y PROV.* y mantente competitivo en el mercado laboral.")</f>
        <v>🎓 *Excelente*, actualízate con *GEST. COMP. Y PROV.* y mantente competitivo en el mercado laboral.</v>
      </c>
      <c r="AM182" s="5" t="str">
        <f>IFERROR(__xludf.DUMMYFUNCTION("""COMPUTED_VALUE"""),"🔑 Buenísimo, *GEST. COMP. Y PROV.* es de las competencias más pedidas por las empresas y aumentará tus oportunidades laborales.")</f>
        <v>🔑 Buenísimo, *GEST. COMP. Y PROV.* es de las competencias más pedidas por las empresas y aumentará tus oportunidades laborales.</v>
      </c>
      <c r="AN182" s="5" t="str">
        <f>IFERROR(__xludf.DUMMYFUNCTION("""COMPUTED_VALUE"""),"🌍 ¡Genial! Con *GEST. COMP. Y PROV.* sumarás una habilidad poderosa que te diferenciará desde la universidad.")</f>
        <v>🌍 ¡Genial! Con *GEST. COMP. Y PROV.* sumarás una habilidad poderosa que te diferenciará desde la universidad.</v>
      </c>
      <c r="AO182" s="5" t="str">
        <f>IFERROR(__xludf.DUMMYFUNCTION("""COMPUTED_VALUE"""),"💼 ¡Perfecto! Saber *GEST. COMP. Y PROV.* te dará ventaja frente a otros postulantes para conseguir prácticas.")</f>
        <v>💼 ¡Perfecto! Saber *GEST. COMP. Y PROV.* te dará ventaja frente a otros postulantes para conseguir prácticas.</v>
      </c>
      <c r="AP182" s="5" t="str">
        <f>IFERROR(__xludf.DUMMYFUNCTION("""COMPUTED_VALUE"""),"🚀 ¡Excelente! Con *GEST. COMP. Y PROV.* podrás aplicarlo en tu negocio y tomar decisiones más inteligentes.")</f>
        <v>🚀 ¡Excelente! Con *GEST. COMP. Y PROV.* podrás aplicarlo en tu negocio y tomar decisiones más inteligentes.</v>
      </c>
      <c r="AQ182" s="9" t="str">
        <f>IFERROR(__xludf.DUMMYFUNCTION("""COMPUTED_VALUE"""),"https://we-educacion.com/slides/gestion-de-compras-y-proveedores-74")</f>
        <v>https://we-educacion.com/slides/gestion-de-compras-y-proveedores-74</v>
      </c>
      <c r="AR182" s="5">
        <v>1.0</v>
      </c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</row>
    <row r="183" ht="15.75" customHeight="1">
      <c r="A183" s="5" t="s">
        <v>225</v>
      </c>
      <c r="B183" s="5" t="str">
        <f t="shared" si="1"/>
        <v>ENE. I - ED26</v>
      </c>
      <c r="C183" s="6" t="str">
        <f>IFERROR(__xludf.DUMMYFUNCTION("""COMPUTED_VALUE"""),"BI")</f>
        <v>BI</v>
      </c>
      <c r="D183" s="5" t="str">
        <f>IFERROR(__xludf.DUMMYFUNCTION("""COMPUTED_VALUE"""),"DIPLOMADO")</f>
        <v>DIPLOMADO</v>
      </c>
      <c r="E183" s="6" t="str">
        <f>IFERROR(__xludf.DUMMYFUNCTION("""COMPUTED_VALUE"""),"DIP INTELIG. Y ANALIST. DATOS V2")</f>
        <v>DIP INTELIG. Y ANALIST. DATOS V2</v>
      </c>
      <c r="F183" s="7">
        <f>IFERROR(__xludf.DUMMYFUNCTION("""COMPUTED_VALUE"""),46044.0)</f>
        <v>46044</v>
      </c>
      <c r="G183" s="6" t="str">
        <f>IFERROR(__xludf.DUMMYFUNCTION("""COMPUTED_VALUE"""),"DATA ANALYTICS")</f>
        <v>DATA ANALYTICS</v>
      </c>
      <c r="H183" s="7">
        <f>IFERROR(__xludf.DUMMYFUNCTION("""COMPUTED_VALUE"""),46044.0)</f>
        <v>46044</v>
      </c>
      <c r="I183" s="6" t="str">
        <f>IFERROR(__xludf.DUMMYFUNCTION("""COMPUTED_VALUE"""),"SQL SERVER")</f>
        <v>SQL SERVER</v>
      </c>
      <c r="J183" s="7">
        <f>IFERROR(__xludf.DUMMYFUNCTION("""COMPUTED_VALUE"""),46072.0)</f>
        <v>46072</v>
      </c>
      <c r="K183" s="6" t="str">
        <f>IFERROR(__xludf.DUMMYFUNCTION("""COMPUTED_VALUE"""),"POWER BI")</f>
        <v>POWER BI</v>
      </c>
      <c r="L183" s="7">
        <f>IFERROR(__xludf.DUMMYFUNCTION("""COMPUTED_VALUE"""),46100.0)</f>
        <v>46100</v>
      </c>
      <c r="M183" s="6" t="str">
        <f>IFERROR(__xludf.DUMMYFUNCTION("""COMPUTED_VALUE"""),"PYTHON. DATOS")</f>
        <v>PYTHON. DATOS</v>
      </c>
      <c r="N183" s="7">
        <f>IFERROR(__xludf.DUMMYFUNCTION("""COMPUTED_VALUE"""),46135.0)</f>
        <v>46135</v>
      </c>
      <c r="O183" s="6" t="str">
        <f>IFERROR(__xludf.DUMMYFUNCTION("""COMPUTED_VALUE"""),"PYTHON AVANZ.")</f>
        <v>PYTHON AVANZ.</v>
      </c>
      <c r="P183" s="7">
        <f>IFERROR(__xludf.DUMMYFUNCTION("""COMPUTED_VALUE"""),46163.0)</f>
        <v>46163</v>
      </c>
      <c r="Q183" s="6" t="str">
        <f>IFERROR(__xludf.DUMMYFUNCTION("""COMPUTED_VALUE"""),"Ana Lucia Palacios
David Llaja
Jonathan Sanchez
Brigitt Ramirez
Briam Aguirre")</f>
        <v>Ana Lucia Palacios
David Llaja
Jonathan Sanchez
Brigitt Ramirez
Briam Aguirre</v>
      </c>
      <c r="R183" s="5" t="str">
        <f>IFERROR(__xludf.DUMMYFUNCTION("""COMPUTED_VALUE"""),"Mar-Jue")</f>
        <v>Mar-Jue</v>
      </c>
      <c r="S183" s="6" t="str">
        <f>IFERROR(__xludf.DUMMYFUNCTION("""COMPUTED_VALUE"""),"7PM - 10PM")</f>
        <v>7PM - 10PM</v>
      </c>
      <c r="T183" s="7" t="str">
        <f>IFERROR(__xludf.DUMMYFUNCTION("""COMPUTED_VALUE"""),"Jueves 22 Enero")</f>
        <v>Jueves 22 Enero</v>
      </c>
      <c r="U183" s="7" t="str">
        <f>IFERROR(__xludf.DUMMYFUNCTION("""COMPUTED_VALUE"""),"Martes 9 Junio")</f>
        <v>Martes 9 Junio</v>
      </c>
      <c r="V183" s="8">
        <f>IFERROR(__xludf.DUMMYFUNCTION("""COMPUTED_VALUE"""),30.0)</f>
        <v>30</v>
      </c>
      <c r="W183" s="5" t="str">
        <f>IFERROR(__xludf.DUMMYFUNCTION("""COMPUTED_VALUE"""),"pdfs/BROCHURE DIPLOMADO INTELIGENCIA Y ANALISIS DE DATOS.pdf")</f>
        <v>pdfs/BROCHURE DIPLOMADO INTELIGENCIA Y ANALISIS DE DATOS.pdf</v>
      </c>
      <c r="X183" s="5" t="str">
        <f>IFERROR(__xludf.DUMMYFUNCTION("""COMPUTED_VALUE"""),"🔵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inf"&amp;"ormación completa del programa, el TEMARIO (malla curricular) y todos los BENEFICIOS 📚")</f>
        <v>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83" s="5" t="str">
        <f>IFERROR(__xludf.DUMMYFUNCTION("""COMPUTED_VALUE"""),"images/dipdatos.jpg")</f>
        <v>images/dipdatos.jpg</v>
      </c>
      <c r="Z183" s="5"/>
      <c r="AA183" s="5" t="str">
        <f>IFERROR(__xludf.DUMMYFUNCTION("""COMPUTED_VALUE"""),"NO")</f>
        <v>NO</v>
      </c>
      <c r="AB183" s="6">
        <f>IFERROR(__xludf.DUMMYFUNCTION("""COMPUTED_VALUE"""),3990.0)</f>
        <v>3990</v>
      </c>
      <c r="AC183" s="6">
        <f>IFERROR(__xludf.DUMMYFUNCTION("""COMPUTED_VALUE"""),3595.0)</f>
        <v>3595</v>
      </c>
      <c r="AD183" s="6">
        <f>IFERROR(__xludf.DUMMYFUNCTION("""COMPUTED_VALUE"""),1995.0)</f>
        <v>1995</v>
      </c>
      <c r="AE183" s="6">
        <f>IFERROR(__xludf.DUMMYFUNCTION("""COMPUTED_VALUE"""),1797.5)</f>
        <v>1797.5</v>
      </c>
      <c r="AF183" s="6">
        <f>IFERROR(__xludf.DUMMYFUNCTION("""COMPUTED_VALUE"""),250.0)</f>
        <v>250</v>
      </c>
      <c r="AG183" s="5">
        <f>IFERROR(__xludf.DUMMYFUNCTION("""COMPUTED_VALUE"""),350.0)</f>
        <v>350</v>
      </c>
      <c r="AH183" s="5"/>
      <c r="AI183" s="5">
        <f>IFERROR(__xludf.DUMMYFUNCTION("""COMPUTED_VALUE"""),1617.75)</f>
        <v>1617.75</v>
      </c>
      <c r="AJ183" s="5">
        <f>IFERROR(__xludf.DUMMYFUNCTION("""COMPUTED_VALUE"""),1795.5)</f>
        <v>1795.5</v>
      </c>
      <c r="AK183" s="5" t="str">
        <f>IFERROR(__xludf.DUMMYFUNCTION("""COMPUTED_VALUE"""),"Los datos son el nuevo petróleo ⛽
Conviértete en especialista en inteligencia de datos y analítica avanzada para la toma de decisiones estratégicas 📊
👉🏻 Te paso la información detallada.")</f>
        <v>Los datos son el nuevo petróleo ⛽
Conviértete en especialista en inteligencia de datos y analítica avanzada para la toma de decisiones estratégicas 📊
👉🏻 Te paso la información detallada.</v>
      </c>
      <c r="AL183" s="5" t="str">
        <f>IFERROR(__xludf.DUMMYFUNCTION("""COMPUTED_VALUE"""),"📊 Excelente, con el Diplomado en Análisis de Datos aprenderás a dominar BI y Big Data.")</f>
        <v>📊 Excelente, con el Diplomado en Análisis de Datos aprenderás a dominar BI y Big Data.</v>
      </c>
      <c r="AM183" s="5" t="str">
        <f>IFERROR(__xludf.DUMMYFUNCTION("""COMPUTED_VALUE"""),"💼 Súper, este Diplomado es clave para trabajar en áreas de inteligencia empresarial.")</f>
        <v>💼 Súper, este Diplomado es clave para trabajar en áreas de inteligencia empresarial.</v>
      </c>
      <c r="AN183" s="5" t="str">
        <f>IFERROR(__xludf.DUMMYFUNCTION("""COMPUTED_VALUE"""),"📚 ¡Genial! Desde la universidad, este Diplomado en Datos te dará un perfil altamente competitivo.")</f>
        <v>📚 ¡Genial! Desde la universidad, este Diplomado en Datos te dará un perfil altamente competitivo.</v>
      </c>
      <c r="AO183" s="5" t="str">
        <f>IFERROR(__xludf.DUMMYFUNCTION("""COMPUTED_VALUE"""),"🚀 ¡Perfecto! Con el Diplomado en Análisis de Datos tendrás ventaja en prácticas de tecnología.")</f>
        <v>🚀 ¡Perfecto! Con el Diplomado en Análisis de Datos tendrás ventaja en prácticas de tecnología.</v>
      </c>
      <c r="AP183" s="5" t="str">
        <f>IFERROR(__xludf.DUMMYFUNCTION("""COMPUTED_VALUE"""),"🤖 ¡Excelente! Lo aprendido te permitirá tomar decisiones estratégicas basadas en datos.")</f>
        <v>🤖 ¡Excelente! Lo aprendido te permitirá tomar decisiones estratégicas basadas en datos.</v>
      </c>
      <c r="AQ183" s="9" t="str">
        <f>IFERROR(__xludf.DUMMYFUNCTION("""COMPUTED_VALUE"""),"https://we-educacion.com/slides/diplomado-en-inteligencia-y-analisis-de-datos-261")</f>
        <v>https://we-educacion.com/slides/diplomado-en-inteligencia-y-analisis-de-datos-261</v>
      </c>
      <c r="AR183" s="5">
        <v>1.0</v>
      </c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</row>
    <row r="184" ht="15.75" customHeight="1">
      <c r="A184" s="5" t="s">
        <v>226</v>
      </c>
      <c r="B184" s="5" t="str">
        <f t="shared" si="1"/>
        <v>ENE. I - ED26</v>
      </c>
      <c r="C184" s="6" t="str">
        <f>IFERROR(__xludf.DUMMYFUNCTION("""COMPUTED_VALUE"""),"BI")</f>
        <v>BI</v>
      </c>
      <c r="D184" s="5" t="str">
        <f>IFERROR(__xludf.DUMMYFUNCTION("""COMPUTED_VALUE"""),"CURSO")</f>
        <v>CURSO</v>
      </c>
      <c r="E184" s="6" t="str">
        <f>IFERROR(__xludf.DUMMYFUNCTION("""COMPUTED_VALUE"""),"DATA ANALYTICS")</f>
        <v>DATA ANALYTICS</v>
      </c>
      <c r="F184" s="7">
        <f>IFERROR(__xludf.DUMMYFUNCTION("""COMPUTED_VALUE"""),46044.0)</f>
        <v>46044</v>
      </c>
      <c r="G184" s="6"/>
      <c r="H184" s="7"/>
      <c r="I184" s="6"/>
      <c r="J184" s="7"/>
      <c r="K184" s="6"/>
      <c r="L184" s="7"/>
      <c r="M184" s="6"/>
      <c r="N184" s="7"/>
      <c r="O184" s="6"/>
      <c r="P184" s="7"/>
      <c r="Q184" s="6" t="str">
        <f>IFERROR(__xludf.DUMMYFUNCTION("""COMPUTED_VALUE"""),"Ana Lucia Palacios")</f>
        <v>Ana Lucia Palacios</v>
      </c>
      <c r="R184" s="5" t="str">
        <f>IFERROR(__xludf.DUMMYFUNCTION("""COMPUTED_VALUE"""),"Mar-Jue")</f>
        <v>Mar-Jue</v>
      </c>
      <c r="S184" s="6" t="str">
        <f>IFERROR(__xludf.DUMMYFUNCTION("""COMPUTED_VALUE"""),"7PM - 10PM")</f>
        <v>7PM - 10PM</v>
      </c>
      <c r="T184" s="7" t="str">
        <f>IFERROR(__xludf.DUMMYFUNCTION("""COMPUTED_VALUE"""),"Jueves 22 Enero")</f>
        <v>Jueves 22 Enero</v>
      </c>
      <c r="U184" s="7" t="str">
        <f>IFERROR(__xludf.DUMMYFUNCTION("""COMPUTED_VALUE"""),"Martes 10 Febrero")</f>
        <v>Martes 10 Febrero</v>
      </c>
      <c r="V184" s="8">
        <f>IFERROR(__xludf.DUMMYFUNCTION("""COMPUTED_VALUE"""),6.0)</f>
        <v>6</v>
      </c>
      <c r="W184" s="5" t="str">
        <f>IFERROR(__xludf.DUMMYFUNCTION("""COMPUTED_VALUE"""),"pdfs/BROCHURE Data Analytics.pdf")</f>
        <v>pdfs/BROCHURE Data Analytics.pdf</v>
      </c>
      <c r="X184" s="5" t="str">
        <f>IFERROR(__xludf.DUMMYFUNCTION("""COMPUTED_VALUE"""),"🔵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programa"&amp;", el TEMARIO (malla curricular) y todos los BENEFICIOS 📚")</f>
        <v>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84" s="5" t="str">
        <f>IFERROR(__xludf.DUMMYFUNCTION("""COMPUTED_VALUE"""),"images/data.jpg")</f>
        <v>images/data.jpg</v>
      </c>
      <c r="Z184" s="5"/>
      <c r="AA184" s="5" t="str">
        <f>IFERROR(__xludf.DUMMYFUNCTION("""COMPUTED_VALUE"""),"NO")</f>
        <v>NO</v>
      </c>
      <c r="AB184" s="6">
        <f>IFERROR(__xludf.DUMMYFUNCTION("""COMPUTED_VALUE"""),820.0)</f>
        <v>820</v>
      </c>
      <c r="AC184" s="6">
        <f>IFERROR(__xludf.DUMMYFUNCTION("""COMPUTED_VALUE"""),760.0)</f>
        <v>760</v>
      </c>
      <c r="AD184" s="6">
        <f>IFERROR(__xludf.DUMMYFUNCTION("""COMPUTED_VALUE"""),410.0)</f>
        <v>410</v>
      </c>
      <c r="AE184" s="6">
        <f>IFERROR(__xludf.DUMMYFUNCTION("""COMPUTED_VALUE"""),380.0)</f>
        <v>380</v>
      </c>
      <c r="AF184" s="6">
        <f>IFERROR(__xludf.DUMMYFUNCTION("""COMPUTED_VALUE"""),150.0)</f>
        <v>150</v>
      </c>
      <c r="AG184" s="5">
        <f>IFERROR(__xludf.DUMMYFUNCTION("""COMPUTED_VALUE"""),150.0)</f>
        <v>150</v>
      </c>
      <c r="AH184" s="5"/>
      <c r="AI184" s="5">
        <f>IFERROR(__xludf.DUMMYFUNCTION("""COMPUTED_VALUE"""),342.0)</f>
        <v>342</v>
      </c>
      <c r="AJ184" s="5">
        <f>IFERROR(__xludf.DUMMYFUNCTION("""COMPUTED_VALUE"""),369.0)</f>
        <v>369</v>
      </c>
      <c r="AK184" s="5" t="str">
        <f>IFERROR(__xludf.DUMMYFUNCTION("""COMPUTED_VALUE"""),"📊 *Los datos son el nuevo motor de las empresas* 🚀
En pocas semanas aprenderás a analizar, interpretar y visualizar información con herramientas prácticas de Data Analytics, transformando datos en decisiones estratégicas 💡📈
Ahora te comparto la inform"&amp;"ación a detalle 👇🏻")</f>
        <v>📊 *Los datos son el nuevo motor de las empresas* 🚀
En pocas semanas aprenderás a analizar, interpretar y visualizar información con herramientas prácticas de Data Analytics, transformando datos en decisiones estratégicas 💡📈
Ahora te comparto la información a detalle 👇🏻</v>
      </c>
      <c r="AL184" s="5" t="str">
        <f>IFERROR(__xludf.DUMMYFUNCTION("""COMPUTED_VALUE"""),"🔑 *Excelente*, actualízate con *DATA ANALYTICS* y mantente competitivo en el mercado laboral.")</f>
        <v>🔑 *Excelente*, actualízate con *DATA ANALYTICS* y mantente competitivo en el mercado laboral.</v>
      </c>
      <c r="AM184" s="5" t="str">
        <f>IFERROR(__xludf.DUMMYFUNCTION("""COMPUTED_VALUE"""),"🛠️ Buenísimo, *DATA ANALYTICS* es de las competencias más pedidas por las empresas y aumentará tus oportunidades laborales.")</f>
        <v>🛠️ Buenísimo, *DATA ANALYTICS* es de las competencias más pedidas por las empresas y aumentará tus oportunidades laborales.</v>
      </c>
      <c r="AN184" s="5" t="str">
        <f>IFERROR(__xludf.DUMMYFUNCTION("""COMPUTED_VALUE"""),"📈 ¡Genial! Con *DATA ANALYTICS* sumarás una habilidad poderosa que te diferenciará desde la universidad.")</f>
        <v>📈 ¡Genial! Con *DATA ANALYTICS* sumarás una habilidad poderosa que te diferenciará desde la universidad.</v>
      </c>
      <c r="AO184" s="5" t="str">
        <f>IFERROR(__xludf.DUMMYFUNCTION("""COMPUTED_VALUE"""),"🌍 ¡Perfecto! Saber *DATA ANALYTICS* te dará ventaja frente a otros postulantes para conseguir prácticas.")</f>
        <v>🌍 ¡Perfecto! Saber *DATA ANALYTICS* te dará ventaja frente a otros postulantes para conseguir prácticas.</v>
      </c>
      <c r="AP184" s="5" t="str">
        <f>IFERROR(__xludf.DUMMYFUNCTION("""COMPUTED_VALUE"""),"🎓 ¡Excelente! Con *DATA ANALYTICS* podrás aplicarlo en tu negocio y tomar decisiones más inteligentes.")</f>
        <v>🎓 ¡Excelente! Con *DATA ANALYTICS* podrás aplicarlo en tu negocio y tomar decisiones más inteligentes.</v>
      </c>
      <c r="AQ184" s="9" t="str">
        <f>IFERROR(__xludf.DUMMYFUNCTION("""COMPUTED_VALUE"""),"https://we-educacion.com/slides/data-analytics-262")</f>
        <v>https://we-educacion.com/slides/data-analytics-262</v>
      </c>
      <c r="AR184" s="5">
        <v>1.0</v>
      </c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</row>
    <row r="185" ht="15.75" customHeight="1">
      <c r="A185" s="5" t="s">
        <v>227</v>
      </c>
      <c r="B185" s="5" t="str">
        <f t="shared" si="1"/>
        <v>ENE. I - ED26</v>
      </c>
      <c r="C185" s="6" t="str">
        <f>IFERROR(__xludf.DUMMYFUNCTION("""COMPUTED_VALUE"""),"PROCESOS")</f>
        <v>PROCESOS</v>
      </c>
      <c r="D185" s="6" t="str">
        <f>IFERROR(__xludf.DUMMYFUNCTION("""COMPUTED_VALUE"""),"DIPLOMADO")</f>
        <v>DIPLOMADO</v>
      </c>
      <c r="E185" s="6" t="str">
        <f>IFERROR(__xludf.DUMMYFUNCTION("""COMPUTED_VALUE"""),"DIP PROC Y MEJORA V3")</f>
        <v>DIP PROC Y MEJORA V3</v>
      </c>
      <c r="F185" s="7">
        <f>IFERROR(__xludf.DUMMYFUNCTION("""COMPUTED_VALUE"""),46046.0)</f>
        <v>46046</v>
      </c>
      <c r="G185" s="6" t="str">
        <f>IFERROR(__xludf.DUMMYFUNCTION("""COMPUTED_VALUE"""),"GEST PROCESOS")</f>
        <v>GEST PROCESOS</v>
      </c>
      <c r="H185" s="7">
        <f>IFERROR(__xludf.DUMMYFUNCTION("""COMPUTED_VALUE"""),46046.0)</f>
        <v>46046</v>
      </c>
      <c r="I185" s="6" t="str">
        <f>IFERROR(__xludf.DUMMYFUNCTION("""COMPUTED_VALUE"""),"MODEL BIZ.")</f>
        <v>MODEL BIZ.</v>
      </c>
      <c r="J185" s="7">
        <f>IFERROR(__xludf.DUMMYFUNCTION("""COMPUTED_VALUE"""),46095.0)</f>
        <v>46095</v>
      </c>
      <c r="K185" s="6" t="str">
        <f>IFERROR(__xludf.DUMMYFUNCTION("""COMPUTED_VALUE"""),"LEAN SIX SIGMA YELLOW")</f>
        <v>LEAN SIX SIGMA YELLOW</v>
      </c>
      <c r="L185" s="7">
        <f>IFERROR(__xludf.DUMMYFUNCTION("""COMPUTED_VALUE"""),46144.0)</f>
        <v>46144</v>
      </c>
      <c r="M185" s="6" t="str">
        <f>IFERROR(__xludf.DUMMYFUNCTION("""COMPUTED_VALUE"""),"KPIS Y OKRS")</f>
        <v>KPIS Y OKRS</v>
      </c>
      <c r="N185" s="7">
        <f>IFERROR(__xludf.DUMMYFUNCTION("""COMPUTED_VALUE"""),46186.0)</f>
        <v>46186</v>
      </c>
      <c r="O185" s="6" t="str">
        <f>IFERROR(__xludf.DUMMYFUNCTION("""COMPUTED_VALUE"""),"ROBOTIZ.  UIPATH")</f>
        <v>ROBOTIZ.  UIPATH</v>
      </c>
      <c r="P185" s="7">
        <f>IFERROR(__xludf.DUMMYFUNCTION("""COMPUTED_VALUE"""),46221.0)</f>
        <v>46221</v>
      </c>
      <c r="Q185" s="6" t="str">
        <f>IFERROR(__xludf.DUMMYFUNCTION("""COMPUTED_VALUE"""),"Piero Prieto
Julio Dávila
Monica Olivas
Luis Euribe
Christian Rojas")</f>
        <v>Piero Prieto
Julio Dávila
Monica Olivas
Luis Euribe
Christian Rojas</v>
      </c>
      <c r="R185" s="5" t="str">
        <f>IFERROR(__xludf.DUMMYFUNCTION("""COMPUTED_VALUE"""),"Sáb")</f>
        <v>Sáb</v>
      </c>
      <c r="S185" s="6" t="str">
        <f>IFERROR(__xludf.DUMMYFUNCTION("""COMPUTED_VALUE"""),"3PM - 6PM")</f>
        <v>3PM - 6PM</v>
      </c>
      <c r="T185" s="7" t="str">
        <f>IFERROR(__xludf.DUMMYFUNCTION("""COMPUTED_VALUE"""),"Sábado 24 Enero")</f>
        <v>Sábado 24 Enero</v>
      </c>
      <c r="U185" s="7" t="str">
        <f>IFERROR(__xludf.DUMMYFUNCTION("""COMPUTED_VALUE"""),"Sábado 22 Agosto")</f>
        <v>Sábado 22 Agosto</v>
      </c>
      <c r="V185" s="8">
        <f>IFERROR(__xludf.DUMMYFUNCTION("""COMPUTED_VALUE"""),29.0)</f>
        <v>29</v>
      </c>
      <c r="W185" s="5" t="str">
        <f>IFERROR(__xludf.DUMMYFUNCTION("""COMPUTED_VALUE"""),"pdfs/BROCHURE DIPLOMADO PROCESOS Y MEJORA CONTINUA.pdf")</f>
        <v>pdfs/BROCHURE DIPLOMADO PROCESOS Y MEJORA CONTINUA.pdf</v>
      </c>
      <c r="X185" s="5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85" s="5" t="str">
        <f>IFERROR(__xludf.DUMMYFUNCTION("""COMPUTED_VALUE"""),"images/dipproc.jpg")</f>
        <v>images/dipproc.jpg</v>
      </c>
      <c r="Z185" s="5"/>
      <c r="AA185" s="5" t="str">
        <f>IFERROR(__xludf.DUMMYFUNCTION("""COMPUTED_VALUE"""),"NO")</f>
        <v>NO</v>
      </c>
      <c r="AB185" s="6">
        <f>IFERROR(__xludf.DUMMYFUNCTION("""COMPUTED_VALUE"""),3740.0)</f>
        <v>3740</v>
      </c>
      <c r="AC185" s="6">
        <f>IFERROR(__xludf.DUMMYFUNCTION("""COMPUTED_VALUE"""),3346.0)</f>
        <v>3346</v>
      </c>
      <c r="AD185" s="6">
        <f>IFERROR(__xludf.DUMMYFUNCTION("""COMPUTED_VALUE"""),1870.0)</f>
        <v>1870</v>
      </c>
      <c r="AE185" s="6">
        <f>IFERROR(__xludf.DUMMYFUNCTION("""COMPUTED_VALUE"""),1673.0)</f>
        <v>1673</v>
      </c>
      <c r="AF185" s="6">
        <f>IFERROR(__xludf.DUMMYFUNCTION("""COMPUTED_VALUE"""),250.0)</f>
        <v>250</v>
      </c>
      <c r="AG185" s="5">
        <f>IFERROR(__xludf.DUMMYFUNCTION("""COMPUTED_VALUE"""),350.0)</f>
        <v>350</v>
      </c>
      <c r="AH185" s="5"/>
      <c r="AI185" s="5">
        <f>IFERROR(__xludf.DUMMYFUNCTION("""COMPUTED_VALUE"""),1505.7)</f>
        <v>1505.7</v>
      </c>
      <c r="AJ185" s="5">
        <f>IFERROR(__xludf.DUMMYFUNCTION("""COMPUTED_VALUE"""),1683.0)</f>
        <v>1683</v>
      </c>
      <c r="AK185" s="5" t="str">
        <f>IFERROR(__xludf.DUMMYFUNCTION("""COMPUTED_VALUE"""),"Mejorar procesos es sinónimo de crecer 🔄
Aprende a optimizar la eficiencia operativa con herramientas de gestión y mejora continua 🏭
👉🏻 Aquí está la información a detalle.")</f>
        <v>Mejorar procesos es sinónimo de crecer 🔄
Aprende a optimizar la eficiencia operativa con herramientas de gestión y mejora continua 🏭
👉🏻 Aquí está la información a detalle.</v>
      </c>
      <c r="AL185" s="5" t="str">
        <f>IFERROR(__xludf.DUMMYFUNCTION("""COMPUTED_VALUE"""),"⚙️ Excelente, el Diplomado en Procesos y Mejora Continua te convierte en experto en Lean &amp; Six Sigma.")</f>
        <v>⚙️ Excelente, el Diplomado en Procesos y Mejora Continua te convierte en experto en Lean &amp; Six Sigma.</v>
      </c>
      <c r="AM185" s="5" t="str">
        <f>IFERROR(__xludf.DUMMYFUNCTION("""COMPUTED_VALUE"""),"💼 Muy bien, este Diplomado es requerido en empresas que priorizan la eficiencia operativa.")</f>
        <v>💼 Muy bien, este Diplomado es requerido en empresas que priorizan la eficiencia operativa.</v>
      </c>
      <c r="AN185" s="5" t="str">
        <f>IFERROR(__xludf.DUMMYFUNCTION("""COMPUTED_VALUE"""),"📚 ¡Genial! Desde la universidad podrás aplicar conceptos de mejora continua a tus proyectos.")</f>
        <v>📚 ¡Genial! Desde la universidad podrás aplicar conceptos de mejora continua a tus proyectos.</v>
      </c>
      <c r="AO185" s="5" t="str">
        <f>IFERROR(__xludf.DUMMYFUNCTION("""COMPUTED_VALUE"""),"🚀 ¡Perfecto! Con este Diplomado destacarás en prácticas en áreas de calidad y optimización.")</f>
        <v>🚀 ¡Perfecto! Con este Diplomado destacarás en prácticas en áreas de calidad y optimización.</v>
      </c>
      <c r="AP185" s="5" t="str">
        <f>IFERROR(__xludf.DUMMYFUNCTION("""COMPUTED_VALUE"""),"📊 ¡Excelente! Podrás aplicar mejoras de procesos directamente en tu negocio.")</f>
        <v>📊 ¡Excelente! Podrás aplicar mejoras de procesos directamente en tu negocio.</v>
      </c>
      <c r="AQ185" s="9" t="str">
        <f>IFERROR(__xludf.DUMMYFUNCTION("""COMPUTED_VALUE"""),"https://we-educacion.com/slides/diplomado-de-procesos-y-mejora-continua-205")</f>
        <v>https://we-educacion.com/slides/diplomado-de-procesos-y-mejora-continua-205</v>
      </c>
      <c r="AR185" s="5">
        <v>1.0</v>
      </c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</row>
    <row r="186" ht="15.75" customHeight="1">
      <c r="A186" s="5" t="s">
        <v>228</v>
      </c>
      <c r="B186" s="5" t="str">
        <f t="shared" si="1"/>
        <v>ENE. I - ED26</v>
      </c>
      <c r="C186" s="6" t="str">
        <f>IFERROR(__xludf.DUMMYFUNCTION("""COMPUTED_VALUE"""),"PROCESOS")</f>
        <v>PROCESOS</v>
      </c>
      <c r="D186" s="6" t="str">
        <f>IFERROR(__xludf.DUMMYFUNCTION("""COMPUTED_VALUE"""),"PEE")</f>
        <v>PEE</v>
      </c>
      <c r="E186" s="6" t="str">
        <f>IFERROR(__xludf.DUMMYFUNCTION("""COMPUTED_VALUE"""),"PEE ANALIST PROC")</f>
        <v>PEE ANALIST PROC</v>
      </c>
      <c r="F186" s="7">
        <f>IFERROR(__xludf.DUMMYFUNCTION("""COMPUTED_VALUE"""),46046.0)</f>
        <v>46046</v>
      </c>
      <c r="G186" s="6" t="str">
        <f>IFERROR(__xludf.DUMMYFUNCTION("""COMPUTED_VALUE"""),"GEST PROCESOS")</f>
        <v>GEST PROCESOS</v>
      </c>
      <c r="H186" s="7">
        <f>IFERROR(__xludf.DUMMYFUNCTION("""COMPUTED_VALUE"""),46046.0)</f>
        <v>46046</v>
      </c>
      <c r="I186" s="6" t="str">
        <f>IFERROR(__xludf.DUMMYFUNCTION("""COMPUTED_VALUE"""),"MODEL BIZ.")</f>
        <v>MODEL BIZ.</v>
      </c>
      <c r="J186" s="7">
        <f>IFERROR(__xludf.DUMMYFUNCTION("""COMPUTED_VALUE"""),46067.0)</f>
        <v>46067</v>
      </c>
      <c r="K186" s="6" t="str">
        <f>IFERROR(__xludf.DUMMYFUNCTION("""COMPUTED_VALUE"""),"LEAN SIX SIGMA YELLOW")</f>
        <v>LEAN SIX SIGMA YELLOW</v>
      </c>
      <c r="L186" s="7">
        <f>IFERROR(__xludf.DUMMYFUNCTION("""COMPUTED_VALUE"""),46144.0)</f>
        <v>46144</v>
      </c>
      <c r="M186" s="6"/>
      <c r="N186" s="7"/>
      <c r="O186" s="6"/>
      <c r="P186" s="7"/>
      <c r="Q186" s="6" t="str">
        <f>IFERROR(__xludf.DUMMYFUNCTION("""COMPUTED_VALUE"""),"Piero Prieto
Julio Dávila
Monica Olivas
")</f>
        <v>Piero Prieto
Julio Dávila
Monica Olivas
</v>
      </c>
      <c r="R186" s="5" t="str">
        <f>IFERROR(__xludf.DUMMYFUNCTION("""COMPUTED_VALUE"""),"Sáb")</f>
        <v>Sáb</v>
      </c>
      <c r="S186" s="6" t="str">
        <f>IFERROR(__xludf.DUMMYFUNCTION("""COMPUTED_VALUE"""),"3PM - 6PM")</f>
        <v>3PM - 6PM</v>
      </c>
      <c r="T186" s="7" t="str">
        <f>IFERROR(__xludf.DUMMYFUNCTION("""COMPUTED_VALUE"""),"Sábado 24 Enero")</f>
        <v>Sábado 24 Enero</v>
      </c>
      <c r="U186" s="7" t="str">
        <f>IFERROR(__xludf.DUMMYFUNCTION("""COMPUTED_VALUE"""),"Sábado 6 Junio")</f>
        <v>Sábado 6 Junio</v>
      </c>
      <c r="V186" s="8">
        <f>IFERROR(__xludf.DUMMYFUNCTION("""COMPUTED_VALUE"""),18.0)</f>
        <v>18</v>
      </c>
      <c r="W186" s="5" t="str">
        <f>IFERROR(__xludf.DUMMYFUNCTION("""COMPUTED_VALUE"""),"pdfs/BROCHURE PEE ANALISTA DE PROCESOS.pdf")</f>
        <v>pdfs/BROCHURE PEE ANALISTA DE PROCESOS.pdf</v>
      </c>
      <c r="X186" s="5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86" s="5" t="str">
        <f>IFERROR(__xludf.DUMMYFUNCTION("""COMPUTED_VALUE"""),"images/peeprocesos.jpg")</f>
        <v>images/peeprocesos.jpg</v>
      </c>
      <c r="Z186" s="5"/>
      <c r="AA186" s="5" t="str">
        <f>IFERROR(__xludf.DUMMYFUNCTION("""COMPUTED_VALUE"""),"NO")</f>
        <v>NO</v>
      </c>
      <c r="AB186" s="6">
        <f>IFERROR(__xludf.DUMMYFUNCTION("""COMPUTED_VALUE"""),2280.0)</f>
        <v>2280</v>
      </c>
      <c r="AC186" s="6">
        <f>IFERROR(__xludf.DUMMYFUNCTION("""COMPUTED_VALUE"""),2040.0)</f>
        <v>2040</v>
      </c>
      <c r="AD186" s="6">
        <f>IFERROR(__xludf.DUMMYFUNCTION("""COMPUTED_VALUE"""),1140.0)</f>
        <v>1140</v>
      </c>
      <c r="AE186" s="6">
        <f>IFERROR(__xludf.DUMMYFUNCTION("""COMPUTED_VALUE"""),1020.0)</f>
        <v>1020</v>
      </c>
      <c r="AF186" s="6">
        <f>IFERROR(__xludf.DUMMYFUNCTION("""COMPUTED_VALUE"""),250.0)</f>
        <v>250</v>
      </c>
      <c r="AG186" s="5">
        <f>IFERROR(__xludf.DUMMYFUNCTION("""COMPUTED_VALUE"""),350.0)</f>
        <v>350</v>
      </c>
      <c r="AH186" s="5"/>
      <c r="AI186" s="5">
        <f>IFERROR(__xludf.DUMMYFUNCTION("""COMPUTED_VALUE"""),918.0)</f>
        <v>918</v>
      </c>
      <c r="AJ186" s="5">
        <f>IFERROR(__xludf.DUMMYFUNCTION("""COMPUTED_VALUE"""),1026.0)</f>
        <v>1026</v>
      </c>
      <c r="AK186" s="5" t="str">
        <f>IFERROR(__xludf.DUMMYFUNCTION("""COMPUTED_VALUE"""),"La mejora de procesos es el camino a la eficiencia 🔄
Especialízate en análisis y gestión de procesos para optimizar el rendimiento de las organizaciones 🏭
👉🏻 Te paso el detalle.")</f>
        <v>La mejora de procesos es el camino a la eficiencia 🔄
Especialízate en análisis y gestión de procesos para optimizar el rendimiento de las organizaciones 🏭
👉🏻 Te paso el detalle.</v>
      </c>
      <c r="AL186" s="5" t="str">
        <f>IFERROR(__xludf.DUMMYFUNCTION("""COMPUTED_VALUE"""),"⚡ Excelente, el PEE Analista de Procesos te formará en gestión y mejora de operaciones.")</f>
        <v>⚡ Excelente, el PEE Analista de Procesos te formará en gestión y mejora de operaciones.</v>
      </c>
      <c r="AM186" s="5" t="str">
        <f>IFERROR(__xludf.DUMMYFUNCTION("""COMPUTED_VALUE"""),"💼 Buenísimo, este perfil es clave en empresas que buscan optimizar tiempos y costos.")</f>
        <v>💼 Buenísimo, este perfil es clave en empresas que buscan optimizar tiempos y costos.</v>
      </c>
      <c r="AN186" s="5" t="str">
        <f>IFERROR(__xludf.DUMMYFUNCTION("""COMPUTED_VALUE"""),"📚 ¡Genial! Desde la universidad aprenderás mapa de procesos y metodologías de mejora.")</f>
        <v>📚 ¡Genial! Desde la universidad aprenderás mapa de procesos y metodologías de mejora.</v>
      </c>
      <c r="AO186" s="5" t="str">
        <f>IFERROR(__xludf.DUMMYFUNCTION("""COMPUTED_VALUE"""),"🚀 ¡Perfecto! Este PEE es ideal para destacar en la gestión de eficiencia.")</f>
        <v>🚀 ¡Perfecto! Este PEE es ideal para destacar en la gestión de eficiencia.</v>
      </c>
      <c r="AP186" s="5" t="str">
        <f>IFERROR(__xludf.DUMMYFUNCTION("""COMPUTED_VALUE"""),"📊 ¡Excelente! Podrás rediseñar procesos para hacer más rentable tu negocio.")</f>
        <v>📊 ¡Excelente! Podrás rediseñar procesos para hacer más rentable tu negocio.</v>
      </c>
      <c r="AQ186" s="9" t="str">
        <f>IFERROR(__xludf.DUMMYFUNCTION("""COMPUTED_VALUE"""),"https://we-educacion.com/slides/pee-analista-de-procesos-187")</f>
        <v>https://we-educacion.com/slides/pee-analista-de-procesos-187</v>
      </c>
      <c r="AR186" s="5">
        <v>1.0</v>
      </c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</row>
    <row r="187" ht="15.75" customHeight="1">
      <c r="A187" s="5" t="s">
        <v>229</v>
      </c>
      <c r="B187" s="5" t="str">
        <f t="shared" si="1"/>
        <v>ENE. I - ED26</v>
      </c>
      <c r="C187" s="6" t="str">
        <f>IFERROR(__xludf.DUMMYFUNCTION("""COMPUTED_VALUE"""),"PROCESOS")</f>
        <v>PROCESOS</v>
      </c>
      <c r="D187" s="5" t="str">
        <f>IFERROR(__xludf.DUMMYFUNCTION("""COMPUTED_VALUE"""),"CURSO")</f>
        <v>CURSO</v>
      </c>
      <c r="E187" s="6" t="str">
        <f>IFERROR(__xludf.DUMMYFUNCTION("""COMPUTED_VALUE"""),"GEST PROCESOS")</f>
        <v>GEST PROCESOS</v>
      </c>
      <c r="F187" s="7">
        <f>IFERROR(__xludf.DUMMYFUNCTION("""COMPUTED_VALUE"""),46046.0)</f>
        <v>46046</v>
      </c>
      <c r="G187" s="6"/>
      <c r="H187" s="7"/>
      <c r="I187" s="6"/>
      <c r="J187" s="7"/>
      <c r="K187" s="6"/>
      <c r="L187" s="7"/>
      <c r="M187" s="6"/>
      <c r="N187" s="7"/>
      <c r="O187" s="6"/>
      <c r="P187" s="7"/>
      <c r="Q187" s="6" t="str">
        <f>IFERROR(__xludf.DUMMYFUNCTION("""COMPUTED_VALUE"""),"Piero Prieto")</f>
        <v>Piero Prieto</v>
      </c>
      <c r="R187" s="5" t="str">
        <f>IFERROR(__xludf.DUMMYFUNCTION("""COMPUTED_VALUE"""),"Sáb")</f>
        <v>Sáb</v>
      </c>
      <c r="S187" s="6" t="str">
        <f>IFERROR(__xludf.DUMMYFUNCTION("""COMPUTED_VALUE"""),"3PM - 6PM")</f>
        <v>3PM - 6PM</v>
      </c>
      <c r="T187" s="7" t="str">
        <f>IFERROR(__xludf.DUMMYFUNCTION("""COMPUTED_VALUE"""),"Sábado 24 Enero")</f>
        <v>Sábado 24 Enero</v>
      </c>
      <c r="U187" s="7" t="str">
        <f>IFERROR(__xludf.DUMMYFUNCTION("""COMPUTED_VALUE"""),"Sábado 28 Febrero")</f>
        <v>Sábado 28 Febrero</v>
      </c>
      <c r="V187" s="8">
        <f>IFERROR(__xludf.DUMMYFUNCTION("""COMPUTED_VALUE"""),6.0)</f>
        <v>6</v>
      </c>
      <c r="W187" s="5" t="str">
        <f>IFERROR(__xludf.DUMMYFUNCTION("""COMPUTED_VALUE"""),"pdfs/BROCHURE GESTION DE PROCESOS.pdf")</f>
        <v>pdfs/BROCHURE GESTION DE PROCESOS.pdf</v>
      </c>
      <c r="X187" s="5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87" s="5" t="str">
        <f>IFERROR(__xludf.DUMMYFUNCTION("""COMPUTED_VALUE"""),"images/gestprocesos.jpg")</f>
        <v>images/gestprocesos.jpg</v>
      </c>
      <c r="Z187" s="5"/>
      <c r="AA187" s="5" t="str">
        <f>IFERROR(__xludf.DUMMYFUNCTION("""COMPUTED_VALUE"""),"NO")</f>
        <v>NO</v>
      </c>
      <c r="AB187" s="6">
        <f>IFERROR(__xludf.DUMMYFUNCTION("""COMPUTED_VALUE"""),880.0)</f>
        <v>880</v>
      </c>
      <c r="AC187" s="6">
        <f>IFERROR(__xludf.DUMMYFUNCTION("""COMPUTED_VALUE"""),770.0)</f>
        <v>770</v>
      </c>
      <c r="AD187" s="6">
        <f>IFERROR(__xludf.DUMMYFUNCTION("""COMPUTED_VALUE"""),440.0)</f>
        <v>440</v>
      </c>
      <c r="AE187" s="6">
        <f>IFERROR(__xludf.DUMMYFUNCTION("""COMPUTED_VALUE"""),385.0)</f>
        <v>385</v>
      </c>
      <c r="AF187" s="6">
        <f>IFERROR(__xludf.DUMMYFUNCTION("""COMPUTED_VALUE"""),150.0)</f>
        <v>150</v>
      </c>
      <c r="AG187" s="5">
        <f>IFERROR(__xludf.DUMMYFUNCTION("""COMPUTED_VALUE"""),150.0)</f>
        <v>150</v>
      </c>
      <c r="AH187" s="5"/>
      <c r="AI187" s="5">
        <f>IFERROR(__xludf.DUMMYFUNCTION("""COMPUTED_VALUE"""),346.5)</f>
        <v>346.5</v>
      </c>
      <c r="AJ187" s="5">
        <f>IFERROR(__xludf.DUMMYFUNCTION("""COMPUTED_VALUE"""),396.0)</f>
        <v>396</v>
      </c>
      <c r="AK187" s="5" t="str">
        <f>IFERROR(__xludf.DUMMYFUNCTION("""COMPUTED_VALUE"""),"El lenguaje de los líderes de hoy es la eficiencia operativa ⚙️
Con Gestión de Procesos aprenderás a optimizar y rediseñar flujos de trabajo aplicados a casos reales 💼.
Aquí te comparto la información 👇🏻")</f>
        <v>El lenguaje de los líderes de hoy es la eficiencia operativa ⚙️
Con Gestión de Procesos aprenderás a optimizar y rediseñar flujos de trabajo aplicados a casos reales 💼.
Aquí te comparto la información 👇🏻</v>
      </c>
      <c r="AL187" s="5" t="str">
        <f>IFERROR(__xludf.DUMMYFUNCTION("""COMPUTED_VALUE"""),"⚡ *Excelente*, actualízate con *GEST PROCESOS* y mantente competitivo en el mercado laboral.")</f>
        <v>⚡ *Excelente*, actualízate con *GEST PROCESOS* y mantente competitivo en el mercado laboral.</v>
      </c>
      <c r="AM187" s="5" t="str">
        <f>IFERROR(__xludf.DUMMYFUNCTION("""COMPUTED_VALUE"""),"✨ Buenísimo, *GEST PROCESOS* es de las competencias más pedidas por las empresas y aumentará tus oportunidades laborales.")</f>
        <v>✨ Buenísimo, *GEST PROCESOS* es de las competencias más pedidas por las empresas y aumentará tus oportunidades laborales.</v>
      </c>
      <c r="AN187" s="5" t="str">
        <f>IFERROR(__xludf.DUMMYFUNCTION("""COMPUTED_VALUE"""),"🌍 ¡Genial! Con *GEST PROCESOS* sumarás una habilidad poderosa que te diferenciará desde la universidad.")</f>
        <v>🌍 ¡Genial! Con *GEST PROCESOS* sumarás una habilidad poderosa que te diferenciará desde la universidad.</v>
      </c>
      <c r="AO187" s="5" t="str">
        <f>IFERROR(__xludf.DUMMYFUNCTION("""COMPUTED_VALUE"""),"🔑 ¡Perfecto! Saber *GEST PROCESOS* te dará ventaja frente a otros postulantes para conseguir prácticas.")</f>
        <v>🔑 ¡Perfecto! Saber *GEST PROCESOS* te dará ventaja frente a otros postulantes para conseguir prácticas.</v>
      </c>
      <c r="AP187" s="5" t="str">
        <f>IFERROR(__xludf.DUMMYFUNCTION("""COMPUTED_VALUE"""),"📈 ¡Excelente! Con *GEST PROCESOS* podrás aplicarlo en tu negocio y tomar decisiones más inteligentes.")</f>
        <v>📈 ¡Excelente! Con *GEST PROCESOS* podrás aplicarlo en tu negocio y tomar decisiones más inteligentes.</v>
      </c>
      <c r="AQ187" s="9" t="str">
        <f>IFERROR(__xludf.DUMMYFUNCTION("""COMPUTED_VALUE"""),"https://we-educacion.com/slides/gestion-de-procesos-188")</f>
        <v>https://we-educacion.com/slides/gestion-de-procesos-188</v>
      </c>
      <c r="AR187" s="5">
        <v>1.0</v>
      </c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</row>
    <row r="188" ht="15.75" customHeight="1">
      <c r="A188" s="5" t="s">
        <v>230</v>
      </c>
      <c r="B188" s="5" t="str">
        <f t="shared" si="1"/>
        <v>ENE. I - ED26</v>
      </c>
      <c r="C188" s="6" t="str">
        <f>IFERROR(__xludf.DUMMYFUNCTION("""COMPUTED_VALUE"""),"WEB")</f>
        <v>WEB</v>
      </c>
      <c r="D188" s="6" t="str">
        <f>IFERROR(__xludf.DUMMYFUNCTION("""COMPUTED_VALUE"""),"CURSO")</f>
        <v>CURSO</v>
      </c>
      <c r="E188" s="6" t="str">
        <f>IFERROR(__xludf.DUMMYFUNCTION("""COMPUTED_VALUE"""),"PROG. JAVA")</f>
        <v>PROG. JAVA</v>
      </c>
      <c r="F188" s="7">
        <f>IFERROR(__xludf.DUMMYFUNCTION("""COMPUTED_VALUE"""),46046.0)</f>
        <v>46046</v>
      </c>
      <c r="G188" s="6"/>
      <c r="H188" s="7"/>
      <c r="I188" s="6"/>
      <c r="J188" s="7"/>
      <c r="K188" s="6"/>
      <c r="L188" s="7"/>
      <c r="M188" s="6"/>
      <c r="N188" s="7"/>
      <c r="O188" s="6"/>
      <c r="P188" s="7"/>
      <c r="Q188" s="6" t="str">
        <f>IFERROR(__xludf.DUMMYFUNCTION("""COMPUTED_VALUE"""),"Raged Huaman")</f>
        <v>Raged Huaman</v>
      </c>
      <c r="R188" s="5" t="str">
        <f>IFERROR(__xludf.DUMMYFUNCTION("""COMPUTED_VALUE"""),"Sáb")</f>
        <v>Sáb</v>
      </c>
      <c r="S188" s="6" t="str">
        <f>IFERROR(__xludf.DUMMYFUNCTION("""COMPUTED_VALUE"""),"3PM - 6PM")</f>
        <v>3PM - 6PM</v>
      </c>
      <c r="T188" s="7" t="str">
        <f>IFERROR(__xludf.DUMMYFUNCTION("""COMPUTED_VALUE"""),"Sábado 24 Enero")</f>
        <v>Sábado 24 Enero</v>
      </c>
      <c r="U188" s="7" t="str">
        <f>IFERROR(__xludf.DUMMYFUNCTION("""COMPUTED_VALUE"""),"Sábado 28 Febrero")</f>
        <v>Sábado 28 Febrero</v>
      </c>
      <c r="V188" s="8">
        <f>IFERROR(__xludf.DUMMYFUNCTION("""COMPUTED_VALUE"""),6.0)</f>
        <v>6</v>
      </c>
      <c r="W188" s="5" t="str">
        <f>IFERROR(__xludf.DUMMYFUNCTION("""COMPUTED_VALUE"""),"pdfs/BROCHURE PROGRAMACIÓN JAVASCRIPT WEB.pdf")</f>
        <v>pdfs/BROCHURE PROGRAMACIÓN JAVASCRIPT WEB.pdf</v>
      </c>
      <c r="X188" s="6"/>
      <c r="Y188" s="5"/>
      <c r="Z188" s="5"/>
      <c r="AA188" s="5" t="str">
        <f>IFERROR(__xludf.DUMMYFUNCTION("""COMPUTED_VALUE"""),"NO")</f>
        <v>NO</v>
      </c>
      <c r="AB188" s="6">
        <f>IFERROR(__xludf.DUMMYFUNCTION("""COMPUTED_VALUE"""),640.0)</f>
        <v>640</v>
      </c>
      <c r="AC188" s="6">
        <f>IFERROR(__xludf.DUMMYFUNCTION("""COMPUTED_VALUE"""),600.0)</f>
        <v>600</v>
      </c>
      <c r="AD188" s="6">
        <f>IFERROR(__xludf.DUMMYFUNCTION("""COMPUTED_VALUE"""),320.0)</f>
        <v>320</v>
      </c>
      <c r="AE188" s="6">
        <f>IFERROR(__xludf.DUMMYFUNCTION("""COMPUTED_VALUE"""),300.0)</f>
        <v>300</v>
      </c>
      <c r="AF188" s="6">
        <f>IFERROR(__xludf.DUMMYFUNCTION("""COMPUTED_VALUE"""),150.0)</f>
        <v>150</v>
      </c>
      <c r="AG188" s="5">
        <f>IFERROR(__xludf.DUMMYFUNCTION("""COMPUTED_VALUE"""),150.0)</f>
        <v>150</v>
      </c>
      <c r="AH188" s="5"/>
      <c r="AI188" s="5">
        <f>IFERROR(__xludf.DUMMYFUNCTION("""COMPUTED_VALUE"""),270.0)</f>
        <v>270</v>
      </c>
      <c r="AJ188" s="5">
        <f>IFERROR(__xludf.DUMMYFUNCTION("""COMPUTED_VALUE"""),288.0)</f>
        <v>288</v>
      </c>
      <c r="AK188" s="5" t="str">
        <f>IFERROR(__xludf.DUMMYFUNCTION("""COMPUTED_VALUE"""),"El lenguaje que mueve el mundo es Java 💻
Con Programación en Java aprenderás a crear aplicaciones robustas y aplicables en entornos reales 🚀.
Aquí la información completa 👇🏻")</f>
        <v>El lenguaje que mueve el mundo es Java 💻
Con Programación en Java aprenderás a crear aplicaciones robustas y aplicables en entornos reales 🚀.
Aquí la información completa 👇🏻</v>
      </c>
      <c r="AL188" s="5" t="str">
        <f>IFERROR(__xludf.DUMMYFUNCTION("""COMPUTED_VALUE"""),"💻 Excelente, actualízate con Java, el lenguaje más usado en desarrollo empresarial.")</f>
        <v>💻 Excelente, actualízate con Java, el lenguaje más usado en desarrollo empresarial.</v>
      </c>
      <c r="AM188" s="5" t="str">
        <f>IFERROR(__xludf.DUMMYFUNCTION("""COMPUTED_VALUE"""),"💼 Buenísimo, Java es requerido por muchas empresas tecnológicas y de software.")</f>
        <v>💼 Buenísimo, Java es requerido por muchas empresas tecnológicas y de software.</v>
      </c>
      <c r="AN188" s="5" t="str">
        <f>IFERROR(__xludf.DUMMYFUNCTION("""COMPUTED_VALUE"""),"🎓 ¡Genial! Con Java aprenderás programación sólida desde la universidad.")</f>
        <v>🎓 ¡Genial! Con Java aprenderás programación sólida desde la universidad.</v>
      </c>
      <c r="AO188" s="5" t="str">
        <f>IFERROR(__xludf.DUMMYFUNCTION("""COMPUTED_VALUE"""),"🚀 ¡Perfecto! Saber Java te abrirá puertas para conseguir prácticas en desarrollo.")</f>
        <v>🚀 ¡Perfecto! Saber Java te abrirá puertas para conseguir prácticas en desarrollo.</v>
      </c>
      <c r="AP188" s="5" t="str">
        <f>IFERROR(__xludf.DUMMYFUNCTION("""COMPUTED_VALUE"""),"📊 ¡Excelente! Con Java podrás crear aplicaciones que impulsen tu negocio.")</f>
        <v>📊 ¡Excelente! Con Java podrás crear aplicaciones que impulsen tu negocio.</v>
      </c>
      <c r="AQ188" s="9" t="str">
        <f>IFERROR(__xludf.DUMMYFUNCTION("""COMPUTED_VALUE"""),"https://we-educacion.com/slides/programacion-javascript-web-1106")</f>
        <v>https://we-educacion.com/slides/programacion-javascript-web-1106</v>
      </c>
      <c r="AR188" s="5">
        <v>1.0</v>
      </c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</row>
    <row r="189" ht="15.75" customHeight="1">
      <c r="A189" s="5" t="s">
        <v>231</v>
      </c>
      <c r="B189" s="5" t="str">
        <f t="shared" si="1"/>
        <v>ENE. II - ED26</v>
      </c>
      <c r="C189" s="6" t="str">
        <f>IFERROR(__xludf.DUMMYFUNCTION("""COMPUTED_VALUE"""),"EXCEL")</f>
        <v>EXCEL</v>
      </c>
      <c r="D189" s="5" t="str">
        <f>IFERROR(__xludf.DUMMYFUNCTION("""COMPUTED_VALUE"""),"CURSO")</f>
        <v>CURSO</v>
      </c>
      <c r="E189" s="6" t="str">
        <f>IFERROR(__xludf.DUMMYFUNCTION("""COMPUTED_VALUE"""),"EXCEL INTERM")</f>
        <v>EXCEL INTERM</v>
      </c>
      <c r="F189" s="7">
        <f>IFERROR(__xludf.DUMMYFUNCTION("""COMPUTED_VALUE"""),46047.0)</f>
        <v>46047</v>
      </c>
      <c r="G189" s="6"/>
      <c r="H189" s="7"/>
      <c r="I189" s="6"/>
      <c r="J189" s="7"/>
      <c r="K189" s="6"/>
      <c r="L189" s="7"/>
      <c r="M189" s="6"/>
      <c r="N189" s="7"/>
      <c r="O189" s="6"/>
      <c r="P189" s="7"/>
      <c r="Q189" s="6" t="str">
        <f>IFERROR(__xludf.DUMMYFUNCTION("""COMPUTED_VALUE"""),"Jonathan Sanchez")</f>
        <v>Jonathan Sanchez</v>
      </c>
      <c r="R189" s="5" t="str">
        <f>IFERROR(__xludf.DUMMYFUNCTION("""COMPUTED_VALUE"""),"Dom")</f>
        <v>Dom</v>
      </c>
      <c r="S189" s="6" t="str">
        <f>IFERROR(__xludf.DUMMYFUNCTION("""COMPUTED_VALUE"""),"9AM - 12PM")</f>
        <v>9AM - 12PM</v>
      </c>
      <c r="T189" s="7" t="str">
        <f>IFERROR(__xludf.DUMMYFUNCTION("""COMPUTED_VALUE"""),"Domingo 25 Enero")</f>
        <v>Domingo 25 Enero</v>
      </c>
      <c r="U189" s="7" t="str">
        <f>IFERROR(__xludf.DUMMYFUNCTION("""COMPUTED_VALUE"""),"Domingo 1 Marzo")</f>
        <v>Domingo 1 Marzo</v>
      </c>
      <c r="V189" s="8">
        <f>IFERROR(__xludf.DUMMYFUNCTION("""COMPUTED_VALUE"""),6.0)</f>
        <v>6</v>
      </c>
      <c r="W189" s="5" t="str">
        <f>IFERROR(__xludf.DUMMYFUNCTION("""COMPUTED_VALUE"""),"pdfs/BROCHURE EXCEL INTERMEDIO.pdf")</f>
        <v>pdfs/BROCHURE EXCEL INTERMEDIO.pdf</v>
      </c>
      <c r="X189" s="5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89" s="5" t="str">
        <f>IFERROR(__xludf.DUMMYFUNCTION("""COMPUTED_VALUE"""),"images/excelinterm.jpg")</f>
        <v>images/excelinterm.jpg</v>
      </c>
      <c r="Z189" s="5" t="str">
        <f>IFERROR(__xludf.DUMMYFUNCTION("""COMPUTED_VALUE"""),"Avalado por Microsoft Partner Network")</f>
        <v>Avalado por Microsoft Partner Network</v>
      </c>
      <c r="AA189" s="5" t="str">
        <f>IFERROR(__xludf.DUMMYFUNCTION("""COMPUTED_VALUE"""),"NO")</f>
        <v>NO</v>
      </c>
      <c r="AB189" s="6">
        <f>IFERROR(__xludf.DUMMYFUNCTION("""COMPUTED_VALUE"""),420.0)</f>
        <v>420</v>
      </c>
      <c r="AC189" s="6">
        <f>IFERROR(__xludf.DUMMYFUNCTION("""COMPUTED_VALUE"""),400.0)</f>
        <v>400</v>
      </c>
      <c r="AD189" s="6">
        <f>IFERROR(__xludf.DUMMYFUNCTION("""COMPUTED_VALUE"""),210.0)</f>
        <v>210</v>
      </c>
      <c r="AE189" s="6">
        <f>IFERROR(__xludf.DUMMYFUNCTION("""COMPUTED_VALUE"""),200.0)</f>
        <v>200</v>
      </c>
      <c r="AF189" s="6">
        <f>IFERROR(__xludf.DUMMYFUNCTION("""COMPUTED_VALUE"""),150.0)</f>
        <v>150</v>
      </c>
      <c r="AG189" s="5">
        <f>IFERROR(__xludf.DUMMYFUNCTION("""COMPUTED_VALUE"""),150.0)</f>
        <v>150</v>
      </c>
      <c r="AH189" s="5"/>
      <c r="AI189" s="5">
        <f>IFERROR(__xludf.DUMMYFUNCTION("""COMPUTED_VALUE"""),180.0)</f>
        <v>180</v>
      </c>
      <c r="AJ189" s="5">
        <f>IFERROR(__xludf.DUMMYFUNCTION("""COMPUTED_VALUE"""),189.0)</f>
        <v>189</v>
      </c>
      <c r="AK189" s="5" t="str">
        <f>IFERROR(__xludf.DUMMYFUNCTION("""COMPUTED_VALUE"""),"El siguiente paso en tu crecimiento es Excel Intermedio 🚀
Consolidarás fórmulas, tablas y reportes aplicables en entornos reales de trabajo 💻.
Aquí tienes la info 👇🏻")</f>
        <v>El siguiente paso en tu crecimiento es Excel Intermedio 🚀
Consolidarás fórmulas, tablas y reportes aplicables en entornos reales de trabajo 💻.
Aquí tienes la info 👇🏻</v>
      </c>
      <c r="AL189" s="5" t="str">
        <f>IFERROR(__xludf.DUMMYFUNCTION("""COMPUTED_VALUE"""),"💼 *Excelente*, actualízate con *EXCEL INTERM* y mantente competitivo en el mercado laboral.")</f>
        <v>💼 *Excelente*, actualízate con *EXCEL INTERM* y mantente competitivo en el mercado laboral.</v>
      </c>
      <c r="AM189" s="5" t="str">
        <f>IFERROR(__xludf.DUMMYFUNCTION("""COMPUTED_VALUE"""),"📘 Buenísimo, *EXCEL INTERM* es de las competencias más pedidas por las empresas y aumentará tus oportunidades laborales.")</f>
        <v>📘 Buenísimo, *EXCEL INTERM* es de las competencias más pedidas por las empresas y aumentará tus oportunidades laborales.</v>
      </c>
      <c r="AN189" s="5" t="str">
        <f>IFERROR(__xludf.DUMMYFUNCTION("""COMPUTED_VALUE"""),"🔑 ¡Genial! Con *EXCEL INTERM* sumarás una habilidad poderosa que te diferenciará desde la universidad.")</f>
        <v>🔑 ¡Genial! Con *EXCEL INTERM* sumarás una habilidad poderosa que te diferenciará desde la universidad.</v>
      </c>
      <c r="AO189" s="5" t="str">
        <f>IFERROR(__xludf.DUMMYFUNCTION("""COMPUTED_VALUE"""),"🔑 ¡Perfecto! Saber *EXCEL INTERM* te dará ventaja frente a otros postulantes para conseguir prácticas.")</f>
        <v>🔑 ¡Perfecto! Saber *EXCEL INTERM* te dará ventaja frente a otros postulantes para conseguir prácticas.</v>
      </c>
      <c r="AP189" s="5" t="str">
        <f>IFERROR(__xludf.DUMMYFUNCTION("""COMPUTED_VALUE"""),"✨ ¡Excelente! Con *EXCEL INTERM* podrás aplicarlo en tu negocio y tomar decisiones más inteligentes.")</f>
        <v>✨ ¡Excelente! Con *EXCEL INTERM* podrás aplicarlo en tu negocio y tomar decisiones más inteligentes.</v>
      </c>
      <c r="AQ189" s="9" t="str">
        <f>IFERROR(__xludf.DUMMYFUNCTION("""COMPUTED_VALUE"""),"https://we-educacion.com/slides/microsoft-excel-intermedio-82")</f>
        <v>https://we-educacion.com/slides/microsoft-excel-intermedio-82</v>
      </c>
      <c r="AR189" s="5">
        <v>1.0</v>
      </c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</row>
    <row r="190" ht="15.75" customHeight="1">
      <c r="A190" s="5" t="s">
        <v>232</v>
      </c>
      <c r="B190" s="5" t="str">
        <f t="shared" si="1"/>
        <v>ENE. I - ED26</v>
      </c>
      <c r="C190" s="6" t="str">
        <f>IFERROR(__xludf.DUMMYFUNCTION("""COMPUTED_VALUE"""),"PROCESOS")</f>
        <v>PROCESOS</v>
      </c>
      <c r="D190" s="5" t="str">
        <f>IFERROR(__xludf.DUMMYFUNCTION("""COMPUTED_VALUE"""),"CURSO")</f>
        <v>CURSO</v>
      </c>
      <c r="E190" s="6" t="str">
        <f>IFERROR(__xludf.DUMMYFUNCTION("""COMPUTED_VALUE"""),"MODEL BIZ.")</f>
        <v>MODEL BIZ.</v>
      </c>
      <c r="F190" s="7">
        <f>IFERROR(__xludf.DUMMYFUNCTION("""COMPUTED_VALUE"""),46050.0)</f>
        <v>46050</v>
      </c>
      <c r="G190" s="6"/>
      <c r="H190" s="7"/>
      <c r="I190" s="6"/>
      <c r="J190" s="7"/>
      <c r="K190" s="6"/>
      <c r="L190" s="7"/>
      <c r="M190" s="6"/>
      <c r="N190" s="7"/>
      <c r="O190" s="6"/>
      <c r="P190" s="7"/>
      <c r="Q190" s="6" t="str">
        <f>IFERROR(__xludf.DUMMYFUNCTION("""COMPUTED_VALUE"""),"Julio Dávila")</f>
        <v>Julio Dávila</v>
      </c>
      <c r="R190" s="5" t="str">
        <f>IFERROR(__xludf.DUMMYFUNCTION("""COMPUTED_VALUE"""),"Mie")</f>
        <v>Mie</v>
      </c>
      <c r="S190" s="6" t="str">
        <f>IFERROR(__xludf.DUMMYFUNCTION("""COMPUTED_VALUE"""),"7PM - 10PM")</f>
        <v>7PM - 10PM</v>
      </c>
      <c r="T190" s="7" t="str">
        <f>IFERROR(__xludf.DUMMYFUNCTION("""COMPUTED_VALUE"""),"Miércoles 28 Enero")</f>
        <v>Miércoles 28 Enero</v>
      </c>
      <c r="U190" s="7" t="str">
        <f>IFERROR(__xludf.DUMMYFUNCTION("""COMPUTED_VALUE"""),"Miércoles 4 Marzo")</f>
        <v>Miércoles 4 Marzo</v>
      </c>
      <c r="V190" s="8">
        <f>IFERROR(__xludf.DUMMYFUNCTION("""COMPUTED_VALUE"""),6.0)</f>
        <v>6</v>
      </c>
      <c r="W190" s="6" t="str">
        <f>IFERROR(__xludf.DUMMYFUNCTION("""COMPUTED_VALUE"""),"pdfs/BROCHURE MODELAMIENTO DE PROCESOS CON BIZAGI.pdf")</f>
        <v>pdfs/BROCHURE MODELAMIENTO DE PROCESOS CON BIZAGI.pdf</v>
      </c>
      <c r="X190" s="6" t="str">
        <f>IFERROR(__xludf.DUMMYFUNCTION("""COMPUTED_VALUE"""),"🔵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programa"&amp;", el TEMARIO (malla curricular) y todos los BENEFICIOS 📚")</f>
        <v>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programa, el TEMARIO (malla curricular) y todos los BENEFICIOS 📚</v>
      </c>
      <c r="Y190" s="5" t="str">
        <f>IFERROR(__xludf.DUMMYFUNCTION("""COMPUTED_VALUE"""),"images/bizagi.jpg")</f>
        <v>images/bizagi.jpg</v>
      </c>
      <c r="Z190" s="5"/>
      <c r="AA190" s="5" t="str">
        <f>IFERROR(__xludf.DUMMYFUNCTION("""COMPUTED_VALUE"""),"NO")</f>
        <v>NO</v>
      </c>
      <c r="AB190" s="6">
        <f>IFERROR(__xludf.DUMMYFUNCTION("""COMPUTED_VALUE"""),610.0)</f>
        <v>610</v>
      </c>
      <c r="AC190" s="6">
        <f>IFERROR(__xludf.DUMMYFUNCTION("""COMPUTED_VALUE"""),550.0)</f>
        <v>550</v>
      </c>
      <c r="AD190" s="6">
        <f>IFERROR(__xludf.DUMMYFUNCTION("""COMPUTED_VALUE"""),305.0)</f>
        <v>305</v>
      </c>
      <c r="AE190" s="6">
        <f>IFERROR(__xludf.DUMMYFUNCTION("""COMPUTED_VALUE"""),275.0)</f>
        <v>275</v>
      </c>
      <c r="AF190" s="6">
        <f>IFERROR(__xludf.DUMMYFUNCTION("""COMPUTED_VALUE"""),150.0)</f>
        <v>150</v>
      </c>
      <c r="AG190" s="5">
        <f>IFERROR(__xludf.DUMMYFUNCTION("""COMPUTED_VALUE"""),150.0)</f>
        <v>150</v>
      </c>
      <c r="AH190" s="5"/>
      <c r="AI190" s="5">
        <f>IFERROR(__xludf.DUMMYFUNCTION("""COMPUTED_VALUE"""),247.5)</f>
        <v>247.5</v>
      </c>
      <c r="AJ190" s="5">
        <f>IFERROR(__xludf.DUMMYFUNCTION("""COMPUTED_VALUE"""),274.5)</f>
        <v>274.5</v>
      </c>
      <c r="AK190" s="5" t="str">
        <f>IFERROR(__xludf.DUMMYFUNCTION("""COMPUTED_VALUE"""),"*Entender el proceso es clave para cualquier proyecto* 🚀 
Aprende a diseñar, optimizar y automatizar procesos con Bizagi de forma práctica ⚙️
Ahora te adjunto la información a detalle 👇🏻")</f>
        <v>*Entender el proceso es clave para cualquier proyecto* 🚀 
Aprende a diseñar, optimizar y automatizar procesos con Bizagi de forma práctica ⚙️
Ahora te adjunto la información a detalle 👇🏻</v>
      </c>
      <c r="AL190" s="5" t="str">
        <f>IFERROR(__xludf.DUMMYFUNCTION("""COMPUTED_VALUE"""),"📈 Excelente, actualízate con Model Biz. y potencia tu visión estratégica en los negocios.")</f>
        <v>📈 Excelente, actualízate con Model Biz. y potencia tu visión estratégica en los negocios.</v>
      </c>
      <c r="AM190" s="5" t="str">
        <f>IFERROR(__xludf.DUMMYFUNCTION("""COMPUTED_VALUE"""),"💼 Buenísimo, dominar Model Biz. te dará más oportunidades en empresas que buscan perfiles analíticos.")</f>
        <v>💼 Buenísimo, dominar Model Biz. te dará más oportunidades en empresas que buscan perfiles analíticos.</v>
      </c>
      <c r="AN190" s="5" t="str">
        <f>IFERROR(__xludf.DUMMYFUNCTION("""COMPUTED_VALUE"""),"🎓 ¡Genial! Con Model Biz. sumarás una habilidad clave que te diferenciará desde la universidad.")</f>
        <v>🎓 ¡Genial! Con Model Biz. sumarás una habilidad clave que te diferenciará desde la universidad.</v>
      </c>
      <c r="AO190" s="5" t="str">
        <f>IFERROR(__xludf.DUMMYFUNCTION("""COMPUTED_VALUE"""),"🚀 ¡Perfecto! Conocer Model Biz. será un plus para destacar en prácticas profesionales.")</f>
        <v>🚀 ¡Perfecto! Conocer Model Biz. será un plus para destacar en prácticas profesionales.</v>
      </c>
      <c r="AP190" s="5" t="str">
        <f>IFERROR(__xludf.DUMMYFUNCTION("""COMPUTED_VALUE"""),"📊 ¡Excelente! Con Model Biz. podrás optimizar tu propio negocio y tomar decisiones más inteligentes.")</f>
        <v>📊 ¡Excelente! Con Model Biz. podrás optimizar tu propio negocio y tomar decisiones más inteligentes.</v>
      </c>
      <c r="AQ190" s="9" t="str">
        <f>IFERROR(__xludf.DUMMYFUNCTION("""COMPUTED_VALUE"""),"https://we-educacion.com/slides/modelamiento-de-procesos-con-bizagi-118")</f>
        <v>https://we-educacion.com/slides/modelamiento-de-procesos-con-bizagi-118</v>
      </c>
      <c r="AR190" s="5">
        <v>1.0</v>
      </c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</row>
    <row r="191" ht="15.75" customHeight="1">
      <c r="A191" s="5" t="s">
        <v>233</v>
      </c>
      <c r="B191" s="5" t="str">
        <f t="shared" si="1"/>
        <v>ENE. I - ED26</v>
      </c>
      <c r="C191" s="6" t="str">
        <f>IFERROR(__xludf.DUMMYFUNCTION("""COMPUTED_VALUE"""),"FINANZ")</f>
        <v>FINANZ</v>
      </c>
      <c r="D191" s="6" t="str">
        <f>IFERROR(__xludf.DUMMYFUNCTION("""COMPUTED_VALUE"""),"ESP.")</f>
        <v>ESP.</v>
      </c>
      <c r="E191" s="6" t="str">
        <f>IFERROR(__xludf.DUMMYFUNCTION("""COMPUTED_VALUE"""),"ESP. FINANZAS")</f>
        <v>ESP. FINANZAS</v>
      </c>
      <c r="F191" s="7">
        <f>IFERROR(__xludf.DUMMYFUNCTION("""COMPUTED_VALUE"""),46051.0)</f>
        <v>46051</v>
      </c>
      <c r="G191" s="6" t="str">
        <f>IFERROR(__xludf.DUMMYFUNCTION("""COMPUTED_VALUE"""),"CONT. FINANCIERA")</f>
        <v>CONT. FINANCIERA</v>
      </c>
      <c r="H191" s="7">
        <f>IFERROR(__xludf.DUMMYFUNCTION("""COMPUTED_VALUE"""),46051.0)</f>
        <v>46051</v>
      </c>
      <c r="I191" s="6" t="str">
        <f>IFERROR(__xludf.DUMMYFUNCTION("""COMPUTED_VALUE"""),"COST Y PRESUP")</f>
        <v>COST Y PRESUP</v>
      </c>
      <c r="J191" s="7">
        <f>IFERROR(__xludf.DUMMYFUNCTION("""COMPUTED_VALUE"""),46072.0)</f>
        <v>46072</v>
      </c>
      <c r="K191" s="6" t="str">
        <f>IFERROR(__xludf.DUMMYFUNCTION("""COMPUTED_VALUE"""),"SAP HANA FI")</f>
        <v>SAP HANA FI</v>
      </c>
      <c r="L191" s="7">
        <f>IFERROR(__xludf.DUMMYFUNCTION("""COMPUTED_VALUE"""),46093.0)</f>
        <v>46093</v>
      </c>
      <c r="M191" s="6"/>
      <c r="N191" s="7"/>
      <c r="O191" s="6"/>
      <c r="P191" s="7"/>
      <c r="Q191" s="6" t="str">
        <f>IFERROR(__xludf.DUMMYFUNCTION("""COMPUTED_VALUE"""),"Christian Montánchez
José Botonero
Andy Leyton")</f>
        <v>Christian Montánchez
José Botonero
Andy Leyton</v>
      </c>
      <c r="R191" s="5" t="str">
        <f>IFERROR(__xludf.DUMMYFUNCTION("""COMPUTED_VALUE"""),"Mar-Jue")</f>
        <v>Mar-Jue</v>
      </c>
      <c r="S191" s="6" t="str">
        <f>IFERROR(__xludf.DUMMYFUNCTION("""COMPUTED_VALUE"""),"7PM - 10PM")</f>
        <v>7PM - 10PM</v>
      </c>
      <c r="T191" s="7" t="str">
        <f>IFERROR(__xludf.DUMMYFUNCTION("""COMPUTED_VALUE"""),"Jueves 29 Enero")</f>
        <v>Jueves 29 Enero</v>
      </c>
      <c r="U191" s="7" t="str">
        <f>IFERROR(__xludf.DUMMYFUNCTION("""COMPUTED_VALUE"""),"Jueves 4 Junio")</f>
        <v>Jueves 4 Junio</v>
      </c>
      <c r="V191" s="8">
        <f>IFERROR(__xludf.DUMMYFUNCTION("""COMPUTED_VALUE"""),18.0)</f>
        <v>18</v>
      </c>
      <c r="W191" s="5" t="str">
        <f>IFERROR(__xludf.DUMMYFUNCTION("""COMPUTED_VALUE"""),"pdfs/BROCHURE ESPECIALIZACION EN FINANZAS APLICADAS.pdf")</f>
        <v>pdfs/BROCHURE ESPECIALIZACION EN FINANZAS APLICADAS.pdf</v>
      </c>
      <c r="X191" s="5" t="str">
        <f>IFERROR(__xludf.DUMMYFUNCTION("""COMPUTED_VALUE"""),"🔵 *Conoce TODOS los BENEFICIOS a los que accedes*
🔹 Acceso a Campus Virtual WE 👩🏻‍🏫
🔹 Material digital y grabación de clases 
🔹 Certificado digital por módulo con respaldo *SAP Open Ecosystem* e *ISO*
🔹 04 Cursos Online de regalo con acceso "&amp;"ilimitado 📚
🔹 Desarrollo y seguimiento de tu proyecto *(Evaluado)*
🔹 Garantía de Aprendizaje 100%
🔹 *Utilizarán SAP HANA* 👩🏻‍💻
👉🏼 Incluye tutorial y manual de instalación
👉🏼 12 meses de Licencia SAP para practicar
👉🏼 Contarás con Sopo"&amp;"rte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por módulo con respaldo *SAP Open Ecosystem* e *ISO*
🔹 04 Cursos Online de regalo con acceso ilimitado 📚
🔹 Desarrollo y seguimiento de tu proyecto *(Evaluado)*
🔹 Garantía de Aprendizaje 100%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191" s="5"/>
      <c r="Z191" s="5"/>
      <c r="AA191" s="5" t="str">
        <f>IFERROR(__xludf.DUMMYFUNCTION("""COMPUTED_VALUE"""),"NO")</f>
        <v>NO</v>
      </c>
      <c r="AB191" s="6">
        <f>IFERROR(__xludf.DUMMYFUNCTION("""COMPUTED_VALUE"""),2400.0)</f>
        <v>2400</v>
      </c>
      <c r="AC191" s="6">
        <f>IFERROR(__xludf.DUMMYFUNCTION("""COMPUTED_VALUE"""),2150.0)</f>
        <v>2150</v>
      </c>
      <c r="AD191" s="6">
        <f>IFERROR(__xludf.DUMMYFUNCTION("""COMPUTED_VALUE"""),1200.0)</f>
        <v>1200</v>
      </c>
      <c r="AE191" s="6">
        <f>IFERROR(__xludf.DUMMYFUNCTION("""COMPUTED_VALUE"""),1075.0)</f>
        <v>1075</v>
      </c>
      <c r="AF191" s="6">
        <f>IFERROR(__xludf.DUMMYFUNCTION("""COMPUTED_VALUE"""),250.0)</f>
        <v>250</v>
      </c>
      <c r="AG191" s="5">
        <f>IFERROR(__xludf.DUMMYFUNCTION("""COMPUTED_VALUE"""),350.0)</f>
        <v>350</v>
      </c>
      <c r="AH191" s="5"/>
      <c r="AI191" s="5">
        <f>IFERROR(__xludf.DUMMYFUNCTION("""COMPUTED_VALUE"""),967.5)</f>
        <v>967.5</v>
      </c>
      <c r="AJ191" s="5">
        <f>IFERROR(__xludf.DUMMYFUNCTION("""COMPUTED_VALUE"""),1080.0)</f>
        <v>1080</v>
      </c>
      <c r="AK191" s="5" t="str">
        <f>IFERROR(__xludf.DUMMYFUNCTION("""COMPUTED_VALUE"""),"La clave de toda empresa está en sus finanzas 💼
Domina la gestión financiera con herramientas modernas y eleva tu perfil profesional 📈
👉🏻 Te comparto la información.")</f>
        <v>La clave de toda empresa está en sus finanzas 💼
Domina la gestión financiera con herramientas modernas y eleva tu perfil profesional 📈
👉🏻 Te comparto la información.</v>
      </c>
      <c r="AL191" s="5" t="str">
        <f>IFERROR(__xludf.DUMMYFUNCTION("""COMPUTED_VALUE"""),"💰 Excelente, actualízate en finanzas y domina decisiones estratégicas.")</f>
        <v>💰 Excelente, actualízate en finanzas y domina decisiones estratégicas.</v>
      </c>
      <c r="AM191" s="5" t="str">
        <f>IFERROR(__xludf.DUMMYFUNCTION("""COMPUTED_VALUE"""),"🏦 Buenísimo, el mercado busca expertos en análisis y control financiero.")</f>
        <v>🏦 Buenísimo, el mercado busca expertos en análisis y control financiero.</v>
      </c>
      <c r="AN191" s="5" t="str">
        <f>IFERROR(__xludf.DUMMYFUNCTION("""COMPUTED_VALUE"""),"📊 Genial, finanzas te dará un perfil con competencias diferenciales.")</f>
        <v>📊 Genial, finanzas te dará un perfil con competencias diferenciales.</v>
      </c>
      <c r="AO191" s="5" t="str">
        <f>IFERROR(__xludf.DUMMYFUNCTION("""COMPUTED_VALUE"""),"📋 Perfecto, te abrirá más puertas en prácticas de administración.")</f>
        <v>📋 Perfecto, te abrirá más puertas en prácticas de administración.</v>
      </c>
      <c r="AP191" s="5" t="str">
        <f>IFERROR(__xludf.DUMMYFUNCTION("""COMPUTED_VALUE"""),"🚀 Excelente, con finanzas podrás gestionar y proyectar mejor tu negocio.")</f>
        <v>🚀 Excelente, con finanzas podrás gestionar y proyectar mejor tu negocio.</v>
      </c>
      <c r="AQ191" s="9" t="str">
        <f>IFERROR(__xludf.DUMMYFUNCTION("""COMPUTED_VALUE"""),"https://we-educacion.com/slides/especializacion-en-finanzas-aplicadas-1130")</f>
        <v>https://we-educacion.com/slides/especializacion-en-finanzas-aplicadas-1130</v>
      </c>
      <c r="AR191" s="5">
        <v>1.0</v>
      </c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</row>
    <row r="192" ht="15.75" customHeight="1">
      <c r="A192" s="5" t="s">
        <v>234</v>
      </c>
      <c r="B192" s="5" t="str">
        <f t="shared" si="1"/>
        <v>ENE. I - ED26</v>
      </c>
      <c r="C192" s="6" t="str">
        <f>IFERROR(__xludf.DUMMYFUNCTION("""COMPUTED_VALUE"""),"FINANZ")</f>
        <v>FINANZ</v>
      </c>
      <c r="D192" s="5" t="str">
        <f>IFERROR(__xludf.DUMMYFUNCTION("""COMPUTED_VALUE"""),"CURSO")</f>
        <v>CURSO</v>
      </c>
      <c r="E192" s="6" t="str">
        <f>IFERROR(__xludf.DUMMYFUNCTION("""COMPUTED_VALUE"""),"CONT. FINANCIERA")</f>
        <v>CONT. FINANCIERA</v>
      </c>
      <c r="F192" s="7">
        <f>IFERROR(__xludf.DUMMYFUNCTION("""COMPUTED_VALUE"""),46051.0)</f>
        <v>46051</v>
      </c>
      <c r="G192" s="6"/>
      <c r="H192" s="7"/>
      <c r="I192" s="6"/>
      <c r="J192" s="7"/>
      <c r="K192" s="6"/>
      <c r="L192" s="7"/>
      <c r="M192" s="6"/>
      <c r="N192" s="7"/>
      <c r="O192" s="6"/>
      <c r="P192" s="7"/>
      <c r="Q192" s="6" t="str">
        <f>IFERROR(__xludf.DUMMYFUNCTION("""COMPUTED_VALUE"""),"Christian Montánchez")</f>
        <v>Christian Montánchez</v>
      </c>
      <c r="R192" s="5" t="str">
        <f>IFERROR(__xludf.DUMMYFUNCTION("""COMPUTED_VALUE"""),"Mar-Jue")</f>
        <v>Mar-Jue</v>
      </c>
      <c r="S192" s="6" t="str">
        <f>IFERROR(__xludf.DUMMYFUNCTION("""COMPUTED_VALUE"""),"7PM - 10PM")</f>
        <v>7PM - 10PM</v>
      </c>
      <c r="T192" s="7" t="str">
        <f>IFERROR(__xludf.DUMMYFUNCTION("""COMPUTED_VALUE"""),"Jueves 29 Enero")</f>
        <v>Jueves 29 Enero</v>
      </c>
      <c r="U192" s="7" t="str">
        <f>IFERROR(__xludf.DUMMYFUNCTION("""COMPUTED_VALUE"""),"Martes 17 Febrero")</f>
        <v>Martes 17 Febrero</v>
      </c>
      <c r="V192" s="8">
        <f>IFERROR(__xludf.DUMMYFUNCTION("""COMPUTED_VALUE"""),6.0)</f>
        <v>6</v>
      </c>
      <c r="W192" s="5" t="str">
        <f>IFERROR(__xludf.DUMMYFUNCTION("""COMPUTED_VALUE"""),"pdfs/BROCHURE Contabilidad Financiera con ERP.pdf")</f>
        <v>pdfs/BROCHURE Contabilidad Financiera con ERP.pdf</v>
      </c>
      <c r="X192" s="5" t="str">
        <f>IFERROR(__xludf.DUMMYFUNCTION("""COMPUTED_VALUE"""),"🔹 Utilizarán CONCAR 👩🏻‍💻
👉🏼 Incluye tutorial y manual de instalación
💻 Importante: Para la instalación se necesita una Laptop Windows
🚨 Por favor, revisa el BROCHURE 👇🏻
Aqui encontrarás la información completa del programa: Temario (malla curri"&amp;"cular) y todos los BENEFICIOS 📚")</f>
        <v>🔹 Utilizarán CONCAR 👩🏻‍💻
👉🏼 Incluye tutorial y manual de instalación
💻 Importante: Para la instalación se necesita una Laptop Windows
🚨 Por favor, revisa el BROCHURE 👇🏻
Aqui encontrarás la información completa del programa: Temario (malla curricular) y todos los BENEFICIOS 📚</v>
      </c>
      <c r="Y192" s="5"/>
      <c r="Z192" s="5"/>
      <c r="AA192" s="5" t="str">
        <f>IFERROR(__xludf.DUMMYFUNCTION("""COMPUTED_VALUE"""),"NO")</f>
        <v>NO</v>
      </c>
      <c r="AB192" s="6">
        <f>IFERROR(__xludf.DUMMYFUNCTION("""COMPUTED_VALUE"""),750.0)</f>
        <v>750</v>
      </c>
      <c r="AC192" s="6">
        <f>IFERROR(__xludf.DUMMYFUNCTION("""COMPUTED_VALUE"""),700.0)</f>
        <v>700</v>
      </c>
      <c r="AD192" s="6">
        <f>IFERROR(__xludf.DUMMYFUNCTION("""COMPUTED_VALUE"""),375.0)</f>
        <v>375</v>
      </c>
      <c r="AE192" s="6">
        <f>IFERROR(__xludf.DUMMYFUNCTION("""COMPUTED_VALUE"""),350.0)</f>
        <v>350</v>
      </c>
      <c r="AF192" s="6">
        <f>IFERROR(__xludf.DUMMYFUNCTION("""COMPUTED_VALUE"""),150.0)</f>
        <v>150</v>
      </c>
      <c r="AG192" s="5">
        <f>IFERROR(__xludf.DUMMYFUNCTION("""COMPUTED_VALUE"""),150.0)</f>
        <v>150</v>
      </c>
      <c r="AH192" s="5"/>
      <c r="AI192" s="5">
        <f>IFERROR(__xludf.DUMMYFUNCTION("""COMPUTED_VALUE"""),315.0)</f>
        <v>315</v>
      </c>
      <c r="AJ192" s="5">
        <f>IFERROR(__xludf.DUMMYFUNCTION("""COMPUTED_VALUE"""),337.5)</f>
        <v>337.5</v>
      </c>
      <c r="AK192" s="5" t="str">
        <f>IFERROR(__xludf.DUMMYFUNCTION("""COMPUTED_VALUE"""),"El idioma de los negocios es la contabilidad financiera 📊
En pocas semanas aprenderás a analizar estados financieros y tomar decisiones estratégicas 💼.
Aquí la información completa 👇🏻")</f>
        <v>El idioma de los negocios es la contabilidad financiera 📊
En pocas semanas aprenderás a analizar estados financieros y tomar decisiones estratégicas 💼.
Aquí la información completa 👇🏻</v>
      </c>
      <c r="AL192" s="5" t="str">
        <f>IFERROR(__xludf.DUMMYFUNCTION("""COMPUTED_VALUE"""),"💰 *Excelente*, con *Contabilidad Financiera* te actualizarás en gestión económica y normativa vigente.")</f>
        <v>💰 *Excelente*, con *Contabilidad Financiera* te actualizarás en gestión económica y normativa vigente.</v>
      </c>
      <c r="AM192" s="5" t="str">
        <f>IFERROR(__xludf.DUMMYFUNCTION("""COMPUTED_VALUE"""),"💼 Buenísimo, la *Contabilidad Financiera* es muy pedida por empresas y te abrirá más oportunidades.")</f>
        <v>💼 Buenísimo, la *Contabilidad Financiera* es muy pedida por empresas y te abrirá más oportunidades.</v>
      </c>
      <c r="AN192" s="5" t="str">
        <f>IFERROR(__xludf.DUMMYFUNCTION("""COMPUTED_VALUE"""),"📘 ¡Perfecto! Aprender *Contabilidad Financiera* te diferenciará en la universidad con una base sólida.")</f>
        <v>📘 ¡Perfecto! Aprender *Contabilidad Financiera* te diferenciará en la universidad con una base sólida.</v>
      </c>
      <c r="AO192" s="5" t="str">
        <f>IFERROR(__xludf.DUMMYFUNCTION("""COMPUTED_VALUE"""),"🚀 ¡Genial! Conocer *Contabilidad Financiera* te dará ventaja en prácticas de áreas financieras.")</f>
        <v>🚀 ¡Genial! Conocer *Contabilidad Financiera* te dará ventaja en prácticas de áreas financieras.</v>
      </c>
      <c r="AP192" s="5" t="str">
        <f>IFERROR(__xludf.DUMMYFUNCTION("""COMPUTED_VALUE"""),"📊 ¡Muy bien! Como independiente, la *Contabilidad Financiera* te ayudará a manejar mejor tus finanzas.")</f>
        <v>📊 ¡Muy bien! Como independiente, la *Contabilidad Financiera* te ayudará a manejar mejor tus finanzas.</v>
      </c>
      <c r="AQ192" s="9" t="str">
        <f>IFERROR(__xludf.DUMMYFUNCTION("""COMPUTED_VALUE"""),"https://we-educacion.com/slides/contabilidad-financiera-1129")</f>
        <v>https://we-educacion.com/slides/contabilidad-financiera-1129</v>
      </c>
      <c r="AR192" s="5">
        <v>1.0</v>
      </c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</row>
    <row r="193" ht="15.75" customHeight="1">
      <c r="A193" s="5" t="s">
        <v>235</v>
      </c>
      <c r="B193" s="5" t="str">
        <f t="shared" si="1"/>
        <v>ENE. II - ED26</v>
      </c>
      <c r="C193" s="6" t="str">
        <f>IFERROR(__xludf.DUMMYFUNCTION("""COMPUTED_VALUE"""),"PROCESOS")</f>
        <v>PROCESOS</v>
      </c>
      <c r="D193" s="5" t="str">
        <f>IFERROR(__xludf.DUMMYFUNCTION("""COMPUTED_VALUE"""),"ESP.")</f>
        <v>ESP.</v>
      </c>
      <c r="E193" s="6" t="str">
        <f>IFERROR(__xludf.DUMMYFUNCTION("""COMPUTED_VALUE"""),"ESP. POWER APPS Y AUT.")</f>
        <v>ESP. POWER APPS Y AUT.</v>
      </c>
      <c r="F193" s="7">
        <f>IFERROR(__xludf.DUMMYFUNCTION("""COMPUTED_VALUE"""),46051.0)</f>
        <v>46051</v>
      </c>
      <c r="G193" s="6" t="str">
        <f>IFERROR(__xludf.DUMMYFUNCTION("""COMPUTED_VALUE"""),"POWER APPS Y AUT.")</f>
        <v>POWER APPS Y AUT.</v>
      </c>
      <c r="H193" s="7">
        <f>IFERROR(__xludf.DUMMYFUNCTION("""COMPUTED_VALUE"""),46051.0)</f>
        <v>46051</v>
      </c>
      <c r="I193" s="6" t="str">
        <f>IFERROR(__xludf.DUMMYFUNCTION("""COMPUTED_VALUE"""),"POWER APPS AVANZ")</f>
        <v>POWER APPS AVANZ</v>
      </c>
      <c r="J193" s="7">
        <f>IFERROR(__xludf.DUMMYFUNCTION("""COMPUTED_VALUE"""),46072.0)</f>
        <v>46072</v>
      </c>
      <c r="K193" s="6"/>
      <c r="L193" s="7"/>
      <c r="M193" s="6"/>
      <c r="N193" s="7"/>
      <c r="O193" s="6"/>
      <c r="P193" s="7"/>
      <c r="Q193" s="6" t="str">
        <f>IFERROR(__xludf.DUMMYFUNCTION("""COMPUTED_VALUE"""),"Luis Espejo
Cristian Raymondi")</f>
        <v>Luis Espejo
Cristian Raymondi</v>
      </c>
      <c r="R193" s="5" t="str">
        <f>IFERROR(__xludf.DUMMYFUNCTION("""COMPUTED_VALUE"""),"Mar-Jue")</f>
        <v>Mar-Jue</v>
      </c>
      <c r="S193" s="6" t="str">
        <f>IFERROR(__xludf.DUMMYFUNCTION("""COMPUTED_VALUE"""),"7PM - 10PM")</f>
        <v>7PM - 10PM</v>
      </c>
      <c r="T193" s="7" t="str">
        <f>IFERROR(__xludf.DUMMYFUNCTION("""COMPUTED_VALUE"""),"Jueves 29 Enero")</f>
        <v>Jueves 29 Enero</v>
      </c>
      <c r="U193" s="7" t="str">
        <f>IFERROR(__xludf.DUMMYFUNCTION("""COMPUTED_VALUE"""),"Martes 10 Marzo")</f>
        <v>Martes 10 Marzo</v>
      </c>
      <c r="V193" s="8">
        <f>IFERROR(__xludf.DUMMYFUNCTION("""COMPUTED_VALUE"""),12.0)</f>
        <v>12</v>
      </c>
      <c r="W193" s="5" t="str">
        <f>IFERROR(__xludf.DUMMYFUNCTION("""COMPUTED_VALUE"""),"pdfs/BROCHURE ESPECIALIZACION DE POWER APSS Y POWER AUTOMATE")</f>
        <v>pdfs/BROCHURE ESPECIALIZACION DE POWER APSS Y POWER AUTOMATE</v>
      </c>
      <c r="X193" s="5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193" s="5" t="str">
        <f>IFERROR(__xludf.DUMMYFUNCTION("""COMPUTED_VALUE"""),"images/esppowerapp.jpg")</f>
        <v>images/esppowerapp.jpg</v>
      </c>
      <c r="Z193" s="5" t="str">
        <f>IFERROR(__xludf.DUMMYFUNCTION("""COMPUTED_VALUE"""),"Avalado por Microsoft Partner Network")</f>
        <v>Avalado por Microsoft Partner Network</v>
      </c>
      <c r="AA193" s="5" t="str">
        <f>IFERROR(__xludf.DUMMYFUNCTION("""COMPUTED_VALUE"""),"NO")</f>
        <v>NO</v>
      </c>
      <c r="AB193" s="6">
        <f>IFERROR(__xludf.DUMMYFUNCTION("""COMPUTED_VALUE"""),1300.0)</f>
        <v>1300</v>
      </c>
      <c r="AC193" s="6">
        <f>IFERROR(__xludf.DUMMYFUNCTION("""COMPUTED_VALUE"""),1140.0)</f>
        <v>1140</v>
      </c>
      <c r="AD193" s="6">
        <f>IFERROR(__xludf.DUMMYFUNCTION("""COMPUTED_VALUE"""),650.0)</f>
        <v>650</v>
      </c>
      <c r="AE193" s="6">
        <f>IFERROR(__xludf.DUMMYFUNCTION("""COMPUTED_VALUE"""),570.0)</f>
        <v>570</v>
      </c>
      <c r="AF193" s="6">
        <f>IFERROR(__xludf.DUMMYFUNCTION("""COMPUTED_VALUE"""),250.0)</f>
        <v>250</v>
      </c>
      <c r="AG193" s="5">
        <f>IFERROR(__xludf.DUMMYFUNCTION("""COMPUTED_VALUE"""),350.0)</f>
        <v>350</v>
      </c>
      <c r="AH193" s="5"/>
      <c r="AI193" s="5">
        <f>IFERROR(__xludf.DUMMYFUNCTION("""COMPUTED_VALUE"""),513.0)</f>
        <v>513</v>
      </c>
      <c r="AJ193" s="5">
        <f>IFERROR(__xludf.DUMMYFUNCTION("""COMPUTED_VALUE"""),585.0)</f>
        <v>585</v>
      </c>
      <c r="AK193" s="5" t="str">
        <f>IFERROR(__xludf.DUMMYFUNCTION("""COMPUTED_VALUE"""),"La transformación digital está en tus manos 📲
Domina Power Apps y Power Automate para crear soluciones ágiles sin necesidad de programar 🤖
👉🏻 Te paso la información.")</f>
        <v>La transformación digital está en tus manos 📲
Domina Power Apps y Power Automate para crear soluciones ágiles sin necesidad de programar 🤖
👉🏻 Te paso la información.</v>
      </c>
      <c r="AL193" s="5" t="str">
        <f>IFERROR(__xludf.DUMMYFUNCTION("""COMPUTED_VALUE"""),"⚡ Excelente, actualízate en Power Apps y Automatización y crea soluciones innovadoras.")</f>
        <v>⚡ Excelente, actualízate en Power Apps y Automatización y crea soluciones innovadoras.</v>
      </c>
      <c r="AM193" s="5" t="str">
        <f>IFERROR(__xludf.DUMMYFUNCTION("""COMPUTED_VALUE"""),"🚀 Buenísimo, empresas buscan expertos en digitalización de procesos.")</f>
        <v>🚀 Buenísimo, empresas buscan expertos en digitalización de procesos.</v>
      </c>
      <c r="AN193" s="5" t="str">
        <f>IFERROR(__xludf.DUMMYFUNCTION("""COMPUTED_VALUE"""),"💡 Genial, estas herramientas harán tu perfil altamente competitivo.")</f>
        <v>💡 Genial, estas herramientas harán tu perfil altamente competitivo.</v>
      </c>
      <c r="AO193" s="5" t="str">
        <f>IFERROR(__xludf.DUMMYFUNCTION("""COMPUTED_VALUE"""),"📋 Perfecto, tendrás ventaja inmediata en prácticas de automatización.")</f>
        <v>📋 Perfecto, tendrás ventaja inmediata en prácticas de automatización.</v>
      </c>
      <c r="AP193" s="5" t="str">
        <f>IFERROR(__xludf.DUMMYFUNCTION("""COMPUTED_VALUE"""),"📊 Excelente, podrás crear apps propias y automatizar tu negocio.")</f>
        <v>📊 Excelente, podrás crear apps propias y automatizar tu negocio.</v>
      </c>
      <c r="AQ193" s="9" t="str">
        <f>IFERROR(__xludf.DUMMYFUNCTION("""COMPUTED_VALUE"""),"https://we-educacion.com/slides/especializacion-en-power-apps-automate-1113")</f>
        <v>https://we-educacion.com/slides/especializacion-en-power-apps-automate-1113</v>
      </c>
      <c r="AR193" s="5">
        <v>1.0</v>
      </c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</row>
    <row r="194" ht="15.75" customHeight="1">
      <c r="A194" s="5" t="s">
        <v>236</v>
      </c>
      <c r="B194" s="5" t="str">
        <f t="shared" si="1"/>
        <v>ENE. II - ED26</v>
      </c>
      <c r="C194" s="6" t="str">
        <f>IFERROR(__xludf.DUMMYFUNCTION("""COMPUTED_VALUE"""),"PROCESOS")</f>
        <v>PROCESOS</v>
      </c>
      <c r="D194" s="6" t="str">
        <f>IFERROR(__xludf.DUMMYFUNCTION("""COMPUTED_VALUE"""),"CURSO")</f>
        <v>CURSO</v>
      </c>
      <c r="E194" s="6" t="str">
        <f>IFERROR(__xludf.DUMMYFUNCTION("""COMPUTED_VALUE"""),"POWER APPS Y AUT.")</f>
        <v>POWER APPS Y AUT.</v>
      </c>
      <c r="F194" s="7">
        <f>IFERROR(__xludf.DUMMYFUNCTION("""COMPUTED_VALUE"""),46051.0)</f>
        <v>46051</v>
      </c>
      <c r="G194" s="6"/>
      <c r="H194" s="7"/>
      <c r="I194" s="6"/>
      <c r="J194" s="7"/>
      <c r="K194" s="6"/>
      <c r="L194" s="7"/>
      <c r="M194" s="6"/>
      <c r="N194" s="7"/>
      <c r="O194" s="6"/>
      <c r="P194" s="7"/>
      <c r="Q194" s="6" t="str">
        <f>IFERROR(__xludf.DUMMYFUNCTION("""COMPUTED_VALUE"""),"Luis Espejo")</f>
        <v>Luis Espejo</v>
      </c>
      <c r="R194" s="5" t="str">
        <f>IFERROR(__xludf.DUMMYFUNCTION("""COMPUTED_VALUE"""),"Mar-Jue")</f>
        <v>Mar-Jue</v>
      </c>
      <c r="S194" s="6" t="str">
        <f>IFERROR(__xludf.DUMMYFUNCTION("""COMPUTED_VALUE"""),"7PM - 10PM")</f>
        <v>7PM - 10PM</v>
      </c>
      <c r="T194" s="7" t="str">
        <f>IFERROR(__xludf.DUMMYFUNCTION("""COMPUTED_VALUE"""),"Jueves 29 Enero")</f>
        <v>Jueves 29 Enero</v>
      </c>
      <c r="U194" s="7" t="str">
        <f>IFERROR(__xludf.DUMMYFUNCTION("""COMPUTED_VALUE"""),"Martes 17 Febrero")</f>
        <v>Martes 17 Febrero</v>
      </c>
      <c r="V194" s="8">
        <f>IFERROR(__xludf.DUMMYFUNCTION("""COMPUTED_VALUE"""),6.0)</f>
        <v>6</v>
      </c>
      <c r="W194" s="5" t="str">
        <f>IFERROR(__xludf.DUMMYFUNCTION("""COMPUTED_VALUE"""),"pdfs/BROCHURE POWER APPS &amp; AUTOMATE.pdf")</f>
        <v>pdfs/BROCHURE POWER APPS &amp; AUTOMATE.pdf</v>
      </c>
      <c r="X194" s="5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194" s="5" t="str">
        <f>IFERROR(__xludf.DUMMYFUNCTION("""COMPUTED_VALUE"""),"images/powerapp.jpg")</f>
        <v>images/powerapp.jpg</v>
      </c>
      <c r="Z194" s="5" t="str">
        <f>IFERROR(__xludf.DUMMYFUNCTION("""COMPUTED_VALUE"""),"Avalado por Microsoft Partner Network")</f>
        <v>Avalado por Microsoft Partner Network</v>
      </c>
      <c r="AA194" s="5" t="str">
        <f>IFERROR(__xludf.DUMMYFUNCTION("""COMPUTED_VALUE"""),"NO")</f>
        <v>NO</v>
      </c>
      <c r="AB194" s="6">
        <f>IFERROR(__xludf.DUMMYFUNCTION("""COMPUTED_VALUE"""),650.0)</f>
        <v>650</v>
      </c>
      <c r="AC194" s="6">
        <f>IFERROR(__xludf.DUMMYFUNCTION("""COMPUTED_VALUE"""),570.0)</f>
        <v>570</v>
      </c>
      <c r="AD194" s="6">
        <f>IFERROR(__xludf.DUMMYFUNCTION("""COMPUTED_VALUE"""),325.0)</f>
        <v>325</v>
      </c>
      <c r="AE194" s="6">
        <f>IFERROR(__xludf.DUMMYFUNCTION("""COMPUTED_VALUE"""),285.0)</f>
        <v>285</v>
      </c>
      <c r="AF194" s="6">
        <f>IFERROR(__xludf.DUMMYFUNCTION("""COMPUTED_VALUE"""),150.0)</f>
        <v>150</v>
      </c>
      <c r="AG194" s="5">
        <f>IFERROR(__xludf.DUMMYFUNCTION("""COMPUTED_VALUE"""),150.0)</f>
        <v>150</v>
      </c>
      <c r="AH194" s="5"/>
      <c r="AI194" s="5">
        <f>IFERROR(__xludf.DUMMYFUNCTION("""COMPUTED_VALUE"""),256.5)</f>
        <v>256.5</v>
      </c>
      <c r="AJ194" s="5">
        <f>IFERROR(__xludf.DUMMYFUNCTION("""COMPUTED_VALUE"""),292.5)</f>
        <v>292.5</v>
      </c>
      <c r="AK194" s="5" t="str">
        <f>IFERROR(__xludf.DUMMYFUNCTION("""COMPUTED_VALUE"""),"Los líderes modernos impulsan la eficiencia con automatización inteligente 🤖
Con este programa dominarás Power Apps y Power Automate para transformar procesos empresariales 🚀.
Aquí la info completa 👇🏻")</f>
        <v>Los líderes modernos impulsan la eficiencia con automatización inteligente 🤖
Con este programa dominarás Power Apps y Power Automate para transformar procesos empresariales 🚀.
Aquí la info completa 👇🏻</v>
      </c>
      <c r="AL194" s="5" t="str">
        <f>IFERROR(__xludf.DUMMYFUNCTION("""COMPUTED_VALUE"""),"⚡ Excelente, actualízate con Power Apps y Automatización, la clave para transformar procesos digitales.")</f>
        <v>⚡ Excelente, actualízate con Power Apps y Automatización, la clave para transformar procesos digitales.</v>
      </c>
      <c r="AM194" s="5" t="str">
        <f>IFERROR(__xludf.DUMMYFUNCTION("""COMPUTED_VALUE"""),"💼 Buenísimo, Power Apps y Automatización es muy demandado en empresas que buscan eficiencia.")</f>
        <v>💼 Buenísimo, Power Apps y Automatización es muy demandado en empresas que buscan eficiencia.</v>
      </c>
      <c r="AN194" s="5" t="str">
        <f>IFERROR(__xludf.DUMMYFUNCTION("""COMPUTED_VALUE"""),"🎓 ¡Genial! Aprender automatización desde la universidad te dará una gran ventaja en el futuro.")</f>
        <v>🎓 ¡Genial! Aprender automatización desde la universidad te dará una gran ventaja en el futuro.</v>
      </c>
      <c r="AO194" s="5" t="str">
        <f>IFERROR(__xludf.DUMMYFUNCTION("""COMPUTED_VALUE"""),"🚀 ¡Perfecto! Con Power Apps y Automatización destacarás en prácticas en áreas de innovación.")</f>
        <v>🚀 ¡Perfecto! Con Power Apps y Automatización destacarás en prácticas en áreas de innovación.</v>
      </c>
      <c r="AP194" s="5" t="str">
        <f>IFERROR(__xludf.DUMMYFUNCTION("""COMPUTED_VALUE"""),"📊 ¡Excelente! Podrás crear soluciones automáticas para tu negocio y optimizar tu tiempo.")</f>
        <v>📊 ¡Excelente! Podrás crear soluciones automáticas para tu negocio y optimizar tu tiempo.</v>
      </c>
      <c r="AQ194" s="9" t="str">
        <f>IFERROR(__xludf.DUMMYFUNCTION("""COMPUTED_VALUE"""),"https://we-educacion.com/slides/power-apps-automate-1073")</f>
        <v>https://we-educacion.com/slides/power-apps-automate-1073</v>
      </c>
      <c r="AR194" s="5">
        <v>1.0</v>
      </c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</row>
    <row r="195" ht="15.75" customHeight="1">
      <c r="A195" s="5" t="s">
        <v>237</v>
      </c>
      <c r="B195" s="5" t="str">
        <f t="shared" si="1"/>
        <v>ENE. I - ED26</v>
      </c>
      <c r="C195" s="6" t="str">
        <f>IFERROR(__xludf.DUMMYFUNCTION("""COMPUTED_VALUE"""),"MINERA")</f>
        <v>MINERA</v>
      </c>
      <c r="D195" s="5" t="str">
        <f>IFERROR(__xludf.DUMMYFUNCTION("""COMPUTED_VALUE"""),"CURSO")</f>
        <v>CURSO</v>
      </c>
      <c r="E195" s="6" t="str">
        <f>IFERROR(__xludf.DUMMYFUNCTION("""COMPUTED_VALUE"""),"PLANIFICACIÓN MINERA")</f>
        <v>PLANIFICACIÓN MINERA</v>
      </c>
      <c r="F195" s="7">
        <f>IFERROR(__xludf.DUMMYFUNCTION("""COMPUTED_VALUE"""),46051.0)</f>
        <v>46051</v>
      </c>
      <c r="G195" s="6"/>
      <c r="H195" s="7"/>
      <c r="I195" s="6"/>
      <c r="J195" s="7"/>
      <c r="K195" s="6"/>
      <c r="L195" s="7"/>
      <c r="M195" s="6"/>
      <c r="N195" s="7"/>
      <c r="O195" s="6"/>
      <c r="P195" s="7"/>
      <c r="Q195" s="6"/>
      <c r="R195" s="5" t="str">
        <f>IFERROR(__xludf.DUMMYFUNCTION("""COMPUTED_VALUE"""),"Mar-Jue")</f>
        <v>Mar-Jue</v>
      </c>
      <c r="S195" s="6" t="str">
        <f>IFERROR(__xludf.DUMMYFUNCTION("""COMPUTED_VALUE"""),"7PM - 10PM")</f>
        <v>7PM - 10PM</v>
      </c>
      <c r="T195" s="7" t="str">
        <f>IFERROR(__xludf.DUMMYFUNCTION("""COMPUTED_VALUE"""),"Jueves 29 Enero")</f>
        <v>Jueves 29 Enero</v>
      </c>
      <c r="U195" s="7" t="str">
        <f>IFERROR(__xludf.DUMMYFUNCTION("""COMPUTED_VALUE"""),"Martes 17 Febrero")</f>
        <v>Martes 17 Febrero</v>
      </c>
      <c r="V195" s="8">
        <f>IFERROR(__xludf.DUMMYFUNCTION("""COMPUTED_VALUE"""),6.0)</f>
        <v>6</v>
      </c>
      <c r="W195" s="5"/>
      <c r="X195" s="5"/>
      <c r="Y195" s="5"/>
      <c r="Z195" s="5"/>
      <c r="AA195" s="5"/>
      <c r="AB195" s="6"/>
      <c r="AC195" s="6"/>
      <c r="AD195" s="6"/>
      <c r="AE195" s="6"/>
      <c r="AF195" s="6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 t="str">
        <f>IFERROR(__xludf.DUMMYFUNCTION("""COMPUTED_VALUE"""),"#N/A")</f>
        <v>#N/A</v>
      </c>
      <c r="AR195" s="5">
        <v>1.0</v>
      </c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</row>
    <row r="196" ht="15.75" customHeight="1">
      <c r="A196" s="5" t="s">
        <v>238</v>
      </c>
      <c r="B196" s="5" t="str">
        <f t="shared" si="1"/>
        <v>ENE. II - ED26</v>
      </c>
      <c r="C196" s="6" t="str">
        <f>IFERROR(__xludf.DUMMYFUNCTION("""COMPUTED_VALUE"""),"BI")</f>
        <v>BI</v>
      </c>
      <c r="D196" s="6" t="str">
        <f>IFERROR(__xludf.DUMMYFUNCTION("""COMPUTED_VALUE"""),"ESP.")</f>
        <v>ESP.</v>
      </c>
      <c r="E196" s="6" t="str">
        <f>IFERROR(__xludf.DUMMYFUNCTION("""COMPUTED_VALUE"""),"ESP. POWER BI")</f>
        <v>ESP. POWER BI</v>
      </c>
      <c r="F196" s="7">
        <f>IFERROR(__xludf.DUMMYFUNCTION("""COMPUTED_VALUE"""),46052.0)</f>
        <v>46052</v>
      </c>
      <c r="G196" s="6" t="str">
        <f>IFERROR(__xludf.DUMMYFUNCTION("""COMPUTED_VALUE"""),"POWER BI")</f>
        <v>POWER BI</v>
      </c>
      <c r="H196" s="7">
        <f>IFERROR(__xludf.DUMMYFUNCTION("""COMPUTED_VALUE"""),46052.0)</f>
        <v>46052</v>
      </c>
      <c r="I196" s="6" t="str">
        <f>IFERROR(__xludf.DUMMYFUNCTION("""COMPUTED_VALUE"""),"POWER BI AVANZ")</f>
        <v>POWER BI AVANZ</v>
      </c>
      <c r="J196" s="7">
        <f>IFERROR(__xludf.DUMMYFUNCTION("""COMPUTED_VALUE"""),46066.0)</f>
        <v>46066</v>
      </c>
      <c r="K196" s="6"/>
      <c r="L196" s="7"/>
      <c r="M196" s="6"/>
      <c r="N196" s="7"/>
      <c r="O196" s="6"/>
      <c r="P196" s="7"/>
      <c r="Q196" s="6" t="str">
        <f>IFERROR(__xludf.DUMMYFUNCTION("""COMPUTED_VALUE"""),"Rodrigo Sánchez
Moisés Bautista")</f>
        <v>Rodrigo Sánchez
Moisés Bautista</v>
      </c>
      <c r="R196" s="5" t="str">
        <f>IFERROR(__xludf.DUMMYFUNCTION("""COMPUTED_VALUE"""),"Lun-Mie-Vier")</f>
        <v>Lun-Mie-Vier</v>
      </c>
      <c r="S196" s="6" t="str">
        <f>IFERROR(__xludf.DUMMYFUNCTION("""COMPUTED_VALUE"""),"7PM - 10PM")</f>
        <v>7PM - 10PM</v>
      </c>
      <c r="T196" s="7" t="str">
        <f>IFERROR(__xludf.DUMMYFUNCTION("""COMPUTED_VALUE"""),"Viernes 30 Enero")</f>
        <v>Viernes 30 Enero</v>
      </c>
      <c r="U196" s="7" t="str">
        <f>IFERROR(__xludf.DUMMYFUNCTION("""COMPUTED_VALUE"""),"Miércoles 25 Febrero")</f>
        <v>Miércoles 25 Febrero</v>
      </c>
      <c r="V196" s="8">
        <f>IFERROR(__xludf.DUMMYFUNCTION("""COMPUTED_VALUE"""),12.0)</f>
        <v>12</v>
      </c>
      <c r="W196" s="5" t="str">
        <f>IFERROR(__xludf.DUMMYFUNCTION("""COMPUTED_VALUE"""),"pdfs/BROCHURE ESPECIALIZACION DE POWER BI.pdf")</f>
        <v>pdfs/BROCHURE ESPECIALIZACION DE POWER BI.pdf</v>
      </c>
      <c r="X196" s="5" t="str">
        <f>IFERROR(__xludf.DUMMYFUNCTION("""COMPUTED_VALUE"""),"🔵 *Utilizarán Power BI Desktop y Power BI Pro* 👩🏻‍💻
👉🏼 Incluye tutorial y manual de instalación
👉🏼 Manual de Lenguaje DAX en Power BI
💻 _*Importante*: Para la instalación se necesita una Laptop *Windows*_
🚨 *Por favor, revisa el BROCHURE* 👇🏻
"&amp;"Aqui encontrarás la información completa del programa, el TEMARIO (malla curricular) y todos los BENEFICIOS 📚")</f>
        <v>🔵 *Utilizarán Power BI Desktop y Power BI Pro*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196" s="5" t="str">
        <f>IFERROR(__xludf.DUMMYFUNCTION("""COMPUTED_VALUE"""),"images/esppowerbi.jpg")</f>
        <v>images/esppowerbi.jpg</v>
      </c>
      <c r="Z196" s="5" t="str">
        <f>IFERROR(__xludf.DUMMYFUNCTION("""COMPUTED_VALUE"""),"Avalado por Microsoft Partner Network")</f>
        <v>Avalado por Microsoft Partner Network</v>
      </c>
      <c r="AA196" s="5" t="str">
        <f>IFERROR(__xludf.DUMMYFUNCTION("""COMPUTED_VALUE"""),"NO")</f>
        <v>NO</v>
      </c>
      <c r="AB196" s="6">
        <f>IFERROR(__xludf.DUMMYFUNCTION("""COMPUTED_VALUE"""),1600.0)</f>
        <v>1600</v>
      </c>
      <c r="AC196" s="6">
        <f>IFERROR(__xludf.DUMMYFUNCTION("""COMPUTED_VALUE"""),1400.0)</f>
        <v>1400</v>
      </c>
      <c r="AD196" s="6">
        <f>IFERROR(__xludf.DUMMYFUNCTION("""COMPUTED_VALUE"""),800.0)</f>
        <v>800</v>
      </c>
      <c r="AE196" s="6">
        <f>IFERROR(__xludf.DUMMYFUNCTION("""COMPUTED_VALUE"""),700.0)</f>
        <v>700</v>
      </c>
      <c r="AF196" s="6">
        <f>IFERROR(__xludf.DUMMYFUNCTION("""COMPUTED_VALUE"""),250.0)</f>
        <v>250</v>
      </c>
      <c r="AG196" s="5">
        <f>IFERROR(__xludf.DUMMYFUNCTION("""COMPUTED_VALUE"""),350.0)</f>
        <v>350</v>
      </c>
      <c r="AH196" s="5"/>
      <c r="AI196" s="5">
        <f>IFERROR(__xludf.DUMMYFUNCTION("""COMPUTED_VALUE"""),630.0)</f>
        <v>630</v>
      </c>
      <c r="AJ196" s="5">
        <f>IFERROR(__xludf.DUMMYFUNCTION("""COMPUTED_VALUE"""),720.0)</f>
        <v>720</v>
      </c>
      <c r="AK196" s="5" t="str">
        <f>IFERROR(__xludf.DUMMYFUNCTION("""COMPUTED_VALUE"""),"El lenguaje de las empresas hoy son los datos 🚀
Conviértete en especialista en Power BI y domina la visualización de información estratégica 📊
👉🏻 Aquí tienes el detalle.")</f>
        <v>El lenguaje de las empresas hoy son los datos 🚀
Conviértete en especialista en Power BI y domina la visualización de información estratégica 📊
👉🏻 Aquí tienes el detalle.</v>
      </c>
      <c r="AL196" s="5" t="str">
        <f>IFERROR(__xludf.DUMMYFUNCTION("""COMPUTED_VALUE"""),"📈 Excelente, actualízate con Power BI y domina la inteligencia de negocios.")</f>
        <v>📈 Excelente, actualízate con Power BI y domina la inteligencia de negocios.</v>
      </c>
      <c r="AM196" s="5" t="str">
        <f>IFERROR(__xludf.DUMMYFUNCTION("""COMPUTED_VALUE"""),"💼 Buenísimo, muy buscado en empresas que requieren análisis y dashboards.")</f>
        <v>💼 Buenísimo, muy buscado en empresas que requieren análisis y dashboards.</v>
      </c>
      <c r="AN196" s="5" t="str">
        <f>IFERROR(__xludf.DUMMYFUNCTION("""COMPUTED_VALUE"""),"🚀 Genial, será tu diferencial en el mercado laboral.")</f>
        <v>🚀 Genial, será tu diferencial en el mercado laboral.</v>
      </c>
      <c r="AO196" s="5" t="str">
        <f>IFERROR(__xludf.DUMMYFUNCTION("""COMPUTED_VALUE"""),"📊 Perfecto, Power BI te dará ventaja en reportes y decisiones en prácticas.")</f>
        <v>📊 Perfecto, Power BI te dará ventaja en reportes y decisiones en prácticas.</v>
      </c>
      <c r="AP196" s="5" t="str">
        <f>IFERROR(__xludf.DUMMYFUNCTION("""COMPUTED_VALUE"""),"🔑 Excelente, con Power BI podrás visualizar tu negocio con datos claros.")</f>
        <v>🔑 Excelente, con Power BI podrás visualizar tu negocio con datos claros.</v>
      </c>
      <c r="AQ196" s="9" t="str">
        <f>IFERROR(__xludf.DUMMYFUNCTION("""COMPUTED_VALUE"""),"https://we-educacion.com/slides/especializacion-en-power-bi-106")</f>
        <v>https://we-educacion.com/slides/especializacion-en-power-bi-106</v>
      </c>
      <c r="AR196" s="5">
        <v>1.0</v>
      </c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</row>
    <row r="197" ht="15.75" customHeight="1">
      <c r="A197" s="5" t="s">
        <v>239</v>
      </c>
      <c r="B197" s="5" t="str">
        <f t="shared" si="1"/>
        <v>ENE. II - ED26</v>
      </c>
      <c r="C197" s="6" t="str">
        <f>IFERROR(__xludf.DUMMYFUNCTION("""COMPUTED_VALUE"""),"BI")</f>
        <v>BI</v>
      </c>
      <c r="D197" s="6" t="str">
        <f>IFERROR(__xludf.DUMMYFUNCTION("""COMPUTED_VALUE"""),"CURSO")</f>
        <v>CURSO</v>
      </c>
      <c r="E197" s="6" t="str">
        <f>IFERROR(__xludf.DUMMYFUNCTION("""COMPUTED_VALUE"""),"POWER BI")</f>
        <v>POWER BI</v>
      </c>
      <c r="F197" s="7">
        <f>IFERROR(__xludf.DUMMYFUNCTION("""COMPUTED_VALUE"""),46052.0)</f>
        <v>46052</v>
      </c>
      <c r="G197" s="6"/>
      <c r="H197" s="7"/>
      <c r="I197" s="6"/>
      <c r="J197" s="7"/>
      <c r="K197" s="6"/>
      <c r="L197" s="7"/>
      <c r="M197" s="6"/>
      <c r="N197" s="7"/>
      <c r="O197" s="6"/>
      <c r="P197" s="7"/>
      <c r="Q197" s="6" t="str">
        <f>IFERROR(__xludf.DUMMYFUNCTION("""COMPUTED_VALUE"""),"Rodrigo Sánchez")</f>
        <v>Rodrigo Sánchez</v>
      </c>
      <c r="R197" s="5" t="str">
        <f>IFERROR(__xludf.DUMMYFUNCTION("""COMPUTED_VALUE"""),"Lun-Mie-Vier")</f>
        <v>Lun-Mie-Vier</v>
      </c>
      <c r="S197" s="6" t="str">
        <f>IFERROR(__xludf.DUMMYFUNCTION("""COMPUTED_VALUE"""),"7PM - 10PM")</f>
        <v>7PM - 10PM</v>
      </c>
      <c r="T197" s="7" t="str">
        <f>IFERROR(__xludf.DUMMYFUNCTION("""COMPUTED_VALUE"""),"Viernes 30 Enero")</f>
        <v>Viernes 30 Enero</v>
      </c>
      <c r="U197" s="7" t="str">
        <f>IFERROR(__xludf.DUMMYFUNCTION("""COMPUTED_VALUE"""),"Miércoles 11 Febrero")</f>
        <v>Miércoles 11 Febrero</v>
      </c>
      <c r="V197" s="8">
        <f>IFERROR(__xludf.DUMMYFUNCTION("""COMPUTED_VALUE"""),6.0)</f>
        <v>6</v>
      </c>
      <c r="W197" s="5" t="str">
        <f>IFERROR(__xludf.DUMMYFUNCTION("""COMPUTED_VALUE"""),"pdfs/BROCHURE POWER BI.pdf")</f>
        <v>pdfs/BROCHURE POWER BI.pdf</v>
      </c>
      <c r="X197" s="5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197" s="5" t="str">
        <f>IFERROR(__xludf.DUMMYFUNCTION("""COMPUTED_VALUE"""),"images/powerbi.jpg")</f>
        <v>images/powerbi.jpg</v>
      </c>
      <c r="Z197" s="5" t="str">
        <f>IFERROR(__xludf.DUMMYFUNCTION("""COMPUTED_VALUE"""),"Avalado por Microsoft Partner Network")</f>
        <v>Avalado por Microsoft Partner Network</v>
      </c>
      <c r="AA197" s="5" t="str">
        <f>IFERROR(__xludf.DUMMYFUNCTION("""COMPUTED_VALUE"""),"NO")</f>
        <v>NO</v>
      </c>
      <c r="AB197" s="6">
        <f>IFERROR(__xludf.DUMMYFUNCTION("""COMPUTED_VALUE"""),830.0)</f>
        <v>830</v>
      </c>
      <c r="AC197" s="6">
        <f>IFERROR(__xludf.DUMMYFUNCTION("""COMPUTED_VALUE"""),740.0)</f>
        <v>740</v>
      </c>
      <c r="AD197" s="6">
        <f>IFERROR(__xludf.DUMMYFUNCTION("""COMPUTED_VALUE"""),415.0)</f>
        <v>415</v>
      </c>
      <c r="AE197" s="6">
        <f>IFERROR(__xludf.DUMMYFUNCTION("""COMPUTED_VALUE"""),370.0)</f>
        <v>370</v>
      </c>
      <c r="AF197" s="6">
        <f>IFERROR(__xludf.DUMMYFUNCTION("""COMPUTED_VALUE"""),150.0)</f>
        <v>150</v>
      </c>
      <c r="AG197" s="5">
        <f>IFERROR(__xludf.DUMMYFUNCTION("""COMPUTED_VALUE"""),150.0)</f>
        <v>150</v>
      </c>
      <c r="AH197" s="5"/>
      <c r="AI197" s="5">
        <f>IFERROR(__xludf.DUMMYFUNCTION("""COMPUTED_VALUE"""),333.0)</f>
        <v>333</v>
      </c>
      <c r="AJ197" s="5">
        <f>IFERROR(__xludf.DUMMYFUNCTION("""COMPUTED_VALUE"""),373.5)</f>
        <v>373.5</v>
      </c>
      <c r="AK197" s="5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197" s="5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197" s="5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197" s="5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197" s="5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197" s="5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197" s="9" t="str">
        <f>IFERROR(__xludf.DUMMYFUNCTION("""COMPUTED_VALUE"""),"https://we-educacion.com/slides/power-bi-46")</f>
        <v>https://we-educacion.com/slides/power-bi-46</v>
      </c>
      <c r="AR197" s="5">
        <v>1.0</v>
      </c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</row>
    <row r="198" ht="15.75" customHeight="1">
      <c r="A198" s="5" t="s">
        <v>240</v>
      </c>
      <c r="B198" s="5" t="str">
        <f t="shared" si="1"/>
        <v>ENE. I - ED26</v>
      </c>
      <c r="C198" s="6" t="str">
        <f>IFERROR(__xludf.DUMMYFUNCTION("""COMPUTED_VALUE"""),"EXCEL")</f>
        <v>EXCEL</v>
      </c>
      <c r="D198" s="5" t="str">
        <f>IFERROR(__xludf.DUMMYFUNCTION("""COMPUTED_VALUE"""),"ESP.")</f>
        <v>ESP.</v>
      </c>
      <c r="E198" s="6" t="str">
        <f>IFERROR(__xludf.DUMMYFUNCTION("""COMPUTED_VALUE"""),"ESP. MACROS")</f>
        <v>ESP. MACROS</v>
      </c>
      <c r="F198" s="7">
        <f>IFERROR(__xludf.DUMMYFUNCTION("""COMPUTED_VALUE"""),46053.0)</f>
        <v>46053</v>
      </c>
      <c r="G198" s="6" t="str">
        <f>IFERROR(__xludf.DUMMYFUNCTION("""COMPUTED_VALUE"""),"EXCEL AVANZ")</f>
        <v>EXCEL AVANZ</v>
      </c>
      <c r="H198" s="7">
        <f>IFERROR(__xludf.DUMMYFUNCTION("""COMPUTED_VALUE"""),46053.0)</f>
        <v>46053</v>
      </c>
      <c r="I198" s="6" t="str">
        <f>IFERROR(__xludf.DUMMYFUNCTION("""COMPUTED_VALUE"""),"PROG. MACROS")</f>
        <v>PROG. MACROS</v>
      </c>
      <c r="J198" s="7">
        <f>IFERROR(__xludf.DUMMYFUNCTION("""COMPUTED_VALUE"""),46095.0)</f>
        <v>46095</v>
      </c>
      <c r="K198" s="6"/>
      <c r="L198" s="7"/>
      <c r="M198" s="6"/>
      <c r="N198" s="7"/>
      <c r="O198" s="6"/>
      <c r="P198" s="7"/>
      <c r="Q198" s="6" t="str">
        <f>IFERROR(__xludf.DUMMYFUNCTION("""COMPUTED_VALUE"""),"Carlos Mesta
Julio Ccari")</f>
        <v>Carlos Mesta
Julio Ccari</v>
      </c>
      <c r="R198" s="5" t="str">
        <f>IFERROR(__xludf.DUMMYFUNCTION("""COMPUTED_VALUE"""),"Sáb")</f>
        <v>Sáb</v>
      </c>
      <c r="S198" s="6" t="str">
        <f>IFERROR(__xludf.DUMMYFUNCTION("""COMPUTED_VALUE"""),"3PM - 6PM")</f>
        <v>3PM - 6PM</v>
      </c>
      <c r="T198" s="7" t="str">
        <f>IFERROR(__xludf.DUMMYFUNCTION("""COMPUTED_VALUE"""),"Sábado 31 Enero")</f>
        <v>Sábado 31 Enero</v>
      </c>
      <c r="U198" s="7" t="str">
        <f>IFERROR(__xludf.DUMMYFUNCTION("""COMPUTED_VALUE"""),"Sábado 18 Abril")</f>
        <v>Sábado 18 Abril</v>
      </c>
      <c r="V198" s="8">
        <f>IFERROR(__xludf.DUMMYFUNCTION("""COMPUTED_VALUE"""),12.0)</f>
        <v>12</v>
      </c>
      <c r="W198" s="5" t="str">
        <f>IFERROR(__xludf.DUMMYFUNCTION("""COMPUTED_VALUE"""),"pdfs/BROCHURE ESPECIALIZACIÓN EN AUTOMATIZACIÓN CON MACROS EN EXCEL.pdf")</f>
        <v>pdfs/BROCHURE ESPECIALIZACIÓN EN AUTOMATIZACIÓN CON MACROS EN EXCEL.pdf</v>
      </c>
      <c r="X198" s="5" t="str">
        <f>IFERROR(__xludf.DUMMYFUNCTION("""COMPUTED_VALUE"""),"🔵 *Conoce TODOS los BENEFICIOS a los que accedes*
🔹 Acceso a *Campus Virtual* WE 👩🏻‍🏫
🔹 Material digital y grabación de clases 
🔹 Certificados digitales con respaldo *Microsoft Partner*
🔹 04 Cursos Online de regalo con acceso ilimitado 📚
🔹 Desa"&amp;"rrollo y seguimiento de tu proyecto *(Evaluado)*
🔹 Contenido Integrado con Chat GPT
🔹 Garantía de Aprendizaje 100%
🔹 *Utilizarán Excel* 👩🏻‍💻
🚨 *Por favor, revisa el BROCHURE* 👇🏻
Aqui encontrarás la información completa del programa, el TEMARIO "&amp;"(malla curricular) y todos los BENEFICIOS 📚")</f>
        <v>🔵 *Conoce TODOS los BENEFICIOS a los que accedes*
🔹 Acceso a *Campus Virtual* WE 👩🏻‍🏫
🔹 Material digital y grabación de clases 
🔹 Certificados digitales con respaldo *Microsoft Partner*
🔹 04 Cursos Online de regalo con acceso ilimitado 📚
🔹 Desarrollo y seguimiento de tu proyecto *(Evaluado)*
🔹 Contenido Integrado con Chat GPT
🔹 Garantía de Aprendizaje 100%
🔹 *Utilizarán Excel* 👩🏻‍💻
🚨 *Por favor, revisa el BROCHURE* 👇🏻
Aqui encontrarás la información completa del programa, el TEMARIO (malla curricular) y todos los BENEFICIOS 📚</v>
      </c>
      <c r="Y198" s="5" t="str">
        <f>IFERROR(__xludf.DUMMYFUNCTION("""COMPUTED_VALUE"""),"images/espmacros.jpg")</f>
        <v>images/espmacros.jpg</v>
      </c>
      <c r="Z198" s="5" t="str">
        <f>IFERROR(__xludf.DUMMYFUNCTION("""COMPUTED_VALUE"""),"Avalado por Microsoft Partner Network")</f>
        <v>Avalado por Microsoft Partner Network</v>
      </c>
      <c r="AA198" s="5" t="str">
        <f>IFERROR(__xludf.DUMMYFUNCTION("""COMPUTED_VALUE"""),"NO")</f>
        <v>NO</v>
      </c>
      <c r="AB198" s="6">
        <f>IFERROR(__xludf.DUMMYFUNCTION("""COMPUTED_VALUE"""),890.0)</f>
        <v>890</v>
      </c>
      <c r="AC198" s="6">
        <f>IFERROR(__xludf.DUMMYFUNCTION("""COMPUTED_VALUE"""),840.0)</f>
        <v>840</v>
      </c>
      <c r="AD198" s="6">
        <f>IFERROR(__xludf.DUMMYFUNCTION("""COMPUTED_VALUE"""),445.0)</f>
        <v>445</v>
      </c>
      <c r="AE198" s="6">
        <f>IFERROR(__xludf.DUMMYFUNCTION("""COMPUTED_VALUE"""),420.0)</f>
        <v>420</v>
      </c>
      <c r="AF198" s="6">
        <f>IFERROR(__xludf.DUMMYFUNCTION("""COMPUTED_VALUE"""),250.0)</f>
        <v>250</v>
      </c>
      <c r="AG198" s="5">
        <f>IFERROR(__xludf.DUMMYFUNCTION("""COMPUTED_VALUE"""),350.0)</f>
        <v>350</v>
      </c>
      <c r="AH198" s="5"/>
      <c r="AI198" s="5">
        <f>IFERROR(__xludf.DUMMYFUNCTION("""COMPUTED_VALUE"""),378.0)</f>
        <v>378</v>
      </c>
      <c r="AJ198" s="5">
        <f>IFERROR(__xludf.DUMMYFUNCTION("""COMPUTED_VALUE"""),400.5)</f>
        <v>400.5</v>
      </c>
      <c r="AK198" s="5" t="str">
        <f>IFERROR(__xludf.DUMMYFUNCTION("""COMPUTED_VALUE"""),"La automatización es la nueva productividad ⚡
Aprende a crear Macros en Excel para optimizar reportes y procesos repetitivos 📑
👉🏻 Aquí tienes la información completa.")</f>
        <v>La automatización es la nueva productividad ⚡
Aprende a crear Macros en Excel para optimizar reportes y procesos repetitivos 📑
👉🏻 Aquí tienes la información completa.</v>
      </c>
      <c r="AL198" s="5" t="str">
        <f>IFERROR(__xludf.DUMMYFUNCTION("""COMPUTED_VALUE"""),"📊 Excelente, actualízate en Macros de Excel y automatiza procesos al máximo.")</f>
        <v>📊 Excelente, actualízate en Macros de Excel y automatiza procesos al máximo.</v>
      </c>
      <c r="AM198" s="5" t="str">
        <f>IFERROR(__xludf.DUMMYFUNCTION("""COMPUTED_VALUE"""),"💼 Buenísimo, muy demandado en gestión de datos y reportes.")</f>
        <v>💼 Buenísimo, muy demandado en gestión de datos y reportes.</v>
      </c>
      <c r="AN198" s="5" t="str">
        <f>IFERROR(__xludf.DUMMYFUNCTION("""COMPUTED_VALUE"""),"⚡ Genial, te dará ventaja en automatización de tareas complejas.")</f>
        <v>⚡ Genial, te dará ventaja en automatización de tareas complejas.</v>
      </c>
      <c r="AO198" s="5" t="str">
        <f>IFERROR(__xludf.DUMMYFUNCTION("""COMPUTED_VALUE"""),"🚀 Perfecto, tener macros es un plus en prácticas de oficina y análisis.")</f>
        <v>🚀 Perfecto, tener macros es un plus en prácticas de oficina y análisis.</v>
      </c>
      <c r="AP198" s="5" t="str">
        <f>IFERROR(__xludf.DUMMYFUNCTION("""COMPUTED_VALUE"""),"📈 Excelente, con macros podrás ahorrar tiempo y gestionar tu negocio mejor.")</f>
        <v>📈 Excelente, con macros podrás ahorrar tiempo y gestionar tu negocio mejor.</v>
      </c>
      <c r="AQ198" s="9" t="str">
        <f>IFERROR(__xludf.DUMMYFUNCTION("""COMPUTED_VALUE"""),"https://we-educacion.com/slides/especializacion-en-vba-macros-en-excel-160")</f>
        <v>https://we-educacion.com/slides/especializacion-en-vba-macros-en-excel-160</v>
      </c>
      <c r="AR198" s="5">
        <v>1.0</v>
      </c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</row>
    <row r="199" ht="15.75" customHeight="1">
      <c r="A199" s="5" t="s">
        <v>241</v>
      </c>
      <c r="B199" s="5" t="str">
        <f t="shared" si="1"/>
        <v>ENE. I - ED26</v>
      </c>
      <c r="C199" s="6" t="str">
        <f>IFERROR(__xludf.DUMMYFUNCTION("""COMPUTED_VALUE"""),"EXCEL")</f>
        <v>EXCEL</v>
      </c>
      <c r="D199" s="5" t="str">
        <f>IFERROR(__xludf.DUMMYFUNCTION("""COMPUTED_VALUE"""),"CURSO")</f>
        <v>CURSO</v>
      </c>
      <c r="E199" s="6" t="str">
        <f>IFERROR(__xludf.DUMMYFUNCTION("""COMPUTED_VALUE"""),"EXCEL AVANZ")</f>
        <v>EXCEL AVANZ</v>
      </c>
      <c r="F199" s="7">
        <f>IFERROR(__xludf.DUMMYFUNCTION("""COMPUTED_VALUE"""),46053.0)</f>
        <v>46053</v>
      </c>
      <c r="G199" s="6"/>
      <c r="H199" s="7"/>
      <c r="I199" s="6"/>
      <c r="J199" s="7"/>
      <c r="K199" s="6"/>
      <c r="L199" s="7"/>
      <c r="M199" s="6"/>
      <c r="N199" s="7"/>
      <c r="O199" s="6"/>
      <c r="P199" s="7"/>
      <c r="Q199" s="6" t="str">
        <f>IFERROR(__xludf.DUMMYFUNCTION("""COMPUTED_VALUE"""),"Carlos Mesta")</f>
        <v>Carlos Mesta</v>
      </c>
      <c r="R199" s="5" t="str">
        <f>IFERROR(__xludf.DUMMYFUNCTION("""COMPUTED_VALUE"""),"Sáb")</f>
        <v>Sáb</v>
      </c>
      <c r="S199" s="6" t="str">
        <f>IFERROR(__xludf.DUMMYFUNCTION("""COMPUTED_VALUE"""),"3PM - 6PM")</f>
        <v>3PM - 6PM</v>
      </c>
      <c r="T199" s="7" t="str">
        <f>IFERROR(__xludf.DUMMYFUNCTION("""COMPUTED_VALUE"""),"Sábado 31 Enero")</f>
        <v>Sábado 31 Enero</v>
      </c>
      <c r="U199" s="7" t="str">
        <f>IFERROR(__xludf.DUMMYFUNCTION("""COMPUTED_VALUE"""),"Sábado 7 Marzo")</f>
        <v>Sábado 7 Marzo</v>
      </c>
      <c r="V199" s="8">
        <f>IFERROR(__xludf.DUMMYFUNCTION("""COMPUTED_VALUE"""),6.0)</f>
        <v>6</v>
      </c>
      <c r="W199" s="5" t="str">
        <f>IFERROR(__xludf.DUMMYFUNCTION("""COMPUTED_VALUE"""),"pdfs/BROCHURE EXCEL AVANZADO.pdf")</f>
        <v>pdfs/BROCHURE EXCEL AVANZADO.pdf</v>
      </c>
      <c r="X199" s="5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199" s="5" t="str">
        <f>IFERROR(__xludf.DUMMYFUNCTION("""COMPUTED_VALUE"""),"images/excelavanz.jpg")</f>
        <v>images/excelavanz.jpg</v>
      </c>
      <c r="Z199" s="5" t="str">
        <f>IFERROR(__xludf.DUMMYFUNCTION("""COMPUTED_VALUE"""),"Avalado por Microsoft Partner Network")</f>
        <v>Avalado por Microsoft Partner Network</v>
      </c>
      <c r="AA199" s="5" t="str">
        <f>IFERROR(__xludf.DUMMYFUNCTION("""COMPUTED_VALUE"""),"NO")</f>
        <v>NO</v>
      </c>
      <c r="AB199" s="6">
        <f>IFERROR(__xludf.DUMMYFUNCTION("""COMPUTED_VALUE"""),420.0)</f>
        <v>420</v>
      </c>
      <c r="AC199" s="6">
        <f>IFERROR(__xludf.DUMMYFUNCTION("""COMPUTED_VALUE"""),400.0)</f>
        <v>400</v>
      </c>
      <c r="AD199" s="6">
        <f>IFERROR(__xludf.DUMMYFUNCTION("""COMPUTED_VALUE"""),210.0)</f>
        <v>210</v>
      </c>
      <c r="AE199" s="6">
        <f>IFERROR(__xludf.DUMMYFUNCTION("""COMPUTED_VALUE"""),200.0)</f>
        <v>200</v>
      </c>
      <c r="AF199" s="6">
        <f>IFERROR(__xludf.DUMMYFUNCTION("""COMPUTED_VALUE"""),150.0)</f>
        <v>150</v>
      </c>
      <c r="AG199" s="6">
        <f>IFERROR(__xludf.DUMMYFUNCTION("""COMPUTED_VALUE"""),150.0)</f>
        <v>150</v>
      </c>
      <c r="AH199" s="6"/>
      <c r="AI199" s="5">
        <f>IFERROR(__xludf.DUMMYFUNCTION("""COMPUTED_VALUE"""),180.0)</f>
        <v>180</v>
      </c>
      <c r="AJ199" s="5">
        <f>IFERROR(__xludf.DUMMYFUNCTION("""COMPUTED_VALUE"""),189.0)</f>
        <v>189</v>
      </c>
      <c r="AK199" s="5" t="str">
        <f>IFERROR(__xludf.DUMMYFUNCTION("""COMPUTED_VALUE"""),"El lenguaje de la eficiencia es Excel Avanzado 🔥
Aprenderás funciones complejas, tablas dinámicas y automatización aplicadas a negocios reales 💼.
Aquí tienes la info 👇🏻")</f>
        <v>El lenguaje de la eficiencia es Excel Avanzado 🔥
Aprenderás funciones complejas, tablas dinámicas y automatización aplicadas a negocios reales 💼.
Aquí tienes la info 👇🏻</v>
      </c>
      <c r="AL199" s="5" t="str">
        <f>IFERROR(__xludf.DUMMYFUNCTION("""COMPUTED_VALUE"""),"🚀 *Excelente*, actualízate con *EXCEL AVANZ* y mantente competitivo en el mercado laboral.")</f>
        <v>🚀 *Excelente*, actualízate con *EXCEL AVANZ* y mantente competitivo en el mercado laboral.</v>
      </c>
      <c r="AM199" s="5" t="str">
        <f>IFERROR(__xludf.DUMMYFUNCTION("""COMPUTED_VALUE"""),"🚀 Buenísimo, *EXCEL AVANZ* es de las competencias más pedidas por las empresas y aumentará tus oportunidades laborales.")</f>
        <v>🚀 Buenísimo, *EXCEL AVANZ* es de las competencias más pedidas por las empresas y aumentará tus oportunidades laborales.</v>
      </c>
      <c r="AN199" s="5" t="str">
        <f>IFERROR(__xludf.DUMMYFUNCTION("""COMPUTED_VALUE"""),"🔑 ¡Genial! Con *EXCEL AVANZ* sumarás una habilidad poderosa que te diferenciará desde la universidad.")</f>
        <v>🔑 ¡Genial! Con *EXCEL AVANZ* sumarás una habilidad poderosa que te diferenciará desde la universidad.</v>
      </c>
      <c r="AO199" s="5" t="str">
        <f>IFERROR(__xludf.DUMMYFUNCTION("""COMPUTED_VALUE"""),"📘 ¡Perfecto! Saber *EXCEL AVANZ* te dará ventaja frente a otros postulantes para conseguir prácticas.")</f>
        <v>📘 ¡Perfecto! Saber *EXCEL AVANZ* te dará ventaja frente a otros postulantes para conseguir prácticas.</v>
      </c>
      <c r="AP199" s="5" t="str">
        <f>IFERROR(__xludf.DUMMYFUNCTION("""COMPUTED_VALUE"""),"🌍 ¡Excelente! Con *EXCEL AVANZ* podrás aplicarlo en tu negocio y tomar decisiones más inteligentes.")</f>
        <v>🌍 ¡Excelente! Con *EXCEL AVANZ* podrás aplicarlo en tu negocio y tomar decisiones más inteligentes.</v>
      </c>
      <c r="AQ199" s="9" t="str">
        <f>IFERROR(__xludf.DUMMYFUNCTION("""COMPUTED_VALUE"""),"https://we-educacion.com/slides/microsoft-excel-avanzado-59")</f>
        <v>https://we-educacion.com/slides/microsoft-excel-avanzado-59</v>
      </c>
      <c r="AR199" s="5">
        <v>1.0</v>
      </c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</row>
    <row r="200" ht="15.75" customHeight="1">
      <c r="A200" s="5" t="s">
        <v>242</v>
      </c>
      <c r="B200" s="5" t="str">
        <f t="shared" si="1"/>
        <v>ENE. II - ED26</v>
      </c>
      <c r="C200" s="6" t="str">
        <f>IFERROR(__xludf.DUMMYFUNCTION("""COMPUTED_VALUE"""),"EXCEL")</f>
        <v>EXCEL</v>
      </c>
      <c r="D200" s="5" t="str">
        <f>IFERROR(__xludf.DUMMYFUNCTION("""COMPUTED_VALUE"""),"ESP.")</f>
        <v>ESP.</v>
      </c>
      <c r="E200" s="6" t="str">
        <f>IFERROR(__xludf.DUMMYFUNCTION("""COMPUTED_VALUE"""),"ESP. EXCEL EXP")</f>
        <v>ESP. EXCEL EXP</v>
      </c>
      <c r="F200" s="7">
        <f>IFERROR(__xludf.DUMMYFUNCTION("""COMPUTED_VALUE"""),46053.0)</f>
        <v>46053</v>
      </c>
      <c r="G200" s="6" t="str">
        <f>IFERROR(__xludf.DUMMYFUNCTION("""COMPUTED_VALUE"""),"EXCEL BÁSICO")</f>
        <v>EXCEL BÁSICO</v>
      </c>
      <c r="H200" s="7">
        <f>IFERROR(__xludf.DUMMYFUNCTION("""COMPUTED_VALUE"""),46053.0)</f>
        <v>46053</v>
      </c>
      <c r="I200" s="6" t="str">
        <f>IFERROR(__xludf.DUMMYFUNCTION("""COMPUTED_VALUE"""),"EXCEL INTERM")</f>
        <v>EXCEL INTERM</v>
      </c>
      <c r="J200" s="7">
        <f>IFERROR(__xludf.DUMMYFUNCTION("""COMPUTED_VALUE"""),46095.0)</f>
        <v>46095</v>
      </c>
      <c r="K200" s="6" t="str">
        <f>IFERROR(__xludf.DUMMYFUNCTION("""COMPUTED_VALUE"""),"EXCEL AVANZ")</f>
        <v>EXCEL AVANZ</v>
      </c>
      <c r="L200" s="7">
        <f>IFERROR(__xludf.DUMMYFUNCTION("""COMPUTED_VALUE"""),46144.0)</f>
        <v>46144</v>
      </c>
      <c r="M200" s="6" t="str">
        <f>IFERROR(__xludf.DUMMYFUNCTION("""COMPUTED_VALUE"""),"PROG. MACROS")</f>
        <v>PROG. MACROS</v>
      </c>
      <c r="N200" s="7">
        <f>IFERROR(__xludf.DUMMYFUNCTION("""COMPUTED_VALUE"""),46186.0)</f>
        <v>46186</v>
      </c>
      <c r="O200" s="6"/>
      <c r="P200" s="7"/>
      <c r="Q200" s="6" t="str">
        <f>IFERROR(__xludf.DUMMYFUNCTION("""COMPUTED_VALUE"""),"Rizal Nuñez
Jonathan Sanchez
Giancarlos Barboza
Julio Ccari")</f>
        <v>Rizal Nuñez
Jonathan Sanchez
Giancarlos Barboza
Julio Ccari</v>
      </c>
      <c r="R200" s="5" t="str">
        <f>IFERROR(__xludf.DUMMYFUNCTION("""COMPUTED_VALUE"""),"Sáb")</f>
        <v>Sáb</v>
      </c>
      <c r="S200" s="6" t="str">
        <f>IFERROR(__xludf.DUMMYFUNCTION("""COMPUTED_VALUE"""),"3PM - 6PM")</f>
        <v>3PM - 6PM</v>
      </c>
      <c r="T200" s="7" t="str">
        <f>IFERROR(__xludf.DUMMYFUNCTION("""COMPUTED_VALUE"""),"Sábado 31 Enero")</f>
        <v>Sábado 31 Enero</v>
      </c>
      <c r="U200" s="7" t="str">
        <f>IFERROR(__xludf.DUMMYFUNCTION("""COMPUTED_VALUE"""),"Sábado 18 Julio")</f>
        <v>Sábado 18 Julio</v>
      </c>
      <c r="V200" s="8">
        <f>IFERROR(__xludf.DUMMYFUNCTION("""COMPUTED_VALUE"""),23.0)</f>
        <v>23</v>
      </c>
      <c r="W200" s="5" t="str">
        <f>IFERROR(__xludf.DUMMYFUNCTION("""COMPUTED_VALUE"""),"pdfs/BROCHURE ESPECIALIZACION DE EXCEL EXPERT.pdf")</f>
        <v>pdfs/BROCHURE ESPECIALIZACION DE EXCEL EXPERT.pdf</v>
      </c>
      <c r="X200" s="5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MOS*
🔹 "&amp;"05 Cursos Online de regalo con acceso ilimitado 📚
🔹 Desarrollo y seguimiento de tu proyecto *(Evaluado)*
🔹 Contenido Integrado con Chat GPT
🔹 Garantía de Aprendizaje 100%
🚨 *Por favor, revisa el BROCHURE* 👇🏻
Aqui encontrarás la información complet"&amp;"a del programa, el TEMARIO (malla curricular) y todos los BENEFICIOS 📚")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00" s="5" t="str">
        <f>IFERROR(__xludf.DUMMYFUNCTION("""COMPUTED_VALUE"""),"images/excelexp.jpg")</f>
        <v>images/excelexp.jpg</v>
      </c>
      <c r="Z200" s="5" t="str">
        <f>IFERROR(__xludf.DUMMYFUNCTION("""COMPUTED_VALUE"""),"Avalado por Microsoft Partner Network")</f>
        <v>Avalado por Microsoft Partner Network</v>
      </c>
      <c r="AA200" s="5" t="str">
        <f>IFERROR(__xludf.DUMMYFUNCTION("""COMPUTED_VALUE"""),"NO")</f>
        <v>NO</v>
      </c>
      <c r="AB200" s="6">
        <f>IFERROR(__xludf.DUMMYFUNCTION("""COMPUTED_VALUE"""),1600.0)</f>
        <v>1600</v>
      </c>
      <c r="AC200" s="6">
        <f>IFERROR(__xludf.DUMMYFUNCTION("""COMPUTED_VALUE"""),1520.0)</f>
        <v>1520</v>
      </c>
      <c r="AD200" s="6">
        <f>IFERROR(__xludf.DUMMYFUNCTION("""COMPUTED_VALUE"""),800.0)</f>
        <v>800</v>
      </c>
      <c r="AE200" s="6">
        <f>IFERROR(__xludf.DUMMYFUNCTION("""COMPUTED_VALUE"""),760.0)</f>
        <v>760</v>
      </c>
      <c r="AF200" s="6">
        <f>IFERROR(__xludf.DUMMYFUNCTION("""COMPUTED_VALUE"""),250.0)</f>
        <v>250</v>
      </c>
      <c r="AG200" s="5">
        <f>IFERROR(__xludf.DUMMYFUNCTION("""COMPUTED_VALUE"""),350.0)</f>
        <v>350</v>
      </c>
      <c r="AH200" s="5"/>
      <c r="AI200" s="5">
        <f>IFERROR(__xludf.DUMMYFUNCTION("""COMPUTED_VALUE"""),684.0)</f>
        <v>684</v>
      </c>
      <c r="AJ200" s="5">
        <f>IFERROR(__xludf.DUMMYFUNCTION("""COMPUTED_VALUE"""),720.0)</f>
        <v>720</v>
      </c>
      <c r="AK200" s="5" t="str">
        <f>IFERROR(__xludf.DUMMYFUNCTION("""COMPUTED_VALUE"""),"El lenguaje de los profesionales competitivos es Excel Experto 🔥
En pocas semanas dominarás funciones avanzadas y automatización aplicada a casos reales de negocio.
Ahora te comparto la información completa 👇🏻")</f>
        <v>El lenguaje de los profesionales competitivos es Excel Experto 🔥
En pocas semanas dominarás funciones avanzadas y automatización aplicada a casos reales de negocio.
Ahora te comparto la información completa 👇🏻</v>
      </c>
      <c r="AL200" s="5" t="str">
        <f>IFERROR(__xludf.DUMMYFUNCTION("""COMPUTED_VALUE"""),"Excelente 🙌, con Excel Experto actualizarás tus habilidades en funciones avanzadas y automatización ⚡, manteniéndote competitivo.")</f>
        <v>Excelente 🙌, con Excel Experto actualizarás tus habilidades en funciones avanzadas y automatización ⚡, manteniéndote competitivo.</v>
      </c>
      <c r="AM200" s="5" t="str">
        <f>IFERROR(__xludf.DUMMYFUNCTION("""COMPUTED_VALUE"""),"Buenísimo 💼, Excel es de las competencias más pedidas 📊. Dominarlo abrirá más oportunidades laborales 🚀.")</f>
        <v>Buenísimo 💼, Excel es de las competencias más pedidas 📊. Dominarlo abrirá más oportunidades laborales 🚀.</v>
      </c>
      <c r="AN200" s="5" t="str">
        <f>IFERROR(__xludf.DUMMYFUNCTION("""COMPUTED_VALUE"""),"¡Excelente! 🎓 Con Excel Experto sumarás una ventaja práctica desde la universidad y destacarás en tus proyectos 📘.")</f>
        <v>¡Excelente! 🎓 Con Excel Experto sumarás una ventaja práctica desde la universidad y destacarás en tus proyectos 📘.</v>
      </c>
      <c r="AO200" s="5" t="str">
        <f>IFERROR(__xludf.DUMMYFUNCTION("""COMPUTED_VALUE"""),"¡Perfecto! 🔑 Saber Excel Experto te dará ventaja frente a otros postulantes, clave para conseguir prácticas 📝.")</f>
        <v>¡Perfecto! 🔑 Saber Excel Experto te dará ventaja frente a otros postulantes, clave para conseguir prácticas 📝.</v>
      </c>
      <c r="AP200" s="5" t="str">
        <f>IFERROR(__xludf.DUMMYFUNCTION("""COMPUTED_VALUE"""),"¡Excelente! 💡 Con Excel Experto podrás manejar y analizar la información de tu negocio 📈 de forma más profesional.")</f>
        <v>¡Excelente! 💡 Con Excel Experto podrás manejar y analizar la información de tu negocio 📈 de forma más profesional.</v>
      </c>
      <c r="AQ200" s="9" t="str">
        <f>IFERROR(__xludf.DUMMYFUNCTION("""COMPUTED_VALUE"""),"https://we-educacion.com/slides/especializacion-en-microsoft-excel-expert-272")</f>
        <v>https://we-educacion.com/slides/especializacion-en-microsoft-excel-expert-272</v>
      </c>
      <c r="AR200" s="5">
        <v>1.0</v>
      </c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</row>
    <row r="201" ht="15.75" customHeight="1">
      <c r="A201" s="5" t="s">
        <v>243</v>
      </c>
      <c r="B201" s="5" t="str">
        <f t="shared" si="1"/>
        <v>ENE. II - ED26</v>
      </c>
      <c r="C201" s="6" t="str">
        <f>IFERROR(__xludf.DUMMYFUNCTION("""COMPUTED_VALUE"""),"EXCEL")</f>
        <v>EXCEL</v>
      </c>
      <c r="D201" s="6" t="str">
        <f>IFERROR(__xludf.DUMMYFUNCTION("""COMPUTED_VALUE"""),"ESP.")</f>
        <v>ESP.</v>
      </c>
      <c r="E201" s="6" t="str">
        <f>IFERROR(__xludf.DUMMYFUNCTION("""COMPUTED_VALUE"""),"ESPEC. EXCEL")</f>
        <v>ESPEC. EXCEL</v>
      </c>
      <c r="F201" s="7">
        <f>IFERROR(__xludf.DUMMYFUNCTION("""COMPUTED_VALUE"""),46053.0)</f>
        <v>46053</v>
      </c>
      <c r="G201" s="6" t="str">
        <f>IFERROR(__xludf.DUMMYFUNCTION("""COMPUTED_VALUE"""),"EXCEL BÁSICO")</f>
        <v>EXCEL BÁSICO</v>
      </c>
      <c r="H201" s="7">
        <f>IFERROR(__xludf.DUMMYFUNCTION("""COMPUTED_VALUE"""),46053.0)</f>
        <v>46053</v>
      </c>
      <c r="I201" s="6" t="str">
        <f>IFERROR(__xludf.DUMMYFUNCTION("""COMPUTED_VALUE"""),"EXCEL INTERM")</f>
        <v>EXCEL INTERM</v>
      </c>
      <c r="J201" s="7">
        <f>IFERROR(__xludf.DUMMYFUNCTION("""COMPUTED_VALUE"""),46095.0)</f>
        <v>46095</v>
      </c>
      <c r="K201" s="6" t="str">
        <f>IFERROR(__xludf.DUMMYFUNCTION("""COMPUTED_VALUE"""),"EXCEL AVANZ")</f>
        <v>EXCEL AVANZ</v>
      </c>
      <c r="L201" s="7">
        <f>IFERROR(__xludf.DUMMYFUNCTION("""COMPUTED_VALUE"""),46144.0)</f>
        <v>46144</v>
      </c>
      <c r="M201" s="6"/>
      <c r="N201" s="7"/>
      <c r="O201" s="6"/>
      <c r="P201" s="7"/>
      <c r="Q201" s="6" t="str">
        <f>IFERROR(__xludf.DUMMYFUNCTION("""COMPUTED_VALUE"""),"Rizal Nuñez
Jonathan Sanchez
Giancarlos Barboza")</f>
        <v>Rizal Nuñez
Jonathan Sanchez
Giancarlos Barboza</v>
      </c>
      <c r="R201" s="5" t="str">
        <f>IFERROR(__xludf.DUMMYFUNCTION("""COMPUTED_VALUE"""),"Sáb")</f>
        <v>Sáb</v>
      </c>
      <c r="S201" s="6" t="str">
        <f>IFERROR(__xludf.DUMMYFUNCTION("""COMPUTED_VALUE"""),"3PM - 6PM")</f>
        <v>3PM - 6PM</v>
      </c>
      <c r="T201" s="7" t="str">
        <f>IFERROR(__xludf.DUMMYFUNCTION("""COMPUTED_VALUE"""),"Sábado 31 Enero")</f>
        <v>Sábado 31 Enero</v>
      </c>
      <c r="U201" s="7" t="str">
        <f>IFERROR(__xludf.DUMMYFUNCTION("""COMPUTED_VALUE"""),"Miércoles 15 Abril")</f>
        <v>Miércoles 15 Abril</v>
      </c>
      <c r="V201" s="8">
        <f>IFERROR(__xludf.DUMMYFUNCTION("""COMPUTED_VALUE"""),17.0)</f>
        <v>17</v>
      </c>
      <c r="W201" s="5" t="str">
        <f>IFERROR(__xludf.DUMMYFUNCTION("""COMPUTED_VALUE"""),"pdfs/BROCHURE ESPECIALIZACION DE EXCEL.pdf")</f>
        <v>pdfs/BROCHURE ESPECIALIZACION DE EXCEL.pdf</v>
      </c>
      <c r="X201" s="5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*Por favor, revisa el BROCHURE* 👇🏻
Aqui encontrarás la información completa del programa, el TEMARIO (malla curricular) y todos los BE"&amp;"NEFICIOS 📚")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01" s="5" t="str">
        <f>IFERROR(__xludf.DUMMYFUNCTION("""COMPUTED_VALUE"""),"images/espexcel.jpg")</f>
        <v>images/espexcel.jpg</v>
      </c>
      <c r="Z201" s="5" t="str">
        <f>IFERROR(__xludf.DUMMYFUNCTION("""COMPUTED_VALUE"""),"Avalado por Microsoft Partner Network")</f>
        <v>Avalado por Microsoft Partner Network</v>
      </c>
      <c r="AA201" s="5" t="str">
        <f>IFERROR(__xludf.DUMMYFUNCTION("""COMPUTED_VALUE"""),"NO")</f>
        <v>NO</v>
      </c>
      <c r="AB201" s="6">
        <f>IFERROR(__xludf.DUMMYFUNCTION("""COMPUTED_VALUE"""),1200.0)</f>
        <v>1200</v>
      </c>
      <c r="AC201" s="6">
        <f>IFERROR(__xludf.DUMMYFUNCTION("""COMPUTED_VALUE"""),1140.0)</f>
        <v>1140</v>
      </c>
      <c r="AD201" s="6">
        <f>IFERROR(__xludf.DUMMYFUNCTION("""COMPUTED_VALUE"""),600.0)</f>
        <v>600</v>
      </c>
      <c r="AE201" s="6">
        <f>IFERROR(__xludf.DUMMYFUNCTION("""COMPUTED_VALUE"""),570.0)</f>
        <v>570</v>
      </c>
      <c r="AF201" s="6">
        <f>IFERROR(__xludf.DUMMYFUNCTION("""COMPUTED_VALUE"""),250.0)</f>
        <v>250</v>
      </c>
      <c r="AG201" s="5">
        <f>IFERROR(__xludf.DUMMYFUNCTION("""COMPUTED_VALUE"""),350.0)</f>
        <v>350</v>
      </c>
      <c r="AH201" s="5"/>
      <c r="AI201" s="5">
        <f>IFERROR(__xludf.DUMMYFUNCTION("""COMPUTED_VALUE"""),513.0)</f>
        <v>513</v>
      </c>
      <c r="AJ201" s="5">
        <f>IFERROR(__xludf.DUMMYFUNCTION("""COMPUTED_VALUE"""),540.0)</f>
        <v>540</v>
      </c>
      <c r="AK201" s="5" t="str">
        <f>IFERROR(__xludf.DUMMYFUNCTION("""COMPUTED_VALUE"""),"Hoy el dominio de datos se traduce en oportunidades 🚀
Con la Especialización en Excel aprenderás a manejar información con agilidad y a tomar decisiones estratégicas con base en datos 💼.
Aquí tienes la info a detalle 👇🏻")</f>
        <v>Hoy el dominio de datos se traduce en oportunidades 🚀
Con la Especialización en Excel aprenderás a manejar información con agilidad y a tomar decisiones estratégicas con base en datos 💼.
Aquí tienes la info a detalle 👇🏻</v>
      </c>
      <c r="AL201" s="5" t="str">
        <f>IFERROR(__xludf.DUMMYFUNCTION("""COMPUTED_VALUE"""),"Excelente 🙌, actualízate con la Especialización en Excel y mantén al día tus competencias más demandadas 🔥.")</f>
        <v>Excelente 🙌, actualízate con la Especialización en Excel y mantén al día tus competencias más demandadas 🔥.</v>
      </c>
      <c r="AM201" s="5" t="str">
        <f>IFERROR(__xludf.DUMMYFUNCTION("""COMPUTED_VALUE"""),"Buenísimo 💼, las empresas valoran muchísimo el dominio de Excel. Con esta especialización, aumentarás tus opciones de empleo 🚀")</f>
        <v>Buenísimo 💼, las empresas valoran muchísimo el dominio de Excel. Con esta especialización, aumentarás tus opciones de empleo 🚀</v>
      </c>
      <c r="AN201" s="5" t="str">
        <f>IFERROR(__xludf.DUMMYFUNCTION("""COMPUTED_VALUE"""),"¡Excelente! 🎓 Con Excel aprenderás a manejar datos y reportes 📊, diferenciándote en la universidad.")</f>
        <v>¡Excelente! 🎓 Con Excel aprenderás a manejar datos y reportes 📊, diferenciándote en la universidad.</v>
      </c>
      <c r="AO201" s="5" t="str">
        <f>IFERROR(__xludf.DUMMYFUNCTION("""COMPUTED_VALUE"""),"¡Perfecto! ✅ Saber Excel es un plus muy valorado para acceder a prácticas 👩🏻‍💻👨🏻‍💻.")</f>
        <v>¡Perfecto! ✅ Saber Excel es un plus muy valorado para acceder a prácticas 👩🏻‍💻👨🏻‍💻.</v>
      </c>
      <c r="AP201" s="5" t="str">
        <f>IFERROR(__xludf.DUMMYFUNCTION("""COMPUTED_VALUE"""),"¡Excelente! 💡 Con Excel gestionarás tu negocio con reportes claros 📑 y decisiones inteligentes.")</f>
        <v>¡Excelente! 💡 Con Excel gestionarás tu negocio con reportes claros 📑 y decisiones inteligentes.</v>
      </c>
      <c r="AQ201" s="9" t="str">
        <f>IFERROR(__xludf.DUMMYFUNCTION("""COMPUTED_VALUE"""),"https://we-educacion.com/slides/especializacion-en-microsoft-excel-77")</f>
        <v>https://we-educacion.com/slides/especializacion-en-microsoft-excel-77</v>
      </c>
      <c r="AR201" s="5">
        <v>1.0</v>
      </c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</row>
    <row r="202" ht="15.75" customHeight="1">
      <c r="A202" s="5" t="s">
        <v>244</v>
      </c>
      <c r="B202" s="5" t="str">
        <f t="shared" si="1"/>
        <v>ENE. II - ED26</v>
      </c>
      <c r="C202" s="6" t="str">
        <f>IFERROR(__xludf.DUMMYFUNCTION("""COMPUTED_VALUE"""),"EXCEL")</f>
        <v>EXCEL</v>
      </c>
      <c r="D202" s="6" t="str">
        <f>IFERROR(__xludf.DUMMYFUNCTION("""COMPUTED_VALUE"""),"CURSO")</f>
        <v>CURSO</v>
      </c>
      <c r="E202" s="6" t="str">
        <f>IFERROR(__xludf.DUMMYFUNCTION("""COMPUTED_VALUE"""),"EXCEL BÁSICO")</f>
        <v>EXCEL BÁSICO</v>
      </c>
      <c r="F202" s="7">
        <f>IFERROR(__xludf.DUMMYFUNCTION("""COMPUTED_VALUE"""),46053.0)</f>
        <v>46053</v>
      </c>
      <c r="G202" s="6"/>
      <c r="H202" s="7"/>
      <c r="I202" s="6"/>
      <c r="J202" s="7"/>
      <c r="K202" s="6"/>
      <c r="L202" s="7"/>
      <c r="M202" s="6"/>
      <c r="N202" s="7"/>
      <c r="O202" s="6"/>
      <c r="P202" s="7"/>
      <c r="Q202" s="6" t="str">
        <f>IFERROR(__xludf.DUMMYFUNCTION("""COMPUTED_VALUE"""),"Rizal Nuñez")</f>
        <v>Rizal Nuñez</v>
      </c>
      <c r="R202" s="5" t="str">
        <f>IFERROR(__xludf.DUMMYFUNCTION("""COMPUTED_VALUE"""),"Sáb")</f>
        <v>Sáb</v>
      </c>
      <c r="S202" s="6" t="str">
        <f>IFERROR(__xludf.DUMMYFUNCTION("""COMPUTED_VALUE"""),"3PM - 6PM")</f>
        <v>3PM - 6PM</v>
      </c>
      <c r="T202" s="7" t="str">
        <f>IFERROR(__xludf.DUMMYFUNCTION("""COMPUTED_VALUE"""),"Sábado 31 Enero")</f>
        <v>Sábado 31 Enero</v>
      </c>
      <c r="U202" s="7" t="str">
        <f>IFERROR(__xludf.DUMMYFUNCTION("""COMPUTED_VALUE"""),"Sábado 7 Marzo")</f>
        <v>Sábado 7 Marzo</v>
      </c>
      <c r="V202" s="8">
        <f>IFERROR(__xludf.DUMMYFUNCTION("""COMPUTED_VALUE"""),5.0)</f>
        <v>5</v>
      </c>
      <c r="W202" s="5" t="str">
        <f>IFERROR(__xludf.DUMMYFUNCTION("""COMPUTED_VALUE"""),"pdfs/BROCHURE EXCEL BÁSICO.pdf")</f>
        <v>pdfs/BROCHURE EXCEL BÁSICO.pdf</v>
      </c>
      <c r="X202" s="5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02" s="5" t="str">
        <f>IFERROR(__xludf.DUMMYFUNCTION("""COMPUTED_VALUE"""),"images/excelbasico.jpg")</f>
        <v>images/excelbasico.jpg</v>
      </c>
      <c r="Z202" s="5" t="str">
        <f>IFERROR(__xludf.DUMMYFUNCTION("""COMPUTED_VALUE"""),"Avalado por Microsoft Partner Network")</f>
        <v>Avalado por Microsoft Partner Network</v>
      </c>
      <c r="AA202" s="5" t="str">
        <f>IFERROR(__xludf.DUMMYFUNCTION("""COMPUTED_VALUE"""),"NO")</f>
        <v>NO</v>
      </c>
      <c r="AB202" s="6">
        <f>IFERROR(__xludf.DUMMYFUNCTION("""COMPUTED_VALUE"""),400.0)</f>
        <v>400</v>
      </c>
      <c r="AC202" s="6">
        <f>IFERROR(__xludf.DUMMYFUNCTION("""COMPUTED_VALUE"""),380.0)</f>
        <v>380</v>
      </c>
      <c r="AD202" s="6">
        <f>IFERROR(__xludf.DUMMYFUNCTION("""COMPUTED_VALUE"""),200.0)</f>
        <v>200</v>
      </c>
      <c r="AE202" s="6">
        <f>IFERROR(__xludf.DUMMYFUNCTION("""COMPUTED_VALUE"""),190.0)</f>
        <v>190</v>
      </c>
      <c r="AF202" s="6">
        <f>IFERROR(__xludf.DUMMYFUNCTION("""COMPUTED_VALUE"""),150.0)</f>
        <v>150</v>
      </c>
      <c r="AG202" s="5">
        <f>IFERROR(__xludf.DUMMYFUNCTION("""COMPUTED_VALUE"""),150.0)</f>
        <v>150</v>
      </c>
      <c r="AH202" s="5"/>
      <c r="AI202" s="5">
        <f>IFERROR(__xludf.DUMMYFUNCTION("""COMPUTED_VALUE"""),171.0)</f>
        <v>171</v>
      </c>
      <c r="AJ202" s="5">
        <f>IFERROR(__xludf.DUMMYFUNCTION("""COMPUTED_VALUE"""),180.0)</f>
        <v>180</v>
      </c>
      <c r="AK202" s="5" t="str">
        <f>IFERROR(__xludf.DUMMYFUNCTION("""COMPUTED_VALUE"""),"Todo gran profesional empieza dominando Excel Básico 📝
En pocas semanas aprenderás a manejar hojas de cálculo y análisis de datos de forma práctica 💼.
Aquí la información completa 👇🏻")</f>
        <v>Todo gran profesional empieza dominando Excel Básico 📝
En pocas semanas aprenderás a manejar hojas de cálculo y análisis de datos de forma práctica 💼.
Aquí la información completa 👇🏻</v>
      </c>
      <c r="AL202" s="5" t="str">
        <f>IFERROR(__xludf.DUMMYFUNCTION("""COMPUTED_VALUE"""),"🔑 *Excelente*, actualízate con *EXCEL BÁSICO* y mantente competitivo en el mercado laboral.")</f>
        <v>🔑 *Excelente*, actualízate con *EXCEL BÁSICO* y mantente competitivo en el mercado laboral.</v>
      </c>
      <c r="AM202" s="5" t="str">
        <f>IFERROR(__xludf.DUMMYFUNCTION("""COMPUTED_VALUE"""),"💼 Buenísimo, *EXCEL BÁSICO* es de las competencias más pedidas por las empresas y aumentará tus oportunidades laborales.")</f>
        <v>💼 Buenísimo, *EXCEL BÁSICO* es de las competencias más pedidas por las empresas y aumentará tus oportunidades laborales.</v>
      </c>
      <c r="AN202" s="5" t="str">
        <f>IFERROR(__xludf.DUMMYFUNCTION("""COMPUTED_VALUE"""),"⚡ ¡Genial! Con *EXCEL BÁSICO* sumarás una habilidad poderosa que te diferenciará desde la universidad.")</f>
        <v>⚡ ¡Genial! Con *EXCEL BÁSICO* sumarás una habilidad poderosa que te diferenciará desde la universidad.</v>
      </c>
      <c r="AO202" s="5" t="str">
        <f>IFERROR(__xludf.DUMMYFUNCTION("""COMPUTED_VALUE"""),"🎓 ¡Perfecto! Saber *EXCEL BÁSICO* te dará ventaja frente a otros postulantes para conseguir prácticas.")</f>
        <v>🎓 ¡Perfecto! Saber *EXCEL BÁSICO* te dará ventaja frente a otros postulantes para conseguir prácticas.</v>
      </c>
      <c r="AP202" s="5" t="str">
        <f>IFERROR(__xludf.DUMMYFUNCTION("""COMPUTED_VALUE"""),"🏆 ¡Excelente! Con *EXCEL BÁSICO* podrás aplicarlo en tu negocio y tomar decisiones más inteligentes.")</f>
        <v>🏆 ¡Excelente! Con *EXCEL BÁSICO* podrás aplicarlo en tu negocio y tomar decisiones más inteligentes.</v>
      </c>
      <c r="AQ202" s="9" t="str">
        <f>IFERROR(__xludf.DUMMYFUNCTION("""COMPUTED_VALUE"""),"https://we-educacion.com/slides/microsoft-excel-basico-221")</f>
        <v>https://we-educacion.com/slides/microsoft-excel-basico-221</v>
      </c>
      <c r="AR202" s="5">
        <v>1.0</v>
      </c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</row>
    <row r="203" ht="15.75" customHeight="1">
      <c r="A203" s="5" t="s">
        <v>245</v>
      </c>
      <c r="B203" s="5" t="str">
        <f t="shared" si="1"/>
        <v>ENE. II - ED26</v>
      </c>
      <c r="C203" s="6" t="str">
        <f>IFERROR(__xludf.DUMMYFUNCTION("""COMPUTED_VALUE"""),"SAP")</f>
        <v>SAP</v>
      </c>
      <c r="D203" s="6" t="str">
        <f>IFERROR(__xludf.DUMMYFUNCTION("""COMPUTED_VALUE"""),"CURSO")</f>
        <v>CURSO</v>
      </c>
      <c r="E203" s="6" t="str">
        <f>IFERROR(__xludf.DUMMYFUNCTION("""COMPUTED_VALUE"""),"SAP HANA IN")</f>
        <v>SAP HANA IN</v>
      </c>
      <c r="F203" s="7">
        <f>IFERROR(__xludf.DUMMYFUNCTION("""COMPUTED_VALUE"""),46053.0)</f>
        <v>46053</v>
      </c>
      <c r="G203" s="6"/>
      <c r="H203" s="7"/>
      <c r="I203" s="6"/>
      <c r="J203" s="7"/>
      <c r="K203" s="6"/>
      <c r="L203" s="7"/>
      <c r="M203" s="6"/>
      <c r="N203" s="7"/>
      <c r="O203" s="6"/>
      <c r="P203" s="7"/>
      <c r="Q203" s="6" t="str">
        <f>IFERROR(__xludf.DUMMYFUNCTION("""COMPUTED_VALUE"""),"Roller Rubio")</f>
        <v>Roller Rubio</v>
      </c>
      <c r="R203" s="5" t="str">
        <f>IFERROR(__xludf.DUMMYFUNCTION("""COMPUTED_VALUE"""),"Sáb")</f>
        <v>Sáb</v>
      </c>
      <c r="S203" s="6" t="str">
        <f>IFERROR(__xludf.DUMMYFUNCTION("""COMPUTED_VALUE"""),"3PM - 6PM")</f>
        <v>3PM - 6PM</v>
      </c>
      <c r="T203" s="7" t="str">
        <f>IFERROR(__xludf.DUMMYFUNCTION("""COMPUTED_VALUE"""),"Sábado 31 Enero")</f>
        <v>Sábado 31 Enero</v>
      </c>
      <c r="U203" s="7" t="str">
        <f>IFERROR(__xludf.DUMMYFUNCTION("""COMPUTED_VALUE"""),"Sábado 7 Marzo")</f>
        <v>Sábado 7 Marzo</v>
      </c>
      <c r="V203" s="8">
        <f>IFERROR(__xludf.DUMMYFUNCTION("""COMPUTED_VALUE"""),6.0)</f>
        <v>6</v>
      </c>
      <c r="W203" s="5" t="str">
        <f>IFERROR(__xludf.DUMMYFUNCTION("""COMPUTED_VALUE"""),"pdfs/BROCHURE SAP S4 HANA IN.pdf")</f>
        <v>pdfs/BROCHURE SAP S4 HANA IN.pdf</v>
      </c>
      <c r="X203" s="6" t="str">
        <f>IFERROR(__xludf.DUMMYFUNCTION("""COMPUTED_VALUE"""),"🔵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revisa"&amp;"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203" s="5" t="str">
        <f>IFERROR(__xludf.DUMMYFUNCTION("""COMPUTED_VALUE"""),"images/sapin.jpg")</f>
        <v>images/sapin.jpg</v>
      </c>
      <c r="Z203" s="5" t="str">
        <f>IFERROR(__xludf.DUMMYFUNCTION("""COMPUTED_VALUE"""),"Avalado por SAP Partner Open")</f>
        <v>Avalado por SAP Partner Open</v>
      </c>
      <c r="AA203" s="5" t="str">
        <f>IFERROR(__xludf.DUMMYFUNCTION("""COMPUTED_VALUE"""),"NO")</f>
        <v>NO</v>
      </c>
      <c r="AB203" s="6">
        <f>IFERROR(__xludf.DUMMYFUNCTION("""COMPUTED_VALUE"""),950.0)</f>
        <v>950</v>
      </c>
      <c r="AC203" s="6">
        <f>IFERROR(__xludf.DUMMYFUNCTION("""COMPUTED_VALUE"""),820.0)</f>
        <v>820</v>
      </c>
      <c r="AD203" s="6">
        <f>IFERROR(__xludf.DUMMYFUNCTION("""COMPUTED_VALUE"""),475.0)</f>
        <v>475</v>
      </c>
      <c r="AE203" s="6">
        <f>IFERROR(__xludf.DUMMYFUNCTION("""COMPUTED_VALUE"""),410.0)</f>
        <v>410</v>
      </c>
      <c r="AF203" s="6">
        <f>IFERROR(__xludf.DUMMYFUNCTION("""COMPUTED_VALUE"""),150.0)</f>
        <v>150</v>
      </c>
      <c r="AG203" s="5">
        <f>IFERROR(__xludf.DUMMYFUNCTION("""COMPUTED_VALUE"""),150.0)</f>
        <v>150</v>
      </c>
      <c r="AH203" s="5"/>
      <c r="AI203" s="5">
        <f>IFERROR(__xludf.DUMMYFUNCTION("""COMPUTED_VALUE"""),369.0)</f>
        <v>369</v>
      </c>
      <c r="AJ203" s="5">
        <f>IFERROR(__xludf.DUMMYFUNCTION("""COMPUTED_VALUE"""),427.5)</f>
        <v>427.5</v>
      </c>
      <c r="AK203" s="5" t="str">
        <f>IFERROR(__xludf.DUMMYFUNCTION("""COMPUTED_VALUE"""),"La producción eficiente habla con SAP HANA IN ⚙️
Con este programa aprenderás a planificar, controlar y ejecutar procesos de manufactura en SAP 💼.
Aquí te comparto la info 👇🏻")</f>
        <v>La producción eficiente habla con SAP HANA IN ⚙️
Con este programa aprenderás a planificar, controlar y ejecutar procesos de manufactura en SAP 💼.
Aquí te comparto la info 👇🏻</v>
      </c>
      <c r="AL203" s="5" t="str">
        <f>IFERROR(__xludf.DUMMYFUNCTION("""COMPUTED_VALUE"""),"🏭 Excelente, actualízate con SAP IN y domina la gestión de inventarios.")</f>
        <v>🏭 Excelente, actualízate con SAP IN y domina la gestión de inventarios.</v>
      </c>
      <c r="AM203" s="5" t="str">
        <f>IFERROR(__xludf.DUMMYFUNCTION("""COMPUTED_VALUE"""),"💼 Buenísimo, SAP IN es muy requerido en empresas de manufactura y logística.")</f>
        <v>💼 Buenísimo, SAP IN es muy requerido en empresas de manufactura y logística.</v>
      </c>
      <c r="AN203" s="5" t="str">
        <f>IFERROR(__xludf.DUMMYFUNCTION("""COMPUTED_VALUE"""),"🎓 ¡Genial! Con SAP IN aprenderás gestión de inventarios desde la universidad.")</f>
        <v>🎓 ¡Genial! Con SAP IN aprenderás gestión de inventarios desde la universidad.</v>
      </c>
      <c r="AO203" s="5" t="str">
        <f>IFERROR(__xludf.DUMMYFUNCTION("""COMPUTED_VALUE"""),"🚀 ¡Perfecto! Con SAP IN tendrás ventaja en prácticas de gestión de operaciones.")</f>
        <v>🚀 ¡Perfecto! Con SAP IN tendrás ventaja en prácticas de gestión de operaciones.</v>
      </c>
      <c r="AP203" s="5" t="str">
        <f>IFERROR(__xludf.DUMMYFUNCTION("""COMPUTED_VALUE"""),"📊 ¡Excelente! Con SAP IN podrás controlar y optimizar inventarios en tu negocio.")</f>
        <v>📊 ¡Excelente! Con SAP IN podrás controlar y optimizar inventarios en tu negocio.</v>
      </c>
      <c r="AQ203" s="9" t="str">
        <f>IFERROR(__xludf.DUMMYFUNCTION("""COMPUTED_VALUE"""),"https://we-educacion.com/slides/sap-s-4-hana-in-mm-fi-pp-sd-51")</f>
        <v>https://we-educacion.com/slides/sap-s-4-hana-in-mm-fi-pp-sd-51</v>
      </c>
      <c r="AR203" s="5">
        <v>1.0</v>
      </c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</row>
    <row r="204" ht="15.75" customHeight="1">
      <c r="A204" s="5" t="s">
        <v>246</v>
      </c>
      <c r="B204" s="5" t="str">
        <f t="shared" si="1"/>
        <v>ENE. II - ED26</v>
      </c>
      <c r="C204" s="6" t="str">
        <f>IFERROR(__xludf.DUMMYFUNCTION("""COMPUTED_VALUE"""),"PROYECTOS")</f>
        <v>PROYECTOS</v>
      </c>
      <c r="D204" s="5" t="str">
        <f>IFERROR(__xludf.DUMMYFUNCTION("""COMPUTED_VALUE"""),"CURSO")</f>
        <v>CURSO</v>
      </c>
      <c r="E204" s="6" t="str">
        <f>IFERROR(__xludf.DUMMYFUNCTION("""COMPUTED_VALUE"""),"MS PROJECT")</f>
        <v>MS PROJECT</v>
      </c>
      <c r="F204" s="7">
        <f>IFERROR(__xludf.DUMMYFUNCTION("""COMPUTED_VALUE"""),46053.0)</f>
        <v>46053</v>
      </c>
      <c r="G204" s="6"/>
      <c r="H204" s="7"/>
      <c r="I204" s="6"/>
      <c r="J204" s="7"/>
      <c r="K204" s="6"/>
      <c r="L204" s="7"/>
      <c r="M204" s="6"/>
      <c r="N204" s="7"/>
      <c r="O204" s="6"/>
      <c r="P204" s="7"/>
      <c r="Q204" s="6" t="str">
        <f>IFERROR(__xludf.DUMMYFUNCTION("""COMPUTED_VALUE"""),"Alejandro Mas")</f>
        <v>Alejandro Mas</v>
      </c>
      <c r="R204" s="5" t="str">
        <f>IFERROR(__xludf.DUMMYFUNCTION("""COMPUTED_VALUE"""),"Sáb")</f>
        <v>Sáb</v>
      </c>
      <c r="S204" s="6" t="str">
        <f>IFERROR(__xludf.DUMMYFUNCTION("""COMPUTED_VALUE"""),"3PM - 6PM")</f>
        <v>3PM - 6PM</v>
      </c>
      <c r="T204" s="7" t="str">
        <f>IFERROR(__xludf.DUMMYFUNCTION("""COMPUTED_VALUE"""),"Sábado 31 Enero")</f>
        <v>Sábado 31 Enero</v>
      </c>
      <c r="U204" s="7" t="str">
        <f>IFERROR(__xludf.DUMMYFUNCTION("""COMPUTED_VALUE"""),"Sábado 7 Marzo")</f>
        <v>Sábado 7 Marzo</v>
      </c>
      <c r="V204" s="8">
        <f>IFERROR(__xludf.DUMMYFUNCTION("""COMPUTED_VALUE"""),6.0)</f>
        <v>6</v>
      </c>
      <c r="W204" s="5" t="str">
        <f>IFERROR(__xludf.DUMMYFUNCTION("""COMPUTED_VALUE"""),"pdfs/BROCHURE MS PROJECT.pdf")</f>
        <v>pdfs/BROCHURE MS PROJECT.pdf</v>
      </c>
      <c r="X204" s="5" t="str">
        <f>IFERROR(__xludf.DUMMYFUNCTION("""COMPUTED_VALUE"""),"🔵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04" s="5" t="str">
        <f>IFERROR(__xludf.DUMMYFUNCTION("""COMPUTED_VALUE"""),"images/msproject.jpg")</f>
        <v>images/msproject.jpg</v>
      </c>
      <c r="Z204" s="5" t="str">
        <f>IFERROR(__xludf.DUMMYFUNCTION("""COMPUTED_VALUE"""),"Avalado por Microsoft Partner Network")</f>
        <v>Avalado por Microsoft Partner Network</v>
      </c>
      <c r="AA204" s="5" t="str">
        <f>IFERROR(__xludf.DUMMYFUNCTION("""COMPUTED_VALUE"""),"SI")</f>
        <v>SI</v>
      </c>
      <c r="AB204" s="6">
        <f>IFERROR(__xludf.DUMMYFUNCTION("""COMPUTED_VALUE"""),610.0)</f>
        <v>610</v>
      </c>
      <c r="AC204" s="6">
        <f>IFERROR(__xludf.DUMMYFUNCTION("""COMPUTED_VALUE"""),550.0)</f>
        <v>550</v>
      </c>
      <c r="AD204" s="6">
        <f>IFERROR(__xludf.DUMMYFUNCTION("""COMPUTED_VALUE"""),305.0)</f>
        <v>305</v>
      </c>
      <c r="AE204" s="6">
        <f>IFERROR(__xludf.DUMMYFUNCTION("""COMPUTED_VALUE"""),275.0)</f>
        <v>275</v>
      </c>
      <c r="AF204" s="6">
        <f>IFERROR(__xludf.DUMMYFUNCTION("""COMPUTED_VALUE"""),150.0)</f>
        <v>150</v>
      </c>
      <c r="AG204" s="5">
        <f>IFERROR(__xludf.DUMMYFUNCTION("""COMPUTED_VALUE"""),150.0)</f>
        <v>150</v>
      </c>
      <c r="AH204" s="5"/>
      <c r="AI204" s="5">
        <f>IFERROR(__xludf.DUMMYFUNCTION("""COMPUTED_VALUE"""),247.5)</f>
        <v>247.5</v>
      </c>
      <c r="AJ204" s="5">
        <f>IFERROR(__xludf.DUMMYFUNCTION("""COMPUTED_VALUE"""),274.5)</f>
        <v>274.5</v>
      </c>
      <c r="AK204" s="5" t="str">
        <f>IFERROR(__xludf.DUMMYFUNCTION("""COMPUTED_VALUE"""),"✨ *Planificar bien es la clave para que todo proyecto tenga éxito.*
Aprende a gestionar tareas, tiempos y recursos con Microsoft Project de forma práctica y profesional 📅
Ahora te adjunto la información a detalle 👇🏻")</f>
        <v>✨ *Planificar bien es la clave para que todo proyecto tenga éxito.*
Aprende a gestionar tareas, tiempos y recursos con Microsoft Project de forma práctica y profesional 📅
Ahora te adjunto la información a detalle 👇🏻</v>
      </c>
      <c r="AL204" s="5" t="str">
        <f>IFERROR(__xludf.DUMMYFUNCTION("""COMPUTED_VALUE"""),"✨ Excelente, actualízate con MS Project y gestiona proyectos de manera más eficiente.")</f>
        <v>✨ Excelente, actualízate con MS Project y gestiona proyectos de manera más eficiente.</v>
      </c>
      <c r="AM204" s="5" t="str">
        <f>IFERROR(__xludf.DUMMYFUNCTION("""COMPUTED_VALUE"""),"💼 Buenísimo, MS Project es muy valorado por las empresas que buscan profesionales de gestión.")</f>
        <v>💼 Buenísimo, MS Project es muy valorado por las empresas que buscan profesionales de gestión.</v>
      </c>
      <c r="AN204" s="5" t="str">
        <f>IFERROR(__xludf.DUMMYFUNCTION("""COMPUTED_VALUE"""),"🎓 ¡Genial! Con MS Project aprenderás a organizar proyectos de forma práctica desde la universidad.")</f>
        <v>🎓 ¡Genial! Con MS Project aprenderás a organizar proyectos de forma práctica desde la universidad.</v>
      </c>
      <c r="AO204" s="5" t="str">
        <f>IFERROR(__xludf.DUMMYFUNCTION("""COMPUTED_VALUE"""),"🚀 ¡Perfecto! Saber MS Project te dará ventaja en prácticas relacionadas a gestión de proyectos.")</f>
        <v>🚀 ¡Perfecto! Saber MS Project te dará ventaja en prácticas relacionadas a gestión de proyectos.</v>
      </c>
      <c r="AP204" s="5" t="str">
        <f>IFERROR(__xludf.DUMMYFUNCTION("""COMPUTED_VALUE"""),"📊 ¡Excelente! Con MS Project podrás planificar y controlar tus propios proyectos de manera profesional.")</f>
        <v>📊 ¡Excelente! Con MS Project podrás planificar y controlar tus propios proyectos de manera profesional.</v>
      </c>
      <c r="AQ204" s="9" t="str">
        <f>IFERROR(__xludf.DUMMYFUNCTION("""COMPUTED_VALUE"""),"https://we-educacion.com/slides/ms-project-basico-intermedio-95")</f>
        <v>https://we-educacion.com/slides/ms-project-basico-intermedio-95</v>
      </c>
      <c r="AR204" s="5">
        <v>1.0</v>
      </c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</row>
    <row r="205" ht="15.75" customHeight="1">
      <c r="A205" s="5" t="s">
        <v>247</v>
      </c>
      <c r="B205" s="5" t="str">
        <f t="shared" si="1"/>
        <v>ENE. II - ED26</v>
      </c>
      <c r="C205" s="6" t="str">
        <f>IFERROR(__xludf.DUMMYFUNCTION("""COMPUTED_VALUE"""),"BI")</f>
        <v>BI</v>
      </c>
      <c r="D205" s="5" t="str">
        <f>IFERROR(__xludf.DUMMYFUNCTION("""COMPUTED_VALUE"""),"PEE")</f>
        <v>PEE</v>
      </c>
      <c r="E205" s="6" t="str">
        <f>IFERROR(__xludf.DUMMYFUNCTION("""COMPUTED_VALUE"""),"PEE ANALIST DATOS")</f>
        <v>PEE ANALIST DATOS</v>
      </c>
      <c r="F205" s="7">
        <f>IFERROR(__xludf.DUMMYFUNCTION("""COMPUTED_VALUE"""),46053.0)</f>
        <v>46053</v>
      </c>
      <c r="G205" s="6" t="str">
        <f>IFERROR(__xludf.DUMMYFUNCTION("""COMPUTED_VALUE"""),"SQL SERVER")</f>
        <v>SQL SERVER</v>
      </c>
      <c r="H205" s="7">
        <f>IFERROR(__xludf.DUMMYFUNCTION("""COMPUTED_VALUE"""),46053.0)</f>
        <v>46053</v>
      </c>
      <c r="I205" s="6" t="str">
        <f>IFERROR(__xludf.DUMMYFUNCTION("""COMPUTED_VALUE"""),"POWER BI")</f>
        <v>POWER BI</v>
      </c>
      <c r="J205" s="7">
        <f>IFERROR(__xludf.DUMMYFUNCTION("""COMPUTED_VALUE"""),46100.0)</f>
        <v>46100</v>
      </c>
      <c r="K205" s="6" t="str">
        <f>IFERROR(__xludf.DUMMYFUNCTION("""COMPUTED_VALUE"""),"PYTHON. DATOS")</f>
        <v>PYTHON. DATOS</v>
      </c>
      <c r="L205" s="7">
        <f>IFERROR(__xludf.DUMMYFUNCTION("""COMPUTED_VALUE"""),46135.0)</f>
        <v>46135</v>
      </c>
      <c r="M205" s="6"/>
      <c r="N205" s="7"/>
      <c r="O205" s="6"/>
      <c r="P205" s="7"/>
      <c r="Q205" s="6"/>
      <c r="R205" s="5" t="str">
        <f>IFERROR(__xludf.DUMMYFUNCTION("""COMPUTED_VALUE"""),"Sáb")</f>
        <v>Sáb</v>
      </c>
      <c r="S205" s="6" t="str">
        <f>IFERROR(__xludf.DUMMYFUNCTION("""COMPUTED_VALUE"""),"3PM - 6PM")</f>
        <v>3PM - 6PM</v>
      </c>
      <c r="T205" s="7" t="str">
        <f>IFERROR(__xludf.DUMMYFUNCTION("""COMPUTED_VALUE"""),"Sábado 31 Enero")</f>
        <v>Sábado 31 Enero</v>
      </c>
      <c r="U205" s="7" t="str">
        <f>IFERROR(__xludf.DUMMYFUNCTION("""COMPUTED_VALUE"""),"Martes 12 Mayo")</f>
        <v>Martes 12 Mayo</v>
      </c>
      <c r="V205" s="8">
        <f>IFERROR(__xludf.DUMMYFUNCTION("""COMPUTED_VALUE"""),18.0)</f>
        <v>18</v>
      </c>
      <c r="W205" s="5" t="str">
        <f>IFERROR(__xludf.DUMMYFUNCTION("""COMPUTED_VALUE"""),"pdfs/BROCHURE PEE ANALISTA DE DATOS.pdf")</f>
        <v>pdfs/BROCHURE PEE ANALISTA DE DATOS.pdf</v>
      </c>
      <c r="X205" s="6" t="str">
        <f>IFERROR(__xludf.DUMMYFUNCTION("""COMPUTED_VALUE"""),"🔵 *Utilizarán Power BI, SQL Server y Python*👩🏻‍💻
👉🏼 Incluye tutorial y manual de instalación
💻 _*Importante*: Para la instalación se necesita una Laptop *Windows*_
🚨 *Por favor, revisa el BROCHURE* 👇🏻
Aqui encontrarás la información completa de"&amp;"l programa, el TEMARIO (malla curricular) y todos los BENEFICIOS 📚")</f>
        <v>🔵 *Utilizarán Power BI, SQL Server y Python*👩🏻‍💻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05" s="5" t="str">
        <f>IFERROR(__xludf.DUMMYFUNCTION("""COMPUTED_VALUE"""),"images/peedatos.jpg")</f>
        <v>images/peedatos.jpg</v>
      </c>
      <c r="Z205" s="5"/>
      <c r="AA205" s="5" t="str">
        <f>IFERROR(__xludf.DUMMYFUNCTION("""COMPUTED_VALUE"""),"NO")</f>
        <v>NO</v>
      </c>
      <c r="AB205" s="6">
        <f>IFERROR(__xludf.DUMMYFUNCTION("""COMPUTED_VALUE"""),2390.0)</f>
        <v>2390</v>
      </c>
      <c r="AC205" s="6">
        <f>IFERROR(__xludf.DUMMYFUNCTION("""COMPUTED_VALUE"""),2130.0)</f>
        <v>2130</v>
      </c>
      <c r="AD205" s="6">
        <f>IFERROR(__xludf.DUMMYFUNCTION("""COMPUTED_VALUE"""),1195.0)</f>
        <v>1195</v>
      </c>
      <c r="AE205" s="6">
        <f>IFERROR(__xludf.DUMMYFUNCTION("""COMPUTED_VALUE"""),1065.0)</f>
        <v>1065</v>
      </c>
      <c r="AF205" s="6">
        <f>IFERROR(__xludf.DUMMYFUNCTION("""COMPUTED_VALUE"""),250.0)</f>
        <v>250</v>
      </c>
      <c r="AG205" s="5">
        <f>IFERROR(__xludf.DUMMYFUNCTION("""COMPUTED_VALUE"""),350.0)</f>
        <v>350</v>
      </c>
      <c r="AH205" s="5"/>
      <c r="AI205" s="5">
        <f>IFERROR(__xludf.DUMMYFUNCTION("""COMPUTED_VALUE"""),958.5)</f>
        <v>958.5</v>
      </c>
      <c r="AJ205" s="5">
        <f>IFERROR(__xludf.DUMMYFUNCTION("""COMPUTED_VALUE"""),1075.5)</f>
        <v>1075.5</v>
      </c>
      <c r="AK205" s="5" t="str">
        <f>IFERROR(__xludf.DUMMYFUNCTION("""COMPUTED_VALUE"""),"Los analistas de datos son los profesionales más buscados 🔍
Aprende herramientas prácticas de análisis para transformar datos en decisiones 📊
👉🏻 Aquí tienes la información.")</f>
        <v>Los analistas de datos son los profesionales más buscados 🔍
Aprende herramientas prácticas de análisis para transformar datos en decisiones 📊
👉🏻 Aquí tienes la información.</v>
      </c>
      <c r="AL205" s="5" t="str">
        <f>IFERROR(__xludf.DUMMYFUNCTION("""COMPUTED_VALUE"""),"📊 Excelente, el PEE Analista de Datos te enseña herramientas claves como Power BI y SQL.")</f>
        <v>📊 Excelente, el PEE Analista de Datos te enseña herramientas claves como Power BI y SQL.</v>
      </c>
      <c r="AM205" s="5" t="str">
        <f>IFERROR(__xludf.DUMMYFUNCTION("""COMPUTED_VALUE"""),"💼 Buenísimo, el rol de Analista de Datos es uno de los más demandados actualmente.")</f>
        <v>💼 Buenísimo, el rol de Analista de Datos es uno de los más demandados actualmente.</v>
      </c>
      <c r="AN205" s="5" t="str">
        <f>IFERROR(__xludf.DUMMYFUNCTION("""COMPUTED_VALUE"""),"🎓 ¡Genial! Desde la universidad, este PEE te dará una habilidad muy valorada en tu carrera.")</f>
        <v>🎓 ¡Genial! Desde la universidad, este PEE te dará una habilidad muy valorada en tu carrera.</v>
      </c>
      <c r="AO205" s="5" t="str">
        <f>IFERROR(__xludf.DUMMYFUNCTION("""COMPUTED_VALUE"""),"🚀 ¡Perfecto! Con el PEE en Datos tendrás ventaja en empleos de inteligencia de negocios.")</f>
        <v>🚀 ¡Perfecto! Con el PEE en Datos tendrás ventaja en empleos de inteligencia de negocios.</v>
      </c>
      <c r="AP205" s="5" t="str">
        <f>IFERROR(__xludf.DUMMYFUNCTION("""COMPUTED_VALUE"""),"📉 ¡Excelente! Podrás aplicar análisis a tu propio negocio para crecer con datos reales.")</f>
        <v>📉 ¡Excelente! Podrás aplicar análisis a tu propio negocio para crecer con datos reales.</v>
      </c>
      <c r="AQ205" s="9" t="str">
        <f>IFERROR(__xludf.DUMMYFUNCTION("""COMPUTED_VALUE"""),"https://we-educacion.com/slides/pee-analista-de-datos-96")</f>
        <v>https://we-educacion.com/slides/pee-analista-de-datos-96</v>
      </c>
      <c r="AR205" s="5">
        <v>1.0</v>
      </c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</row>
    <row r="206" ht="15.75" customHeight="1">
      <c r="A206" s="5" t="s">
        <v>248</v>
      </c>
      <c r="B206" s="5" t="str">
        <f t="shared" si="1"/>
        <v>ENE. II - ED26</v>
      </c>
      <c r="C206" s="6" t="str">
        <f>IFERROR(__xludf.DUMMYFUNCTION("""COMPUTED_VALUE"""),"BI")</f>
        <v>BI</v>
      </c>
      <c r="D206" s="6" t="str">
        <f>IFERROR(__xludf.DUMMYFUNCTION("""COMPUTED_VALUE"""),"CURSO")</f>
        <v>CURSO</v>
      </c>
      <c r="E206" s="6" t="str">
        <f>IFERROR(__xludf.DUMMYFUNCTION("""COMPUTED_VALUE"""),"SQL SERVER")</f>
        <v>SQL SERVER</v>
      </c>
      <c r="F206" s="7">
        <f>IFERROR(__xludf.DUMMYFUNCTION("""COMPUTED_VALUE"""),46053.0)</f>
        <v>46053</v>
      </c>
      <c r="G206" s="6"/>
      <c r="H206" s="7"/>
      <c r="I206" s="6"/>
      <c r="J206" s="7"/>
      <c r="K206" s="6"/>
      <c r="L206" s="7"/>
      <c r="M206" s="6"/>
      <c r="N206" s="7"/>
      <c r="O206" s="6"/>
      <c r="P206" s="7"/>
      <c r="Q206" s="6" t="str">
        <f>IFERROR(__xludf.DUMMYFUNCTION("""COMPUTED_VALUE"""),"Leyla Campos")</f>
        <v>Leyla Campos</v>
      </c>
      <c r="R206" s="5" t="str">
        <f>IFERROR(__xludf.DUMMYFUNCTION("""COMPUTED_VALUE"""),"Sáb")</f>
        <v>Sáb</v>
      </c>
      <c r="S206" s="6" t="str">
        <f>IFERROR(__xludf.DUMMYFUNCTION("""COMPUTED_VALUE"""),"3PM - 6PM")</f>
        <v>3PM - 6PM</v>
      </c>
      <c r="T206" s="7" t="str">
        <f>IFERROR(__xludf.DUMMYFUNCTION("""COMPUTED_VALUE"""),"Sábado 31 Enero")</f>
        <v>Sábado 31 Enero</v>
      </c>
      <c r="U206" s="7" t="str">
        <f>IFERROR(__xludf.DUMMYFUNCTION("""COMPUTED_VALUE"""),"Sábado 7 Marzo")</f>
        <v>Sábado 7 Marzo</v>
      </c>
      <c r="V206" s="8">
        <f>IFERROR(__xludf.DUMMYFUNCTION("""COMPUTED_VALUE"""),6.0)</f>
        <v>6</v>
      </c>
      <c r="W206" s="5" t="str">
        <f>IFERROR(__xludf.DUMMYFUNCTION("""COMPUTED_VALUE"""),"pdfs/BROCHURE SQL SERVER.pdf")</f>
        <v>pdfs/BROCHURE SQL SERVER.pdf</v>
      </c>
      <c r="X206" s="5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06" s="5" t="str">
        <f>IFERROR(__xludf.DUMMYFUNCTION("""COMPUTED_VALUE"""),"images/sqlserver.jpg")</f>
        <v>images/sqlserver.jpg</v>
      </c>
      <c r="Z206" s="5" t="str">
        <f>IFERROR(__xludf.DUMMYFUNCTION("""COMPUTED_VALUE"""),"Avalado por Microsoft Partner Network")</f>
        <v>Avalado por Microsoft Partner Network</v>
      </c>
      <c r="AA206" s="5" t="str">
        <f>IFERROR(__xludf.DUMMYFUNCTION("""COMPUTED_VALUE"""),"NO")</f>
        <v>NO</v>
      </c>
      <c r="AB206" s="6">
        <f>IFERROR(__xludf.DUMMYFUNCTION("""COMPUTED_VALUE"""),830.0)</f>
        <v>830</v>
      </c>
      <c r="AC206" s="6">
        <f>IFERROR(__xludf.DUMMYFUNCTION("""COMPUTED_VALUE"""),740.0)</f>
        <v>740</v>
      </c>
      <c r="AD206" s="6">
        <f>IFERROR(__xludf.DUMMYFUNCTION("""COMPUTED_VALUE"""),415.0)</f>
        <v>415</v>
      </c>
      <c r="AE206" s="6">
        <f>IFERROR(__xludf.DUMMYFUNCTION("""COMPUTED_VALUE"""),370.0)</f>
        <v>370</v>
      </c>
      <c r="AF206" s="6">
        <f>IFERROR(__xludf.DUMMYFUNCTION("""COMPUTED_VALUE"""),150.0)</f>
        <v>150</v>
      </c>
      <c r="AG206" s="5">
        <f>IFERROR(__xludf.DUMMYFUNCTION("""COMPUTED_VALUE"""),150.0)</f>
        <v>150</v>
      </c>
      <c r="AH206" s="5"/>
      <c r="AI206" s="5">
        <f>IFERROR(__xludf.DUMMYFUNCTION("""COMPUTED_VALUE"""),333.0)</f>
        <v>333</v>
      </c>
      <c r="AJ206" s="5">
        <f>IFERROR(__xludf.DUMMYFUNCTION("""COMPUTED_VALUE"""),373.5)</f>
        <v>373.5</v>
      </c>
      <c r="AK206" s="5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206" s="5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206" s="5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206" s="5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206" s="5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206" s="5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206" s="9" t="str">
        <f>IFERROR(__xludf.DUMMYFUNCTION("""COMPUTED_VALUE"""),"https://we-educacion.com/slides/sql-server-for-analytics-52")</f>
        <v>https://we-educacion.com/slides/sql-server-for-analytics-52</v>
      </c>
      <c r="AR206" s="5">
        <v>1.0</v>
      </c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</row>
    <row r="207" ht="15.75" customHeight="1">
      <c r="A207" s="5" t="s">
        <v>249</v>
      </c>
      <c r="B207" s="5" t="str">
        <f t="shared" si="1"/>
        <v>FEB. I - ED26</v>
      </c>
      <c r="C207" s="6" t="str">
        <f>IFERROR(__xludf.DUMMYFUNCTION("""COMPUTED_VALUE"""),"PROYECTOS")</f>
        <v>PROYECTOS</v>
      </c>
      <c r="D207" s="6" t="str">
        <f>IFERROR(__xludf.DUMMYFUNCTION("""COMPUTED_VALUE"""),"CURSO")</f>
        <v>CURSO</v>
      </c>
      <c r="E207" s="6" t="str">
        <f>IFERROR(__xludf.DUMMYFUNCTION("""COMPUTED_VALUE"""),"GEST FINANC. PROYECT")</f>
        <v>GEST FINANC. PROYECT</v>
      </c>
      <c r="F207" s="7">
        <f>IFERROR(__xludf.DUMMYFUNCTION("""COMPUTED_VALUE"""),46054.0)</f>
        <v>46054</v>
      </c>
      <c r="G207" s="6"/>
      <c r="H207" s="7"/>
      <c r="I207" s="6"/>
      <c r="J207" s="7"/>
      <c r="K207" s="6"/>
      <c r="L207" s="7"/>
      <c r="M207" s="6"/>
      <c r="N207" s="7"/>
      <c r="O207" s="6"/>
      <c r="P207" s="7"/>
      <c r="Q207" s="6" t="str">
        <f>IFERROR(__xludf.DUMMYFUNCTION("""COMPUTED_VALUE"""),"Elmer León")</f>
        <v>Elmer León</v>
      </c>
      <c r="R207" s="5" t="str">
        <f>IFERROR(__xludf.DUMMYFUNCTION("""COMPUTED_VALUE"""),"Dom")</f>
        <v>Dom</v>
      </c>
      <c r="S207" s="6" t="str">
        <f>IFERROR(__xludf.DUMMYFUNCTION("""COMPUTED_VALUE"""),"9AM - 12PM")</f>
        <v>9AM - 12PM</v>
      </c>
      <c r="T207" s="7" t="str">
        <f>IFERROR(__xludf.DUMMYFUNCTION("""COMPUTED_VALUE"""),"Domingo 1 Febrero")</f>
        <v>Domingo 1 Febrero</v>
      </c>
      <c r="U207" s="7" t="str">
        <f>IFERROR(__xludf.DUMMYFUNCTION("""COMPUTED_VALUE"""),"Domingo 8 Marzo")</f>
        <v>Domingo 8 Marzo</v>
      </c>
      <c r="V207" s="8">
        <f>IFERROR(__xludf.DUMMYFUNCTION("""COMPUTED_VALUE"""),6.0)</f>
        <v>6</v>
      </c>
      <c r="W207" s="5" t="str">
        <f>IFERROR(__xludf.DUMMYFUNCTION("""COMPUTED_VALUE"""),"pdfs/BROCHURE GESTIÓN FINANCIERA DE PROYECTOS.pdf")</f>
        <v>pdfs/BROCHURE GESTIÓN FINANCIERA DE PROYECTOS.pdf</v>
      </c>
      <c r="X207" s="5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*Por favor, revisa el BROCHURE* 👇🏻
Aqui encontrarás la información completa del programa, el TEMARIO (malla curricular) y todos los BENEFICIOS 📚</v>
      </c>
      <c r="Y207" s="5" t="str">
        <f>IFERROR(__xludf.DUMMYFUNCTION("""COMPUTED_VALUE"""),"images/gestfinanc.jpg")</f>
        <v>images/gestfinanc.jpg</v>
      </c>
      <c r="Z207" s="5"/>
      <c r="AA207" s="5" t="str">
        <f>IFERROR(__xludf.DUMMYFUNCTION("""COMPUTED_VALUE"""),"NO")</f>
        <v>NO</v>
      </c>
      <c r="AB207" s="6">
        <f>IFERROR(__xludf.DUMMYFUNCTION("""COMPUTED_VALUE"""),710.0)</f>
        <v>710</v>
      </c>
      <c r="AC207" s="6">
        <f>IFERROR(__xludf.DUMMYFUNCTION("""COMPUTED_VALUE"""),610.0)</f>
        <v>610</v>
      </c>
      <c r="AD207" s="6">
        <f>IFERROR(__xludf.DUMMYFUNCTION("""COMPUTED_VALUE"""),355.0)</f>
        <v>355</v>
      </c>
      <c r="AE207" s="6">
        <f>IFERROR(__xludf.DUMMYFUNCTION("""COMPUTED_VALUE"""),305.0)</f>
        <v>305</v>
      </c>
      <c r="AF207" s="6">
        <f>IFERROR(__xludf.DUMMYFUNCTION("""COMPUTED_VALUE"""),150.0)</f>
        <v>150</v>
      </c>
      <c r="AG207" s="5">
        <f>IFERROR(__xludf.DUMMYFUNCTION("""COMPUTED_VALUE"""),150.0)</f>
        <v>150</v>
      </c>
      <c r="AH207" s="5"/>
      <c r="AI207" s="5">
        <f>IFERROR(__xludf.DUMMYFUNCTION("""COMPUTED_VALUE"""),274.5)</f>
        <v>274.5</v>
      </c>
      <c r="AJ207" s="5">
        <f>IFERROR(__xludf.DUMMYFUNCTION("""COMPUTED_VALUE"""),319.5)</f>
        <v>319.5</v>
      </c>
      <c r="AK207" s="5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207" s="5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207" s="5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207" s="5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207" s="5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207" s="5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207" s="9" t="str">
        <f>IFERROR(__xludf.DUMMYFUNCTION("""COMPUTED_VALUE"""),"https://we-educacion.com/slides/gestion-financiera-de-proyectos-637")</f>
        <v>https://we-educacion.com/slides/gestion-financiera-de-proyectos-637</v>
      </c>
      <c r="AR207" s="5">
        <v>1.0</v>
      </c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</row>
    <row r="208" ht="15.75" customHeight="1">
      <c r="A208" s="5" t="s">
        <v>250</v>
      </c>
      <c r="B208" s="5" t="str">
        <f t="shared" si="1"/>
        <v>FEB. I - ED26</v>
      </c>
      <c r="C208" s="6" t="str">
        <f>IFERROR(__xludf.DUMMYFUNCTION("""COMPUTED_VALUE"""),"BI")</f>
        <v>BI</v>
      </c>
      <c r="D208" s="5" t="str">
        <f>IFERROR(__xludf.DUMMYFUNCTION("""COMPUTED_VALUE"""),"CURSO")</f>
        <v>CURSO</v>
      </c>
      <c r="E208" s="6" t="str">
        <f>IFERROR(__xludf.DUMMYFUNCTION("""COMPUTED_VALUE"""),"IA &amp; DEEP LEARNING V2")</f>
        <v>IA &amp; DEEP LEARNING V2</v>
      </c>
      <c r="F208" s="7">
        <f>IFERROR(__xludf.DUMMYFUNCTION("""COMPUTED_VALUE"""),46054.0)</f>
        <v>46054</v>
      </c>
      <c r="G208" s="6"/>
      <c r="H208" s="7"/>
      <c r="I208" s="6"/>
      <c r="J208" s="7"/>
      <c r="K208" s="6"/>
      <c r="L208" s="7"/>
      <c r="M208" s="6"/>
      <c r="N208" s="7"/>
      <c r="O208" s="6"/>
      <c r="P208" s="7"/>
      <c r="Q208" s="6" t="str">
        <f>IFERROR(__xludf.DUMMYFUNCTION("""COMPUTED_VALUE"""),"Paul Gabino")</f>
        <v>Paul Gabino</v>
      </c>
      <c r="R208" s="5" t="str">
        <f>IFERROR(__xludf.DUMMYFUNCTION("""COMPUTED_VALUE"""),"Dom")</f>
        <v>Dom</v>
      </c>
      <c r="S208" s="6" t="str">
        <f>IFERROR(__xludf.DUMMYFUNCTION("""COMPUTED_VALUE"""),"9AM - 12PM")</f>
        <v>9AM - 12PM</v>
      </c>
      <c r="T208" s="7" t="str">
        <f>IFERROR(__xludf.DUMMYFUNCTION("""COMPUTED_VALUE"""),"Domingo 1 Febrero")</f>
        <v>Domingo 1 Febrero</v>
      </c>
      <c r="U208" s="7" t="str">
        <f>IFERROR(__xludf.DUMMYFUNCTION("""COMPUTED_VALUE"""),"Domingo 8 Marzo")</f>
        <v>Domingo 8 Marzo</v>
      </c>
      <c r="V208" s="8">
        <f>IFERROR(__xludf.DUMMYFUNCTION("""COMPUTED_VALUE"""),6.0)</f>
        <v>6</v>
      </c>
      <c r="W208" s="5" t="str">
        <f>IFERROR(__xludf.DUMMYFUNCTION("""COMPUTED_VALUE"""),"pdfs/BROCHURE IA &amp; DEEP LEARNING.pdf")</f>
        <v>pdfs/BROCHURE IA &amp; DEEP LEARNING.pdf</v>
      </c>
      <c r="X208" s="5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02 Cursos Online de regalo con acceso ilimitado 📚
🔹 Desarro"&amp;"llo y seguimiento de tu proyecto *(Evaluado)*
🔹 Garantía de Aprendizaje 100% 
🔹 *Necesitas tener conocimientos en PYTHON* 👩🏻‍💻
👉🏼 ¡Te regalamos el Curso Online Certificado!
👉🏼 Incluye tutorial y manual de instalación
*¡Certificado Adicio"&amp;"nal!* ⭐
👉🏻 Certificado *Artificial Intelligence Professional* tiene la inversión de *$50* ~(Normal $150)~
_Incluye material de práctica y 2 intentos del examen_
🚨 *Revisa el BROCHURE* 👇🏻")</f>
        <v>🔵 *Conoce TODOS los BENEFICIOS a los que accedes*
🔹 Acceso a *Campus Virtual* WE 👩🏻‍🏫
🔹 Material digital y grabación de clases 
🔹 Certificado digital con respaldo *IBM Partner*
🔹 02 Cursos Online de regalo con acceso ilimitado 📚
🔹 Desarrollo y seguimiento de tu proyecto *(Evaluado)*
🔹 Garantía de Aprendizaje 100% 
🔹 *Necesitas tener conocimientos en PYTHON* 👩🏻‍💻
👉🏼 ¡Te regalamos el Curso Online Certificado!
👉🏼 Incluye tutorial y manual de instalación
*¡Certificado Adicional!* ⭐
👉🏻 Certificado *Artificial Intelligence Professional* tiene la inversión de *$50* ~(Normal $150)~
_Incluye material de práctica y 2 intentos del examen_
🚨 *Revisa el BROCHURE* 👇🏻</v>
      </c>
      <c r="Y208" s="5" t="str">
        <f>IFERROR(__xludf.DUMMYFUNCTION("""COMPUTED_VALUE"""),"images/iadeep.jpg")</f>
        <v>images/iadeep.jpg</v>
      </c>
      <c r="Z208" s="5" t="str">
        <f>IFERROR(__xludf.DUMMYFUNCTION("""COMPUTED_VALUE"""),"Avalado por IBM® Partner World")</f>
        <v>Avalado por IBM® Partner World</v>
      </c>
      <c r="AA208" s="5" t="str">
        <f>IFERROR(__xludf.DUMMYFUNCTION("""COMPUTED_VALUE"""),"SI")</f>
        <v>SI</v>
      </c>
      <c r="AB208" s="6">
        <f>IFERROR(__xludf.DUMMYFUNCTION("""COMPUTED_VALUE"""),690.0)</f>
        <v>690</v>
      </c>
      <c r="AC208" s="6">
        <f>IFERROR(__xludf.DUMMYFUNCTION("""COMPUTED_VALUE"""),640.0)</f>
        <v>640</v>
      </c>
      <c r="AD208" s="6">
        <f>IFERROR(__xludf.DUMMYFUNCTION("""COMPUTED_VALUE"""),345.0)</f>
        <v>345</v>
      </c>
      <c r="AE208" s="6">
        <f>IFERROR(__xludf.DUMMYFUNCTION("""COMPUTED_VALUE"""),320.0)</f>
        <v>320</v>
      </c>
      <c r="AF208" s="6">
        <f>IFERROR(__xludf.DUMMYFUNCTION("""COMPUTED_VALUE"""),150.0)</f>
        <v>150</v>
      </c>
      <c r="AG208" s="5">
        <f>IFERROR(__xludf.DUMMYFUNCTION("""COMPUTED_VALUE"""),150.0)</f>
        <v>150</v>
      </c>
      <c r="AH208" s="5"/>
      <c r="AI208" s="5">
        <f>IFERROR(__xludf.DUMMYFUNCTION("""COMPUTED_VALUE"""),288.0)</f>
        <v>288</v>
      </c>
      <c r="AJ208" s="5">
        <f>IFERROR(__xludf.DUMMYFUNCTION("""COMPUTED_VALUE"""),310.5)</f>
        <v>310.5</v>
      </c>
      <c r="AK208" s="5" t="str">
        <f>IFERROR(__xludf.DUMMYFUNCTION("""COMPUTED_VALUE"""),"El futuro se diseña con Inteligencia Artificial 🚀
Con IA &amp; Deep Learning V2 aprenderás a crear modelos avanzados de predicción y análisis aplicados en proyectos reales 💻.
Aquí tienes la información 👇🏻")</f>
        <v>El futuro se diseña con Inteligencia Artificial 🚀
Con IA &amp; Deep Learning V2 aprenderás a crear modelos avanzados de predicción y análisis aplicados en proyectos reales 💻.
Aquí tienes la información 👇🏻</v>
      </c>
      <c r="AL208" s="5" t="str">
        <f>IFERROR(__xludf.DUMMYFUNCTION("""COMPUTED_VALUE"""),"🔑 *Excelente*, actualízate con *IA &amp; DEEP LEARNING V2* y mantente competitivo en el mercado laboral.")</f>
        <v>🔑 *Excelente*, actualízate con *IA &amp; DEEP LEARNING V2* y mantente competitivo en el mercado laboral.</v>
      </c>
      <c r="AM208" s="5" t="str">
        <f>IFERROR(__xludf.DUMMYFUNCTION("""COMPUTED_VALUE"""),"⚡ Buenísimo, *IA &amp; DEEP LEARNING V2* es de las competencias más pedidas por las empresas y aumentará tus oportunidades laborales.")</f>
        <v>⚡ Buenísimo, *IA &amp; DEEP LEARNING V2* es de las competencias más pedidas por las empresas y aumentará tus oportunidades laborales.</v>
      </c>
      <c r="AN208" s="5" t="str">
        <f>IFERROR(__xludf.DUMMYFUNCTION("""COMPUTED_VALUE"""),"⚡ ¡Genial! Con *IA &amp; DEEP LEARNING V2* sumarás una habilidad poderosa que te diferenciará desde la universidad.")</f>
        <v>⚡ ¡Genial! Con *IA &amp; DEEP LEARNING V2* sumarás una habilidad poderosa que te diferenciará desde la universidad.</v>
      </c>
      <c r="AO208" s="5" t="str">
        <f>IFERROR(__xludf.DUMMYFUNCTION("""COMPUTED_VALUE"""),"🛠️ ¡Perfecto! Saber *IA &amp; DEEP LEARNING V2* te dará ventaja frente a otros postulantes para conseguir prácticas.")</f>
        <v>🛠️ ¡Perfecto! Saber *IA &amp; DEEP LEARNING V2* te dará ventaja frente a otros postulantes para conseguir prácticas.</v>
      </c>
      <c r="AP208" s="5" t="str">
        <f>IFERROR(__xludf.DUMMYFUNCTION("""COMPUTED_VALUE"""),"🌍 ¡Excelente! Con *IA &amp; DEEP LEARNING V2* podrás aplicarlo en tu negocio y tomar decisiones más inteligentes.")</f>
        <v>🌍 ¡Excelente! Con *IA &amp; DEEP LEARNING V2* podrás aplicarlo en tu negocio y tomar decisiones más inteligentes.</v>
      </c>
      <c r="AQ208" s="9" t="str">
        <f>IFERROR(__xludf.DUMMYFUNCTION("""COMPUTED_VALUE"""),"https://we-educacion.com/slides/ia-deep-learning-1071#")</f>
        <v>https://we-educacion.com/slides/ia-deep-learning-1071#</v>
      </c>
      <c r="AR208" s="5">
        <v>1.0</v>
      </c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</row>
    <row r="209" ht="15.75" customHeight="1">
      <c r="A209" s="5" t="s">
        <v>251</v>
      </c>
      <c r="B209" s="5" t="str">
        <f t="shared" si="1"/>
        <v>FEB. I - ED26</v>
      </c>
      <c r="C209" s="6" t="str">
        <f>IFERROR(__xludf.DUMMYFUNCTION("""COMPUTED_VALUE"""),"EXCEL")</f>
        <v>EXCEL</v>
      </c>
      <c r="D209" s="5" t="str">
        <f>IFERROR(__xludf.DUMMYFUNCTION("""COMPUTED_VALUE"""),"CURSO")</f>
        <v>CURSO</v>
      </c>
      <c r="E209" s="6" t="str">
        <f>IFERROR(__xludf.DUMMYFUNCTION("""COMPUTED_VALUE"""),"EXCEL AVANZ")</f>
        <v>EXCEL AVANZ</v>
      </c>
      <c r="F209" s="7">
        <f>IFERROR(__xludf.DUMMYFUNCTION("""COMPUTED_VALUE"""),46057.0)</f>
        <v>46057</v>
      </c>
      <c r="G209" s="6"/>
      <c r="H209" s="7"/>
      <c r="I209" s="6"/>
      <c r="J209" s="7"/>
      <c r="K209" s="6"/>
      <c r="L209" s="7"/>
      <c r="M209" s="6"/>
      <c r="N209" s="7"/>
      <c r="O209" s="6"/>
      <c r="P209" s="7"/>
      <c r="Q209" s="6" t="str">
        <f>IFERROR(__xludf.DUMMYFUNCTION("""COMPUTED_VALUE"""),"Giancarlos Barboza
")</f>
        <v>Giancarlos Barboza
</v>
      </c>
      <c r="R209" s="5" t="str">
        <f>IFERROR(__xludf.DUMMYFUNCTION("""COMPUTED_VALUE"""),"Lun-Mie-Vier")</f>
        <v>Lun-Mie-Vier</v>
      </c>
      <c r="S209" s="6" t="str">
        <f>IFERROR(__xludf.DUMMYFUNCTION("""COMPUTED_VALUE"""),"7PM - 10PM")</f>
        <v>7PM - 10PM</v>
      </c>
      <c r="T209" s="7" t="str">
        <f>IFERROR(__xludf.DUMMYFUNCTION("""COMPUTED_VALUE"""),"Miércoles 4 Febrero")</f>
        <v>Miércoles 4 Febrero</v>
      </c>
      <c r="U209" s="7" t="str">
        <f>IFERROR(__xludf.DUMMYFUNCTION("""COMPUTED_VALUE"""),"Lunes 16 Febrero")</f>
        <v>Lunes 16 Febrero</v>
      </c>
      <c r="V209" s="8">
        <f>IFERROR(__xludf.DUMMYFUNCTION("""COMPUTED_VALUE"""),6.0)</f>
        <v>6</v>
      </c>
      <c r="W209" s="5" t="str">
        <f>IFERROR(__xludf.DUMMYFUNCTION("""COMPUTED_VALUE"""),"pdfs/BROCHURE EXCEL AVANZADO.pdf")</f>
        <v>pdfs/BROCHURE EXCEL AVANZADO.pdf</v>
      </c>
      <c r="X209" s="5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209" s="5" t="str">
        <f>IFERROR(__xludf.DUMMYFUNCTION("""COMPUTED_VALUE"""),"images/excelavanz.jpg")</f>
        <v>images/excelavanz.jpg</v>
      </c>
      <c r="Z209" s="5" t="str">
        <f>IFERROR(__xludf.DUMMYFUNCTION("""COMPUTED_VALUE"""),"Avalado por Microsoft Partner Network")</f>
        <v>Avalado por Microsoft Partner Network</v>
      </c>
      <c r="AA209" s="5" t="str">
        <f>IFERROR(__xludf.DUMMYFUNCTION("""COMPUTED_VALUE"""),"NO")</f>
        <v>NO</v>
      </c>
      <c r="AB209" s="6">
        <f>IFERROR(__xludf.DUMMYFUNCTION("""COMPUTED_VALUE"""),420.0)</f>
        <v>420</v>
      </c>
      <c r="AC209" s="6">
        <f>IFERROR(__xludf.DUMMYFUNCTION("""COMPUTED_VALUE"""),400.0)</f>
        <v>400</v>
      </c>
      <c r="AD209" s="6">
        <f>IFERROR(__xludf.DUMMYFUNCTION("""COMPUTED_VALUE"""),210.0)</f>
        <v>210</v>
      </c>
      <c r="AE209" s="6">
        <f>IFERROR(__xludf.DUMMYFUNCTION("""COMPUTED_VALUE"""),200.0)</f>
        <v>200</v>
      </c>
      <c r="AF209" s="6">
        <f>IFERROR(__xludf.DUMMYFUNCTION("""COMPUTED_VALUE"""),150.0)</f>
        <v>150</v>
      </c>
      <c r="AG209" s="5">
        <f>IFERROR(__xludf.DUMMYFUNCTION("""COMPUTED_VALUE"""),150.0)</f>
        <v>150</v>
      </c>
      <c r="AH209" s="5"/>
      <c r="AI209" s="5">
        <f>IFERROR(__xludf.DUMMYFUNCTION("""COMPUTED_VALUE"""),180.0)</f>
        <v>180</v>
      </c>
      <c r="AJ209" s="5">
        <f>IFERROR(__xludf.DUMMYFUNCTION("""COMPUTED_VALUE"""),189.0)</f>
        <v>189</v>
      </c>
      <c r="AK209" s="5" t="str">
        <f>IFERROR(__xludf.DUMMYFUNCTION("""COMPUTED_VALUE"""),"El lenguaje de la eficiencia es Excel Avanzado 🔥
Aprenderás funciones complejas, tablas dinámicas y automatización aplicadas a negocios reales 💼.
Aquí tienes la info 👇🏻")</f>
        <v>El lenguaje de la eficiencia es Excel Avanzado 🔥
Aprenderás funciones complejas, tablas dinámicas y automatización aplicadas a negocios reales 💼.
Aquí tienes la info 👇🏻</v>
      </c>
      <c r="AL209" s="5" t="str">
        <f>IFERROR(__xludf.DUMMYFUNCTION("""COMPUTED_VALUE"""),"🚀 *Excelente*, actualízate con *EXCEL AVANZ* y mantente competitivo en el mercado laboral.")</f>
        <v>🚀 *Excelente*, actualízate con *EXCEL AVANZ* y mantente competitivo en el mercado laboral.</v>
      </c>
      <c r="AM209" s="5" t="str">
        <f>IFERROR(__xludf.DUMMYFUNCTION("""COMPUTED_VALUE"""),"🚀 Buenísimo, *EXCEL AVANZ* es de las competencias más pedidas por las empresas y aumentará tus oportunidades laborales.")</f>
        <v>🚀 Buenísimo, *EXCEL AVANZ* es de las competencias más pedidas por las empresas y aumentará tus oportunidades laborales.</v>
      </c>
      <c r="AN209" s="5" t="str">
        <f>IFERROR(__xludf.DUMMYFUNCTION("""COMPUTED_VALUE"""),"🔑 ¡Genial! Con *EXCEL AVANZ* sumarás una habilidad poderosa que te diferenciará desde la universidad.")</f>
        <v>🔑 ¡Genial! Con *EXCEL AVANZ* sumarás una habilidad poderosa que te diferenciará desde la universidad.</v>
      </c>
      <c r="AO209" s="5" t="str">
        <f>IFERROR(__xludf.DUMMYFUNCTION("""COMPUTED_VALUE"""),"📘 ¡Perfecto! Saber *EXCEL AVANZ* te dará ventaja frente a otros postulantes para conseguir prácticas.")</f>
        <v>📘 ¡Perfecto! Saber *EXCEL AVANZ* te dará ventaja frente a otros postulantes para conseguir prácticas.</v>
      </c>
      <c r="AP209" s="5" t="str">
        <f>IFERROR(__xludf.DUMMYFUNCTION("""COMPUTED_VALUE"""),"🌍 ¡Excelente! Con *EXCEL AVANZ* podrás aplicarlo en tu negocio y tomar decisiones más inteligentes.")</f>
        <v>🌍 ¡Excelente! Con *EXCEL AVANZ* podrás aplicarlo en tu negocio y tomar decisiones más inteligentes.</v>
      </c>
      <c r="AQ209" s="9" t="str">
        <f>IFERROR(__xludf.DUMMYFUNCTION("""COMPUTED_VALUE"""),"https://we-educacion.com/slides/microsoft-excel-avanzado-59")</f>
        <v>https://we-educacion.com/slides/microsoft-excel-avanzado-59</v>
      </c>
      <c r="AR209" s="5">
        <v>1.0</v>
      </c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</row>
    <row r="210" ht="15.75" customHeight="1">
      <c r="A210" s="5" t="s">
        <v>252</v>
      </c>
      <c r="B210" s="5" t="str">
        <f t="shared" si="1"/>
        <v>FEB. I - ED26</v>
      </c>
      <c r="C210" s="6" t="str">
        <f>IFERROR(__xludf.DUMMYFUNCTION("""COMPUTED_VALUE"""),"DISEÑO Y MODELO GRÁFICO")</f>
        <v>DISEÑO Y MODELO GRÁFICO</v>
      </c>
      <c r="D210" s="6" t="str">
        <f>IFERROR(__xludf.DUMMYFUNCTION("""COMPUTED_VALUE"""),"CURSO")</f>
        <v>CURSO</v>
      </c>
      <c r="E210" s="6" t="str">
        <f>IFERROR(__xludf.DUMMYFUNCTION("""COMPUTED_VALUE"""),"AUTOCAD")</f>
        <v>AUTOCAD</v>
      </c>
      <c r="F210" s="7">
        <f>IFERROR(__xludf.DUMMYFUNCTION("""COMPUTED_VALUE"""),46058.0)</f>
        <v>46058</v>
      </c>
      <c r="G210" s="6"/>
      <c r="H210" s="7"/>
      <c r="I210" s="6"/>
      <c r="J210" s="7"/>
      <c r="K210" s="6"/>
      <c r="L210" s="7"/>
      <c r="M210" s="6"/>
      <c r="N210" s="7"/>
      <c r="O210" s="6"/>
      <c r="P210" s="7"/>
      <c r="Q210" s="6" t="str">
        <f>IFERROR(__xludf.DUMMYFUNCTION("""COMPUTED_VALUE"""),"Alfredo Garcia")</f>
        <v>Alfredo Garcia</v>
      </c>
      <c r="R210" s="5" t="str">
        <f>IFERROR(__xludf.DUMMYFUNCTION("""COMPUTED_VALUE"""),"Jue")</f>
        <v>Jue</v>
      </c>
      <c r="S210" s="6" t="str">
        <f>IFERROR(__xludf.DUMMYFUNCTION("""COMPUTED_VALUE"""),"7PM - 10PM")</f>
        <v>7PM - 10PM</v>
      </c>
      <c r="T210" s="7" t="str">
        <f>IFERROR(__xludf.DUMMYFUNCTION("""COMPUTED_VALUE"""),"Jueves 5 Febrero")</f>
        <v>Jueves 5 Febrero</v>
      </c>
      <c r="U210" s="7" t="str">
        <f>IFERROR(__xludf.DUMMYFUNCTION("""COMPUTED_VALUE"""),"Jueves 12 Marzo")</f>
        <v>Jueves 12 Marzo</v>
      </c>
      <c r="V210" s="8">
        <f>IFERROR(__xludf.DUMMYFUNCTION("""COMPUTED_VALUE"""),6.0)</f>
        <v>6</v>
      </c>
      <c r="W210" s="5"/>
      <c r="X210" s="5"/>
      <c r="Y210" s="5"/>
      <c r="Z210" s="6"/>
      <c r="AA210" s="6"/>
      <c r="AB210" s="6"/>
      <c r="AC210" s="6"/>
      <c r="AD210" s="6"/>
      <c r="AE210" s="6"/>
      <c r="AF210" s="6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 t="str">
        <f>IFERROR(__xludf.DUMMYFUNCTION("""COMPUTED_VALUE"""),"#N/A")</f>
        <v>#N/A</v>
      </c>
      <c r="AR210" s="5">
        <v>1.0</v>
      </c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</row>
    <row r="211" ht="15.75" customHeight="1">
      <c r="A211" s="5" t="s">
        <v>253</v>
      </c>
      <c r="B211" s="5" t="str">
        <f t="shared" si="1"/>
        <v>FEB. I - ED26</v>
      </c>
      <c r="C211" s="6" t="str">
        <f>IFERROR(__xludf.DUMMYFUNCTION("""COMPUTED_VALUE"""),"LOGÍSTICA")</f>
        <v>LOGÍSTICA</v>
      </c>
      <c r="D211" s="5" t="str">
        <f>IFERROR(__xludf.DUMMYFUNCTION("""COMPUTED_VALUE"""),"PEE")</f>
        <v>PEE</v>
      </c>
      <c r="E211" s="6" t="str">
        <f>IFERROR(__xludf.DUMMYFUNCTION("""COMPUTED_VALUE"""),"PEE PLAN. DEMAN.")</f>
        <v>PEE PLAN. DEMAN.</v>
      </c>
      <c r="F211" s="7">
        <f>IFERROR(__xludf.DUMMYFUNCTION("""COMPUTED_VALUE"""),46058.0)</f>
        <v>46058</v>
      </c>
      <c r="G211" s="6" t="str">
        <f>IFERROR(__xludf.DUMMYFUNCTION("""COMPUTED_VALUE"""),"KPIS LOGÍSTICOS POWER BI")</f>
        <v>KPIS LOGÍSTICOS POWER BI</v>
      </c>
      <c r="H211" s="7">
        <f>IFERROR(__xludf.DUMMYFUNCTION("""COMPUTED_VALUE"""),46058.0)</f>
        <v>46058</v>
      </c>
      <c r="I211" s="6" t="str">
        <f>IFERROR(__xludf.DUMMYFUNCTION("""COMPUTED_VALUE"""),"SAP HANA MM")</f>
        <v>SAP HANA MM</v>
      </c>
      <c r="J211" s="7">
        <f>IFERROR(__xludf.DUMMYFUNCTION("""COMPUTED_VALUE"""),46107.0)</f>
        <v>46107</v>
      </c>
      <c r="K211" s="6" t="str">
        <f>IFERROR(__xludf.DUMMYFUNCTION("""COMPUTED_VALUE"""),"PLAN. Y PRONOSTICO V2")</f>
        <v>PLAN. Y PRONOSTICO V2</v>
      </c>
      <c r="L211" s="7">
        <f>IFERROR(__xludf.DUMMYFUNCTION("""COMPUTED_VALUE"""),46135.0)</f>
        <v>46135</v>
      </c>
      <c r="M211" s="6"/>
      <c r="N211" s="7"/>
      <c r="O211" s="6"/>
      <c r="P211" s="7"/>
      <c r="Q211" s="6" t="str">
        <f>IFERROR(__xludf.DUMMYFUNCTION("""COMPUTED_VALUE"""),"Franz Valdivia
Roller Rubio
Sylvia Rodas")</f>
        <v>Franz Valdivia
Roller Rubio
Sylvia Rodas</v>
      </c>
      <c r="R211" s="5" t="str">
        <f>IFERROR(__xludf.DUMMYFUNCTION("""COMPUTED_VALUE"""),"Mar-Jue")</f>
        <v>Mar-Jue</v>
      </c>
      <c r="S211" s="6" t="str">
        <f>IFERROR(__xludf.DUMMYFUNCTION("""COMPUTED_VALUE"""),"7PM - 10PM")</f>
        <v>7PM - 10PM</v>
      </c>
      <c r="T211" s="7" t="str">
        <f>IFERROR(__xludf.DUMMYFUNCTION("""COMPUTED_VALUE"""),"Jueves 5 Febrero")</f>
        <v>Jueves 5 Febrero</v>
      </c>
      <c r="U211" s="7" t="str">
        <f>IFERROR(__xludf.DUMMYFUNCTION("""COMPUTED_VALUE"""),"Martes 12 Mayo")</f>
        <v>Martes 12 Mayo</v>
      </c>
      <c r="V211" s="8">
        <f>IFERROR(__xludf.DUMMYFUNCTION("""COMPUTED_VALUE"""),17.0)</f>
        <v>17</v>
      </c>
      <c r="W211" s="5" t="str">
        <f>IFERROR(__xludf.DUMMYFUNCTION("""COMPUTED_VALUE"""),"pdfs/BROCHURE PEE PLANEAMIENTO DE LA DEMANDA.pdf")</f>
        <v>pdfs/BROCHURE PEE PLANEAMIENTO DE LA DEMANDA.pdf</v>
      </c>
      <c r="X211" s="5" t="str">
        <f>IFERROR(__xludf.DUMMYFUNCTION("""COMPUTED_VALUE"""),"🔵 Conoce TODOS los BENEFICIOS a los que accedes 
🔹 Acceso a Campus Virtual WE 👩🏻‍🏫
🔹 Material digital y grabación de clases 
🔹 Certificado por cada módulo &amp; Especialización
🔹 05 Cursos Online de regalo con acceso ilimitado 📚
🔹 Desarrollo y segu"&amp;"imiento de tu proyecto (Evaluado)
🔹 Garantía de Aprendizaje 100% 
🔹 Utilizarán SAP HANA y POWER BI 👩🏻‍💻
👉🏼 Incluye tutorial y manual de instalación
👉🏼 12 Meses de Servidor SAP
💻 Importante: Para la instalación se necesita una Laptop Windows
🚨"&amp;" Revisa el BROCHURE ")</f>
        <v>🔵 Conoce TODOS los BENEFICIOS a los que accedes 
🔹 Acceso a Campus Virtual WE 👩🏻‍🏫
🔹 Material digital y grabación de clases 
🔹 Certificado por cada módulo &amp; Especialización
🔹 05 Cursos Online de regalo con acceso ilimitado 📚
🔹 Desarrollo y seguimiento de tu proyecto (Evaluado)
🔹 Garantía de Aprendizaje 100% 
🔹 Utilizarán SAP HANA y POWER BI 👩🏻‍💻
👉🏼 Incluye tutorial y manual de instalación
👉🏼 12 Meses de Servidor SAP
💻 Importante: Para la instalación se necesita una Laptop Windows
🚨 Revisa el BROCHURE </v>
      </c>
      <c r="Y211" s="5"/>
      <c r="Z211" s="5"/>
      <c r="AA211" s="5"/>
      <c r="AB211" s="6">
        <f>IFERROR(__xludf.DUMMYFUNCTION("""COMPUTED_VALUE"""),2420.0)</f>
        <v>2420</v>
      </c>
      <c r="AC211" s="6">
        <f>IFERROR(__xludf.DUMMYFUNCTION("""COMPUTED_VALUE"""),2200.0)</f>
        <v>2200</v>
      </c>
      <c r="AD211" s="6">
        <f>IFERROR(__xludf.DUMMYFUNCTION("""COMPUTED_VALUE"""),1210.0)</f>
        <v>1210</v>
      </c>
      <c r="AE211" s="6">
        <f>IFERROR(__xludf.DUMMYFUNCTION("""COMPUTED_VALUE"""),1100.0)</f>
        <v>1100</v>
      </c>
      <c r="AF211" s="6">
        <f>IFERROR(__xludf.DUMMYFUNCTION("""COMPUTED_VALUE"""),250.0)</f>
        <v>250</v>
      </c>
      <c r="AG211" s="5">
        <f>IFERROR(__xludf.DUMMYFUNCTION("""COMPUTED_VALUE"""),350.0)</f>
        <v>350</v>
      </c>
      <c r="AH211" s="5"/>
      <c r="AI211" s="5">
        <f>IFERROR(__xludf.DUMMYFUNCTION("""COMPUTED_VALUE"""),990.0)</f>
        <v>990</v>
      </c>
      <c r="AJ211" s="5">
        <f>IFERROR(__xludf.DUMMYFUNCTION("""COMPUTED_VALUE"""),1089.0)</f>
        <v>1089</v>
      </c>
      <c r="AK211" s="5" t="str">
        <f>IFERROR(__xludf.DUMMYFUNCTION("""COMPUTED_VALUE"""),"El lenguaje de las empresas competitivas es *anticiparse al mercado* 🚀
En pocas semanas desarrollarás habilidades en *planeamiento de la demanda*, con enfoque práctico, aplicable y casos reales del sector 🧳.
Ahora te adjunto la información a detalle 👇"&amp;"🏻")</f>
        <v>El lenguaje de las empresas competitivas es *anticiparse al mercado* 🚀
En pocas semanas desarrollarás habilidades en *planeamiento de la demanda*, con enfoque práctico, aplicable y casos reales del sector 🧳.
Ahora te adjunto la información a detalle 👇🏻</v>
      </c>
      <c r="AL211" s="5" t="str">
        <f>IFERROR(__xludf.DUMMYFUNCTION("""COMPUTED_VALUE"""),"Excelente, este *PEE* te ayudará a mantenerte competitivo y aplicar las últimas metodologías en *planeamiento de la demanda*. 🙌🏼")</f>
        <v>Excelente, este *PEE* te ayudará a mantenerte competitivo y aplicar las últimas metodologías en *planeamiento de la demanda*. 🙌🏼</v>
      </c>
      <c r="AM211" s="5" t="str">
        <f>IFERROR(__xludf.DUMMYFUNCTION("""COMPUTED_VALUE"""),"Buenísimo, especializarte en planeamiento de la demanda te dará *un plus en tu CV* y más oportunidades laborales. 🧳")</f>
        <v>Buenísimo, especializarte en planeamiento de la demanda te dará *un plus en tu CV* y más oportunidades laborales. 🧳</v>
      </c>
      <c r="AN211" s="5" t="str">
        <f>IFERROR(__xludf.DUMMYFUNCTION("""COMPUTED_VALUE"""),"¡Excelente!, podrás complementar lo que ves en la universidad con enfoques prácticos y aplicables en gestión de la demanda, y así destacar tu *Perfil Profesional* 🚀")</f>
        <v>¡Excelente!, podrás complementar lo que ves en la universidad con enfoques prácticos y aplicables en gestión de la demanda, y así destacar tu *Perfil Profesional* 🚀</v>
      </c>
      <c r="AO211" s="5" t="str">
        <f>IFERROR(__xludf.DUMMYFUNCTION("""COMPUTED_VALUE"""),"¡Perfecto!, el *planeamiento de la demanda* es muy valorado por las empresas y te hará destacar al postular a prácticas o roles de mayor responsabilidad. 🧳")</f>
        <v>¡Perfecto!, el *planeamiento de la demanda* es muy valorado por las empresas y te hará destacar al postular a prácticas o roles de mayor responsabilidad. 🧳</v>
      </c>
      <c r="AP211" s="5" t="str">
        <f>IFERROR(__xludf.DUMMYFUNCTION("""COMPUTED_VALUE"""),"¡Excelente!, con *planeamiento de la demanda* podrás anticipar escenarios y tomar decisiones más estratégicas para el negocio 🚀")</f>
        <v>¡Excelente!, con *planeamiento de la demanda* podrás anticipar escenarios y tomar decisiones más estratégicas para el negocio 🚀</v>
      </c>
      <c r="AQ211" s="9" t="str">
        <f>IFERROR(__xludf.DUMMYFUNCTION("""COMPUTED_VALUE"""),"https://we-educacion.com/slides/pee-planeamiento-de-la-demanda-110")</f>
        <v>https://we-educacion.com/slides/pee-planeamiento-de-la-demanda-110</v>
      </c>
      <c r="AR211" s="5">
        <v>1.0</v>
      </c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</row>
    <row r="212" ht="15.75" customHeight="1">
      <c r="A212" s="5" t="s">
        <v>254</v>
      </c>
      <c r="B212" s="5" t="str">
        <f t="shared" si="1"/>
        <v>FEB. I - ED26</v>
      </c>
      <c r="C212" s="6" t="str">
        <f>IFERROR(__xludf.DUMMYFUNCTION("""COMPUTED_VALUE"""),"LOGÍSTICA")</f>
        <v>LOGÍSTICA</v>
      </c>
      <c r="D212" s="6" t="str">
        <f>IFERROR(__xludf.DUMMYFUNCTION("""COMPUTED_VALUE"""),"CURSO")</f>
        <v>CURSO</v>
      </c>
      <c r="E212" s="6" t="str">
        <f>IFERROR(__xludf.DUMMYFUNCTION("""COMPUTED_VALUE"""),"KPIS LOGÍSTICOS POWER BI")</f>
        <v>KPIS LOGÍSTICOS POWER BI</v>
      </c>
      <c r="F212" s="7">
        <f>IFERROR(__xludf.DUMMYFUNCTION("""COMPUTED_VALUE"""),46058.0)</f>
        <v>46058</v>
      </c>
      <c r="G212" s="6"/>
      <c r="H212" s="7"/>
      <c r="I212" s="6"/>
      <c r="J212" s="7"/>
      <c r="K212" s="6"/>
      <c r="L212" s="7"/>
      <c r="M212" s="6"/>
      <c r="N212" s="7"/>
      <c r="O212" s="6"/>
      <c r="P212" s="7"/>
      <c r="Q212" s="6" t="str">
        <f>IFERROR(__xludf.DUMMYFUNCTION("""COMPUTED_VALUE"""),"Franz Valdivia
")</f>
        <v>Franz Valdivia
</v>
      </c>
      <c r="R212" s="5" t="str">
        <f>IFERROR(__xludf.DUMMYFUNCTION("""COMPUTED_VALUE"""),"Mar-Jue")</f>
        <v>Mar-Jue</v>
      </c>
      <c r="S212" s="6" t="str">
        <f>IFERROR(__xludf.DUMMYFUNCTION("""COMPUTED_VALUE"""),"7PM - 10PM")</f>
        <v>7PM - 10PM</v>
      </c>
      <c r="T212" s="7" t="str">
        <f>IFERROR(__xludf.DUMMYFUNCTION("""COMPUTED_VALUE"""),"Jueves 5 Febrero")</f>
        <v>Jueves 5 Febrero</v>
      </c>
      <c r="U212" s="7" t="str">
        <f>IFERROR(__xludf.DUMMYFUNCTION("""COMPUTED_VALUE"""),"Martes 24 Febrero")</f>
        <v>Martes 24 Febrero</v>
      </c>
      <c r="V212" s="8">
        <f>IFERROR(__xludf.DUMMYFUNCTION("""COMPUTED_VALUE"""),6.0)</f>
        <v>6</v>
      </c>
      <c r="W212" s="5" t="str">
        <f>IFERROR(__xludf.DUMMYFUNCTION("""COMPUTED_VALUE"""),"pdfs/BROCHURE KPIS LOGISTICOS CON POWER BI.pdf")</f>
        <v>pdfs/BROCHURE KPIS LOGISTICOS CON POWER BI.pdf</v>
      </c>
      <c r="X212" s="5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*Necesitas tener conocimientos en POWER BI* 👩🏻‍💻
👉🏼 ¡Te regalamos el Curso Online Certificado!
👉🏼 Incluye tutorial y manual de instalación
🚨 *Revisa el BROCHURE* 👇🏻")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*Necesitas tener conocimientos en POWER BI* 👩🏻‍💻
👉🏼 ¡Te regalamos el Curso Online Certificado!
👉🏼 Incluye tutorial y manual de instalación
🚨 *Revisa el BROCHURE* 👇🏻</v>
      </c>
      <c r="Y212" s="5"/>
      <c r="Z212" s="5" t="str">
        <f>IFERROR(__xludf.DUMMYFUNCTION("""COMPUTED_VALUE"""),"Avalado por Microsoft Partner Network")</f>
        <v>Avalado por Microsoft Partner Network</v>
      </c>
      <c r="AA212" s="5" t="str">
        <f>IFERROR(__xludf.DUMMYFUNCTION("""COMPUTED_VALUE"""),"SI")</f>
        <v>SI</v>
      </c>
      <c r="AB212" s="6">
        <f>IFERROR(__xludf.DUMMYFUNCTION("""COMPUTED_VALUE"""),640.0)</f>
        <v>640</v>
      </c>
      <c r="AC212" s="6">
        <f>IFERROR(__xludf.DUMMYFUNCTION("""COMPUTED_VALUE"""),610.0)</f>
        <v>610</v>
      </c>
      <c r="AD212" s="6">
        <f>IFERROR(__xludf.DUMMYFUNCTION("""COMPUTED_VALUE"""),320.0)</f>
        <v>320</v>
      </c>
      <c r="AE212" s="6">
        <f>IFERROR(__xludf.DUMMYFUNCTION("""COMPUTED_VALUE"""),305.0)</f>
        <v>305</v>
      </c>
      <c r="AF212" s="6">
        <f>IFERROR(__xludf.DUMMYFUNCTION("""COMPUTED_VALUE"""),150.0)</f>
        <v>150</v>
      </c>
      <c r="AG212" s="5">
        <f>IFERROR(__xludf.DUMMYFUNCTION("""COMPUTED_VALUE"""),150.0)</f>
        <v>150</v>
      </c>
      <c r="AH212" s="5"/>
      <c r="AI212" s="5">
        <f>IFERROR(__xludf.DUMMYFUNCTION("""COMPUTED_VALUE"""),274.5)</f>
        <v>274.5</v>
      </c>
      <c r="AJ212" s="5">
        <f>IFERROR(__xludf.DUMMYFUNCTION("""COMPUTED_VALUE"""),288.0)</f>
        <v>288</v>
      </c>
      <c r="AK212" s="5" t="str">
        <f>IFERROR(__xludf.DUMMYFUNCTION("""COMPUTED_VALUE"""),"La logística inteligente se mide con indicadores estratégicos 📦
Con KPIs Logísticos en Power BI aprenderás a visualizar y analizar datos logísticos en dashboards de alto impacto 🚛.
Aquí tienes la info 👇🏻")</f>
        <v>La logística inteligente se mide con indicadores estratégicos 📦
Con KPIs Logísticos en Power BI aprenderás a visualizar y analizar datos logísticos en dashboards de alto impacto 🚛.
Aquí tienes la info 👇🏻</v>
      </c>
      <c r="AL212" s="5" t="str">
        <f>IFERROR(__xludf.DUMMYFUNCTION("""COMPUTED_VALUE"""),"🌍 *Excelente*, actualízate con *KPIS LOGÍSTICOS POWER BI* y mantente competitivo en el mercado laboral.")</f>
        <v>🌍 *Excelente*, actualízate con *KPIS LOGÍSTICOS POWER BI* y mantente competitivo en el mercado laboral.</v>
      </c>
      <c r="AM212" s="5" t="str">
        <f>IFERROR(__xludf.DUMMYFUNCTION("""COMPUTED_VALUE"""),"🎓 Buenísimo, *KPIS LOGÍSTICOS POWER BI* es de las competencias más pedidas por las empresas y aumentará tus oportunidades laborales.")</f>
        <v>🎓 Buenísimo, *KPIS LOGÍSTICOS POWER BI* es de las competencias más pedidas por las empresas y aumentará tus oportunidades laborales.</v>
      </c>
      <c r="AN212" s="5" t="str">
        <f>IFERROR(__xludf.DUMMYFUNCTION("""COMPUTED_VALUE"""),"📈 ¡Genial! Con *KPIS LOGÍSTICOS POWER BI* sumarás una habilidad poderosa que te diferenciará desde la universidad.")</f>
        <v>📈 ¡Genial! Con *KPIS LOGÍSTICOS POWER BI* sumarás una habilidad poderosa que te diferenciará desde la universidad.</v>
      </c>
      <c r="AO212" s="5" t="str">
        <f>IFERROR(__xludf.DUMMYFUNCTION("""COMPUTED_VALUE"""),"✨ ¡Perfecto! Saber *KPIS LOGÍSTICOS POWER BI* te dará ventaja frente a otros postulantes para conseguir prácticas.")</f>
        <v>✨ ¡Perfecto! Saber *KPIS LOGÍSTICOS POWER BI* te dará ventaja frente a otros postulantes para conseguir prácticas.</v>
      </c>
      <c r="AP212" s="5" t="str">
        <f>IFERROR(__xludf.DUMMYFUNCTION("""COMPUTED_VALUE"""),"🎓 ¡Excelente! Con *KPIS LOGÍSTICOS POWER BI* podrás aplicarlo en tu negocio y tomar decisiones más inteligentes.")</f>
        <v>🎓 ¡Excelente! Con *KPIS LOGÍSTICOS POWER BI* podrás aplicarlo en tu negocio y tomar decisiones más inteligentes.</v>
      </c>
      <c r="AQ212" s="9" t="str">
        <f>IFERROR(__xludf.DUMMYFUNCTION("""COMPUTED_VALUE"""),"https://we-educacion.com/slides/kpi-s-logisticos-con-power-bi-271")</f>
        <v>https://we-educacion.com/slides/kpi-s-logisticos-con-power-bi-271</v>
      </c>
      <c r="AR212" s="5">
        <v>1.0</v>
      </c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</row>
    <row r="213" ht="15.75" customHeight="1">
      <c r="A213" s="5" t="s">
        <v>255</v>
      </c>
      <c r="B213" s="5" t="str">
        <f t="shared" si="1"/>
        <v>FEB. I - ED26</v>
      </c>
      <c r="C213" s="6" t="str">
        <f>IFERROR(__xludf.DUMMYFUNCTION("""COMPUTED_VALUE"""),"BI")</f>
        <v>BI</v>
      </c>
      <c r="D213" s="5" t="str">
        <f>IFERROR(__xludf.DUMMYFUNCTION("""COMPUTED_VALUE"""),"CURSO")</f>
        <v>CURSO</v>
      </c>
      <c r="E213" s="6" t="str">
        <f>IFERROR(__xludf.DUMMYFUNCTION("""COMPUTED_VALUE"""),"PYTHON AVANZ.")</f>
        <v>PYTHON AVANZ.</v>
      </c>
      <c r="F213" s="7">
        <f>IFERROR(__xludf.DUMMYFUNCTION("""COMPUTED_VALUE"""),46058.0)</f>
        <v>46058</v>
      </c>
      <c r="G213" s="6"/>
      <c r="H213" s="7"/>
      <c r="I213" s="6"/>
      <c r="J213" s="7"/>
      <c r="K213" s="6"/>
      <c r="L213" s="7"/>
      <c r="M213" s="6"/>
      <c r="N213" s="7"/>
      <c r="O213" s="6"/>
      <c r="P213" s="7"/>
      <c r="Q213" s="6" t="str">
        <f>IFERROR(__xludf.DUMMYFUNCTION("""COMPUTED_VALUE"""),"Paul Gabino")</f>
        <v>Paul Gabino</v>
      </c>
      <c r="R213" s="5" t="str">
        <f>IFERROR(__xludf.DUMMYFUNCTION("""COMPUTED_VALUE"""),"Mar-Jue")</f>
        <v>Mar-Jue</v>
      </c>
      <c r="S213" s="6" t="str">
        <f>IFERROR(__xludf.DUMMYFUNCTION("""COMPUTED_VALUE"""),"7PM - 10PM")</f>
        <v>7PM - 10PM</v>
      </c>
      <c r="T213" s="7" t="str">
        <f>IFERROR(__xludf.DUMMYFUNCTION("""COMPUTED_VALUE"""),"Jueves 5 Febrero")</f>
        <v>Jueves 5 Febrero</v>
      </c>
      <c r="U213" s="7" t="str">
        <f>IFERROR(__xludf.DUMMYFUNCTION("""COMPUTED_VALUE"""),"Martes 24 Febrero")</f>
        <v>Martes 24 Febrero</v>
      </c>
      <c r="V213" s="8">
        <f>IFERROR(__xludf.DUMMYFUNCTION("""COMPUTED_VALUE"""),6.0)</f>
        <v>6</v>
      </c>
      <c r="W213" s="5" t="str">
        <f>IFERROR(__xludf.DUMMYFUNCTION("""COMPUTED_VALUE"""),"pdfs/BROCHURE PYTHON AVANZADO MACHINE LEARNING.pdf")</f>
        <v>pdfs/BROCHURE PYTHON AVANZADO MACHINE LEARNING.pdf</v>
      </c>
      <c r="X213" s="5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13" s="5" t="str">
        <f>IFERROR(__xludf.DUMMYFUNCTION("""COMPUTED_VALUE"""),"images/pythonavanz.jpg")</f>
        <v>images/pythonavanz.jpg</v>
      </c>
      <c r="Z213" s="5" t="str">
        <f>IFERROR(__xludf.DUMMYFUNCTION("""COMPUTED_VALUE"""),"Avalado por IBM® Partner World")</f>
        <v>Avalado por IBM® Partner World</v>
      </c>
      <c r="AA213" s="5" t="str">
        <f>IFERROR(__xludf.DUMMYFUNCTION("""COMPUTED_VALUE"""),"NO")</f>
        <v>NO</v>
      </c>
      <c r="AB213" s="6">
        <f>IFERROR(__xludf.DUMMYFUNCTION("""COMPUTED_VALUE"""),830.0)</f>
        <v>830</v>
      </c>
      <c r="AC213" s="6">
        <f>IFERROR(__xludf.DUMMYFUNCTION("""COMPUTED_VALUE"""),755.0)</f>
        <v>755</v>
      </c>
      <c r="AD213" s="6">
        <f>IFERROR(__xludf.DUMMYFUNCTION("""COMPUTED_VALUE"""),415.0)</f>
        <v>415</v>
      </c>
      <c r="AE213" s="6">
        <f>IFERROR(__xludf.DUMMYFUNCTION("""COMPUTED_VALUE"""),377.5)</f>
        <v>377.5</v>
      </c>
      <c r="AF213" s="6">
        <f>IFERROR(__xludf.DUMMYFUNCTION("""COMPUTED_VALUE"""),150.0)</f>
        <v>150</v>
      </c>
      <c r="AG213" s="5">
        <f>IFERROR(__xludf.DUMMYFUNCTION("""COMPUTED_VALUE"""),150.0)</f>
        <v>150</v>
      </c>
      <c r="AH213" s="5"/>
      <c r="AI213" s="5">
        <f>IFERROR(__xludf.DUMMYFUNCTION("""COMPUTED_VALUE"""),339.75)</f>
        <v>339.75</v>
      </c>
      <c r="AJ213" s="5">
        <f>IFERROR(__xludf.DUMMYFUNCTION("""COMPUTED_VALUE"""),373.5)</f>
        <v>373.5</v>
      </c>
      <c r="AK213" s="5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213" s="5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213" s="5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213" s="5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213" s="5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213" s="5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213" s="9" t="str">
        <f>IFERROR(__xludf.DUMMYFUNCTION("""COMPUTED_VALUE"""),"https://we-educacion.com/slides/python-avanzado-machine-learning-275")</f>
        <v>https://we-educacion.com/slides/python-avanzado-machine-learning-275</v>
      </c>
      <c r="AR213" s="5">
        <v>1.0</v>
      </c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</row>
    <row r="214" ht="15.75" customHeight="1">
      <c r="A214" s="5" t="s">
        <v>256</v>
      </c>
      <c r="B214" s="5" t="str">
        <f t="shared" si="1"/>
        <v>FEB. I - ED26</v>
      </c>
      <c r="C214" s="6" t="str">
        <f>IFERROR(__xludf.DUMMYFUNCTION("""COMPUTED_VALUE"""),"SAP")</f>
        <v>SAP</v>
      </c>
      <c r="D214" s="5" t="str">
        <f>IFERROR(__xludf.DUMMYFUNCTION("""COMPUTED_VALUE"""),"CURSO")</f>
        <v>CURSO</v>
      </c>
      <c r="E214" s="6" t="str">
        <f>IFERROR(__xludf.DUMMYFUNCTION("""COMPUTED_VALUE"""),"SAP HANA PM")</f>
        <v>SAP HANA PM</v>
      </c>
      <c r="F214" s="7">
        <f>IFERROR(__xludf.DUMMYFUNCTION("""COMPUTED_VALUE"""),46060.0)</f>
        <v>46060</v>
      </c>
      <c r="G214" s="6"/>
      <c r="H214" s="7"/>
      <c r="I214" s="6"/>
      <c r="J214" s="7"/>
      <c r="K214" s="6"/>
      <c r="L214" s="7"/>
      <c r="M214" s="6"/>
      <c r="N214" s="7"/>
      <c r="O214" s="6"/>
      <c r="P214" s="7"/>
      <c r="Q214" s="6" t="str">
        <f>IFERROR(__xludf.DUMMYFUNCTION("""COMPUTED_VALUE"""),"David Gonzales")</f>
        <v>David Gonzales</v>
      </c>
      <c r="R214" s="5" t="str">
        <f>IFERROR(__xludf.DUMMYFUNCTION("""COMPUTED_VALUE"""),"Sáb")</f>
        <v>Sáb</v>
      </c>
      <c r="S214" s="6" t="str">
        <f>IFERROR(__xludf.DUMMYFUNCTION("""COMPUTED_VALUE"""),"3PM - 6PM")</f>
        <v>3PM - 6PM</v>
      </c>
      <c r="T214" s="7" t="str">
        <f>IFERROR(__xludf.DUMMYFUNCTION("""COMPUTED_VALUE"""),"Sábado 7 Febrero")</f>
        <v>Sábado 7 Febrero</v>
      </c>
      <c r="U214" s="7" t="str">
        <f>IFERROR(__xludf.DUMMYFUNCTION("""COMPUTED_VALUE"""),"Sábado 14 Marzo")</f>
        <v>Sábado 14 Marzo</v>
      </c>
      <c r="V214" s="8">
        <f>IFERROR(__xludf.DUMMYFUNCTION("""COMPUTED_VALUE"""),6.0)</f>
        <v>6</v>
      </c>
      <c r="W214" s="5" t="str">
        <f>IFERROR(__xludf.DUMMYFUNCTION("""COMPUTED_VALUE"""),"pdfs/BROCHURE SAP S4 HANA PM.pdf")</f>
        <v>pdfs/BROCHURE SAP S4 HANA PM.pdf</v>
      </c>
      <c r="X214" s="5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214" s="5" t="str">
        <f>IFERROR(__xludf.DUMMYFUNCTION("""COMPUTED_VALUE"""),"images/sappm.jpg")</f>
        <v>images/sappm.jpg</v>
      </c>
      <c r="Z214" s="5" t="str">
        <f>IFERROR(__xludf.DUMMYFUNCTION("""COMPUTED_VALUE"""),"Avalado por SAP Partner Open")</f>
        <v>Avalado por SAP Partner Open</v>
      </c>
      <c r="AA214" s="5" t="str">
        <f>IFERROR(__xludf.DUMMYFUNCTION("""COMPUTED_VALUE"""),"NO")</f>
        <v>NO</v>
      </c>
      <c r="AB214" s="6">
        <f>IFERROR(__xludf.DUMMYFUNCTION("""COMPUTED_VALUE"""),900.0)</f>
        <v>900</v>
      </c>
      <c r="AC214" s="6">
        <f>IFERROR(__xludf.DUMMYFUNCTION("""COMPUTED_VALUE"""),750.0)</f>
        <v>750</v>
      </c>
      <c r="AD214" s="6">
        <f>IFERROR(__xludf.DUMMYFUNCTION("""COMPUTED_VALUE"""),450.0)</f>
        <v>450</v>
      </c>
      <c r="AE214" s="6">
        <f>IFERROR(__xludf.DUMMYFUNCTION("""COMPUTED_VALUE"""),375.0)</f>
        <v>375</v>
      </c>
      <c r="AF214" s="6">
        <f>IFERROR(__xludf.DUMMYFUNCTION("""COMPUTED_VALUE"""),150.0)</f>
        <v>150</v>
      </c>
      <c r="AG214" s="5">
        <f>IFERROR(__xludf.DUMMYFUNCTION("""COMPUTED_VALUE"""),150.0)</f>
        <v>150</v>
      </c>
      <c r="AH214" s="5"/>
      <c r="AI214" s="5">
        <f>IFERROR(__xludf.DUMMYFUNCTION("""COMPUTED_VALUE"""),337.5)</f>
        <v>337.5</v>
      </c>
      <c r="AJ214" s="5">
        <f>IFERROR(__xludf.DUMMYFUNCTION("""COMPUTED_VALUE"""),405.0)</f>
        <v>405</v>
      </c>
      <c r="AK214" s="5" t="str">
        <f>IFERROR(__xludf.DUMMYFUNCTION("""COMPUTED_VALUE"""),"El lenguaje del mantenimiento eficiente es SAP HANA PM ⚙️
Aprenderás a planificar, controlar y optimizar la gestión de mantenimiento en empresas reales 🚀.
Aquí tienes la información 👇🏻")</f>
        <v>El lenguaje del mantenimiento eficiente es SAP HANA PM ⚙️
Aprenderás a planificar, controlar y optimizar la gestión de mantenimiento en empresas reales 🚀.
Aquí tienes la información 👇🏻</v>
      </c>
      <c r="AL214" s="5" t="str">
        <f>IFERROR(__xludf.DUMMYFUNCTION("""COMPUTED_VALUE"""),"🛠️ Excelente, actualízate con SAP PM y domina el mantenimiento de planta y equipos.")</f>
        <v>🛠️ Excelente, actualízate con SAP PM y domina el mantenimiento de planta y equipos.</v>
      </c>
      <c r="AM214" s="5" t="str">
        <f>IFERROR(__xludf.DUMMYFUNCTION("""COMPUTED_VALUE"""),"💼 Buenísimo, SAP PM es clave en empresas de manufactura y energía.")</f>
        <v>💼 Buenísimo, SAP PM es clave en empresas de manufactura y energía.</v>
      </c>
      <c r="AN214" s="5" t="str">
        <f>IFERROR(__xludf.DUMMYFUNCTION("""COMPUTED_VALUE"""),"🎓 ¡Genial! Con SAP PM aprenderás mantenimiento productivo desde la universidad.")</f>
        <v>🎓 ¡Genial! Con SAP PM aprenderás mantenimiento productivo desde la universidad.</v>
      </c>
      <c r="AO214" s="5" t="str">
        <f>IFERROR(__xludf.DUMMYFUNCTION("""COMPUTED_VALUE"""),"🚀 ¡Perfecto! Saber SAP PM te dará ventaja en prácticas en gestión de operaciones.")</f>
        <v>🚀 ¡Perfecto! Saber SAP PM te dará ventaja en prácticas en gestión de operaciones.</v>
      </c>
      <c r="AP214" s="5" t="str">
        <f>IFERROR(__xludf.DUMMYFUNCTION("""COMPUTED_VALUE"""),"📊 ¡Excelente! Con SAP PM podrás planificar y optimizar el mantenimiento en tu negocio.")</f>
        <v>📊 ¡Excelente! Con SAP PM podrás planificar y optimizar el mantenimiento en tu negocio.</v>
      </c>
      <c r="AQ214" s="9" t="str">
        <f>IFERROR(__xludf.DUMMYFUNCTION("""COMPUTED_VALUE"""),"https://we-educacion.com/slides/sap-s-4-hana-pm-1127")</f>
        <v>https://we-educacion.com/slides/sap-s-4-hana-pm-1127</v>
      </c>
      <c r="AR214" s="5">
        <v>1.0</v>
      </c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</row>
    <row r="215" ht="15.75" customHeight="1">
      <c r="A215" s="5" t="s">
        <v>257</v>
      </c>
      <c r="B215" s="5" t="str">
        <f t="shared" si="1"/>
        <v>FEB. I - ED26</v>
      </c>
      <c r="C215" s="6" t="str">
        <f>IFERROR(__xludf.DUMMYFUNCTION("""COMPUTED_VALUE"""),"BI")</f>
        <v>BI</v>
      </c>
      <c r="D215" s="6" t="str">
        <f>IFERROR(__xludf.DUMMYFUNCTION("""COMPUTED_VALUE"""),"ESP.")</f>
        <v>ESP.</v>
      </c>
      <c r="E215" s="6" t="str">
        <f>IFERROR(__xludf.DUMMYFUNCTION("""COMPUTED_VALUE"""),"ESP. EN PYTHON DATA SCIENCE")</f>
        <v>ESP. EN PYTHON DATA SCIENCE</v>
      </c>
      <c r="F215" s="7">
        <f>IFERROR(__xludf.DUMMYFUNCTION("""COMPUTED_VALUE"""),46060.0)</f>
        <v>46060</v>
      </c>
      <c r="G215" s="6" t="str">
        <f>IFERROR(__xludf.DUMMYFUNCTION("""COMPUTED_VALUE"""),"PYTHON. DATOS")</f>
        <v>PYTHON. DATOS</v>
      </c>
      <c r="H215" s="7">
        <f>IFERROR(__xludf.DUMMYFUNCTION("""COMPUTED_VALUE"""),46060.0)</f>
        <v>46060</v>
      </c>
      <c r="I215" s="6" t="str">
        <f>IFERROR(__xludf.DUMMYFUNCTION("""COMPUTED_VALUE"""),"PYTHON AVANZ.")</f>
        <v>PYTHON AVANZ.</v>
      </c>
      <c r="J215" s="7">
        <f>IFERROR(__xludf.DUMMYFUNCTION("""COMPUTED_VALUE"""),46109.0)</f>
        <v>46109</v>
      </c>
      <c r="K215" s="6" t="str">
        <f>IFERROR(__xludf.DUMMYFUNCTION("""COMPUTED_VALUE"""),"IA &amp; DEEP LEARNING V2")</f>
        <v>IA &amp; DEEP LEARNING V2</v>
      </c>
      <c r="L215" s="7">
        <f>IFERROR(__xludf.DUMMYFUNCTION("""COMPUTED_VALUE"""),46158.0)</f>
        <v>46158</v>
      </c>
      <c r="M215" s="6"/>
      <c r="N215" s="7"/>
      <c r="O215" s="6"/>
      <c r="P215" s="7"/>
      <c r="Q215" s="6" t="str">
        <f>IFERROR(__xludf.DUMMYFUNCTION("""COMPUTED_VALUE"""),"Luis Espejo
Paul Gabino
Bryan Guerra")</f>
        <v>Luis Espejo
Paul Gabino
Bryan Guerra</v>
      </c>
      <c r="R215" s="5" t="str">
        <f>IFERROR(__xludf.DUMMYFUNCTION("""COMPUTED_VALUE"""),"Sáb")</f>
        <v>Sáb</v>
      </c>
      <c r="S215" s="6" t="str">
        <f>IFERROR(__xludf.DUMMYFUNCTION("""COMPUTED_VALUE"""),"3PM - 6PM")</f>
        <v>3PM - 6PM</v>
      </c>
      <c r="T215" s="7" t="str">
        <f>IFERROR(__xludf.DUMMYFUNCTION("""COMPUTED_VALUE"""),"Sábado 7 Febrero")</f>
        <v>Sábado 7 Febrero</v>
      </c>
      <c r="U215" s="7" t="str">
        <f>IFERROR(__xludf.DUMMYFUNCTION("""COMPUTED_VALUE"""),"Sábado 20 Junio")</f>
        <v>Sábado 20 Junio</v>
      </c>
      <c r="V215" s="8">
        <f>IFERROR(__xludf.DUMMYFUNCTION("""COMPUTED_VALUE"""),18.0)</f>
        <v>18</v>
      </c>
      <c r="W215" s="5" t="str">
        <f>IFERROR(__xludf.DUMMYFUNCTION("""COMPUTED_VALUE"""),"pdfs/ESPECIALIZACIÓN EN PYTHON DATA SCIENCE.pdf")</f>
        <v>pdfs/ESPECIALIZACIÓN EN PYTHON DATA SCIENCE.pdf</v>
      </c>
      <c r="X215" s="6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15" s="5" t="str">
        <f>IFERROR(__xludf.DUMMYFUNCTION("""COMPUTED_VALUE"""),"images/esppython.jpg")</f>
        <v>images/esppython.jpg</v>
      </c>
      <c r="Z215" s="5" t="str">
        <f>IFERROR(__xludf.DUMMYFUNCTION("""COMPUTED_VALUE"""),"Avalado por IBM® Partner World")</f>
        <v>Avalado por IBM® Partner World</v>
      </c>
      <c r="AA215" s="5" t="str">
        <f>IFERROR(__xludf.DUMMYFUNCTION("""COMPUTED_VALUE"""),"NO")</f>
        <v>NO</v>
      </c>
      <c r="AB215" s="6">
        <f>IFERROR(__xludf.DUMMYFUNCTION("""COMPUTED_VALUE"""),1840.0)</f>
        <v>1840</v>
      </c>
      <c r="AC215" s="6">
        <f>IFERROR(__xludf.DUMMYFUNCTION("""COMPUTED_VALUE"""),1740.0)</f>
        <v>1740</v>
      </c>
      <c r="AD215" s="6">
        <f>IFERROR(__xludf.DUMMYFUNCTION("""COMPUTED_VALUE"""),920.0)</f>
        <v>920</v>
      </c>
      <c r="AE215" s="6">
        <f>IFERROR(__xludf.DUMMYFUNCTION("""COMPUTED_VALUE"""),870.0)</f>
        <v>870</v>
      </c>
      <c r="AF215" s="6">
        <f>IFERROR(__xludf.DUMMYFUNCTION("""COMPUTED_VALUE"""),250.0)</f>
        <v>250</v>
      </c>
      <c r="AG215" s="5">
        <f>IFERROR(__xludf.DUMMYFUNCTION("""COMPUTED_VALUE"""),350.0)</f>
        <v>350</v>
      </c>
      <c r="AH215" s="5"/>
      <c r="AI215" s="5">
        <f>IFERROR(__xludf.DUMMYFUNCTION("""COMPUTED_VALUE"""),783.0)</f>
        <v>783</v>
      </c>
      <c r="AJ215" s="5">
        <f>IFERROR(__xludf.DUMMYFUNCTION("""COMPUTED_VALUE"""),828.0)</f>
        <v>828</v>
      </c>
      <c r="AK215" s="5" t="str">
        <f>IFERROR(__xludf.DUMMYFUNCTION("""COMPUTED_VALUE"""),"El lenguaje de la ciencia de datos es Python 🐍
Aprende a programar y aplicar modelos en Data Science para transformar información en valor 📊
👉🏻 Aquí tienes la información completa.")</f>
        <v>El lenguaje de la ciencia de datos es Python 🐍
Aprende a programar y aplicar modelos en Data Science para transformar información en valor 📊
👉🏻 Aquí tienes la información completa.</v>
      </c>
      <c r="AL215" s="5" t="str">
        <f>IFERROR(__xludf.DUMMYFUNCTION("""COMPUTED_VALUE"""),"📈 Excelente, actualízate con Python y Data Science, la base del análisis de datos moderno.")</f>
        <v>📈 Excelente, actualízate con Python y Data Science, la base del análisis de datos moderno.</v>
      </c>
      <c r="AM215" s="5" t="str">
        <f>IFERROR(__xludf.DUMMYFUNCTION("""COMPUTED_VALUE"""),"💡 Buenísimo, las empresas demandan especialistas en datos y Python.")</f>
        <v>💡 Buenísimo, las empresas demandan especialistas en datos y Python.</v>
      </c>
      <c r="AN215" s="5" t="str">
        <f>IFERROR(__xludf.DUMMYFUNCTION("""COMPUTED_VALUE"""),"⚡ Genial, dominar Python te dará habilidades muy valoradas en el mercado.")</f>
        <v>⚡ Genial, dominar Python te dará habilidades muy valoradas en el mercado.</v>
      </c>
      <c r="AO215" s="5" t="str">
        <f>IFERROR(__xludf.DUMMYFUNCTION("""COMPUTED_VALUE"""),"🚀 Perfecto, tener Python será tu ventaja en procesos de selección.")</f>
        <v>🚀 Perfecto, tener Python será tu ventaja en procesos de selección.</v>
      </c>
      <c r="AP215" s="5" t="str">
        <f>IFERROR(__xludf.DUMMYFUNCTION("""COMPUTED_VALUE"""),"📊 Excelente, con Python podrás analizar la información de tu negocio estratégicamente.")</f>
        <v>📊 Excelente, con Python podrás analizar la información de tu negocio estratégicamente.</v>
      </c>
      <c r="AQ215" s="9" t="str">
        <f>IFERROR(__xludf.DUMMYFUNCTION("""COMPUTED_VALUE"""),"https://we-educacion.com/slides/especializacion-en-python-data-science-507#")</f>
        <v>https://we-educacion.com/slides/especializacion-en-python-data-science-507#</v>
      </c>
      <c r="AR215" s="5">
        <v>1.0</v>
      </c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</row>
    <row r="216" ht="15.75" customHeight="1">
      <c r="A216" s="5" t="s">
        <v>258</v>
      </c>
      <c r="B216" s="5" t="str">
        <f t="shared" si="1"/>
        <v>FEB. I - ED26</v>
      </c>
      <c r="C216" s="6" t="str">
        <f>IFERROR(__xludf.DUMMYFUNCTION("""COMPUTED_VALUE"""),"BI")</f>
        <v>BI</v>
      </c>
      <c r="D216" s="6" t="str">
        <f>IFERROR(__xludf.DUMMYFUNCTION("""COMPUTED_VALUE"""),"CURSO")</f>
        <v>CURSO</v>
      </c>
      <c r="E216" s="6" t="str">
        <f>IFERROR(__xludf.DUMMYFUNCTION("""COMPUTED_VALUE"""),"PYTHON. DATOS")</f>
        <v>PYTHON. DATOS</v>
      </c>
      <c r="F216" s="7">
        <f>IFERROR(__xludf.DUMMYFUNCTION("""COMPUTED_VALUE"""),46060.0)</f>
        <v>46060</v>
      </c>
      <c r="G216" s="6"/>
      <c r="H216" s="7"/>
      <c r="I216" s="6"/>
      <c r="J216" s="7"/>
      <c r="K216" s="6"/>
      <c r="L216" s="7"/>
      <c r="M216" s="6"/>
      <c r="N216" s="7"/>
      <c r="O216" s="6"/>
      <c r="P216" s="7"/>
      <c r="Q216" s="6" t="str">
        <f>IFERROR(__xludf.DUMMYFUNCTION("""COMPUTED_VALUE"""),"Jhair Prado")</f>
        <v>Jhair Prado</v>
      </c>
      <c r="R216" s="5" t="str">
        <f>IFERROR(__xludf.DUMMYFUNCTION("""COMPUTED_VALUE"""),"Sáb")</f>
        <v>Sáb</v>
      </c>
      <c r="S216" s="6" t="str">
        <f>IFERROR(__xludf.DUMMYFUNCTION("""COMPUTED_VALUE"""),"3PM - 6PM")</f>
        <v>3PM - 6PM</v>
      </c>
      <c r="T216" s="7" t="str">
        <f>IFERROR(__xludf.DUMMYFUNCTION("""COMPUTED_VALUE"""),"Sábado 7 Febrero")</f>
        <v>Sábado 7 Febrero</v>
      </c>
      <c r="U216" s="7" t="str">
        <f>IFERROR(__xludf.DUMMYFUNCTION("""COMPUTED_VALUE"""),"Sábado 21 Marzo")</f>
        <v>Sábado 21 Marzo</v>
      </c>
      <c r="V216" s="8">
        <f>IFERROR(__xludf.DUMMYFUNCTION("""COMPUTED_VALUE"""),6.0)</f>
        <v>6</v>
      </c>
      <c r="W216" s="6" t="str">
        <f>IFERROR(__xludf.DUMMYFUNCTION("""COMPUTED_VALUE"""),"pdfs/BROCHURE PYTHON ANALISIS DE DATOS.pdf")</f>
        <v>pdfs/BROCHURE PYTHON ANALISIS DE DATOS.pdf</v>
      </c>
      <c r="X216" s="6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16" s="5" t="str">
        <f>IFERROR(__xludf.DUMMYFUNCTION("""COMPUTED_VALUE"""),"images/python.jpg")</f>
        <v>images/python.jpg</v>
      </c>
      <c r="Z216" s="5" t="str">
        <f>IFERROR(__xludf.DUMMYFUNCTION("""COMPUTED_VALUE"""),"Avalado por IBM® Partner World")</f>
        <v>Avalado por IBM® Partner World</v>
      </c>
      <c r="AA216" s="5" t="str">
        <f>IFERROR(__xludf.DUMMYFUNCTION("""COMPUTED_VALUE"""),"SI")</f>
        <v>SI</v>
      </c>
      <c r="AB216" s="6">
        <f>IFERROR(__xludf.DUMMYFUNCTION("""COMPUTED_VALUE"""),730.0)</f>
        <v>730</v>
      </c>
      <c r="AC216" s="6">
        <f>IFERROR(__xludf.DUMMYFUNCTION("""COMPUTED_VALUE"""),650.0)</f>
        <v>650</v>
      </c>
      <c r="AD216" s="6">
        <f>IFERROR(__xludf.DUMMYFUNCTION("""COMPUTED_VALUE"""),365.0)</f>
        <v>365</v>
      </c>
      <c r="AE216" s="6">
        <f>IFERROR(__xludf.DUMMYFUNCTION("""COMPUTED_VALUE"""),325.0)</f>
        <v>325</v>
      </c>
      <c r="AF216" s="6">
        <f>IFERROR(__xludf.DUMMYFUNCTION("""COMPUTED_VALUE"""),150.0)</f>
        <v>150</v>
      </c>
      <c r="AG216" s="5">
        <f>IFERROR(__xludf.DUMMYFUNCTION("""COMPUTED_VALUE"""),150.0)</f>
        <v>150</v>
      </c>
      <c r="AH216" s="5"/>
      <c r="AI216" s="5">
        <f>IFERROR(__xludf.DUMMYFUNCTION("""COMPUTED_VALUE"""),292.5)</f>
        <v>292.5</v>
      </c>
      <c r="AJ216" s="5">
        <f>IFERROR(__xludf.DUMMYFUNCTION("""COMPUTED_VALUE"""),328.5)</f>
        <v>328.5</v>
      </c>
      <c r="AK216" s="5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216" s="5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216" s="5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216" s="5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216" s="5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216" s="5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216" s="9" t="str">
        <f>IFERROR(__xludf.DUMMYFUNCTION("""COMPUTED_VALUE"""),"https://we-educacion.com/slides/python-analisis-de-datos-259")</f>
        <v>https://we-educacion.com/slides/python-analisis-de-datos-259</v>
      </c>
      <c r="AR216" s="5">
        <v>1.0</v>
      </c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</row>
    <row r="217" ht="15.75" customHeight="1">
      <c r="A217" s="5" t="s">
        <v>259</v>
      </c>
      <c r="B217" s="5" t="str">
        <f t="shared" si="1"/>
        <v>FEB. I - ED26</v>
      </c>
      <c r="C217" s="6" t="str">
        <f>IFERROR(__xludf.DUMMYFUNCTION("""COMPUTED_VALUE"""),"WEB")</f>
        <v>WEB</v>
      </c>
      <c r="D217" s="6" t="str">
        <f>IFERROR(__xludf.DUMMYFUNCTION("""COMPUTED_VALUE"""),"ESP.")</f>
        <v>ESP.</v>
      </c>
      <c r="E217" s="6" t="str">
        <f>IFERROR(__xludf.DUMMYFUNCTION("""COMPUTED_VALUE"""),"ESP. FRONTEND")</f>
        <v>ESP. FRONTEND</v>
      </c>
      <c r="F217" s="7">
        <f>IFERROR(__xludf.DUMMYFUNCTION("""COMPUTED_VALUE"""),46060.0)</f>
        <v>46060</v>
      </c>
      <c r="G217" s="6" t="str">
        <f>IFERROR(__xludf.DUMMYFUNCTION("""COMPUTED_VALUE"""),"PROG. WEB")</f>
        <v>PROG. WEB</v>
      </c>
      <c r="H217" s="7">
        <f>IFERROR(__xludf.DUMMYFUNCTION("""COMPUTED_VALUE"""),46060.0)</f>
        <v>46060</v>
      </c>
      <c r="I217" s="6" t="str">
        <f>IFERROR(__xludf.DUMMYFUNCTION("""COMPUTED_VALUE"""),"PROG. JAVA")</f>
        <v>PROG. JAVA</v>
      </c>
      <c r="J217" s="7">
        <f>IFERROR(__xludf.DUMMYFUNCTION("""COMPUTED_VALUE"""),46109.0)</f>
        <v>46109</v>
      </c>
      <c r="K217" s="6" t="str">
        <f>IFERROR(__xludf.DUMMYFUNCTION("""COMPUTED_VALUE"""),"REACT JS")</f>
        <v>REACT JS</v>
      </c>
      <c r="L217" s="7">
        <f>IFERROR(__xludf.DUMMYFUNCTION("""COMPUTED_VALUE"""),46158.0)</f>
        <v>46158</v>
      </c>
      <c r="M217" s="6"/>
      <c r="N217" s="7"/>
      <c r="O217" s="6"/>
      <c r="P217" s="7"/>
      <c r="Q217" s="6" t="str">
        <f>IFERROR(__xludf.DUMMYFUNCTION("""COMPUTED_VALUE"""),"Giancarlos Barboza
Raged Huaman
Diego Llashag")</f>
        <v>Giancarlos Barboza
Raged Huaman
Diego Llashag</v>
      </c>
      <c r="R217" s="5" t="str">
        <f>IFERROR(__xludf.DUMMYFUNCTION("""COMPUTED_VALUE"""),"Sáb")</f>
        <v>Sáb</v>
      </c>
      <c r="S217" s="6" t="str">
        <f>IFERROR(__xludf.DUMMYFUNCTION("""COMPUTED_VALUE"""),"3PM - 6PM")</f>
        <v>3PM - 6PM</v>
      </c>
      <c r="T217" s="7" t="str">
        <f>IFERROR(__xludf.DUMMYFUNCTION("""COMPUTED_VALUE"""),"Sábado 7 Febrero")</f>
        <v>Sábado 7 Febrero</v>
      </c>
      <c r="U217" s="7" t="str">
        <f>IFERROR(__xludf.DUMMYFUNCTION("""COMPUTED_VALUE"""),"Sábado 13 Junio")</f>
        <v>Sábado 13 Junio</v>
      </c>
      <c r="V217" s="8">
        <f>IFERROR(__xludf.DUMMYFUNCTION("""COMPUTED_VALUE"""),18.0)</f>
        <v>18</v>
      </c>
      <c r="W217" s="5" t="str">
        <f>IFERROR(__xludf.DUMMYFUNCTION("""COMPUTED_VALUE"""),"pdfs/BROCHURE ESPECIALIZACIÓN EN FRONT END DESARROLLO WEB")</f>
        <v>pdfs/BROCHURE ESPECIALIZACIÓN EN FRONT END DESARROLLO WEB</v>
      </c>
      <c r="X217" s="5" t="str">
        <f>IFERROR(__xludf.DUMMYFUNCTION("""COMPUTED_VALUE"""),"🔵 *Utilizarán Visual Studio Code* ⚡
👉🏻 Te brindaremos Manual de instalador
💻 _*Importante*: Para la instalación se necesita una Laptop *Windows*_
🚨 *Por favor, revisa el BROCHURE* 👇🏻
Aqui encontrarás la información completa del programa, el TEMARI"&amp;"O (malla curricular) y todos los BENEFICIOS 📚")</f>
        <v>🔵 *Utilizarán Visual Studio Code* ⚡
👉🏻 Te brindaremos Manual de instalador
💻 _*Importante*: Para la instalación se necesita una Laptop *Windows*_
🚨 *Por favor, revisa el BROCHURE* 👇🏻
Aqui encontrarás la información completa del programa, el TEMARIO (malla curricular) y todos los BENEFICIOS 📚</v>
      </c>
      <c r="Y217" s="5" t="str">
        <f>IFERROR(__xludf.DUMMYFUNCTION("""COMPUTED_VALUE"""),"images/espfrontend.jpg")</f>
        <v>images/espfrontend.jpg</v>
      </c>
      <c r="Z217" s="5"/>
      <c r="AA217" s="5" t="str">
        <f>IFERROR(__xludf.DUMMYFUNCTION("""COMPUTED_VALUE"""),"NO")</f>
        <v>NO</v>
      </c>
      <c r="AB217" s="6">
        <f>IFERROR(__xludf.DUMMYFUNCTION("""COMPUTED_VALUE"""),1740.0)</f>
        <v>1740</v>
      </c>
      <c r="AC217" s="6">
        <f>IFERROR(__xludf.DUMMYFUNCTION("""COMPUTED_VALUE"""),1600.0)</f>
        <v>1600</v>
      </c>
      <c r="AD217" s="6">
        <f>IFERROR(__xludf.DUMMYFUNCTION("""COMPUTED_VALUE"""),870.0)</f>
        <v>870</v>
      </c>
      <c r="AE217" s="6">
        <f>IFERROR(__xludf.DUMMYFUNCTION("""COMPUTED_VALUE"""),800.0)</f>
        <v>800</v>
      </c>
      <c r="AF217" s="6">
        <f>IFERROR(__xludf.DUMMYFUNCTION("""COMPUTED_VALUE"""),250.0)</f>
        <v>250</v>
      </c>
      <c r="AG217" s="5">
        <f>IFERROR(__xludf.DUMMYFUNCTION("""COMPUTED_VALUE"""),350.0)</f>
        <v>350</v>
      </c>
      <c r="AH217" s="5"/>
      <c r="AI217" s="5">
        <f>IFERROR(__xludf.DUMMYFUNCTION("""COMPUTED_VALUE"""),720.0)</f>
        <v>720</v>
      </c>
      <c r="AJ217" s="5">
        <f>IFERROR(__xludf.DUMMYFUNCTION("""COMPUTED_VALUE"""),783.0)</f>
        <v>783</v>
      </c>
      <c r="AK217" s="5" t="str">
        <f>IFERROR(__xludf.DUMMYFUNCTION("""COMPUTED_VALUE"""),"El futuro digital se construye en la web 💻
Aprende a diseñar y programar interfaces modernas con esta especialización en Frontend 🚀
👉🏻 Aquí tienes los detalles.")</f>
        <v>El futuro digital se construye en la web 💻
Aprende a diseñar y programar interfaces modernas con esta especialización en Frontend 🚀
👉🏻 Aquí tienes los detalles.</v>
      </c>
      <c r="AL217" s="5" t="str">
        <f>IFERROR(__xludf.DUMMYFUNCTION("""COMPUTED_VALUE"""),"💻 Excelente, actualízate con Frontend y domina tecnologías clave en desarrollo web.")</f>
        <v>💻 Excelente, actualízate con Frontend y domina tecnologías clave en desarrollo web.</v>
      </c>
      <c r="AM217" s="5" t="str">
        <f>IFERROR(__xludf.DUMMYFUNCTION("""COMPUTED_VALUE"""),"🚀 Buenísimo, es de las competencias más buscadas en empleos digitales.")</f>
        <v>🚀 Buenísimo, es de las competencias más buscadas en empleos digitales.</v>
      </c>
      <c r="AN217" s="5" t="str">
        <f>IFERROR(__xludf.DUMMYFUNCTION("""COMPUTED_VALUE"""),"⚡ Genial, con Frontend podrás crear proyectos reales que destaquen tu perfil.")</f>
        <v>⚡ Genial, con Frontend podrás crear proyectos reales que destaquen tu perfil.</v>
      </c>
      <c r="AO217" s="5" t="str">
        <f>IFERROR(__xludf.DUMMYFUNCTION("""COMPUTED_VALUE"""),"🎯 Perfecto, tendrás ventaja en prácticas de programación y TI.")</f>
        <v>🎯 Perfecto, tendrás ventaja en prácticas de programación y TI.</v>
      </c>
      <c r="AP217" s="5" t="str">
        <f>IFERROR(__xludf.DUMMYFUNCTION("""COMPUTED_VALUE"""),"🌐 Excelente, podrás crear tus propias páginas o apps como independiente.")</f>
        <v>🌐 Excelente, podrás crear tus propias páginas o apps como independiente.</v>
      </c>
      <c r="AQ217" s="9" t="str">
        <f>IFERROR(__xludf.DUMMYFUNCTION("""COMPUTED_VALUE"""),"https://we-educacion.com/slides/especializacion-front-end-desarrollo-web-1102")</f>
        <v>https://we-educacion.com/slides/especializacion-front-end-desarrollo-web-1102</v>
      </c>
      <c r="AR217" s="5">
        <v>1.0</v>
      </c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</row>
    <row r="218" ht="15.75" customHeight="1">
      <c r="A218" s="5" t="s">
        <v>260</v>
      </c>
      <c r="B218" s="5" t="str">
        <f t="shared" si="1"/>
        <v>FEB. I - ED26</v>
      </c>
      <c r="C218" s="6" t="str">
        <f>IFERROR(__xludf.DUMMYFUNCTION("""COMPUTED_VALUE"""),"WEB")</f>
        <v>WEB</v>
      </c>
      <c r="D218" s="5" t="str">
        <f>IFERROR(__xludf.DUMMYFUNCTION("""COMPUTED_VALUE"""),"CURSO")</f>
        <v>CURSO</v>
      </c>
      <c r="E218" s="6" t="str">
        <f>IFERROR(__xludf.DUMMYFUNCTION("""COMPUTED_VALUE"""),"PROG. WEB")</f>
        <v>PROG. WEB</v>
      </c>
      <c r="F218" s="7">
        <f>IFERROR(__xludf.DUMMYFUNCTION("""COMPUTED_VALUE"""),46060.0)</f>
        <v>46060</v>
      </c>
      <c r="G218" s="6"/>
      <c r="H218" s="7"/>
      <c r="I218" s="6"/>
      <c r="J218" s="7"/>
      <c r="K218" s="6"/>
      <c r="L218" s="7"/>
      <c r="M218" s="6"/>
      <c r="N218" s="7"/>
      <c r="O218" s="6"/>
      <c r="P218" s="7"/>
      <c r="Q218" s="6" t="str">
        <f>IFERROR(__xludf.DUMMYFUNCTION("""COMPUTED_VALUE"""),"Giancarlos Barboza
")</f>
        <v>Giancarlos Barboza
</v>
      </c>
      <c r="R218" s="5" t="str">
        <f>IFERROR(__xludf.DUMMYFUNCTION("""COMPUTED_VALUE"""),"Sáb")</f>
        <v>Sáb</v>
      </c>
      <c r="S218" s="6" t="str">
        <f>IFERROR(__xludf.DUMMYFUNCTION("""COMPUTED_VALUE"""),"3PM - 6PM")</f>
        <v>3PM - 6PM</v>
      </c>
      <c r="T218" s="7" t="str">
        <f>IFERROR(__xludf.DUMMYFUNCTION("""COMPUTED_VALUE"""),"Sábado 7 Febrero")</f>
        <v>Sábado 7 Febrero</v>
      </c>
      <c r="U218" s="7" t="str">
        <f>IFERROR(__xludf.DUMMYFUNCTION("""COMPUTED_VALUE"""),"Sábado 21 Marzo")</f>
        <v>Sábado 21 Marzo</v>
      </c>
      <c r="V218" s="8">
        <f>IFERROR(__xludf.DUMMYFUNCTION("""COMPUTED_VALUE"""),6.0)</f>
        <v>6</v>
      </c>
      <c r="W218" s="5" t="str">
        <f>IFERROR(__xludf.DUMMYFUNCTION("""COMPUTED_VALUE"""),"pdfs/BROCHURE INTRODUCCIÓN A LA PROGRAMACIÓN WEB.pdf")</f>
        <v>pdfs/BROCHURE INTRODUCCIÓN A LA PROGRAMACIÓN WEB.pdf</v>
      </c>
      <c r="X218" s="5" t="str">
        <f>IFERROR(__xludf.DUMMYFUNCTION("""COMPUTED_VALUE"""),"🔵 *Utilizarán HTML y CSS*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HTML y CSS*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18" s="5" t="str">
        <f>IFERROR(__xludf.DUMMYFUNCTION("""COMPUTED_VALUE"""),"images/progweb.jpg")</f>
        <v>images/progweb.jpg</v>
      </c>
      <c r="Z218" s="5"/>
      <c r="AA218" s="5" t="str">
        <f>IFERROR(__xludf.DUMMYFUNCTION("""COMPUTED_VALUE"""),"NO")</f>
        <v>NO</v>
      </c>
      <c r="AB218" s="6">
        <f>IFERROR(__xludf.DUMMYFUNCTION("""COMPUTED_VALUE"""),640.0)</f>
        <v>640</v>
      </c>
      <c r="AC218" s="6">
        <f>IFERROR(__xludf.DUMMYFUNCTION("""COMPUTED_VALUE"""),600.0)</f>
        <v>600</v>
      </c>
      <c r="AD218" s="6">
        <f>IFERROR(__xludf.DUMMYFUNCTION("""COMPUTED_VALUE"""),320.0)</f>
        <v>320</v>
      </c>
      <c r="AE218" s="6">
        <f>IFERROR(__xludf.DUMMYFUNCTION("""COMPUTED_VALUE"""),300.0)</f>
        <v>300</v>
      </c>
      <c r="AF218" s="6">
        <f>IFERROR(__xludf.DUMMYFUNCTION("""COMPUTED_VALUE"""),150.0)</f>
        <v>150</v>
      </c>
      <c r="AG218" s="5">
        <f>IFERROR(__xludf.DUMMYFUNCTION("""COMPUTED_VALUE"""),150.0)</f>
        <v>150</v>
      </c>
      <c r="AH218" s="5"/>
      <c r="AI218" s="5">
        <f>IFERROR(__xludf.DUMMYFUNCTION("""COMPUTED_VALUE"""),270.0)</f>
        <v>270</v>
      </c>
      <c r="AJ218" s="5">
        <f>IFERROR(__xludf.DUMMYFUNCTION("""COMPUTED_VALUE"""),288.0)</f>
        <v>288</v>
      </c>
      <c r="AK218" s="5" t="str">
        <f>IFERROR(__xludf.DUMMYFUNCTION("""COMPUTED_VALUE"""),"El futuro digital se construye con desarrollo web 🚀
Con Programación Web aprenderás a diseñar y crear aplicaciones online aplicables a proyectos reales 💻.
Aquí la info completa 👇🏻")</f>
        <v>El futuro digital se construye con desarrollo web 🚀
Con Programación Web aprenderás a diseñar y crear aplicaciones online aplicables a proyectos reales 💻.
Aquí la info completa 👇🏻</v>
      </c>
      <c r="AL218" s="5" t="str">
        <f>IFERROR(__xludf.DUMMYFUNCTION("""COMPUTED_VALUE"""),"🌐 Excelente, actualízate con Programación Web y desarrolla aplicaciones modernas.")</f>
        <v>🌐 Excelente, actualízate con Programación Web y desarrolla aplicaciones modernas.</v>
      </c>
      <c r="AM218" s="5" t="str">
        <f>IFERROR(__xludf.DUMMYFUNCTION("""COMPUTED_VALUE"""),"💼 Buenísimo, Programación Web es una de las competencias más buscadas por empresas.")</f>
        <v>💼 Buenísimo, Programación Web es una de las competencias más buscadas por empresas.</v>
      </c>
      <c r="AN218" s="5" t="str">
        <f>IFERROR(__xludf.DUMMYFUNCTION("""COMPUTED_VALUE"""),"🎓 ¡Genial! Aprender desarrollo web desde la universidad te diferenciará en tu carrera.")</f>
        <v>🎓 ¡Genial! Aprender desarrollo web desde la universidad te diferenciará en tu carrera.</v>
      </c>
      <c r="AO218" s="5" t="str">
        <f>IFERROR(__xludf.DUMMYFUNCTION("""COMPUTED_VALUE"""),"🚀 ¡Perfecto! Con Programación Web tendrás más oportunidades en prácticas de tecnología.")</f>
        <v>🚀 ¡Perfecto! Con Programación Web tendrás más oportunidades en prácticas de tecnología.</v>
      </c>
      <c r="AP218" s="5" t="str">
        <f>IFERROR(__xludf.DUMMYFUNCTION("""COMPUTED_VALUE"""),"📲 ¡Excelente! Con Programación Web podrás lanzar soluciones digitales para tu negocio.")</f>
        <v>📲 ¡Excelente! Con Programación Web podrás lanzar soluciones digitales para tu negocio.</v>
      </c>
      <c r="AQ218" s="9" t="str">
        <f>IFERROR(__xludf.DUMMYFUNCTION("""COMPUTED_VALUE"""),"https://we-educacion.com/slides/programacion-web-516")</f>
        <v>https://we-educacion.com/slides/programacion-web-516</v>
      </c>
      <c r="AR218" s="5">
        <v>1.0</v>
      </c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</row>
    <row r="219" ht="15.75" customHeight="1">
      <c r="A219" s="5" t="s">
        <v>261</v>
      </c>
      <c r="B219" s="5" t="str">
        <f t="shared" si="1"/>
        <v>FEB. I - ED26</v>
      </c>
      <c r="C219" s="6" t="str">
        <f>IFERROR(__xludf.DUMMYFUNCTION("""COMPUTED_VALUE"""),"FINANZ")</f>
        <v>FINANZ</v>
      </c>
      <c r="D219" s="5" t="str">
        <f>IFERROR(__xludf.DUMMYFUNCTION("""COMPUTED_VALUE"""),"DIPLOMADO")</f>
        <v>DIPLOMADO</v>
      </c>
      <c r="E219" s="6" t="str">
        <f>IFERROR(__xludf.DUMMYFUNCTION("""COMPUTED_VALUE"""),"DIP. FINANZAS")</f>
        <v>DIP. FINANZAS</v>
      </c>
      <c r="F219" s="7">
        <f>IFERROR(__xludf.DUMMYFUNCTION("""COMPUTED_VALUE"""),46060.0)</f>
        <v>46060</v>
      </c>
      <c r="G219" s="6" t="str">
        <f>IFERROR(__xludf.DUMMYFUNCTION("""COMPUTED_VALUE"""),"PLAN. FINANCIERO")</f>
        <v>PLAN. FINANCIERO</v>
      </c>
      <c r="H219" s="7">
        <f>IFERROR(__xludf.DUMMYFUNCTION("""COMPUTED_VALUE"""),46060.0)</f>
        <v>46060</v>
      </c>
      <c r="I219" s="6" t="str">
        <f>IFERROR(__xludf.DUMMYFUNCTION("""COMPUTED_VALUE"""),"CONT. FINANCIERA")</f>
        <v>CONT. FINANCIERA</v>
      </c>
      <c r="J219" s="7">
        <f>IFERROR(__xludf.DUMMYFUNCTION("""COMPUTED_VALUE"""),46102.0)</f>
        <v>46102</v>
      </c>
      <c r="K219" s="6" t="str">
        <f>IFERROR(__xludf.DUMMYFUNCTION("""COMPUTED_VALUE"""),"COST Y PRESUP")</f>
        <v>COST Y PRESUP</v>
      </c>
      <c r="L219" s="7">
        <f>IFERROR(__xludf.DUMMYFUNCTION("""COMPUTED_VALUE"""),46151.0)</f>
        <v>46151</v>
      </c>
      <c r="M219" s="6" t="str">
        <f>IFERROR(__xludf.DUMMYFUNCTION("""COMPUTED_VALUE"""),"SAP HANA FI")</f>
        <v>SAP HANA FI</v>
      </c>
      <c r="N219" s="7">
        <f>IFERROR(__xludf.DUMMYFUNCTION("""COMPUTED_VALUE"""),46193.0)</f>
        <v>46193</v>
      </c>
      <c r="O219" s="6" t="str">
        <f>IFERROR(__xludf.DUMMYFUNCTION("""COMPUTED_VALUE"""),"GEST FINANC. PROYECT")</f>
        <v>GEST FINANC. PROYECT</v>
      </c>
      <c r="P219" s="7">
        <f>IFERROR(__xludf.DUMMYFUNCTION("""COMPUTED_VALUE"""),46235.0)</f>
        <v>46235</v>
      </c>
      <c r="Q219" s="6" t="str">
        <f>IFERROR(__xludf.DUMMYFUNCTION("""COMPUTED_VALUE"""),"Maria Palacios
Christian Montánchez
Ralphi Jauregui
Indira Carhuas
Elmer León")</f>
        <v>Maria Palacios
Christian Montánchez
Ralphi Jauregui
Indira Carhuas
Elmer León</v>
      </c>
      <c r="R219" s="5" t="str">
        <f>IFERROR(__xludf.DUMMYFUNCTION("""COMPUTED_VALUE"""),"Sáb")</f>
        <v>Sáb</v>
      </c>
      <c r="S219" s="6" t="str">
        <f>IFERROR(__xludf.DUMMYFUNCTION("""COMPUTED_VALUE"""),"3PM - 6PM")</f>
        <v>3PM - 6PM</v>
      </c>
      <c r="T219" s="7" t="str">
        <f>IFERROR(__xludf.DUMMYFUNCTION("""COMPUTED_VALUE"""),"Sábado 7 Febrero")</f>
        <v>Sábado 7 Febrero</v>
      </c>
      <c r="U219" s="7" t="str">
        <f>IFERROR(__xludf.DUMMYFUNCTION("""COMPUTED_VALUE"""),"Sábado 5 Septiembre")</f>
        <v>Sábado 5 Septiembre</v>
      </c>
      <c r="V219" s="8">
        <f>IFERROR(__xludf.DUMMYFUNCTION("""COMPUTED_VALUE"""),30.0)</f>
        <v>30</v>
      </c>
      <c r="W219" s="5" t="str">
        <f>IFERROR(__xludf.DUMMYFUNCTION("""COMPUTED_VALUE"""),"pdfs/BROCHURE DIPLOMADO EN GESTION FINANCIERA.pdf")</f>
        <v>pdfs/BROCHURE DIPLOMADO EN GESTION FINANCIERA.pdf</v>
      </c>
      <c r="X219" s="5" t="str">
        <f>IFERROR(__xludf.DUMMYFUNCTION("""COMPUTED_VALUE"""),"🔹 Utilizarán SAP HANA 👩🏻‍💻
👉🏼 Incluye tutorial y manual de instalación
👉🏼 12 meses de Licencia SAP para practicar
🔹 Utilizarán CONCAR 
💻 Importante: Para la instalación se necesita una Laptop Windows
🚨 Por favor, revisa el BROCHURE 👇🏻
Aqui e"&amp;"ncontrarás la información completa del programa: Temario (malla curricular) y todos los BENEFICIOS 📚
👉🏼 Te comparto un Modelo de Certificado que elevará tu perfil profesional ")</f>
        <v>🔹 Utilizarán SAP HANA 👩🏻‍💻
👉🏼 Incluye tutorial y manual de instalación
👉🏼 12 meses de Licencia SAP para practicar
🔹 Utilizarán CONCAR 
💻 Importante: Para la instalación se necesita una Laptop Windows
🚨 Por favor, revisa el BROCHURE 👇🏻
Aqui encontrarás la información completa del programa: Temario (malla curricular) y todos los BENEFICIOS 📚
👉🏼 Te comparto un Modelo de Certificado que elevará tu perfil profesional </v>
      </c>
      <c r="Y219" s="5" t="str">
        <f>IFERROR(__xludf.DUMMYFUNCTION("""COMPUTED_VALUE"""),"images/dipfin.jpg")</f>
        <v>images/dipfin.jpg</v>
      </c>
      <c r="Z219" s="5"/>
      <c r="AA219" s="5"/>
      <c r="AB219" s="6">
        <f>IFERROR(__xludf.DUMMYFUNCTION("""COMPUTED_VALUE"""),3810.0)</f>
        <v>3810</v>
      </c>
      <c r="AC219" s="6">
        <f>IFERROR(__xludf.DUMMYFUNCTION("""COMPUTED_VALUE"""),3410.0)</f>
        <v>3410</v>
      </c>
      <c r="AD219" s="6">
        <f>IFERROR(__xludf.DUMMYFUNCTION("""COMPUTED_VALUE"""),1905.0)</f>
        <v>1905</v>
      </c>
      <c r="AE219" s="6">
        <f>IFERROR(__xludf.DUMMYFUNCTION("""COMPUTED_VALUE"""),1705.0)</f>
        <v>1705</v>
      </c>
      <c r="AF219" s="6">
        <f>IFERROR(__xludf.DUMMYFUNCTION("""COMPUTED_VALUE"""),250.0)</f>
        <v>250</v>
      </c>
      <c r="AG219" s="5">
        <f>IFERROR(__xludf.DUMMYFUNCTION("""COMPUTED_VALUE"""),350.0)</f>
        <v>350</v>
      </c>
      <c r="AH219" s="5"/>
      <c r="AI219" s="5">
        <f>IFERROR(__xludf.DUMMYFUNCTION("""COMPUTED_VALUE"""),1534.5)</f>
        <v>1534.5</v>
      </c>
      <c r="AJ219" s="5">
        <f>IFERROR(__xludf.DUMMYFUNCTION("""COMPUTED_VALUE"""),1714.5)</f>
        <v>1714.5</v>
      </c>
      <c r="AK219" s="5" t="str">
        <f>IFERROR(__xludf.DUMMYFUNCTION("""COMPUTED_VALUE"""),"Quien domina las finanzas, domina su futuro 💰
Fortalece tu perfil con un diplomado práctico en gestión y análisis financiero para la toma de decisiones estratégicas 📈
👉🏻 Te envío la información.")</f>
        <v>Quien domina las finanzas, domina su futuro 💰
Fortalece tu perfil con un diplomado práctico en gestión y análisis financiero para la toma de decisiones estratégicas 📈
👉🏻 Te envío la información.</v>
      </c>
      <c r="AL219" s="5" t="str">
        <f>IFERROR(__xludf.DUMMYFUNCTION("""COMPUTED_VALUE"""),"💰 Excelente, el Diplomado en Finanzas te dará dominio en planeación y gestión financiera.")</f>
        <v>💰 Excelente, el Diplomado en Finanzas te dará dominio en planeación y gestión financiera.</v>
      </c>
      <c r="AM219" s="5" t="str">
        <f>IFERROR(__xludf.DUMMYFUNCTION("""COMPUTED_VALUE"""),"💼 Buenísimo, este Diplomado es muy buscado en bancos, consultoras y áreas financieras.")</f>
        <v>💼 Buenísimo, este Diplomado es muy buscado en bancos, consultoras y áreas financieras.</v>
      </c>
      <c r="AN219" s="5" t="str">
        <f>IFERROR(__xludf.DUMMYFUNCTION("""COMPUTED_VALUE"""),"🎓 ¡Genial! Con este Diplomado en Finanzas obtendrás una base sólida desde la universidad.")</f>
        <v>🎓 ¡Genial! Con este Diplomado en Finanzas obtendrás una base sólida desde la universidad.</v>
      </c>
      <c r="AO219" s="5" t="str">
        <f>IFERROR(__xludf.DUMMYFUNCTION("""COMPUTED_VALUE"""),"🚀 ¡Perfecto! Con este Diplomado sobresaldrás en prácticas de análisis y gestión financiera.")</f>
        <v>🚀 ¡Perfecto! Con este Diplomado sobresaldrás en prácticas de análisis y gestión financiera.</v>
      </c>
      <c r="AP219" s="5" t="str">
        <f>IFERROR(__xludf.DUMMYFUNCTION("""COMPUTED_VALUE"""),"📈 ¡Excelente! Con lo aprendido podrás optimizar recursos y decisiones en tu negocio.")</f>
        <v>📈 ¡Excelente! Con lo aprendido podrás optimizar recursos y decisiones en tu negocio.</v>
      </c>
      <c r="AQ219" s="9" t="str">
        <f>IFERROR(__xludf.DUMMYFUNCTION("""COMPUTED_VALUE"""),"https://we-educacion.com/slides/diplomado-en-gestion-financiera-1209")</f>
        <v>https://we-educacion.com/slides/diplomado-en-gestion-financiera-1209</v>
      </c>
      <c r="AR219" s="5">
        <v>1.0</v>
      </c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</row>
    <row r="220" ht="15.75" customHeight="1">
      <c r="A220" s="5" t="s">
        <v>262</v>
      </c>
      <c r="B220" s="5" t="str">
        <f t="shared" si="1"/>
        <v>FEB. I - ED26</v>
      </c>
      <c r="C220" s="6" t="str">
        <f>IFERROR(__xludf.DUMMYFUNCTION("""COMPUTED_VALUE"""),"FINANZ")</f>
        <v>FINANZ</v>
      </c>
      <c r="D220" s="6" t="str">
        <f>IFERROR(__xludf.DUMMYFUNCTION("""COMPUTED_VALUE"""),"CURSO")</f>
        <v>CURSO</v>
      </c>
      <c r="E220" s="6" t="str">
        <f>IFERROR(__xludf.DUMMYFUNCTION("""COMPUTED_VALUE"""),"PLAN. FINANCIERO")</f>
        <v>PLAN. FINANCIERO</v>
      </c>
      <c r="F220" s="7">
        <f>IFERROR(__xludf.DUMMYFUNCTION("""COMPUTED_VALUE"""),46060.0)</f>
        <v>46060</v>
      </c>
      <c r="G220" s="6"/>
      <c r="H220" s="7"/>
      <c r="I220" s="6"/>
      <c r="J220" s="7"/>
      <c r="K220" s="6"/>
      <c r="L220" s="7"/>
      <c r="M220" s="6"/>
      <c r="N220" s="7"/>
      <c r="O220" s="6"/>
      <c r="P220" s="7"/>
      <c r="Q220" s="6" t="str">
        <f>IFERROR(__xludf.DUMMYFUNCTION("""COMPUTED_VALUE"""),"Maria Palacios")</f>
        <v>Maria Palacios</v>
      </c>
      <c r="R220" s="5" t="str">
        <f>IFERROR(__xludf.DUMMYFUNCTION("""COMPUTED_VALUE"""),"Sáb")</f>
        <v>Sáb</v>
      </c>
      <c r="S220" s="6" t="str">
        <f>IFERROR(__xludf.DUMMYFUNCTION("""COMPUTED_VALUE"""),"3PM - 6PM")</f>
        <v>3PM - 6PM</v>
      </c>
      <c r="T220" s="7" t="str">
        <f>IFERROR(__xludf.DUMMYFUNCTION("""COMPUTED_VALUE"""),"Sábado 7 Febrero")</f>
        <v>Sábado 7 Febrero</v>
      </c>
      <c r="U220" s="7" t="str">
        <f>IFERROR(__xludf.DUMMYFUNCTION("""COMPUTED_VALUE"""),"Sábado 14 Marzo")</f>
        <v>Sábado 14 Marzo</v>
      </c>
      <c r="V220" s="8">
        <f>IFERROR(__xludf.DUMMYFUNCTION("""COMPUTED_VALUE"""),6.0)</f>
        <v>6</v>
      </c>
      <c r="W220" s="5" t="str">
        <f>IFERROR(__xludf.DUMMYFUNCTION("""COMPUTED_VALUE"""),"pdfs/BROCHURE PLANEAMIENTO FINANCIERO.pdf")</f>
        <v>pdfs/BROCHURE PLANEAMIENTO FINANCIERO.pdf</v>
      </c>
      <c r="X220" s="5" t="str">
        <f>IFERROR(__xludf.DUMMYFUNCTION("""COMPUTED_VALUE"""),"🔹 Utilizarán Excel 👩🏻‍💻
🚨 Por favor, revisa el BROCHURE 👇🏻
Aqui encontrarás la información completa del programa: Temario (malla curricular) y todos los BENEFICIOS 📚")</f>
        <v>🔹 Utilizarán Excel 👩🏻‍💻
🚨 Por favor, revisa el BROCHURE 👇🏻
Aqui encontrarás la información completa del programa: Temario (malla curricular) y todos los BENEFICIOS 📚</v>
      </c>
      <c r="Y220" s="5" t="str">
        <f>IFERROR(__xludf.DUMMYFUNCTION("""COMPUTED_VALUE"""),"images/planfinan.jpg")</f>
        <v>images/planfinan.jpg</v>
      </c>
      <c r="Z220" s="5"/>
      <c r="AA220" s="5" t="str">
        <f>IFERROR(__xludf.DUMMYFUNCTION("""COMPUTED_VALUE"""),"NO")</f>
        <v>NO</v>
      </c>
      <c r="AB220" s="6">
        <f>IFERROR(__xludf.DUMMYFUNCTION("""COMPUTED_VALUE"""),750.0)</f>
        <v>750</v>
      </c>
      <c r="AC220" s="6">
        <f>IFERROR(__xludf.DUMMYFUNCTION("""COMPUTED_VALUE"""),700.0)</f>
        <v>700</v>
      </c>
      <c r="AD220" s="6">
        <f>IFERROR(__xludf.DUMMYFUNCTION("""COMPUTED_VALUE"""),375.0)</f>
        <v>375</v>
      </c>
      <c r="AE220" s="6">
        <f>IFERROR(__xludf.DUMMYFUNCTION("""COMPUTED_VALUE"""),350.0)</f>
        <v>350</v>
      </c>
      <c r="AF220" s="6">
        <f>IFERROR(__xludf.DUMMYFUNCTION("""COMPUTED_VALUE"""),150.0)</f>
        <v>150</v>
      </c>
      <c r="AG220" s="5">
        <f>IFERROR(__xludf.DUMMYFUNCTION("""COMPUTED_VALUE"""),150.0)</f>
        <v>150</v>
      </c>
      <c r="AH220" s="5"/>
      <c r="AI220" s="5">
        <f>IFERROR(__xludf.DUMMYFUNCTION("""COMPUTED_VALUE"""),315.0)</f>
        <v>315</v>
      </c>
      <c r="AJ220" s="5">
        <f>IFERROR(__xludf.DUMMYFUNCTION("""COMPUTED_VALUE"""),337.5)</f>
        <v>337.5</v>
      </c>
      <c r="AK220" s="5" t="str">
        <f>IFERROR(__xludf.DUMMYFUNCTION("""COMPUTED_VALUE"""),"El lenguaje de los líderes de negocio es la planificación financiera estratégica 📊
Con Planeamiento Financiero aprenderás a proyectar, controlar y tomar decisiones con casos reales 💼.
Aquí la información completa 👇🏻")</f>
        <v>El lenguaje de los líderes de negocio es la planificación financiera estratégica 📊
Con Planeamiento Financiero aprenderás a proyectar, controlar y tomar decisiones con casos reales 💼.
Aquí la información completa 👇🏻</v>
      </c>
      <c r="AL220" s="5" t="str">
        <f>IFERROR(__xludf.DUMMYFUNCTION("""COMPUTED_VALUE"""),"📈 Excelente, actualízate con Planeamiento Financiero y mejora tu visión estratégica.")</f>
        <v>📈 Excelente, actualízate con Planeamiento Financiero y mejora tu visión estratégica.</v>
      </c>
      <c r="AM220" s="5" t="str">
        <f>IFERROR(__xludf.DUMMYFUNCTION("""COMPUTED_VALUE"""),"💼 Buenísimo, Planeamiento Financiero es clave para acceder a roles de finanzas y crecer profesionalmente.")</f>
        <v>💼 Buenísimo, Planeamiento Financiero es clave para acceder a roles de finanzas y crecer profesionalmente.</v>
      </c>
      <c r="AN220" s="5" t="str">
        <f>IFERROR(__xludf.DUMMYFUNCTION("""COMPUTED_VALUE"""),"🎓 ¡Genial! Con Planeamiento Financiero obtendrás una base sólida que te diferenciará en la universidad.")</f>
        <v>🎓 ¡Genial! Con Planeamiento Financiero obtendrás una base sólida que te diferenciará en la universidad.</v>
      </c>
      <c r="AO220" s="5" t="str">
        <f>IFERROR(__xludf.DUMMYFUNCTION("""COMPUTED_VALUE"""),"🚀 ¡Perfecto! Saber Planeamiento Financiero te ayudará a destacar en prácticas en áreas de finanzas.")</f>
        <v>🚀 ¡Perfecto! Saber Planeamiento Financiero te ayudará a destacar en prácticas en áreas de finanzas.</v>
      </c>
      <c r="AP220" s="5" t="str">
        <f>IFERROR(__xludf.DUMMYFUNCTION("""COMPUTED_VALUE"""),"📊 ¡Excelente! Con Planeamiento Financiero podrás aplicar técnicas para manejar mejor tu negocio.")</f>
        <v>📊 ¡Excelente! Con Planeamiento Financiero podrás aplicar técnicas para manejar mejor tu negocio.</v>
      </c>
      <c r="AQ220" s="9" t="str">
        <f>IFERROR(__xludf.DUMMYFUNCTION("""COMPUTED_VALUE"""),"https://we-educacion.com/slides/planeamiento-financiero-1207")</f>
        <v>https://we-educacion.com/slides/planeamiento-financiero-1207</v>
      </c>
      <c r="AR220" s="5">
        <v>1.0</v>
      </c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</row>
    <row r="221" ht="15.75" customHeight="1">
      <c r="A221" s="5" t="s">
        <v>263</v>
      </c>
      <c r="B221" s="5" t="str">
        <f t="shared" si="1"/>
        <v>FEB. I - ED26</v>
      </c>
      <c r="C221" s="6" t="str">
        <f>IFERROR(__xludf.DUMMYFUNCTION("""COMPUTED_VALUE"""),"IA")</f>
        <v>IA</v>
      </c>
      <c r="D221" s="5" t="str">
        <f>IFERROR(__xludf.DUMMYFUNCTION("""COMPUTED_VALUE"""),"CURSO")</f>
        <v>CURSO</v>
      </c>
      <c r="E221" s="6" t="str">
        <f>IFERROR(__xludf.DUMMYFUNCTION("""COMPUTED_VALUE"""),"IA GENERATIVA APLICADA A PROCESOS EMPRESARIALES")</f>
        <v>IA GENERATIVA APLICADA A PROCESOS EMPRESARIALES</v>
      </c>
      <c r="F221" s="7">
        <f>IFERROR(__xludf.DUMMYFUNCTION("""COMPUTED_VALUE"""),46060.0)</f>
        <v>46060</v>
      </c>
      <c r="G221" s="6"/>
      <c r="H221" s="7"/>
      <c r="I221" s="6"/>
      <c r="J221" s="7"/>
      <c r="K221" s="6"/>
      <c r="L221" s="7"/>
      <c r="M221" s="6"/>
      <c r="N221" s="7"/>
      <c r="O221" s="6"/>
      <c r="P221" s="7"/>
      <c r="Q221" s="6"/>
      <c r="R221" s="5" t="str">
        <f>IFERROR(__xludf.DUMMYFUNCTION("""COMPUTED_VALUE"""),"Sáb")</f>
        <v>Sáb</v>
      </c>
      <c r="S221" s="6" t="str">
        <f>IFERROR(__xludf.DUMMYFUNCTION("""COMPUTED_VALUE"""),"3PM - 6PM")</f>
        <v>3PM - 6PM</v>
      </c>
      <c r="T221" s="7" t="str">
        <f>IFERROR(__xludf.DUMMYFUNCTION("""COMPUTED_VALUE"""),"Sábado 7 Febrero")</f>
        <v>Sábado 7 Febrero</v>
      </c>
      <c r="U221" s="7" t="str">
        <f>IFERROR(__xludf.DUMMYFUNCTION("""COMPUTED_VALUE"""),"Sábado 21 Marzo")</f>
        <v>Sábado 21 Marzo</v>
      </c>
      <c r="V221" s="8">
        <f>IFERROR(__xludf.DUMMYFUNCTION("""COMPUTED_VALUE"""),6.0)</f>
        <v>6</v>
      </c>
      <c r="W221" s="5"/>
      <c r="X221" s="5"/>
      <c r="Y221" s="5"/>
      <c r="Z221" s="5"/>
      <c r="AA221" s="5"/>
      <c r="AB221" s="6"/>
      <c r="AC221" s="6"/>
      <c r="AD221" s="6"/>
      <c r="AE221" s="6"/>
      <c r="AF221" s="6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 t="str">
        <f>IFERROR(__xludf.DUMMYFUNCTION("""COMPUTED_VALUE"""),"#N/A")</f>
        <v>#N/A</v>
      </c>
      <c r="AR221" s="5">
        <v>1.0</v>
      </c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</row>
    <row r="222" ht="15.75" customHeight="1">
      <c r="A222" s="5" t="s">
        <v>264</v>
      </c>
      <c r="B222" s="5" t="str">
        <f t="shared" si="1"/>
        <v>FEB. I - ED26</v>
      </c>
      <c r="C222" s="6" t="str">
        <f>IFERROR(__xludf.DUMMYFUNCTION("""COMPUTED_VALUE"""),"BI")</f>
        <v>BI</v>
      </c>
      <c r="D222" s="5" t="str">
        <f>IFERROR(__xludf.DUMMYFUNCTION("""COMPUTED_VALUE"""),"CURSO")</f>
        <v>CURSO</v>
      </c>
      <c r="E222" s="6" t="str">
        <f>IFERROR(__xludf.DUMMYFUNCTION("""COMPUTED_VALUE"""),"POWER BI")</f>
        <v>POWER BI</v>
      </c>
      <c r="F222" s="7">
        <f>IFERROR(__xludf.DUMMYFUNCTION("""COMPUTED_VALUE"""),46061.0)</f>
        <v>46061</v>
      </c>
      <c r="G222" s="6"/>
      <c r="H222" s="7"/>
      <c r="I222" s="6"/>
      <c r="J222" s="7"/>
      <c r="K222" s="6"/>
      <c r="L222" s="7"/>
      <c r="M222" s="6"/>
      <c r="N222" s="7"/>
      <c r="O222" s="6"/>
      <c r="P222" s="7"/>
      <c r="Q222" s="6" t="str">
        <f>IFERROR(__xludf.DUMMYFUNCTION("""COMPUTED_VALUE"""),"Moisés Bautista
")</f>
        <v>Moisés Bautista
</v>
      </c>
      <c r="R222" s="5" t="str">
        <f>IFERROR(__xludf.DUMMYFUNCTION("""COMPUTED_VALUE"""),"Dom")</f>
        <v>Dom</v>
      </c>
      <c r="S222" s="6" t="str">
        <f>IFERROR(__xludf.DUMMYFUNCTION("""COMPUTED_VALUE"""),"9AM - 12PM")</f>
        <v>9AM - 12PM</v>
      </c>
      <c r="T222" s="7" t="str">
        <f>IFERROR(__xludf.DUMMYFUNCTION("""COMPUTED_VALUE"""),"Domingo 8 Febrero")</f>
        <v>Domingo 8 Febrero</v>
      </c>
      <c r="U222" s="7" t="str">
        <f>IFERROR(__xludf.DUMMYFUNCTION("""COMPUTED_VALUE"""),"Domingo 15 Marzo")</f>
        <v>Domingo 15 Marzo</v>
      </c>
      <c r="V222" s="8">
        <f>IFERROR(__xludf.DUMMYFUNCTION("""COMPUTED_VALUE"""),6.0)</f>
        <v>6</v>
      </c>
      <c r="W222" s="5" t="str">
        <f>IFERROR(__xludf.DUMMYFUNCTION("""COMPUTED_VALUE"""),"pdfs/BROCHURE POWER BI.pdf")</f>
        <v>pdfs/BROCHURE POWER BI.pdf</v>
      </c>
      <c r="X222" s="5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222" s="5" t="str">
        <f>IFERROR(__xludf.DUMMYFUNCTION("""COMPUTED_VALUE"""),"images/powerbi.jpg")</f>
        <v>images/powerbi.jpg</v>
      </c>
      <c r="Z222" s="5" t="str">
        <f>IFERROR(__xludf.DUMMYFUNCTION("""COMPUTED_VALUE"""),"Avalado por Microsoft Partner Network")</f>
        <v>Avalado por Microsoft Partner Network</v>
      </c>
      <c r="AA222" s="5" t="str">
        <f>IFERROR(__xludf.DUMMYFUNCTION("""COMPUTED_VALUE"""),"NO")</f>
        <v>NO</v>
      </c>
      <c r="AB222" s="6">
        <f>IFERROR(__xludf.DUMMYFUNCTION("""COMPUTED_VALUE"""),830.0)</f>
        <v>830</v>
      </c>
      <c r="AC222" s="6">
        <f>IFERROR(__xludf.DUMMYFUNCTION("""COMPUTED_VALUE"""),740.0)</f>
        <v>740</v>
      </c>
      <c r="AD222" s="6">
        <f>IFERROR(__xludf.DUMMYFUNCTION("""COMPUTED_VALUE"""),415.0)</f>
        <v>415</v>
      </c>
      <c r="AE222" s="6">
        <f>IFERROR(__xludf.DUMMYFUNCTION("""COMPUTED_VALUE"""),370.0)</f>
        <v>370</v>
      </c>
      <c r="AF222" s="6">
        <f>IFERROR(__xludf.DUMMYFUNCTION("""COMPUTED_VALUE"""),150.0)</f>
        <v>150</v>
      </c>
      <c r="AG222" s="6">
        <f>IFERROR(__xludf.DUMMYFUNCTION("""COMPUTED_VALUE"""),150.0)</f>
        <v>150</v>
      </c>
      <c r="AH222" s="6"/>
      <c r="AI222" s="5">
        <f>IFERROR(__xludf.DUMMYFUNCTION("""COMPUTED_VALUE"""),333.0)</f>
        <v>333</v>
      </c>
      <c r="AJ222" s="5">
        <f>IFERROR(__xludf.DUMMYFUNCTION("""COMPUTED_VALUE"""),373.5)</f>
        <v>373.5</v>
      </c>
      <c r="AK222" s="5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222" s="5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222" s="5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222" s="5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222" s="5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222" s="5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222" s="9" t="str">
        <f>IFERROR(__xludf.DUMMYFUNCTION("""COMPUTED_VALUE"""),"https://we-educacion.com/slides/power-bi-46")</f>
        <v>https://we-educacion.com/slides/power-bi-46</v>
      </c>
      <c r="AR222" s="5">
        <v>1.0</v>
      </c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</row>
    <row r="223" ht="15.75" customHeight="1">
      <c r="A223" s="5" t="s">
        <v>265</v>
      </c>
      <c r="B223" s="5" t="str">
        <f t="shared" si="1"/>
        <v>FEB. I - ED26</v>
      </c>
      <c r="C223" s="6" t="str">
        <f>IFERROR(__xludf.DUMMYFUNCTION("""COMPUTED_VALUE"""),"SAP")</f>
        <v>SAP</v>
      </c>
      <c r="D223" s="6" t="str">
        <f>IFERROR(__xludf.DUMMYFUNCTION("""COMPUTED_VALUE"""),"CURSO")</f>
        <v>CURSO</v>
      </c>
      <c r="E223" s="6" t="str">
        <f>IFERROR(__xludf.DUMMYFUNCTION("""COMPUTED_VALUE"""),"SAP HANA MM PRESENCIAL")</f>
        <v>SAP HANA MM PRESENCIAL</v>
      </c>
      <c r="F223" s="7">
        <f>IFERROR(__xludf.DUMMYFUNCTION("""COMPUTED_VALUE"""),46061.0)</f>
        <v>46061</v>
      </c>
      <c r="G223" s="6"/>
      <c r="H223" s="7"/>
      <c r="I223" s="6"/>
      <c r="J223" s="7"/>
      <c r="K223" s="6"/>
      <c r="L223" s="7"/>
      <c r="M223" s="6"/>
      <c r="N223" s="7"/>
      <c r="O223" s="6"/>
      <c r="P223" s="7"/>
      <c r="Q223" s="6" t="str">
        <f>IFERROR(__xludf.DUMMYFUNCTION("""COMPUTED_VALUE"""),"David Romero")</f>
        <v>David Romero</v>
      </c>
      <c r="R223" s="5" t="str">
        <f>IFERROR(__xludf.DUMMYFUNCTION("""COMPUTED_VALUE"""),"Dom")</f>
        <v>Dom</v>
      </c>
      <c r="S223" s="6" t="str">
        <f>IFERROR(__xludf.DUMMYFUNCTION("""COMPUTED_VALUE"""),"9AM - 1PM")</f>
        <v>9AM - 1PM</v>
      </c>
      <c r="T223" s="7" t="str">
        <f>IFERROR(__xludf.DUMMYFUNCTION("""COMPUTED_VALUE"""),"Domingo 8 Febrero")</f>
        <v>Domingo 8 Febrero</v>
      </c>
      <c r="U223" s="7" t="str">
        <f>IFERROR(__xludf.DUMMYFUNCTION("""COMPUTED_VALUE"""),"Domingo 8 Marzo")</f>
        <v>Domingo 8 Marzo</v>
      </c>
      <c r="V223" s="8">
        <f>IFERROR(__xludf.DUMMYFUNCTION("""COMPUTED_VALUE"""),5.0)</f>
        <v>5</v>
      </c>
      <c r="W223" s="5" t="str">
        <f>IFERROR(__xludf.DUMMYFUNCTION("""COMPUTED_VALUE"""),"pdfs/BROCHURE SAP S4 HANA MM PRESENCIAL.pdf")</f>
        <v>pdfs/BROCHURE SAP S4 HANA MM PRESENCIAL.pdf</v>
      </c>
      <c r="X223" s="5" t="str">
        <f>IFERROR(__xludf.DUMMYFUNCTION("""COMPUTED_VALUE"""),"🔵 *Conoce TODOS los BENEFICIOS a los que accedes* 
🔹 Laptop con el sistema SAP incluido 👩🏻‍💻
👉🏼 Si traes tu propia laptop, *obtén un descuento de S/50* 
🔹 Acceso a tu *Campus Virtual* WE 👩🏻‍🏫
🔹 *Material digital y grabación* de clases.
🔹 Ce"&amp;"rtificado digital con *respaldo SAP Partner*
🔹 04 Curso Online de regalo con acceso ilimitado 📚
🔹 Desarrollo y seguimiento de tu proyecto *(Evaluado)*
🔹 Beneficio en SAP Fiori para SAP S/4 HANA 📲💻")</f>
        <v>🔵 *Conoce TODOS los BENEFICIOS a los que accedes* 
🔹 Laptop con el sistema SAP incluido 👩🏻‍💻
👉🏼 Si traes tu propia laptop, *obtén un descuento de S/50* 
🔹 Acceso a tu *Campus Virtual* WE 👩🏻‍🏫
🔹 *Material digital y grabación* de clases.
🔹 Certificado digital con *respaldo SAP Partner*
🔹 04 Curso Online de regalo con acceso ilimitado 📚
🔹 Desarrollo y seguimiento de tu proyecto *(Evaluado)*
🔹 Beneficio en SAP Fiori para SAP S/4 HANA 📲💻</v>
      </c>
      <c r="Y223" s="5"/>
      <c r="Z223" s="5" t="str">
        <f>IFERROR(__xludf.DUMMYFUNCTION("""COMPUTED_VALUE"""),"Avalado por SAP Partner Open")</f>
        <v>Avalado por SAP Partner Open</v>
      </c>
      <c r="AA223" s="5" t="str">
        <f>IFERROR(__xludf.DUMMYFUNCTION("""COMPUTED_VALUE"""),"NO")</f>
        <v>NO</v>
      </c>
      <c r="AB223" s="6">
        <f>IFERROR(__xludf.DUMMYFUNCTION("""COMPUTED_VALUE"""),1150.0)</f>
        <v>1150</v>
      </c>
      <c r="AC223" s="6">
        <f>IFERROR(__xludf.DUMMYFUNCTION("""COMPUTED_VALUE"""),1000.0)</f>
        <v>1000</v>
      </c>
      <c r="AD223" s="6">
        <f>IFERROR(__xludf.DUMMYFUNCTION("""COMPUTED_VALUE"""),575.0)</f>
        <v>575</v>
      </c>
      <c r="AE223" s="6">
        <f>IFERROR(__xludf.DUMMYFUNCTION("""COMPUTED_VALUE"""),500.0)</f>
        <v>500</v>
      </c>
      <c r="AF223" s="6">
        <f>IFERROR(__xludf.DUMMYFUNCTION("""COMPUTED_VALUE"""),150.0)</f>
        <v>150</v>
      </c>
      <c r="AG223" s="5">
        <f>IFERROR(__xludf.DUMMYFUNCTION("""COMPUTED_VALUE"""),150.0)</f>
        <v>150</v>
      </c>
      <c r="AH223" s="5"/>
      <c r="AI223" s="5">
        <f>IFERROR(__xludf.DUMMYFUNCTION("""COMPUTED_VALUE"""),450.0)</f>
        <v>450</v>
      </c>
      <c r="AJ223" s="5">
        <f>IFERROR(__xludf.DUMMYFUNCTION("""COMPUTED_VALUE"""),517.5)</f>
        <v>517.5</v>
      </c>
      <c r="AK223" s="5" t="str">
        <f>IFERROR(__xludf.DUMMYFUNCTION("""COMPUTED_VALUE"""),"La gestión de materiales se domina con SAP HANA MM 📊
Con la modalidad Presencial vivirás la experiencia práctica para controlar compras e inventarios en entornos reales 💼.
Aquí te comparto la info 👇🏻")</f>
        <v>La gestión de materiales se domina con SAP HANA MM 📊
Con la modalidad Presencial vivirás la experiencia práctica para controlar compras e inventarios en entornos reales 💼.
Aquí te comparto la info 👇🏻</v>
      </c>
      <c r="AL223" s="5" t="str">
        <f>IFERROR(__xludf.DUMMYFUNCTION("""COMPUTED_VALUE"""),"📦 Excelente, actualízate con SAP MM Presencial y domina la gestión de materiales en vivo.")</f>
        <v>📦 Excelente, actualízate con SAP MM Presencial y domina la gestión de materiales en vivo.</v>
      </c>
      <c r="AM223" s="5" t="str">
        <f>IFERROR(__xludf.DUMMYFUNCTION("""COMPUTED_VALUE"""),"💼 Buenísimo, SAP MM es muy buscado por empresas que gestionan compras e inventarios.")</f>
        <v>💼 Buenísimo, SAP MM es muy buscado por empresas que gestionan compras e inventarios.</v>
      </c>
      <c r="AN223" s="5" t="str">
        <f>IFERROR(__xludf.DUMMYFUNCTION("""COMPUTED_VALUE"""),"🎓 ¡Genial! Con SAP MM Presencial aprenderás de forma práctica.")</f>
        <v>🎓 ¡Genial! Con SAP MM Presencial aprenderás de forma práctica.</v>
      </c>
      <c r="AO223" s="5" t="str">
        <f>IFERROR(__xludf.DUMMYFUNCTION("""COMPUTED_VALUE"""),"🚀 ¡Perfecto! Con SAP MM destacarás en prácticas en áreas de logística y operaciones.")</f>
        <v>🚀 ¡Perfecto! Con SAP MM destacarás en prácticas en áreas de logística y operaciones.</v>
      </c>
      <c r="AP223" s="5" t="str">
        <f>IFERROR(__xludf.DUMMYFUNCTION("""COMPUTED_VALUE"""),"📊 ¡Excelente! Con SAP MM Presencial optimizarás el manejo de materiales en tu negocio.")</f>
        <v>📊 ¡Excelente! Con SAP MM Presencial optimizarás el manejo de materiales en tu negocio.</v>
      </c>
      <c r="AQ223" s="5"/>
      <c r="AR223" s="5">
        <v>1.0</v>
      </c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</row>
    <row r="224" ht="15.75" customHeight="1">
      <c r="A224" s="5" t="s">
        <v>266</v>
      </c>
      <c r="B224" s="5" t="str">
        <f t="shared" si="1"/>
        <v>FEB. I - ED26</v>
      </c>
      <c r="C224" s="6" t="str">
        <f>IFERROR(__xludf.DUMMYFUNCTION("""COMPUTED_VALUE"""),"BI")</f>
        <v>BI</v>
      </c>
      <c r="D224" s="6" t="str">
        <f>IFERROR(__xludf.DUMMYFUNCTION("""COMPUTED_VALUE"""),"CURSO")</f>
        <v>CURSO</v>
      </c>
      <c r="E224" s="6" t="str">
        <f>IFERROR(__xludf.DUMMYFUNCTION("""COMPUTED_VALUE"""),"SQL AVANZ")</f>
        <v>SQL AVANZ</v>
      </c>
      <c r="F224" s="7">
        <f>IFERROR(__xludf.DUMMYFUNCTION("""COMPUTED_VALUE"""),46064.0)</f>
        <v>46064</v>
      </c>
      <c r="G224" s="6"/>
      <c r="H224" s="7"/>
      <c r="I224" s="6"/>
      <c r="J224" s="7"/>
      <c r="K224" s="6"/>
      <c r="L224" s="7"/>
      <c r="M224" s="6"/>
      <c r="N224" s="7"/>
      <c r="O224" s="6"/>
      <c r="P224" s="7"/>
      <c r="Q224" s="6" t="str">
        <f>IFERROR(__xludf.DUMMYFUNCTION("""COMPUTED_VALUE"""),"Oscar Moreno")</f>
        <v>Oscar Moreno</v>
      </c>
      <c r="R224" s="5" t="str">
        <f>IFERROR(__xludf.DUMMYFUNCTION("""COMPUTED_VALUE"""),"Lun-Mie")</f>
        <v>Lun-Mie</v>
      </c>
      <c r="S224" s="6" t="str">
        <f>IFERROR(__xludf.DUMMYFUNCTION("""COMPUTED_VALUE"""),"7PM - 10PM")</f>
        <v>7PM - 10PM</v>
      </c>
      <c r="T224" s="7" t="str">
        <f>IFERROR(__xludf.DUMMYFUNCTION("""COMPUTED_VALUE"""),"Miércoles 11 Febrero")</f>
        <v>Miércoles 11 Febrero</v>
      </c>
      <c r="U224" s="7" t="str">
        <f>IFERROR(__xludf.DUMMYFUNCTION("""COMPUTED_VALUE"""),"Lunes 2 Marzo")</f>
        <v>Lunes 2 Marzo</v>
      </c>
      <c r="V224" s="8">
        <f>IFERROR(__xludf.DUMMYFUNCTION("""COMPUTED_VALUE"""),6.0)</f>
        <v>6</v>
      </c>
      <c r="W224" s="5" t="str">
        <f>IFERROR(__xludf.DUMMYFUNCTION("""COMPUTED_VALUE"""),"pdfs/BROCHURE SQL SERVER AVANZADO.pdf")</f>
        <v>pdfs/BROCHURE SQL SERVER AVANZADO.pdf</v>
      </c>
      <c r="X224" s="5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24" s="5" t="str">
        <f>IFERROR(__xludf.DUMMYFUNCTION("""COMPUTED_VALUE"""),"images/sqlavanz.jpg")</f>
        <v>images/sqlavanz.jpg</v>
      </c>
      <c r="Z224" s="5" t="str">
        <f>IFERROR(__xludf.DUMMYFUNCTION("""COMPUTED_VALUE"""),"Avalado por Microsoft Partner Network")</f>
        <v>Avalado por Microsoft Partner Network</v>
      </c>
      <c r="AA224" s="5" t="str">
        <f>IFERROR(__xludf.DUMMYFUNCTION("""COMPUTED_VALUE"""),"NO")</f>
        <v>NO</v>
      </c>
      <c r="AB224" s="6">
        <f>IFERROR(__xludf.DUMMYFUNCTION("""COMPUTED_VALUE"""),830.0)</f>
        <v>830</v>
      </c>
      <c r="AC224" s="6">
        <f>IFERROR(__xludf.DUMMYFUNCTION("""COMPUTED_VALUE"""),740.0)</f>
        <v>740</v>
      </c>
      <c r="AD224" s="6">
        <f>IFERROR(__xludf.DUMMYFUNCTION("""COMPUTED_VALUE"""),415.0)</f>
        <v>415</v>
      </c>
      <c r="AE224" s="6">
        <f>IFERROR(__xludf.DUMMYFUNCTION("""COMPUTED_VALUE"""),370.0)</f>
        <v>370</v>
      </c>
      <c r="AF224" s="6">
        <f>IFERROR(__xludf.DUMMYFUNCTION("""COMPUTED_VALUE"""),150.0)</f>
        <v>150</v>
      </c>
      <c r="AG224" s="5">
        <f>IFERROR(__xludf.DUMMYFUNCTION("""COMPUTED_VALUE"""),150.0)</f>
        <v>150</v>
      </c>
      <c r="AH224" s="5"/>
      <c r="AI224" s="5">
        <f>IFERROR(__xludf.DUMMYFUNCTION("""COMPUTED_VALUE"""),333.0)</f>
        <v>333</v>
      </c>
      <c r="AJ224" s="5">
        <f>IFERROR(__xludf.DUMMYFUNCTION("""COMPUTED_VALUE"""),373.5)</f>
        <v>373.5</v>
      </c>
      <c r="AK224" s="5" t="str">
        <f>IFERROR(__xludf.DUMMYFUNCTION("""COMPUTED_VALUE"""),"El poder de los datos se libera con SQL Avanzado 🔎
Aprenderás consultas complejas y análisis de bases de datos aplicables a proyectos reales 💻.
Aquí tienes la info completa 👇🏻")</f>
        <v>El poder de los datos se libera con SQL Avanzado 🔎
Aprenderás consultas complejas y análisis de bases de datos aplicables a proyectos reales 💻.
Aquí tienes la info completa 👇🏻</v>
      </c>
      <c r="AL224" s="5" t="str">
        <f>IFERROR(__xludf.DUMMYFUNCTION("""COMPUTED_VALUE"""),"💻 Excelente, actualízate con SQL Avanzado y domina la gestión de bases de datos.")</f>
        <v>💻 Excelente, actualízate con SQL Avanzado y domina la gestión de bases de datos.</v>
      </c>
      <c r="AM224" s="5" t="str">
        <f>IFERROR(__xludf.DUMMYFUNCTION("""COMPUTED_VALUE"""),"💼 Buenísimo, SQL es muy demandado en empresas que manejan grandes volúmenes de datos.")</f>
        <v>💼 Buenísimo, SQL es muy demandado en empresas que manejan grandes volúmenes de datos.</v>
      </c>
      <c r="AN224" s="5" t="str">
        <f>IFERROR(__xludf.DUMMYFUNCTION("""COMPUTED_VALUE"""),"🎓 ¡Genial! Con SQL Avanzado aprenderás análisis de datos desde la universidad.")</f>
        <v>🎓 ¡Genial! Con SQL Avanzado aprenderás análisis de datos desde la universidad.</v>
      </c>
      <c r="AO224" s="5" t="str">
        <f>IFERROR(__xludf.DUMMYFUNCTION("""COMPUTED_VALUE"""),"🚀 ¡Perfecto! Saber SQL te dará ventaja en prácticas de análisis e inteligencia de negocios.")</f>
        <v>🚀 ¡Perfecto! Saber SQL te dará ventaja en prácticas de análisis e inteligencia de negocios.</v>
      </c>
      <c r="AP224" s="5" t="str">
        <f>IFERROR(__xludf.DUMMYFUNCTION("""COMPUTED_VALUE"""),"📊 ¡Excelente! Con SQL Avanzado podrás manejar la información de tu negocio con precisión.")</f>
        <v>📊 ¡Excelente! Con SQL Avanzado podrás manejar la información de tu negocio con precisión.</v>
      </c>
      <c r="AQ224" s="9" t="str">
        <f>IFERROR(__xludf.DUMMYFUNCTION("""COMPUTED_VALUE"""),"https://we-educacion.com/slides/sql-server-avanzado-93")</f>
        <v>https://we-educacion.com/slides/sql-server-avanzado-93</v>
      </c>
      <c r="AR224" s="5">
        <v>1.0</v>
      </c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</row>
    <row r="225" ht="15.75" customHeight="1">
      <c r="A225" s="5" t="s">
        <v>267</v>
      </c>
      <c r="B225" s="5" t="str">
        <f t="shared" si="1"/>
        <v>FEB. I - ED26</v>
      </c>
      <c r="C225" s="6" t="str">
        <f>IFERROR(__xludf.DUMMYFUNCTION("""COMPUTED_VALUE"""),"SAP")</f>
        <v>SAP</v>
      </c>
      <c r="D225" s="5" t="str">
        <f>IFERROR(__xludf.DUMMYFUNCTION("""COMPUTED_VALUE"""),"CURSO")</f>
        <v>CURSO</v>
      </c>
      <c r="E225" s="6" t="str">
        <f>IFERROR(__xludf.DUMMYFUNCTION("""COMPUTED_VALUE"""),"SAP HANA EWM")</f>
        <v>SAP HANA EWM</v>
      </c>
      <c r="F225" s="7">
        <f>IFERROR(__xludf.DUMMYFUNCTION("""COMPUTED_VALUE"""),46065.0)</f>
        <v>46065</v>
      </c>
      <c r="G225" s="6"/>
      <c r="H225" s="7"/>
      <c r="I225" s="6"/>
      <c r="J225" s="7"/>
      <c r="K225" s="6"/>
      <c r="L225" s="7"/>
      <c r="M225" s="6"/>
      <c r="N225" s="7"/>
      <c r="O225" s="6"/>
      <c r="P225" s="7"/>
      <c r="Q225" s="6" t="str">
        <f>IFERROR(__xludf.DUMMYFUNCTION("""COMPUTED_VALUE"""),"Maria Sandiga")</f>
        <v>Maria Sandiga</v>
      </c>
      <c r="R225" s="5" t="str">
        <f>IFERROR(__xludf.DUMMYFUNCTION("""COMPUTED_VALUE"""),"Mar-Jue")</f>
        <v>Mar-Jue</v>
      </c>
      <c r="S225" s="6" t="str">
        <f>IFERROR(__xludf.DUMMYFUNCTION("""COMPUTED_VALUE"""),"7PM - 10PM")</f>
        <v>7PM - 10PM</v>
      </c>
      <c r="T225" s="7" t="str">
        <f>IFERROR(__xludf.DUMMYFUNCTION("""COMPUTED_VALUE"""),"Jueves 12 Febrero")</f>
        <v>Jueves 12 Febrero</v>
      </c>
      <c r="U225" s="7" t="str">
        <f>IFERROR(__xludf.DUMMYFUNCTION("""COMPUTED_VALUE"""),"Martes 3 Marzo")</f>
        <v>Martes 3 Marzo</v>
      </c>
      <c r="V225" s="8">
        <f>IFERROR(__xludf.DUMMYFUNCTION("""COMPUTED_VALUE"""),6.0)</f>
        <v>6</v>
      </c>
      <c r="W225" s="5" t="str">
        <f>IFERROR(__xludf.DUMMYFUNCTION("""COMPUTED_VALUE"""),"pdfs/BROCHURE SAP HANA EWM LOGISTICA Y ALMACENES.pdf")</f>
        <v>pdfs/BROCHURE SAP HANA EWM LOGISTICA Y ALMACENES.pdf</v>
      </c>
      <c r="X225" s="5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225" s="5" t="str">
        <f>IFERROR(__xludf.DUMMYFUNCTION("""COMPUTED_VALUE"""),"images/sapewm.jpg")</f>
        <v>images/sapewm.jpg</v>
      </c>
      <c r="Z225" s="5" t="str">
        <f>IFERROR(__xludf.DUMMYFUNCTION("""COMPUTED_VALUE"""),"Avalado por SAP Partner Open")</f>
        <v>Avalado por SAP Partner Open</v>
      </c>
      <c r="AA225" s="5" t="str">
        <f>IFERROR(__xludf.DUMMYFUNCTION("""COMPUTED_VALUE"""),"NO")</f>
        <v>NO</v>
      </c>
      <c r="AB225" s="6">
        <f>IFERROR(__xludf.DUMMYFUNCTION("""COMPUTED_VALUE"""),900.0)</f>
        <v>900</v>
      </c>
      <c r="AC225" s="6">
        <f>IFERROR(__xludf.DUMMYFUNCTION("""COMPUTED_VALUE"""),750.0)</f>
        <v>750</v>
      </c>
      <c r="AD225" s="6">
        <f>IFERROR(__xludf.DUMMYFUNCTION("""COMPUTED_VALUE"""),450.0)</f>
        <v>450</v>
      </c>
      <c r="AE225" s="6">
        <f>IFERROR(__xludf.DUMMYFUNCTION("""COMPUTED_VALUE"""),375.0)</f>
        <v>375</v>
      </c>
      <c r="AF225" s="6">
        <f>IFERROR(__xludf.DUMMYFUNCTION("""COMPUTED_VALUE"""),150.0)</f>
        <v>150</v>
      </c>
      <c r="AG225" s="5">
        <f>IFERROR(__xludf.DUMMYFUNCTION("""COMPUTED_VALUE"""),150.0)</f>
        <v>150</v>
      </c>
      <c r="AH225" s="5"/>
      <c r="AI225" s="5">
        <f>IFERROR(__xludf.DUMMYFUNCTION("""COMPUTED_VALUE"""),337.5)</f>
        <v>337.5</v>
      </c>
      <c r="AJ225" s="5">
        <f>IFERROR(__xludf.DUMMYFUNCTION("""COMPUTED_VALUE"""),405.0)</f>
        <v>405</v>
      </c>
      <c r="AK225" s="5" t="str">
        <f>IFERROR(__xludf.DUMMYFUNCTION("""COMPUTED_VALUE"""),"La logística moderna se gestiona con SAP HANA EWM 🚛
Aprenderás a optimizar almacenes, distribución e inventarios en entornos reales 🌐.
Aquí te comparto la info 👇🏻")</f>
        <v>La logística moderna se gestiona con SAP HANA EWM 🚛
Aprenderás a optimizar almacenes, distribución e inventarios en entornos reales 🌐.
Aquí te comparto la info 👇🏻</v>
      </c>
      <c r="AL225" s="5" t="str">
        <f>IFERROR(__xludf.DUMMYFUNCTION("""COMPUTED_VALUE"""),"📦 Excelente, actualízate con SAP HANA EWM y domina la gestión de almacenes.")</f>
        <v>📦 Excelente, actualízate con SAP HANA EWM y domina la gestión de almacenes.</v>
      </c>
      <c r="AM225" s="5" t="str">
        <f>IFERROR(__xludf.DUMMYFUNCTION("""COMPUTED_VALUE"""),"💼 Buenísimo, SAP EWM es muy valorado en empresas de logística y distribución.")</f>
        <v>💼 Buenísimo, SAP EWM es muy valorado en empresas de logística y distribución.</v>
      </c>
      <c r="AN225" s="5" t="str">
        <f>IFERROR(__xludf.DUMMYFUNCTION("""COMPUTED_VALUE"""),"🎓 ¡Genial! Con SAP EWM aprenderás gestión avanzada desde la universidad.")</f>
        <v>🎓 ¡Genial! Con SAP EWM aprenderás gestión avanzada desde la universidad.</v>
      </c>
      <c r="AO225" s="5" t="str">
        <f>IFERROR(__xludf.DUMMYFUNCTION("""COMPUTED_VALUE"""),"🚀 ¡Perfecto! Conocer SAP EWM te dará ventaja en prácticas de logística.")</f>
        <v>🚀 ¡Perfecto! Conocer SAP EWM te dará ventaja en prácticas de logística.</v>
      </c>
      <c r="AP225" s="5" t="str">
        <f>IFERROR(__xludf.DUMMYFUNCTION("""COMPUTED_VALUE"""),"📊 ¡Excelente! Con SAP EWM optimizarás la gestión de tu cadena de suministro.")</f>
        <v>📊 ¡Excelente! Con SAP EWM optimizarás la gestión de tu cadena de suministro.</v>
      </c>
      <c r="AQ225" s="9" t="str">
        <f>IFERROR(__xludf.DUMMYFUNCTION("""COMPUTED_VALUE"""),"https://we-educacion.com/slides/sap-s-4-hana-ewm-361")</f>
        <v>https://we-educacion.com/slides/sap-s-4-hana-ewm-361</v>
      </c>
      <c r="AR225" s="5">
        <v>1.0</v>
      </c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</row>
    <row r="226" ht="15.75" customHeight="1">
      <c r="A226" s="5" t="s">
        <v>268</v>
      </c>
      <c r="B226" s="5" t="str">
        <f t="shared" si="1"/>
        <v>FEB. I - ED26</v>
      </c>
      <c r="C226" s="6" t="str">
        <f>IFERROR(__xludf.DUMMYFUNCTION("""COMPUTED_VALUE"""),"LOGÍSTICA")</f>
        <v>LOGÍSTICA</v>
      </c>
      <c r="D226" s="5" t="str">
        <f>IFERROR(__xludf.DUMMYFUNCTION("""COMPUTED_VALUE"""),"DIPLOMADO")</f>
        <v>DIPLOMADO</v>
      </c>
      <c r="E226" s="6" t="str">
        <f>IFERROR(__xludf.DUMMYFUNCTION("""COMPUTED_VALUE"""),"DIP SUPPLY V3")</f>
        <v>DIP SUPPLY V3</v>
      </c>
      <c r="F226" s="7">
        <f>IFERROR(__xludf.DUMMYFUNCTION("""COMPUTED_VALUE"""),46065.0)</f>
        <v>46065</v>
      </c>
      <c r="G226" s="6" t="str">
        <f>IFERROR(__xludf.DUMMYFUNCTION("""COMPUTED_VALUE"""),"PLAN. Y PRONOSTICO V2")</f>
        <v>PLAN. Y PRONOSTICO V2</v>
      </c>
      <c r="H226" s="7">
        <f>IFERROR(__xludf.DUMMYFUNCTION("""COMPUTED_VALUE"""),46065.0)</f>
        <v>46065</v>
      </c>
      <c r="I226" s="6" t="str">
        <f>IFERROR(__xludf.DUMMYFUNCTION("""COMPUTED_VALUE"""),"GEST. COMP. Y PROV.")</f>
        <v>GEST. COMP. Y PROV.</v>
      </c>
      <c r="J226" s="7">
        <f>IFERROR(__xludf.DUMMYFUNCTION("""COMPUTED_VALUE"""),46086.0)</f>
        <v>46086</v>
      </c>
      <c r="K226" s="6" t="str">
        <f>IFERROR(__xludf.DUMMYFUNCTION("""COMPUTED_VALUE"""),"GER. CENTRO DISTRIB.")</f>
        <v>GER. CENTRO DISTRIB.</v>
      </c>
      <c r="L226" s="7">
        <f>IFERROR(__xludf.DUMMYFUNCTION("""COMPUTED_VALUE"""),46107.0)</f>
        <v>46107</v>
      </c>
      <c r="M226" s="6" t="str">
        <f>IFERROR(__xludf.DUMMYFUNCTION("""COMPUTED_VALUE"""),"GEST TRANSPORTES")</f>
        <v>GEST TRANSPORTES</v>
      </c>
      <c r="N226" s="7">
        <f>IFERROR(__xludf.DUMMYFUNCTION("""COMPUTED_VALUE"""),46135.0)</f>
        <v>46135</v>
      </c>
      <c r="O226" s="6" t="str">
        <f>IFERROR(__xludf.DUMMYFUNCTION("""COMPUTED_VALUE"""),"LEAN LOGISTICS")</f>
        <v>LEAN LOGISTICS</v>
      </c>
      <c r="P226" s="7">
        <f>IFERROR(__xludf.DUMMYFUNCTION("""COMPUTED_VALUE"""),46156.0)</f>
        <v>46156</v>
      </c>
      <c r="Q226" s="6" t="str">
        <f>IFERROR(__xludf.DUMMYFUNCTION("""COMPUTED_VALUE"""),"Sylvia Rodas
Katherine Huaroto
Hugo Vasquez
Francisco Ñaupa
Hernán Vizcardo")</f>
        <v>Sylvia Rodas
Katherine Huaroto
Hugo Vasquez
Francisco Ñaupa
Hernán Vizcardo</v>
      </c>
      <c r="R226" s="5" t="str">
        <f>IFERROR(__xludf.DUMMYFUNCTION("""COMPUTED_VALUE"""),"Mar-Jue")</f>
        <v>Mar-Jue</v>
      </c>
      <c r="S226" s="6" t="str">
        <f>IFERROR(__xludf.DUMMYFUNCTION("""COMPUTED_VALUE"""),"7PM - 10PM")</f>
        <v>7PM - 10PM</v>
      </c>
      <c r="T226" s="7" t="str">
        <f>IFERROR(__xludf.DUMMYFUNCTION("""COMPUTED_VALUE"""),"Jueves 12 Febrero")</f>
        <v>Jueves 12 Febrero</v>
      </c>
      <c r="U226" s="7" t="str">
        <f>IFERROR(__xludf.DUMMYFUNCTION("""COMPUTED_VALUE"""),"Martes 2 Junio")</f>
        <v>Martes 2 Junio</v>
      </c>
      <c r="V226" s="8">
        <f>IFERROR(__xludf.DUMMYFUNCTION("""COMPUTED_VALUE"""),28.0)</f>
        <v>28</v>
      </c>
      <c r="W226" s="5" t="str">
        <f>IFERROR(__xludf.DUMMYFUNCTION("""COMPUTED_VALUE"""),"pdfs/BROCHURE DIPLOMADO SUPPLY CHAIN MANAGEMENT.pdf")</f>
        <v>pdfs/BROCHURE DIPLOMADO SUPPLY CHAIN MANAGEMENT.pdf</v>
      </c>
      <c r="X226" s="5" t="str">
        <f>IFERROR(__xludf.DUMMYFUNCTION("""COMPUTED_VALUE"""),"🔵 *Utilizarán Excel* 👩🏻‍💻
👉🏼 Brindaremos formatos y plantillas
🚨 *Por favor, revisa el BROCHURE* 👇🏻
Aqui encontrarás la información completa del programa, el TEMARIO (malla curricular) y todos los BENEFICIOS 📚")</f>
        <v>🔵 *Utilizarán Excel* 👩🏻‍💻
👉🏼 Brindaremos formatos y plantillas
🚨 *Por favor, revisa el BROCHURE* 👇🏻
Aqui encontrarás la información completa del programa, el TEMARIO (malla curricular) y todos los BENEFICIOS 📚</v>
      </c>
      <c r="Y226" s="5" t="str">
        <f>IFERROR(__xludf.DUMMYFUNCTION("""COMPUTED_VALUE"""),"images/dipsupply.jpg")</f>
        <v>images/dipsupply.jpg</v>
      </c>
      <c r="Z226" s="5"/>
      <c r="AA226" s="5"/>
      <c r="AB226" s="6">
        <f>IFERROR(__xludf.DUMMYFUNCTION("""COMPUTED_VALUE"""),4060.0)</f>
        <v>4060</v>
      </c>
      <c r="AC226" s="6">
        <f>IFERROR(__xludf.DUMMYFUNCTION("""COMPUTED_VALUE"""),3710.0)</f>
        <v>3710</v>
      </c>
      <c r="AD226" s="6">
        <f>IFERROR(__xludf.DUMMYFUNCTION("""COMPUTED_VALUE"""),2030.0)</f>
        <v>2030</v>
      </c>
      <c r="AE226" s="6">
        <f>IFERROR(__xludf.DUMMYFUNCTION("""COMPUTED_VALUE"""),1855.0)</f>
        <v>1855</v>
      </c>
      <c r="AF226" s="6">
        <f>IFERROR(__xludf.DUMMYFUNCTION("""COMPUTED_VALUE"""),250.0)</f>
        <v>250</v>
      </c>
      <c r="AG226" s="5">
        <f>IFERROR(__xludf.DUMMYFUNCTION("""COMPUTED_VALUE"""),350.0)</f>
        <v>350</v>
      </c>
      <c r="AH226" s="5"/>
      <c r="AI226" s="5">
        <f>IFERROR(__xludf.DUMMYFUNCTION("""COMPUTED_VALUE"""),1669.5)</f>
        <v>1669.5</v>
      </c>
      <c r="AJ226" s="5">
        <f>IFERROR(__xludf.DUMMYFUNCTION("""COMPUTED_VALUE"""),1827.0)</f>
        <v>1827</v>
      </c>
      <c r="AK226" s="5" t="str">
        <f>IFERROR(__xludf.DUMMYFUNCTION("""COMPUTED_VALUE"""),"📦 *El éxito de las empresas depende de cadenas de suministro eficientes* 🌎🚀
En este diplomado aprenderás a gestionar la logística, compras y distribución con un enfoque estratégico y práctico, aplicando herramientas modernas para optimizar procesos de "&amp;"principio a fin ⚙️📊
Ahora te adjunto la información a detalle 👇🏻")</f>
        <v>📦 *El éxito de las empresas depende de cadenas de suministro eficientes* 🌎🚀
En este diplomado aprenderás a gestionar la logística, compras y distribución con un enfoque estratégico y práctico, aplicando herramientas modernas para optimizar procesos de principio a fin ⚙️📊
Ahora te adjunto la información a detalle 👇🏻</v>
      </c>
      <c r="AL226" s="5" t="str">
        <f>IFERROR(__xludf.DUMMYFUNCTION("""COMPUTED_VALUE"""),"*Excelente*, actualiza tus conocimientos y domina la gestión de la cadena de suministro con un enfoque moderno 🚀.")</f>
        <v>*Excelente*, actualiza tus conocimientos y domina la gestión de la cadena de suministro con un enfoque moderno 🚀.</v>
      </c>
      <c r="AM226" s="5" t="str">
        <f>IFERROR(__xludf.DUMMYFUNCTION("""COMPUTED_VALUE"""),"Buenísimo, Supply Chain es altamente demandado y te dará un plus en tu CV para más oportunidades laborales 🧳.")</f>
        <v>Buenísimo, Supply Chain es altamente demandado y te dará un plus en tu CV para más oportunidades laborales 🧳.</v>
      </c>
      <c r="AN226" s="5" t="str">
        <f>IFERROR(__xludf.DUMMYFUNCTION("""COMPUTED_VALUE"""),"¡Excelente!. podrás complementar lo que ves en la universidad con herramientas prácticas de Supply Chain, y así destacar tu Perfil Profesional 🚀.")</f>
        <v>¡Excelente!. podrás complementar lo que ves en la universidad con herramientas prácticas de Supply Chain, y así destacar tu Perfil Profesional 🚀.</v>
      </c>
      <c r="AO226" s="5" t="str">
        <f>IFERROR(__xludf.DUMMYFUNCTION("""COMPUTED_VALUE"""),"¡Perfecto!, el conocimiento en Supply Chain es muy valorado y te ayudará a destacar al postular a prácticas 🧳.")</f>
        <v>¡Perfecto!, el conocimiento en Supply Chain es muy valorado y te ayudará a destacar al postular a prácticas 🧳.</v>
      </c>
      <c r="AP226" s="5" t="str">
        <f>IFERROR(__xludf.DUMMYFUNCTION("""COMPUTED_VALUE"""),"¡Excelente!, con Supply Chain optimizarás logística, compras y distribución, llevando tu negocio al siguiente nivel 🚀.")</f>
        <v>¡Excelente!, con Supply Chain optimizarás logística, compras y distribución, llevando tu negocio al siguiente nivel 🚀.</v>
      </c>
      <c r="AQ226" s="9" t="str">
        <f>IFERROR(__xludf.DUMMYFUNCTION("""COMPUTED_VALUE"""),"https://we-educacion.com/slides/diplomado-en-supply-chain-management-49")</f>
        <v>https://we-educacion.com/slides/diplomado-en-supply-chain-management-49</v>
      </c>
      <c r="AR226" s="5">
        <v>1.0</v>
      </c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</row>
    <row r="227" ht="15.75" customHeight="1">
      <c r="A227" s="5" t="s">
        <v>269</v>
      </c>
      <c r="B227" s="5" t="str">
        <f t="shared" si="1"/>
        <v>FEB. I - ED26</v>
      </c>
      <c r="C227" s="6" t="str">
        <f>IFERROR(__xludf.DUMMYFUNCTION("""COMPUTED_VALUE"""),"MINERA")</f>
        <v>MINERA</v>
      </c>
      <c r="D227" s="6" t="str">
        <f>IFERROR(__xludf.DUMMYFUNCTION("""COMPUTED_VALUE"""),"CURSO")</f>
        <v>CURSO</v>
      </c>
      <c r="E227" s="6" t="str">
        <f>IFERROR(__xludf.DUMMYFUNCTION("""COMPUTED_VALUE"""),"RESPONSABILIDAD SOCIAL MINERA")</f>
        <v>RESPONSABILIDAD SOCIAL MINERA</v>
      </c>
      <c r="F227" s="7">
        <f>IFERROR(__xludf.DUMMYFUNCTION("""COMPUTED_VALUE"""),46065.0)</f>
        <v>46065</v>
      </c>
      <c r="G227" s="6"/>
      <c r="H227" s="7"/>
      <c r="I227" s="6"/>
      <c r="J227" s="7"/>
      <c r="K227" s="6"/>
      <c r="L227" s="7"/>
      <c r="M227" s="6"/>
      <c r="N227" s="7"/>
      <c r="O227" s="6"/>
      <c r="P227" s="7"/>
      <c r="Q227" s="6"/>
      <c r="R227" s="5" t="str">
        <f>IFERROR(__xludf.DUMMYFUNCTION("""COMPUTED_VALUE"""),"Mar-Jue")</f>
        <v>Mar-Jue</v>
      </c>
      <c r="S227" s="6" t="str">
        <f>IFERROR(__xludf.DUMMYFUNCTION("""COMPUTED_VALUE"""),"7PM - 10PM")</f>
        <v>7PM - 10PM</v>
      </c>
      <c r="T227" s="7" t="str">
        <f>IFERROR(__xludf.DUMMYFUNCTION("""COMPUTED_VALUE"""),"Jueves 12 Febrero")</f>
        <v>Jueves 12 Febrero</v>
      </c>
      <c r="U227" s="7" t="str">
        <f>IFERROR(__xludf.DUMMYFUNCTION("""COMPUTED_VALUE"""),"Martes 31 Marzo")</f>
        <v>Martes 31 Marzo</v>
      </c>
      <c r="V227" s="8">
        <f>IFERROR(__xludf.DUMMYFUNCTION("""COMPUTED_VALUE"""),6.0)</f>
        <v>6</v>
      </c>
      <c r="W227" s="5"/>
      <c r="X227" s="5"/>
      <c r="Y227" s="5"/>
      <c r="Z227" s="5"/>
      <c r="AA227" s="5"/>
      <c r="AB227" s="6"/>
      <c r="AC227" s="6"/>
      <c r="AD227" s="6"/>
      <c r="AE227" s="6"/>
      <c r="AF227" s="6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 t="str">
        <f>IFERROR(__xludf.DUMMYFUNCTION("""COMPUTED_VALUE"""),"#N/A")</f>
        <v>#N/A</v>
      </c>
      <c r="AR227" s="5">
        <v>1.0</v>
      </c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</row>
    <row r="228" ht="15.75" customHeight="1">
      <c r="A228" s="5" t="s">
        <v>270</v>
      </c>
      <c r="B228" s="5" t="str">
        <f t="shared" si="1"/>
        <v>FEB. I - ED26</v>
      </c>
      <c r="C228" s="6" t="str">
        <f>IFERROR(__xludf.DUMMYFUNCTION("""COMPUTED_VALUE"""),"LOGÍSTICA")</f>
        <v>LOGÍSTICA</v>
      </c>
      <c r="D228" s="5" t="str">
        <f>IFERROR(__xludf.DUMMYFUNCTION("""COMPUTED_VALUE"""),"CURSO")</f>
        <v>CURSO</v>
      </c>
      <c r="E228" s="6" t="str">
        <f>IFERROR(__xludf.DUMMYFUNCTION("""COMPUTED_VALUE"""),"PLAN. Y PRONOSTICO V2")</f>
        <v>PLAN. Y PRONOSTICO V2</v>
      </c>
      <c r="F228" s="7">
        <f>IFERROR(__xludf.DUMMYFUNCTION("""COMPUTED_VALUE"""),46065.0)</f>
        <v>46065</v>
      </c>
      <c r="G228" s="6"/>
      <c r="H228" s="7"/>
      <c r="I228" s="6"/>
      <c r="J228" s="7"/>
      <c r="K228" s="6"/>
      <c r="L228" s="7"/>
      <c r="M228" s="6"/>
      <c r="N228" s="7"/>
      <c r="O228" s="6"/>
      <c r="P228" s="7"/>
      <c r="Q228" s="6" t="str">
        <f>IFERROR(__xludf.DUMMYFUNCTION("""COMPUTED_VALUE"""),"Sylvia Rodas")</f>
        <v>Sylvia Rodas</v>
      </c>
      <c r="R228" s="5" t="str">
        <f>IFERROR(__xludf.DUMMYFUNCTION("""COMPUTED_VALUE"""),"Mar-Jue")</f>
        <v>Mar-Jue</v>
      </c>
      <c r="S228" s="6" t="str">
        <f>IFERROR(__xludf.DUMMYFUNCTION("""COMPUTED_VALUE"""),"7PM - 10PM")</f>
        <v>7PM - 10PM</v>
      </c>
      <c r="T228" s="7" t="str">
        <f>IFERROR(__xludf.DUMMYFUNCTION("""COMPUTED_VALUE"""),"Jueves 12 Febrero")</f>
        <v>Jueves 12 Febrero</v>
      </c>
      <c r="U228" s="7" t="str">
        <f>IFERROR(__xludf.DUMMYFUNCTION("""COMPUTED_VALUE"""),"Martes 3 Marzo")</f>
        <v>Martes 3 Marzo</v>
      </c>
      <c r="V228" s="8">
        <f>IFERROR(__xludf.DUMMYFUNCTION("""COMPUTED_VALUE"""),6.0)</f>
        <v>6</v>
      </c>
      <c r="W228" s="5" t="str">
        <f>IFERROR(__xludf.DUMMYFUNCTION("""COMPUTED_VALUE"""),"pdfs/BROCHURE PLANEAMIENTO Y PRONÓSTICO DE LA DEMANDA.pdf")</f>
        <v>pdfs/BROCHURE PLANEAMIENTO Y PRONÓSTICO DE LA DEMANDA.pdf</v>
      </c>
      <c r="X228" s="5" t="str">
        <f>IFERROR(__xludf.DUMMYFUNCTION("""COMPUTED_VALUE"""),"🔵 *Utilizarán Excel* 👩🏻‍💻
👉🏼 *¡Te regalamos el Curso Excel Intermedio!*
🚨 *Por favor, revisa el BROCHURE* 👇🏻
Aqui encontrarás la información completa del programa, el TEMARIO (malla curricular) y todos los BENEFICIOS 📚")</f>
        <v>🔵 *Utilizarán Excel* 👩🏻‍💻
👉🏼 *¡Te regalamos el Curso Excel Intermedio!*
🚨 *Por favor, revisa el BROCHURE* 👇🏻
Aqui encontrarás la información completa del programa, el TEMARIO (malla curricular) y todos los BENEFICIOS 📚</v>
      </c>
      <c r="Y228" s="5" t="str">
        <f>IFERROR(__xludf.DUMMYFUNCTION("""COMPUTED_VALUE"""),"images/planypronost.jpg")</f>
        <v>images/planypronost.jpg</v>
      </c>
      <c r="Z228" s="5"/>
      <c r="AA228" s="5"/>
      <c r="AB228" s="6">
        <f>IFERROR(__xludf.DUMMYFUNCTION("""COMPUTED_VALUE"""),830.0)</f>
        <v>830</v>
      </c>
      <c r="AC228" s="6">
        <f>IFERROR(__xludf.DUMMYFUNCTION("""COMPUTED_VALUE"""),770.0)</f>
        <v>770</v>
      </c>
      <c r="AD228" s="6">
        <f>IFERROR(__xludf.DUMMYFUNCTION("""COMPUTED_VALUE"""),415.0)</f>
        <v>415</v>
      </c>
      <c r="AE228" s="6">
        <f>IFERROR(__xludf.DUMMYFUNCTION("""COMPUTED_VALUE"""),385.0)</f>
        <v>385</v>
      </c>
      <c r="AF228" s="6">
        <f>IFERROR(__xludf.DUMMYFUNCTION("""COMPUTED_VALUE"""),150.0)</f>
        <v>150</v>
      </c>
      <c r="AG228" s="5">
        <f>IFERROR(__xludf.DUMMYFUNCTION("""COMPUTED_VALUE"""),150.0)</f>
        <v>150</v>
      </c>
      <c r="AH228" s="5"/>
      <c r="AI228" s="5">
        <f>IFERROR(__xludf.DUMMYFUNCTION("""COMPUTED_VALUE"""),346.5)</f>
        <v>346.5</v>
      </c>
      <c r="AJ228" s="5">
        <f>IFERROR(__xludf.DUMMYFUNCTION("""COMPUTED_VALUE"""),373.5)</f>
        <v>373.5</v>
      </c>
      <c r="AK228" s="5" t="str">
        <f>IFERROR(__xludf.DUMMYFUNCTION("""COMPUTED_VALUE"""),"Los líderes de hoy no solo ejecutan, anticipan 💡
Con Planeamiento y Pronóstico desarrollarás habilidades para proyectar escenarios reales y tomar decisiones con visión estratégica.
Revisa la información completa aquí 👇🏻")</f>
        <v>Los líderes de hoy no solo ejecutan, anticipan 💡
Con Planeamiento y Pronóstico desarrollarás habilidades para proyectar escenarios reales y tomar decisiones con visión estratégica.
Revisa la información completa aquí 👇🏻</v>
      </c>
      <c r="AL228" s="5" t="str">
        <f>IFERROR(__xludf.DUMMYFUNCTION("""COMPUTED_VALUE"""),"Excelente 🙌, actualizarte en Planeamiento y Pronóstico te ayudará a proyectar escenarios reales 🔮 y mantenerte competitivo.")</f>
        <v>Excelente 🙌, actualizarte en Planeamiento y Pronóstico te ayudará a proyectar escenarios reales 🔮 y mantenerte competitivo.</v>
      </c>
      <c r="AM228" s="5" t="str">
        <f>IFERROR(__xludf.DUMMYFUNCTION("""COMPUTED_VALUE"""),"Buenísimo 💼, esta herramienta es clave en empresas que buscan profesionales capaces de anticipar y planear estratégicamente 🧭.")</f>
        <v>Buenísimo 💼, esta herramienta es clave en empresas que buscan profesionales capaces de anticipar y planear estratégicamente 🧭.</v>
      </c>
      <c r="AN228" s="5" t="str">
        <f>IFERROR(__xludf.DUMMYFUNCTION("""COMPUTED_VALUE"""),"¡Excelente! 🎓 Aprender Planeamiento y Pronóstico te dará visión estratégica 👀 que te diferenciará.")</f>
        <v>¡Excelente! 🎓 Aprender Planeamiento y Pronóstico te dará visión estratégica 👀 que te diferenciará.</v>
      </c>
      <c r="AO228" s="5" t="str">
        <f>IFERROR(__xludf.DUMMYFUNCTION("""COMPUTED_VALUE"""),"¡Perfecto! 🔑 Tener conocimientos en Planeamiento y Pronóstico te dará ventaja en prácticas en planeamiento o finanzas 💹.")</f>
        <v>¡Perfecto! 🔑 Tener conocimientos en Planeamiento y Pronóstico te dará ventaja en prácticas en planeamiento o finanzas 💹.</v>
      </c>
      <c r="AP228" s="5" t="str">
        <f>IFERROR(__xludf.DUMMYFUNCTION("""COMPUTED_VALUE"""),"¡Excelente! 💡 Con Planeamiento y Pronóstico podrás anticipar resultados 📈 y tomar mejores decisiones en tu negocio.")</f>
        <v>¡Excelente! 💡 Con Planeamiento y Pronóstico podrás anticipar resultados 📈 y tomar mejores decisiones en tu negocio.</v>
      </c>
      <c r="AQ228" s="9" t="str">
        <f>IFERROR(__xludf.DUMMYFUNCTION("""COMPUTED_VALUE"""),"https://we-educacion.com/slides/planeamiento-pronostico-de-la-demanda-78")</f>
        <v>https://we-educacion.com/slides/planeamiento-pronostico-de-la-demanda-78</v>
      </c>
      <c r="AR228" s="5">
        <v>1.0</v>
      </c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</row>
    <row r="229" ht="15.75" customHeight="1">
      <c r="A229" s="5" t="s">
        <v>271</v>
      </c>
      <c r="B229" s="5" t="str">
        <f t="shared" si="1"/>
        <v>FEB. I - ED26</v>
      </c>
      <c r="C229" s="6" t="str">
        <f>IFERROR(__xludf.DUMMYFUNCTION("""COMPUTED_VALUE"""),"PROCESOS")</f>
        <v>PROCESOS</v>
      </c>
      <c r="D229" s="5" t="str">
        <f>IFERROR(__xludf.DUMMYFUNCTION("""COMPUTED_VALUE"""),"ESP.")</f>
        <v>ESP.</v>
      </c>
      <c r="E229" s="6" t="str">
        <f>IFERROR(__xludf.DUMMYFUNCTION("""COMPUTED_VALUE"""),"ESP. POWER APPS Y AUT.")</f>
        <v>ESP. POWER APPS Y AUT.</v>
      </c>
      <c r="F229" s="7">
        <f>IFERROR(__xludf.DUMMYFUNCTION("""COMPUTED_VALUE"""),46065.0)</f>
        <v>46065</v>
      </c>
      <c r="G229" s="6" t="str">
        <f>IFERROR(__xludf.DUMMYFUNCTION("""COMPUTED_VALUE"""),"POWER APPS Y AUT.")</f>
        <v>POWER APPS Y AUT.</v>
      </c>
      <c r="H229" s="7">
        <f>IFERROR(__xludf.DUMMYFUNCTION("""COMPUTED_VALUE"""),46065.0)</f>
        <v>46065</v>
      </c>
      <c r="I229" s="6" t="str">
        <f>IFERROR(__xludf.DUMMYFUNCTION("""COMPUTED_VALUE"""),"POWER APPS AVANZ")</f>
        <v>POWER APPS AVANZ</v>
      </c>
      <c r="J229" s="7">
        <f>IFERROR(__xludf.DUMMYFUNCTION("""COMPUTED_VALUE"""),46086.0)</f>
        <v>46086</v>
      </c>
      <c r="K229" s="6"/>
      <c r="L229" s="7"/>
      <c r="M229" s="6"/>
      <c r="N229" s="7"/>
      <c r="O229" s="6"/>
      <c r="P229" s="7"/>
      <c r="Q229" s="6" t="str">
        <f>IFERROR(__xludf.DUMMYFUNCTION("""COMPUTED_VALUE"""),"Bjnik Cruz
Jesús Gaspar")</f>
        <v>Bjnik Cruz
Jesús Gaspar</v>
      </c>
      <c r="R229" s="5" t="str">
        <f>IFERROR(__xludf.DUMMYFUNCTION("""COMPUTED_VALUE"""),"Mar-Jue")</f>
        <v>Mar-Jue</v>
      </c>
      <c r="S229" s="6" t="str">
        <f>IFERROR(__xludf.DUMMYFUNCTION("""COMPUTED_VALUE"""),"7PM - 10PM")</f>
        <v>7PM - 10PM</v>
      </c>
      <c r="T229" s="7" t="str">
        <f>IFERROR(__xludf.DUMMYFUNCTION("""COMPUTED_VALUE"""),"Jueves 12 Febrero")</f>
        <v>Jueves 12 Febrero</v>
      </c>
      <c r="U229" s="7" t="str">
        <f>IFERROR(__xludf.DUMMYFUNCTION("""COMPUTED_VALUE"""),"Martes 24 Marzo")</f>
        <v>Martes 24 Marzo</v>
      </c>
      <c r="V229" s="8">
        <f>IFERROR(__xludf.DUMMYFUNCTION("""COMPUTED_VALUE"""),12.0)</f>
        <v>12</v>
      </c>
      <c r="W229" s="5" t="str">
        <f>IFERROR(__xludf.DUMMYFUNCTION("""COMPUTED_VALUE"""),"pdfs/BROCHURE ESPECIALIZACION DE POWER APSS Y POWER AUTOMATE")</f>
        <v>pdfs/BROCHURE ESPECIALIZACION DE POWER APSS Y POWER AUTOMATE</v>
      </c>
      <c r="X229" s="5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229" s="5" t="str">
        <f>IFERROR(__xludf.DUMMYFUNCTION("""COMPUTED_VALUE"""),"images/esppowerapp.jpg")</f>
        <v>images/esppowerapp.jpg</v>
      </c>
      <c r="Z229" s="5" t="str">
        <f>IFERROR(__xludf.DUMMYFUNCTION("""COMPUTED_VALUE"""),"Avalado por Microsoft Partner Network")</f>
        <v>Avalado por Microsoft Partner Network</v>
      </c>
      <c r="AA229" s="5" t="str">
        <f>IFERROR(__xludf.DUMMYFUNCTION("""COMPUTED_VALUE"""),"NO")</f>
        <v>NO</v>
      </c>
      <c r="AB229" s="6">
        <f>IFERROR(__xludf.DUMMYFUNCTION("""COMPUTED_VALUE"""),1300.0)</f>
        <v>1300</v>
      </c>
      <c r="AC229" s="6">
        <f>IFERROR(__xludf.DUMMYFUNCTION("""COMPUTED_VALUE"""),1140.0)</f>
        <v>1140</v>
      </c>
      <c r="AD229" s="6">
        <f>IFERROR(__xludf.DUMMYFUNCTION("""COMPUTED_VALUE"""),650.0)</f>
        <v>650</v>
      </c>
      <c r="AE229" s="6">
        <f>IFERROR(__xludf.DUMMYFUNCTION("""COMPUTED_VALUE"""),570.0)</f>
        <v>570</v>
      </c>
      <c r="AF229" s="6">
        <f>IFERROR(__xludf.DUMMYFUNCTION("""COMPUTED_VALUE"""),250.0)</f>
        <v>250</v>
      </c>
      <c r="AG229" s="5">
        <f>IFERROR(__xludf.DUMMYFUNCTION("""COMPUTED_VALUE"""),350.0)</f>
        <v>350</v>
      </c>
      <c r="AH229" s="5"/>
      <c r="AI229" s="5">
        <f>IFERROR(__xludf.DUMMYFUNCTION("""COMPUTED_VALUE"""),513.0)</f>
        <v>513</v>
      </c>
      <c r="AJ229" s="5">
        <f>IFERROR(__xludf.DUMMYFUNCTION("""COMPUTED_VALUE"""),585.0)</f>
        <v>585</v>
      </c>
      <c r="AK229" s="5" t="str">
        <f>IFERROR(__xludf.DUMMYFUNCTION("""COMPUTED_VALUE"""),"La transformación digital está en tus manos 📲
Domina Power Apps y Power Automate para crear soluciones ágiles sin necesidad de programar 🤖
👉🏻 Te paso la información.")</f>
        <v>La transformación digital está en tus manos 📲
Domina Power Apps y Power Automate para crear soluciones ágiles sin necesidad de programar 🤖
👉🏻 Te paso la información.</v>
      </c>
      <c r="AL229" s="5" t="str">
        <f>IFERROR(__xludf.DUMMYFUNCTION("""COMPUTED_VALUE"""),"⚡ Excelente, actualízate en Power Apps y Automatización y crea soluciones innovadoras.")</f>
        <v>⚡ Excelente, actualízate en Power Apps y Automatización y crea soluciones innovadoras.</v>
      </c>
      <c r="AM229" s="5" t="str">
        <f>IFERROR(__xludf.DUMMYFUNCTION("""COMPUTED_VALUE"""),"🚀 Buenísimo, empresas buscan expertos en digitalización de procesos.")</f>
        <v>🚀 Buenísimo, empresas buscan expertos en digitalización de procesos.</v>
      </c>
      <c r="AN229" s="5" t="str">
        <f>IFERROR(__xludf.DUMMYFUNCTION("""COMPUTED_VALUE"""),"💡 Genial, estas herramientas harán tu perfil altamente competitivo.")</f>
        <v>💡 Genial, estas herramientas harán tu perfil altamente competitivo.</v>
      </c>
      <c r="AO229" s="5" t="str">
        <f>IFERROR(__xludf.DUMMYFUNCTION("""COMPUTED_VALUE"""),"📋 Perfecto, tendrás ventaja inmediata en prácticas de automatización.")</f>
        <v>📋 Perfecto, tendrás ventaja inmediata en prácticas de automatización.</v>
      </c>
      <c r="AP229" s="5" t="str">
        <f>IFERROR(__xludf.DUMMYFUNCTION("""COMPUTED_VALUE"""),"📊 Excelente, podrás crear apps propias y automatizar tu negocio.")</f>
        <v>📊 Excelente, podrás crear apps propias y automatizar tu negocio.</v>
      </c>
      <c r="AQ229" s="9" t="str">
        <f>IFERROR(__xludf.DUMMYFUNCTION("""COMPUTED_VALUE"""),"https://we-educacion.com/slides/especializacion-en-power-apps-automate-1113")</f>
        <v>https://we-educacion.com/slides/especializacion-en-power-apps-automate-1113</v>
      </c>
      <c r="AR229" s="5">
        <v>1.0</v>
      </c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</row>
    <row r="230" ht="15.75" customHeight="1">
      <c r="A230" s="5" t="s">
        <v>272</v>
      </c>
      <c r="B230" s="5" t="str">
        <f t="shared" si="1"/>
        <v>FEB. I - ED26</v>
      </c>
      <c r="C230" s="6" t="str">
        <f>IFERROR(__xludf.DUMMYFUNCTION("""COMPUTED_VALUE"""),"PROCESOS")</f>
        <v>PROCESOS</v>
      </c>
      <c r="D230" s="6" t="str">
        <f>IFERROR(__xludf.DUMMYFUNCTION("""COMPUTED_VALUE"""),"CURSO")</f>
        <v>CURSO</v>
      </c>
      <c r="E230" s="6" t="str">
        <f>IFERROR(__xludf.DUMMYFUNCTION("""COMPUTED_VALUE"""),"POWER APPS Y AUT.")</f>
        <v>POWER APPS Y AUT.</v>
      </c>
      <c r="F230" s="7">
        <f>IFERROR(__xludf.DUMMYFUNCTION("""COMPUTED_VALUE"""),46065.0)</f>
        <v>46065</v>
      </c>
      <c r="G230" s="6"/>
      <c r="H230" s="7"/>
      <c r="I230" s="6"/>
      <c r="J230" s="7"/>
      <c r="K230" s="6"/>
      <c r="L230" s="7"/>
      <c r="M230" s="6"/>
      <c r="N230" s="7"/>
      <c r="O230" s="6"/>
      <c r="P230" s="7"/>
      <c r="Q230" s="6" t="str">
        <f>IFERROR(__xludf.DUMMYFUNCTION("""COMPUTED_VALUE"""),"Bjnik Cruz")</f>
        <v>Bjnik Cruz</v>
      </c>
      <c r="R230" s="5" t="str">
        <f>IFERROR(__xludf.DUMMYFUNCTION("""COMPUTED_VALUE"""),"Mar-Jue")</f>
        <v>Mar-Jue</v>
      </c>
      <c r="S230" s="6" t="str">
        <f>IFERROR(__xludf.DUMMYFUNCTION("""COMPUTED_VALUE"""),"7PM - 10PM")</f>
        <v>7PM - 10PM</v>
      </c>
      <c r="T230" s="7" t="str">
        <f>IFERROR(__xludf.DUMMYFUNCTION("""COMPUTED_VALUE"""),"Jueves 12 Febrero")</f>
        <v>Jueves 12 Febrero</v>
      </c>
      <c r="U230" s="7" t="str">
        <f>IFERROR(__xludf.DUMMYFUNCTION("""COMPUTED_VALUE"""),"Martes 3 Marzo")</f>
        <v>Martes 3 Marzo</v>
      </c>
      <c r="V230" s="8">
        <f>IFERROR(__xludf.DUMMYFUNCTION("""COMPUTED_VALUE"""),6.0)</f>
        <v>6</v>
      </c>
      <c r="W230" s="5" t="str">
        <f>IFERROR(__xludf.DUMMYFUNCTION("""COMPUTED_VALUE"""),"pdfs/BROCHURE POWER APPS &amp; AUTOMATE.pdf")</f>
        <v>pdfs/BROCHURE POWER APPS &amp; AUTOMATE.pdf</v>
      </c>
      <c r="X230" s="5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230" s="5" t="str">
        <f>IFERROR(__xludf.DUMMYFUNCTION("""COMPUTED_VALUE"""),"images/powerapp.jpg")</f>
        <v>images/powerapp.jpg</v>
      </c>
      <c r="Z230" s="5" t="str">
        <f>IFERROR(__xludf.DUMMYFUNCTION("""COMPUTED_VALUE"""),"Avalado por Microsoft Partner Network")</f>
        <v>Avalado por Microsoft Partner Network</v>
      </c>
      <c r="AA230" s="5" t="str">
        <f>IFERROR(__xludf.DUMMYFUNCTION("""COMPUTED_VALUE"""),"NO")</f>
        <v>NO</v>
      </c>
      <c r="AB230" s="6">
        <f>IFERROR(__xludf.DUMMYFUNCTION("""COMPUTED_VALUE"""),650.0)</f>
        <v>650</v>
      </c>
      <c r="AC230" s="6">
        <f>IFERROR(__xludf.DUMMYFUNCTION("""COMPUTED_VALUE"""),570.0)</f>
        <v>570</v>
      </c>
      <c r="AD230" s="6">
        <f>IFERROR(__xludf.DUMMYFUNCTION("""COMPUTED_VALUE"""),325.0)</f>
        <v>325</v>
      </c>
      <c r="AE230" s="6">
        <f>IFERROR(__xludf.DUMMYFUNCTION("""COMPUTED_VALUE"""),285.0)</f>
        <v>285</v>
      </c>
      <c r="AF230" s="6">
        <f>IFERROR(__xludf.DUMMYFUNCTION("""COMPUTED_VALUE"""),150.0)</f>
        <v>150</v>
      </c>
      <c r="AG230" s="5">
        <f>IFERROR(__xludf.DUMMYFUNCTION("""COMPUTED_VALUE"""),150.0)</f>
        <v>150</v>
      </c>
      <c r="AH230" s="5"/>
      <c r="AI230" s="5">
        <f>IFERROR(__xludf.DUMMYFUNCTION("""COMPUTED_VALUE"""),256.5)</f>
        <v>256.5</v>
      </c>
      <c r="AJ230" s="5">
        <f>IFERROR(__xludf.DUMMYFUNCTION("""COMPUTED_VALUE"""),292.5)</f>
        <v>292.5</v>
      </c>
      <c r="AK230" s="5" t="str">
        <f>IFERROR(__xludf.DUMMYFUNCTION("""COMPUTED_VALUE"""),"Los líderes modernos impulsan la eficiencia con automatización inteligente 🤖
Con este programa dominarás Power Apps y Power Automate para transformar procesos empresariales 🚀.
Aquí la info completa 👇🏻")</f>
        <v>Los líderes modernos impulsan la eficiencia con automatización inteligente 🤖
Con este programa dominarás Power Apps y Power Automate para transformar procesos empresariales 🚀.
Aquí la info completa 👇🏻</v>
      </c>
      <c r="AL230" s="5" t="str">
        <f>IFERROR(__xludf.DUMMYFUNCTION("""COMPUTED_VALUE"""),"⚡ Excelente, actualízate con Power Apps y Automatización, la clave para transformar procesos digitales.")</f>
        <v>⚡ Excelente, actualízate con Power Apps y Automatización, la clave para transformar procesos digitales.</v>
      </c>
      <c r="AM230" s="5" t="str">
        <f>IFERROR(__xludf.DUMMYFUNCTION("""COMPUTED_VALUE"""),"💼 Buenísimo, Power Apps y Automatización es muy demandado en empresas que buscan eficiencia.")</f>
        <v>💼 Buenísimo, Power Apps y Automatización es muy demandado en empresas que buscan eficiencia.</v>
      </c>
      <c r="AN230" s="5" t="str">
        <f>IFERROR(__xludf.DUMMYFUNCTION("""COMPUTED_VALUE"""),"🎓 ¡Genial! Aprender automatización desde la universidad te dará una gran ventaja en el futuro.")</f>
        <v>🎓 ¡Genial! Aprender automatización desde la universidad te dará una gran ventaja en el futuro.</v>
      </c>
      <c r="AO230" s="5" t="str">
        <f>IFERROR(__xludf.DUMMYFUNCTION("""COMPUTED_VALUE"""),"🚀 ¡Perfecto! Con Power Apps y Automatización destacarás en prácticas en áreas de innovación.")</f>
        <v>🚀 ¡Perfecto! Con Power Apps y Automatización destacarás en prácticas en áreas de innovación.</v>
      </c>
      <c r="AP230" s="5" t="str">
        <f>IFERROR(__xludf.DUMMYFUNCTION("""COMPUTED_VALUE"""),"📊 ¡Excelente! Podrás crear soluciones automáticas para tu negocio y optimizar tu tiempo.")</f>
        <v>📊 ¡Excelente! Podrás crear soluciones automáticas para tu negocio y optimizar tu tiempo.</v>
      </c>
      <c r="AQ230" s="9" t="str">
        <f>IFERROR(__xludf.DUMMYFUNCTION("""COMPUTED_VALUE"""),"https://we-educacion.com/slides/power-apps-automate-1073")</f>
        <v>https://we-educacion.com/slides/power-apps-automate-1073</v>
      </c>
      <c r="AR230" s="5">
        <v>1.0</v>
      </c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</row>
    <row r="231" ht="15.75" customHeight="1">
      <c r="A231" s="5" t="s">
        <v>273</v>
      </c>
      <c r="B231" s="5" t="str">
        <f t="shared" si="1"/>
        <v>FEB. I - ED26</v>
      </c>
      <c r="C231" s="6" t="str">
        <f>IFERROR(__xludf.DUMMYFUNCTION("""COMPUTED_VALUE"""),"SAP")</f>
        <v>SAP</v>
      </c>
      <c r="D231" s="6" t="str">
        <f>IFERROR(__xludf.DUMMYFUNCTION("""COMPUTED_VALUE"""),"CURSO")</f>
        <v>CURSO</v>
      </c>
      <c r="E231" s="6" t="str">
        <f>IFERROR(__xludf.DUMMYFUNCTION("""COMPUTED_VALUE"""),"SAP HANA IN")</f>
        <v>SAP HANA IN</v>
      </c>
      <c r="F231" s="7">
        <f>IFERROR(__xludf.DUMMYFUNCTION("""COMPUTED_VALUE"""),46065.0)</f>
        <v>46065</v>
      </c>
      <c r="G231" s="6"/>
      <c r="H231" s="7"/>
      <c r="I231" s="6"/>
      <c r="J231" s="7"/>
      <c r="K231" s="6"/>
      <c r="L231" s="7"/>
      <c r="M231" s="6"/>
      <c r="N231" s="7"/>
      <c r="O231" s="6"/>
      <c r="P231" s="7"/>
      <c r="Q231" s="6" t="str">
        <f>IFERROR(__xludf.DUMMYFUNCTION("""COMPUTED_VALUE"""),"Roller Rubio")</f>
        <v>Roller Rubio</v>
      </c>
      <c r="R231" s="5" t="str">
        <f>IFERROR(__xludf.DUMMYFUNCTION("""COMPUTED_VALUE"""),"Mar-Jue")</f>
        <v>Mar-Jue</v>
      </c>
      <c r="S231" s="6" t="str">
        <f>IFERROR(__xludf.DUMMYFUNCTION("""COMPUTED_VALUE"""),"7PM - 10PM")</f>
        <v>7PM - 10PM</v>
      </c>
      <c r="T231" s="7" t="str">
        <f>IFERROR(__xludf.DUMMYFUNCTION("""COMPUTED_VALUE"""),"Jueves 12 Febrero")</f>
        <v>Jueves 12 Febrero</v>
      </c>
      <c r="U231" s="7" t="str">
        <f>IFERROR(__xludf.DUMMYFUNCTION("""COMPUTED_VALUE"""),"Sábado 21 Marzo")</f>
        <v>Sábado 21 Marzo</v>
      </c>
      <c r="V231" s="8">
        <f>IFERROR(__xludf.DUMMYFUNCTION("""COMPUTED_VALUE"""),6.0)</f>
        <v>6</v>
      </c>
      <c r="W231" s="5" t="str">
        <f>IFERROR(__xludf.DUMMYFUNCTION("""COMPUTED_VALUE"""),"pdfs/BROCHURE SAP S4 HANA IN.pdf")</f>
        <v>pdfs/BROCHURE SAP S4 HANA IN.pdf</v>
      </c>
      <c r="X231" s="5" t="str">
        <f>IFERROR(__xludf.DUMMYFUNCTION("""COMPUTED_VALUE"""),"🔵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revisa"&amp;"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231" s="5" t="str">
        <f>IFERROR(__xludf.DUMMYFUNCTION("""COMPUTED_VALUE"""),"images/sapin.jpg")</f>
        <v>images/sapin.jpg</v>
      </c>
      <c r="Z231" s="5" t="str">
        <f>IFERROR(__xludf.DUMMYFUNCTION("""COMPUTED_VALUE"""),"Avalado por SAP Partner Open")</f>
        <v>Avalado por SAP Partner Open</v>
      </c>
      <c r="AA231" s="5" t="str">
        <f>IFERROR(__xludf.DUMMYFUNCTION("""COMPUTED_VALUE"""),"NO")</f>
        <v>NO</v>
      </c>
      <c r="AB231" s="6">
        <f>IFERROR(__xludf.DUMMYFUNCTION("""COMPUTED_VALUE"""),950.0)</f>
        <v>950</v>
      </c>
      <c r="AC231" s="6">
        <f>IFERROR(__xludf.DUMMYFUNCTION("""COMPUTED_VALUE"""),820.0)</f>
        <v>820</v>
      </c>
      <c r="AD231" s="6">
        <f>IFERROR(__xludf.DUMMYFUNCTION("""COMPUTED_VALUE"""),475.0)</f>
        <v>475</v>
      </c>
      <c r="AE231" s="6">
        <f>IFERROR(__xludf.DUMMYFUNCTION("""COMPUTED_VALUE"""),410.0)</f>
        <v>410</v>
      </c>
      <c r="AF231" s="6">
        <f>IFERROR(__xludf.DUMMYFUNCTION("""COMPUTED_VALUE"""),150.0)</f>
        <v>150</v>
      </c>
      <c r="AG231" s="5">
        <f>IFERROR(__xludf.DUMMYFUNCTION("""COMPUTED_VALUE"""),150.0)</f>
        <v>150</v>
      </c>
      <c r="AH231" s="5"/>
      <c r="AI231" s="5">
        <f>IFERROR(__xludf.DUMMYFUNCTION("""COMPUTED_VALUE"""),369.0)</f>
        <v>369</v>
      </c>
      <c r="AJ231" s="5">
        <f>IFERROR(__xludf.DUMMYFUNCTION("""COMPUTED_VALUE"""),427.5)</f>
        <v>427.5</v>
      </c>
      <c r="AK231" s="5" t="str">
        <f>IFERROR(__xludf.DUMMYFUNCTION("""COMPUTED_VALUE"""),"La producción eficiente habla con SAP HANA IN ⚙️
Con este programa aprenderás a planificar, controlar y ejecutar procesos de manufactura en SAP 💼.
Aquí te comparto la info 👇🏻")</f>
        <v>La producción eficiente habla con SAP HANA IN ⚙️
Con este programa aprenderás a planificar, controlar y ejecutar procesos de manufactura en SAP 💼.
Aquí te comparto la info 👇🏻</v>
      </c>
      <c r="AL231" s="5" t="str">
        <f>IFERROR(__xludf.DUMMYFUNCTION("""COMPUTED_VALUE"""),"🏭 Excelente, actualízate con SAP IN y domina la gestión de inventarios.")</f>
        <v>🏭 Excelente, actualízate con SAP IN y domina la gestión de inventarios.</v>
      </c>
      <c r="AM231" s="5" t="str">
        <f>IFERROR(__xludf.DUMMYFUNCTION("""COMPUTED_VALUE"""),"💼 Buenísimo, SAP IN es muy requerido en empresas de manufactura y logística.")</f>
        <v>💼 Buenísimo, SAP IN es muy requerido en empresas de manufactura y logística.</v>
      </c>
      <c r="AN231" s="5" t="str">
        <f>IFERROR(__xludf.DUMMYFUNCTION("""COMPUTED_VALUE"""),"🎓 ¡Genial! Con SAP IN aprenderás gestión de inventarios desde la universidad.")</f>
        <v>🎓 ¡Genial! Con SAP IN aprenderás gestión de inventarios desde la universidad.</v>
      </c>
      <c r="AO231" s="5" t="str">
        <f>IFERROR(__xludf.DUMMYFUNCTION("""COMPUTED_VALUE"""),"🚀 ¡Perfecto! Con SAP IN tendrás ventaja en prácticas de gestión de operaciones.")</f>
        <v>🚀 ¡Perfecto! Con SAP IN tendrás ventaja en prácticas de gestión de operaciones.</v>
      </c>
      <c r="AP231" s="5" t="str">
        <f>IFERROR(__xludf.DUMMYFUNCTION("""COMPUTED_VALUE"""),"📊 ¡Excelente! Con SAP IN podrás controlar y optimizar inventarios en tu negocio.")</f>
        <v>📊 ¡Excelente! Con SAP IN podrás controlar y optimizar inventarios en tu negocio.</v>
      </c>
      <c r="AQ231" s="9" t="str">
        <f>IFERROR(__xludf.DUMMYFUNCTION("""COMPUTED_VALUE"""),"https://we-educacion.com/slides/sap-s-4-hana-in-mm-fi-pp-sd-51")</f>
        <v>https://we-educacion.com/slides/sap-s-4-hana-in-mm-fi-pp-sd-51</v>
      </c>
      <c r="AR231" s="5">
        <v>1.0</v>
      </c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</row>
    <row r="232" ht="15.75" customHeight="1">
      <c r="A232" s="5" t="s">
        <v>274</v>
      </c>
      <c r="B232" s="5" t="str">
        <f t="shared" si="1"/>
        <v>FEB. I - ED26</v>
      </c>
      <c r="C232" s="6" t="str">
        <f>IFERROR(__xludf.DUMMYFUNCTION("""COMPUTED_VALUE"""),"BI")</f>
        <v>BI</v>
      </c>
      <c r="D232" s="5" t="str">
        <f>IFERROR(__xludf.DUMMYFUNCTION("""COMPUTED_VALUE"""),"CURSO")</f>
        <v>CURSO</v>
      </c>
      <c r="E232" s="6" t="str">
        <f>IFERROR(__xludf.DUMMYFUNCTION("""COMPUTED_VALUE"""),"POWER BI AVANZ")</f>
        <v>POWER BI AVANZ</v>
      </c>
      <c r="F232" s="7">
        <f>IFERROR(__xludf.DUMMYFUNCTION("""COMPUTED_VALUE"""),46066.0)</f>
        <v>46066</v>
      </c>
      <c r="G232" s="6"/>
      <c r="H232" s="7"/>
      <c r="I232" s="6"/>
      <c r="J232" s="7"/>
      <c r="K232" s="6"/>
      <c r="L232" s="7"/>
      <c r="M232" s="6"/>
      <c r="N232" s="7"/>
      <c r="O232" s="6"/>
      <c r="P232" s="7"/>
      <c r="Q232" s="6" t="str">
        <f>IFERROR(__xludf.DUMMYFUNCTION("""COMPUTED_VALUE"""),"Moisés Bautista")</f>
        <v>Moisés Bautista</v>
      </c>
      <c r="R232" s="5" t="str">
        <f>IFERROR(__xludf.DUMMYFUNCTION("""COMPUTED_VALUE"""),"Lun-Mie-Vier")</f>
        <v>Lun-Mie-Vier</v>
      </c>
      <c r="S232" s="6" t="str">
        <f>IFERROR(__xludf.DUMMYFUNCTION("""COMPUTED_VALUE"""),"7PM - 10PM")</f>
        <v>7PM - 10PM</v>
      </c>
      <c r="T232" s="7" t="str">
        <f>IFERROR(__xludf.DUMMYFUNCTION("""COMPUTED_VALUE"""),"Viernes 13 Febrero")</f>
        <v>Viernes 13 Febrero</v>
      </c>
      <c r="U232" s="7" t="str">
        <f>IFERROR(__xludf.DUMMYFUNCTION("""COMPUTED_VALUE"""),"Miércoles 25 Febrero")</f>
        <v>Miércoles 25 Febrero</v>
      </c>
      <c r="V232" s="8">
        <f>IFERROR(__xludf.DUMMYFUNCTION("""COMPUTED_VALUE"""),6.0)</f>
        <v>6</v>
      </c>
      <c r="W232" s="5" t="str">
        <f>IFERROR(__xludf.DUMMYFUNCTION("""COMPUTED_VALUE"""),"pdfs/BROCHURE POWER BI AVANZADO.pdf")</f>
        <v>pdfs/BROCHURE POWER BI AVANZADO.pdf</v>
      </c>
      <c r="X232" s="5" t="str">
        <f>IFERROR(__xludf.DUMMYFUNCTION("""COMPUTED_VALUE"""),"🔵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BROCHU"&amp;"RE* 👇🏻
Aqui encontrarás la información completa del programa, el TEMARIO (malla curricular) y todos los BENEFICIOS 📚")</f>
        <v>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BROCHURE* 👇🏻
Aqui encontrarás la información completa del programa, el TEMARIO (malla curricular) y todos los BENEFICIOS 📚</v>
      </c>
      <c r="Y232" s="5" t="str">
        <f>IFERROR(__xludf.DUMMYFUNCTION("""COMPUTED_VALUE"""),"images/powerbiavanz.jpg")</f>
        <v>images/powerbiavanz.jpg</v>
      </c>
      <c r="Z232" s="5" t="str">
        <f>IFERROR(__xludf.DUMMYFUNCTION("""COMPUTED_VALUE"""),"Avalado por Microsoft Partner Network")</f>
        <v>Avalado por Microsoft Partner Network</v>
      </c>
      <c r="AA232" s="5" t="str">
        <f>IFERROR(__xludf.DUMMYFUNCTION("""COMPUTED_VALUE"""),"NO")</f>
        <v>NO</v>
      </c>
      <c r="AB232" s="6">
        <f>IFERROR(__xludf.DUMMYFUNCTION("""COMPUTED_VALUE"""),830.0)</f>
        <v>830</v>
      </c>
      <c r="AC232" s="6">
        <f>IFERROR(__xludf.DUMMYFUNCTION("""COMPUTED_VALUE"""),740.0)</f>
        <v>740</v>
      </c>
      <c r="AD232" s="6">
        <f>IFERROR(__xludf.DUMMYFUNCTION("""COMPUTED_VALUE"""),415.0)</f>
        <v>415</v>
      </c>
      <c r="AE232" s="6">
        <f>IFERROR(__xludf.DUMMYFUNCTION("""COMPUTED_VALUE"""),370.0)</f>
        <v>370</v>
      </c>
      <c r="AF232" s="6">
        <f>IFERROR(__xludf.DUMMYFUNCTION("""COMPUTED_VALUE"""),150.0)</f>
        <v>150</v>
      </c>
      <c r="AG232" s="5">
        <f>IFERROR(__xludf.DUMMYFUNCTION("""COMPUTED_VALUE"""),150.0)</f>
        <v>150</v>
      </c>
      <c r="AH232" s="5"/>
      <c r="AI232" s="5">
        <f>IFERROR(__xludf.DUMMYFUNCTION("""COMPUTED_VALUE"""),333.0)</f>
        <v>333</v>
      </c>
      <c r="AJ232" s="5">
        <f>IFERROR(__xludf.DUMMYFUNCTION("""COMPUTED_VALUE"""),373.5)</f>
        <v>373.5</v>
      </c>
      <c r="AK232" s="5" t="str">
        <f>IFERROR(__xludf.DUMMYFUNCTION("""COMPUTED_VALUE"""),"El poder está en la data, pero más en cómo la interpretas 🚀
Con Power BI Avanzado llevarás tus reportes y dashboards a un nivel profesional, con análisis que generan impacto en el negocio.
Aquí la info detallada 👇🏻")</f>
        <v>El poder está en la data, pero más en cómo la interpretas 🚀
Con Power BI Avanzado llevarás tus reportes y dashboards a un nivel profesional, con análisis que generan impacto en el negocio.
Aquí la info detallada 👇🏻</v>
      </c>
      <c r="AL232" s="5" t="str">
        <f>IFERROR(__xludf.DUMMYFUNCTION("""COMPUTED_VALUE"""),"Excelente 🙌, actualízate con Power BI Avanzado y lleva tus reportes a un nivel estratégico 🌐 que buscan las empresas.")</f>
        <v>Excelente 🙌, actualízate con Power BI Avanzado y lleva tus reportes a un nivel estratégico 🌐 que buscan las empresas.</v>
      </c>
      <c r="AM232" s="5" t="str">
        <f>IFERROR(__xludf.DUMMYFUNCTION("""COMPUTED_VALUE"""),"Buenísimo 💼, Power BI es altamente demandado 📊. Dominarlo abrirá más oportunidades laborales 🚀.")</f>
        <v>Buenísimo 💼, Power BI es altamente demandado 📊. Dominarlo abrirá más oportunidades laborales 🚀.</v>
      </c>
      <c r="AN232" s="5" t="str">
        <f>IFERROR(__xludf.DUMMYFUNCTION("""COMPUTED_VALUE"""),"¡Excelente! 🎓 Con Power BI Avanzado aprenderás a visualizar datos 📉📈 de forma profesional.")</f>
        <v>¡Excelente! 🎓 Con Power BI Avanzado aprenderás a visualizar datos 📉📈 de forma profesional.</v>
      </c>
      <c r="AO232" s="5" t="str">
        <f>IFERROR(__xludf.DUMMYFUNCTION("""COMPUTED_VALUE"""),"¡Perfecto! 🔑 Saber Power BI te dará ventaja frente a otros postulantes para prácticas en análisis de datos 💻.")</f>
        <v>¡Perfecto! 🔑 Saber Power BI te dará ventaja frente a otros postulantes para prácticas en análisis de datos 💻.</v>
      </c>
      <c r="AP232" s="5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Q232" s="9" t="str">
        <f>IFERROR(__xludf.DUMMYFUNCTION("""COMPUTED_VALUE"""),"https://we-educacion.com/slides/power-bi-avanzado-90")</f>
        <v>https://we-educacion.com/slides/power-bi-avanzado-90</v>
      </c>
      <c r="AR232" s="5">
        <v>1.0</v>
      </c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</row>
    <row r="233" ht="15.75" customHeight="1">
      <c r="A233" s="5" t="s">
        <v>275</v>
      </c>
      <c r="B233" s="5" t="str">
        <f t="shared" si="1"/>
        <v>FEB. I - ED26</v>
      </c>
      <c r="C233" s="6" t="str">
        <f>IFERROR(__xludf.DUMMYFUNCTION("""COMPUTED_VALUE"""),"PROCESOS")</f>
        <v>PROCESOS</v>
      </c>
      <c r="D233" s="5" t="str">
        <f>IFERROR(__xludf.DUMMYFUNCTION("""COMPUTED_VALUE"""),"CURSO")</f>
        <v>CURSO</v>
      </c>
      <c r="E233" s="6" t="str">
        <f>IFERROR(__xludf.DUMMYFUNCTION("""COMPUTED_VALUE"""),"ROBOTIZ.  UIPATH")</f>
        <v>ROBOTIZ.  UIPATH</v>
      </c>
      <c r="F233" s="7">
        <f>IFERROR(__xludf.DUMMYFUNCTION("""COMPUTED_VALUE"""),46068.0)</f>
        <v>46068</v>
      </c>
      <c r="G233" s="6"/>
      <c r="H233" s="7"/>
      <c r="I233" s="6"/>
      <c r="J233" s="7"/>
      <c r="K233" s="6"/>
      <c r="L233" s="7"/>
      <c r="M233" s="6"/>
      <c r="N233" s="7"/>
      <c r="O233" s="6"/>
      <c r="P233" s="7"/>
      <c r="Q233" s="6" t="str">
        <f>IFERROR(__xludf.DUMMYFUNCTION("""COMPUTED_VALUE"""),"Christian Rojas")</f>
        <v>Christian Rojas</v>
      </c>
      <c r="R233" s="5" t="str">
        <f>IFERROR(__xludf.DUMMYFUNCTION("""COMPUTED_VALUE"""),"Dom")</f>
        <v>Dom</v>
      </c>
      <c r="S233" s="6" t="str">
        <f>IFERROR(__xludf.DUMMYFUNCTION("""COMPUTED_VALUE"""),"9AM - 12PM")</f>
        <v>9AM - 12PM</v>
      </c>
      <c r="T233" s="7" t="str">
        <f>IFERROR(__xludf.DUMMYFUNCTION("""COMPUTED_VALUE"""),"Domingo 15 Febrero")</f>
        <v>Domingo 15 Febrero</v>
      </c>
      <c r="U233" s="7" t="str">
        <f>IFERROR(__xludf.DUMMYFUNCTION("""COMPUTED_VALUE"""),"Domingo 22 Marzo")</f>
        <v>Domingo 22 Marzo</v>
      </c>
      <c r="V233" s="8">
        <f>IFERROR(__xludf.DUMMYFUNCTION("""COMPUTED_VALUE"""),6.0)</f>
        <v>6</v>
      </c>
      <c r="W233" s="5" t="str">
        <f>IFERROR(__xludf.DUMMYFUNCTION("""COMPUTED_VALUE"""),"pdfs/BROCHURE ROBOTIZACIÓN DE PROCESOS CON UIPATH.pdf")</f>
        <v>pdfs/BROCHURE ROBOTIZACIÓN DE PROCESOS CON UIPATH.pdf</v>
      </c>
      <c r="X233" s="5" t="str">
        <f>IFERROR(__xludf.DUMMYFUNCTION("""COMPUTED_VALUE"""),"🔵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33" s="5" t="str">
        <f>IFERROR(__xludf.DUMMYFUNCTION("""COMPUTED_VALUE"""),"images/uipath.jpg")</f>
        <v>images/uipath.jpg</v>
      </c>
      <c r="Z233" s="5"/>
      <c r="AA233" s="5" t="str">
        <f>IFERROR(__xludf.DUMMYFUNCTION("""COMPUTED_VALUE"""),"NO")</f>
        <v>NO</v>
      </c>
      <c r="AB233" s="6">
        <f>IFERROR(__xludf.DUMMYFUNCTION("""COMPUTED_VALUE"""),780.0)</f>
        <v>780</v>
      </c>
      <c r="AC233" s="6">
        <f>IFERROR(__xludf.DUMMYFUNCTION("""COMPUTED_VALUE"""),690.0)</f>
        <v>690</v>
      </c>
      <c r="AD233" s="6">
        <f>IFERROR(__xludf.DUMMYFUNCTION("""COMPUTED_VALUE"""),390.0)</f>
        <v>390</v>
      </c>
      <c r="AE233" s="6">
        <f>IFERROR(__xludf.DUMMYFUNCTION("""COMPUTED_VALUE"""),345.0)</f>
        <v>345</v>
      </c>
      <c r="AF233" s="6">
        <f>IFERROR(__xludf.DUMMYFUNCTION("""COMPUTED_VALUE"""),150.0)</f>
        <v>150</v>
      </c>
      <c r="AG233" s="5">
        <f>IFERROR(__xludf.DUMMYFUNCTION("""COMPUTED_VALUE"""),150.0)</f>
        <v>150</v>
      </c>
      <c r="AH233" s="5"/>
      <c r="AI233" s="5">
        <f>IFERROR(__xludf.DUMMYFUNCTION("""COMPUTED_VALUE"""),310.5)</f>
        <v>310.5</v>
      </c>
      <c r="AJ233" s="5">
        <f>IFERROR(__xludf.DUMMYFUNCTION("""COMPUTED_VALUE"""),351.0)</f>
        <v>351</v>
      </c>
      <c r="AK233" s="5" t="str">
        <f>IFERROR(__xludf.DUMMYFUNCTION("""COMPUTED_VALUE"""),"La eficiencia empresarial avanza con automatización robótica ⚙️
Con UiPath aprenderás a robotizar procesos repetitivos y ahorrar recursos 💼.
Aquí tienes la info 👇🏻")</f>
        <v>La eficiencia empresarial avanza con automatización robótica ⚙️
Con UiPath aprenderás a robotizar procesos repetitivos y ahorrar recursos 💼.
Aquí tienes la info 👇🏻</v>
      </c>
      <c r="AL233" s="5" t="str">
        <f>IFERROR(__xludf.DUMMYFUNCTION("""COMPUTED_VALUE"""),"🤖 Excelente, actualízate con UiPath y domina la automatización robótica de procesos.")</f>
        <v>🤖 Excelente, actualízate con UiPath y domina la automatización robótica de procesos.</v>
      </c>
      <c r="AM233" s="5" t="str">
        <f>IFERROR(__xludf.DUMMYFUNCTION("""COMPUTED_VALUE"""),"💼 Buenísimo, RPA con UiPath es muy demandado en empresas que digitalizan operaciones.")</f>
        <v>💼 Buenísimo, RPA con UiPath es muy demandado en empresas que digitalizan operaciones.</v>
      </c>
      <c r="AN233" s="5" t="str">
        <f>IFERROR(__xludf.DUMMYFUNCTION("""COMPUTED_VALUE"""),"🎓 ¡Genial! Aprender UiPath en la universidad te pondrá al nivel de la industria.")</f>
        <v>🎓 ¡Genial! Aprender UiPath en la universidad te pondrá al nivel de la industria.</v>
      </c>
      <c r="AO233" s="5" t="str">
        <f>IFERROR(__xludf.DUMMYFUNCTION("""COMPUTED_VALUE"""),"🚀 ¡Perfecto! Con UiPath destacarás en prácticas relacionadas con innovación tecnológica.")</f>
        <v>🚀 ¡Perfecto! Con UiPath destacarás en prácticas relacionadas con innovación tecnológica.</v>
      </c>
      <c r="AP233" s="5" t="str">
        <f>IFERROR(__xludf.DUMMYFUNCTION("""COMPUTED_VALUE"""),"📊 ¡Excelente! Con UiPath podrás automatizar procesos y ahorrar tiempo en tu negocio.")</f>
        <v>📊 ¡Excelente! Con UiPath podrás automatizar procesos y ahorrar tiempo en tu negocio.</v>
      </c>
      <c r="AQ233" s="9" t="str">
        <f>IFERROR(__xludf.DUMMYFUNCTION("""COMPUTED_VALUE"""),"https://we-educacion.com/slides/robotizacion-de-procesos-con-uipath-274")</f>
        <v>https://we-educacion.com/slides/robotizacion-de-procesos-con-uipath-274</v>
      </c>
      <c r="AR233" s="5">
        <v>1.0</v>
      </c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</row>
    <row r="234" ht="15.75" customHeight="1">
      <c r="A234" s="5" t="s">
        <v>276</v>
      </c>
      <c r="B234" s="5" t="str">
        <f t="shared" si="1"/>
        <v>FEB. I - ED26</v>
      </c>
      <c r="C234" s="6" t="str">
        <f>IFERROR(__xludf.DUMMYFUNCTION("""COMPUTED_VALUE"""),"LOGÍSTICA")</f>
        <v>LOGÍSTICA</v>
      </c>
      <c r="D234" s="5" t="str">
        <f>IFERROR(__xludf.DUMMYFUNCTION("""COMPUTED_VALUE"""),"CURSO")</f>
        <v>CURSO</v>
      </c>
      <c r="E234" s="6" t="str">
        <f>IFERROR(__xludf.DUMMYFUNCTION("""COMPUTED_VALUE"""),"GEST TRANSPORTES")</f>
        <v>GEST TRANSPORTES</v>
      </c>
      <c r="F234" s="7">
        <f>IFERROR(__xludf.DUMMYFUNCTION("""COMPUTED_VALUE"""),46068.0)</f>
        <v>46068</v>
      </c>
      <c r="G234" s="6"/>
      <c r="H234" s="7"/>
      <c r="I234" s="6"/>
      <c r="J234" s="7"/>
      <c r="K234" s="6"/>
      <c r="L234" s="7"/>
      <c r="M234" s="6"/>
      <c r="N234" s="7"/>
      <c r="O234" s="6"/>
      <c r="P234" s="7"/>
      <c r="Q234" s="6" t="str">
        <f>IFERROR(__xludf.DUMMYFUNCTION("""COMPUTED_VALUE"""),"Francisco Ñaupa")</f>
        <v>Francisco Ñaupa</v>
      </c>
      <c r="R234" s="5" t="str">
        <f>IFERROR(__xludf.DUMMYFUNCTION("""COMPUTED_VALUE"""),"Dom")</f>
        <v>Dom</v>
      </c>
      <c r="S234" s="6" t="str">
        <f>IFERROR(__xludf.DUMMYFUNCTION("""COMPUTED_VALUE"""),"9AM - 12PM")</f>
        <v>9AM - 12PM</v>
      </c>
      <c r="T234" s="7" t="str">
        <f>IFERROR(__xludf.DUMMYFUNCTION("""COMPUTED_VALUE"""),"Domingo 15 Febrero")</f>
        <v>Domingo 15 Febrero</v>
      </c>
      <c r="U234" s="7" t="str">
        <f>IFERROR(__xludf.DUMMYFUNCTION("""COMPUTED_VALUE"""),"Domingo 15 Marzo")</f>
        <v>Domingo 15 Marzo</v>
      </c>
      <c r="V234" s="8">
        <f>IFERROR(__xludf.DUMMYFUNCTION("""COMPUTED_VALUE"""),5.0)</f>
        <v>5</v>
      </c>
      <c r="W234" s="5" t="str">
        <f>IFERROR(__xludf.DUMMYFUNCTION("""COMPUTED_VALUE"""),"pdfs/BROCHURE GESTION DE TRANSPORTE Y CANALES DE DISTRIBUCIÓN.pdf")</f>
        <v>pdfs/BROCHURE GESTION DE TRANSPORTE Y CANALES DE DISTRIBUCIÓN.pdf</v>
      </c>
      <c r="X234" s="5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*Utilizarán Excel* 👩🏻‍💻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*Por favor, revisa el BROCHURE* 👇🏻
Aqui encontrarás la información completa del programa, el TEMARIO (malla curricular) y todos los BENEFICIOS 📚</v>
      </c>
      <c r="Y234" s="5" t="str">
        <f>IFERROR(__xludf.DUMMYFUNCTION("""COMPUTED_VALUE"""),"images/transpo.jpg")</f>
        <v>images/transpo.jpg</v>
      </c>
      <c r="Z234" s="5"/>
      <c r="AA234" s="5" t="str">
        <f>IFERROR(__xludf.DUMMYFUNCTION("""COMPUTED_VALUE"""),"NO")</f>
        <v>NO</v>
      </c>
      <c r="AB234" s="6">
        <f>IFERROR(__xludf.DUMMYFUNCTION("""COMPUTED_VALUE"""),830.0)</f>
        <v>830</v>
      </c>
      <c r="AC234" s="6">
        <f>IFERROR(__xludf.DUMMYFUNCTION("""COMPUTED_VALUE"""),770.0)</f>
        <v>770</v>
      </c>
      <c r="AD234" s="6">
        <f>IFERROR(__xludf.DUMMYFUNCTION("""COMPUTED_VALUE"""),415.0)</f>
        <v>415</v>
      </c>
      <c r="AE234" s="6">
        <f>IFERROR(__xludf.DUMMYFUNCTION("""COMPUTED_VALUE"""),385.0)</f>
        <v>385</v>
      </c>
      <c r="AF234" s="6">
        <f>IFERROR(__xludf.DUMMYFUNCTION("""COMPUTED_VALUE"""),150.0)</f>
        <v>150</v>
      </c>
      <c r="AG234" s="5">
        <f>IFERROR(__xludf.DUMMYFUNCTION("""COMPUTED_VALUE"""),150.0)</f>
        <v>150</v>
      </c>
      <c r="AH234" s="5"/>
      <c r="AI234" s="5">
        <f>IFERROR(__xludf.DUMMYFUNCTION("""COMPUTED_VALUE"""),346.5)</f>
        <v>346.5</v>
      </c>
      <c r="AJ234" s="5">
        <f>IFERROR(__xludf.DUMMYFUNCTION("""COMPUTED_VALUE"""),373.5)</f>
        <v>373.5</v>
      </c>
      <c r="AK234" s="5" t="str">
        <f>IFERROR(__xludf.DUMMYFUNCTION("""COMPUTED_VALUE"""),"La competitividad empresarial depende de una logística eficiente 📦
Con Gestión de Transportes aprenderás a planificar, coordinar y optimizar rutas y costos en casos reales 🚛.
Aquí te comparto la información 👇🏻")</f>
        <v>La competitividad empresarial depende de una logística eficiente 📦
Con Gestión de Transportes aprenderás a planificar, coordinar y optimizar rutas y costos en casos reales 🚛.
Aquí te comparto la información 👇🏻</v>
      </c>
      <c r="AL234" s="5" t="str">
        <f>IFERROR(__xludf.DUMMYFUNCTION("""COMPUTED_VALUE"""),"🌍 *Excelente*, actualízate con *GEST TRANSPORTES* y mantente competitivo en el mercado laboral.")</f>
        <v>🌍 *Excelente*, actualízate con *GEST TRANSPORTES* y mantente competitivo en el mercado laboral.</v>
      </c>
      <c r="AM234" s="5" t="str">
        <f>IFERROR(__xludf.DUMMYFUNCTION("""COMPUTED_VALUE"""),"📘 Buenísimo, *GEST TRANSPORTES* es de las competencias más pedidas por las empresas y aumentará tus oportunidades laborales.")</f>
        <v>📘 Buenísimo, *GEST TRANSPORTES* es de las competencias más pedidas por las empresas y aumentará tus oportunidades laborales.</v>
      </c>
      <c r="AN234" s="5" t="str">
        <f>IFERROR(__xludf.DUMMYFUNCTION("""COMPUTED_VALUE"""),"💼 ¡Genial! Con *GEST TRANSPORTES* sumarás una habilidad poderosa que te diferenciará desde la universidad.")</f>
        <v>💼 ¡Genial! Con *GEST TRANSPORTES* sumarás una habilidad poderosa que te diferenciará desde la universidad.</v>
      </c>
      <c r="AO234" s="5" t="str">
        <f>IFERROR(__xludf.DUMMYFUNCTION("""COMPUTED_VALUE"""),"📊 ¡Perfecto! Saber *GEST TRANSPORTES* te dará ventaja frente a otros postulantes para conseguir prácticas.")</f>
        <v>📊 ¡Perfecto! Saber *GEST TRANSPORTES* te dará ventaja frente a otros postulantes para conseguir prácticas.</v>
      </c>
      <c r="AP234" s="5" t="str">
        <f>IFERROR(__xludf.DUMMYFUNCTION("""COMPUTED_VALUE"""),"💼 ¡Excelente! Con *GEST TRANSPORTES* podrás aplicarlo en tu negocio y tomar decisiones más inteligentes.")</f>
        <v>💼 ¡Excelente! Con *GEST TRANSPORTES* podrás aplicarlo en tu negocio y tomar decisiones más inteligentes.</v>
      </c>
      <c r="AQ234" s="9" t="str">
        <f>IFERROR(__xludf.DUMMYFUNCTION("""COMPUTED_VALUE"""),"https://we-educacion.com/slides/gestion-de-transportes-73")</f>
        <v>https://we-educacion.com/slides/gestion-de-transportes-73</v>
      </c>
      <c r="AR234" s="5">
        <v>1.0</v>
      </c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</row>
    <row r="235" ht="15.75" customHeight="1">
      <c r="A235" s="5" t="s">
        <v>277</v>
      </c>
      <c r="B235" s="5" t="str">
        <f t="shared" si="1"/>
        <v>FEB. II - ED26</v>
      </c>
      <c r="C235" s="6" t="str">
        <f>IFERROR(__xludf.DUMMYFUNCTION("""COMPUTED_VALUE"""),"BI")</f>
        <v>BI</v>
      </c>
      <c r="D235" s="6" t="str">
        <f>IFERROR(__xludf.DUMMYFUNCTION("""COMPUTED_VALUE"""),"CURSO")</f>
        <v>CURSO</v>
      </c>
      <c r="E235" s="6" t="str">
        <f>IFERROR(__xludf.DUMMYFUNCTION("""COMPUTED_VALUE"""),"POWER BI AVANZ")</f>
        <v>POWER BI AVANZ</v>
      </c>
      <c r="F235" s="7">
        <f>IFERROR(__xludf.DUMMYFUNCTION("""COMPUTED_VALUE"""),46068.0)</f>
        <v>46068</v>
      </c>
      <c r="G235" s="6"/>
      <c r="H235" s="7"/>
      <c r="I235" s="6"/>
      <c r="J235" s="7"/>
      <c r="K235" s="6"/>
      <c r="L235" s="7"/>
      <c r="M235" s="6"/>
      <c r="N235" s="7"/>
      <c r="O235" s="6"/>
      <c r="P235" s="7"/>
      <c r="Q235" s="6" t="str">
        <f>IFERROR(__xludf.DUMMYFUNCTION("""COMPUTED_VALUE"""),"Moisés Bautista")</f>
        <v>Moisés Bautista</v>
      </c>
      <c r="R235" s="5" t="str">
        <f>IFERROR(__xludf.DUMMYFUNCTION("""COMPUTED_VALUE"""),"Dom")</f>
        <v>Dom</v>
      </c>
      <c r="S235" s="6" t="str">
        <f>IFERROR(__xludf.DUMMYFUNCTION("""COMPUTED_VALUE"""),"9AM - 12PM")</f>
        <v>9AM - 12PM</v>
      </c>
      <c r="T235" s="7" t="str">
        <f>IFERROR(__xludf.DUMMYFUNCTION("""COMPUTED_VALUE"""),"Domingo 15 Febrero")</f>
        <v>Domingo 15 Febrero</v>
      </c>
      <c r="U235" s="7" t="str">
        <f>IFERROR(__xludf.DUMMYFUNCTION("""COMPUTED_VALUE"""),"Domingo 22 Marzo")</f>
        <v>Domingo 22 Marzo</v>
      </c>
      <c r="V235" s="8">
        <f>IFERROR(__xludf.DUMMYFUNCTION("""COMPUTED_VALUE"""),6.0)</f>
        <v>6</v>
      </c>
      <c r="W235" s="5" t="str">
        <f>IFERROR(__xludf.DUMMYFUNCTION("""COMPUTED_VALUE"""),"pdfs/BROCHURE POWER BI AVANZADO.pdf")</f>
        <v>pdfs/BROCHURE POWER BI AVANZADO.pdf</v>
      </c>
      <c r="X235" s="5" t="str">
        <f>IFERROR(__xludf.DUMMYFUNCTION("""COMPUTED_VALUE"""),"🔵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BROCHU"&amp;"RE* 👇🏻
Aqui encontrarás la información completa del programa, el TEMARIO (malla curricular) y todos los BENEFICIOS 📚")</f>
        <v>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BROCHURE* 👇🏻
Aqui encontrarás la información completa del programa, el TEMARIO (malla curricular) y todos los BENEFICIOS 📚</v>
      </c>
      <c r="Y235" s="5" t="str">
        <f>IFERROR(__xludf.DUMMYFUNCTION("""COMPUTED_VALUE"""),"images/powerbiavanz.jpg")</f>
        <v>images/powerbiavanz.jpg</v>
      </c>
      <c r="Z235" s="5" t="str">
        <f>IFERROR(__xludf.DUMMYFUNCTION("""COMPUTED_VALUE"""),"Avalado por Microsoft Partner Network")</f>
        <v>Avalado por Microsoft Partner Network</v>
      </c>
      <c r="AA235" s="5" t="str">
        <f>IFERROR(__xludf.DUMMYFUNCTION("""COMPUTED_VALUE"""),"NO")</f>
        <v>NO</v>
      </c>
      <c r="AB235" s="6">
        <f>IFERROR(__xludf.DUMMYFUNCTION("""COMPUTED_VALUE"""),830.0)</f>
        <v>830</v>
      </c>
      <c r="AC235" s="6">
        <f>IFERROR(__xludf.DUMMYFUNCTION("""COMPUTED_VALUE"""),740.0)</f>
        <v>740</v>
      </c>
      <c r="AD235" s="6">
        <f>IFERROR(__xludf.DUMMYFUNCTION("""COMPUTED_VALUE"""),415.0)</f>
        <v>415</v>
      </c>
      <c r="AE235" s="6">
        <f>IFERROR(__xludf.DUMMYFUNCTION("""COMPUTED_VALUE"""),370.0)</f>
        <v>370</v>
      </c>
      <c r="AF235" s="6">
        <f>IFERROR(__xludf.DUMMYFUNCTION("""COMPUTED_VALUE"""),150.0)</f>
        <v>150</v>
      </c>
      <c r="AG235" s="5">
        <f>IFERROR(__xludf.DUMMYFUNCTION("""COMPUTED_VALUE"""),150.0)</f>
        <v>150</v>
      </c>
      <c r="AH235" s="5"/>
      <c r="AI235" s="5">
        <f>IFERROR(__xludf.DUMMYFUNCTION("""COMPUTED_VALUE"""),333.0)</f>
        <v>333</v>
      </c>
      <c r="AJ235" s="5">
        <f>IFERROR(__xludf.DUMMYFUNCTION("""COMPUTED_VALUE"""),373.5)</f>
        <v>373.5</v>
      </c>
      <c r="AK235" s="5" t="str">
        <f>IFERROR(__xludf.DUMMYFUNCTION("""COMPUTED_VALUE"""),"El poder está en la data, pero más en cómo la interpretas 🚀
Con Power BI Avanzado llevarás tus reportes y dashboards a un nivel profesional, con análisis que generan impacto en el negocio.
Aquí la info detallada 👇🏻")</f>
        <v>El poder está en la data, pero más en cómo la interpretas 🚀
Con Power BI Avanzado llevarás tus reportes y dashboards a un nivel profesional, con análisis que generan impacto en el negocio.
Aquí la info detallada 👇🏻</v>
      </c>
      <c r="AL235" s="5" t="str">
        <f>IFERROR(__xludf.DUMMYFUNCTION("""COMPUTED_VALUE"""),"Excelente 🙌, actualízate con Power BI Avanzado y lleva tus reportes a un nivel estratégico 🌐 que buscan las empresas.")</f>
        <v>Excelente 🙌, actualízate con Power BI Avanzado y lleva tus reportes a un nivel estratégico 🌐 que buscan las empresas.</v>
      </c>
      <c r="AM235" s="5" t="str">
        <f>IFERROR(__xludf.DUMMYFUNCTION("""COMPUTED_VALUE"""),"Buenísimo 💼, Power BI es altamente demandado 📊. Dominarlo abrirá más oportunidades laborales 🚀.")</f>
        <v>Buenísimo 💼, Power BI es altamente demandado 📊. Dominarlo abrirá más oportunidades laborales 🚀.</v>
      </c>
      <c r="AN235" s="5" t="str">
        <f>IFERROR(__xludf.DUMMYFUNCTION("""COMPUTED_VALUE"""),"¡Excelente! 🎓 Con Power BI Avanzado aprenderás a visualizar datos 📉📈 de forma profesional.")</f>
        <v>¡Excelente! 🎓 Con Power BI Avanzado aprenderás a visualizar datos 📉📈 de forma profesional.</v>
      </c>
      <c r="AO235" s="5" t="str">
        <f>IFERROR(__xludf.DUMMYFUNCTION("""COMPUTED_VALUE"""),"¡Perfecto! 🔑 Saber Power BI te dará ventaja frente a otros postulantes para prácticas en análisis de datos 💻.")</f>
        <v>¡Perfecto! 🔑 Saber Power BI te dará ventaja frente a otros postulantes para prácticas en análisis de datos 💻.</v>
      </c>
      <c r="AP235" s="5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Q235" s="9" t="str">
        <f>IFERROR(__xludf.DUMMYFUNCTION("""COMPUTED_VALUE"""),"https://we-educacion.com/slides/power-bi-avanzado-90")</f>
        <v>https://we-educacion.com/slides/power-bi-avanzado-90</v>
      </c>
      <c r="AR235" s="5">
        <v>1.0</v>
      </c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</row>
    <row r="236" ht="15.75" customHeight="1">
      <c r="A236" s="5" t="s">
        <v>278</v>
      </c>
      <c r="B236" s="5" t="str">
        <f t="shared" si="1"/>
        <v>FEB. II - ED26</v>
      </c>
      <c r="C236" s="6" t="str">
        <f>IFERROR(__xludf.DUMMYFUNCTION("""COMPUTED_VALUE"""),"BI")</f>
        <v>BI</v>
      </c>
      <c r="D236" s="6" t="str">
        <f>IFERROR(__xludf.DUMMYFUNCTION("""COMPUTED_VALUE"""),"CURSO")</f>
        <v>CURSO</v>
      </c>
      <c r="E236" s="6" t="str">
        <f>IFERROR(__xludf.DUMMYFUNCTION("""COMPUTED_VALUE"""),"PYTHON AVANZ.")</f>
        <v>PYTHON AVANZ.</v>
      </c>
      <c r="F236" s="7">
        <f>IFERROR(__xludf.DUMMYFUNCTION("""COMPUTED_VALUE"""),46068.0)</f>
        <v>46068</v>
      </c>
      <c r="G236" s="6"/>
      <c r="H236" s="7"/>
      <c r="I236" s="6"/>
      <c r="J236" s="7"/>
      <c r="K236" s="6"/>
      <c r="L236" s="7"/>
      <c r="M236" s="6"/>
      <c r="N236" s="7"/>
      <c r="O236" s="6"/>
      <c r="P236" s="7"/>
      <c r="Q236" s="6" t="str">
        <f>IFERROR(__xludf.DUMMYFUNCTION("""COMPUTED_VALUE"""),"Paul Gabino")</f>
        <v>Paul Gabino</v>
      </c>
      <c r="R236" s="5" t="str">
        <f>IFERROR(__xludf.DUMMYFUNCTION("""COMPUTED_VALUE"""),"Dom")</f>
        <v>Dom</v>
      </c>
      <c r="S236" s="6" t="str">
        <f>IFERROR(__xludf.DUMMYFUNCTION("""COMPUTED_VALUE"""),"9AM - 12PM")</f>
        <v>9AM - 12PM</v>
      </c>
      <c r="T236" s="7" t="str">
        <f>IFERROR(__xludf.DUMMYFUNCTION("""COMPUTED_VALUE"""),"Domingo 15 Febrero")</f>
        <v>Domingo 15 Febrero</v>
      </c>
      <c r="U236" s="7" t="str">
        <f>IFERROR(__xludf.DUMMYFUNCTION("""COMPUTED_VALUE"""),"Domingo 22 Marzo")</f>
        <v>Domingo 22 Marzo</v>
      </c>
      <c r="V236" s="8">
        <f>IFERROR(__xludf.DUMMYFUNCTION("""COMPUTED_VALUE"""),6.0)</f>
        <v>6</v>
      </c>
      <c r="W236" s="5" t="str">
        <f>IFERROR(__xludf.DUMMYFUNCTION("""COMPUTED_VALUE"""),"pdfs/BROCHURE PYTHON AVANZADO MACHINE LEARNING.pdf")</f>
        <v>pdfs/BROCHURE PYTHON AVANZADO MACHINE LEARNING.pdf</v>
      </c>
      <c r="X236" s="5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36" s="5" t="str">
        <f>IFERROR(__xludf.DUMMYFUNCTION("""COMPUTED_VALUE"""),"images/pythonavanz.jpg")</f>
        <v>images/pythonavanz.jpg</v>
      </c>
      <c r="Z236" s="5" t="str">
        <f>IFERROR(__xludf.DUMMYFUNCTION("""COMPUTED_VALUE"""),"Avalado por IBM® Partner World")</f>
        <v>Avalado por IBM® Partner World</v>
      </c>
      <c r="AA236" s="5" t="str">
        <f>IFERROR(__xludf.DUMMYFUNCTION("""COMPUTED_VALUE"""),"NO")</f>
        <v>NO</v>
      </c>
      <c r="AB236" s="6">
        <f>IFERROR(__xludf.DUMMYFUNCTION("""COMPUTED_VALUE"""),830.0)</f>
        <v>830</v>
      </c>
      <c r="AC236" s="6">
        <f>IFERROR(__xludf.DUMMYFUNCTION("""COMPUTED_VALUE"""),755.0)</f>
        <v>755</v>
      </c>
      <c r="AD236" s="6">
        <f>IFERROR(__xludf.DUMMYFUNCTION("""COMPUTED_VALUE"""),415.0)</f>
        <v>415</v>
      </c>
      <c r="AE236" s="6">
        <f>IFERROR(__xludf.DUMMYFUNCTION("""COMPUTED_VALUE"""),377.5)</f>
        <v>377.5</v>
      </c>
      <c r="AF236" s="6">
        <f>IFERROR(__xludf.DUMMYFUNCTION("""COMPUTED_VALUE"""),150.0)</f>
        <v>150</v>
      </c>
      <c r="AG236" s="5">
        <f>IFERROR(__xludf.DUMMYFUNCTION("""COMPUTED_VALUE"""),150.0)</f>
        <v>150</v>
      </c>
      <c r="AH236" s="5"/>
      <c r="AI236" s="5">
        <f>IFERROR(__xludf.DUMMYFUNCTION("""COMPUTED_VALUE"""),339.75)</f>
        <v>339.75</v>
      </c>
      <c r="AJ236" s="5">
        <f>IFERROR(__xludf.DUMMYFUNCTION("""COMPUTED_VALUE"""),373.5)</f>
        <v>373.5</v>
      </c>
      <c r="AK236" s="5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236" s="5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236" s="5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236" s="5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236" s="5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236" s="5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236" s="9" t="str">
        <f>IFERROR(__xludf.DUMMYFUNCTION("""COMPUTED_VALUE"""),"https://we-educacion.com/slides/python-avanzado-machine-learning-275")</f>
        <v>https://we-educacion.com/slides/python-avanzado-machine-learning-275</v>
      </c>
      <c r="AR236" s="5">
        <v>1.0</v>
      </c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</row>
    <row r="237" ht="15.75" customHeight="1">
      <c r="A237" s="5" t="s">
        <v>279</v>
      </c>
      <c r="B237" s="5" t="str">
        <f t="shared" si="1"/>
        <v>FEB. I - ED26</v>
      </c>
      <c r="C237" s="6" t="str">
        <f>IFERROR(__xludf.DUMMYFUNCTION("""COMPUTED_VALUE"""),"PROCESOS")</f>
        <v>PROCESOS</v>
      </c>
      <c r="D237" s="5" t="str">
        <f>IFERROR(__xludf.DUMMYFUNCTION("""COMPUTED_VALUE"""),"CURSO")</f>
        <v>CURSO</v>
      </c>
      <c r="E237" s="6" t="str">
        <f>IFERROR(__xludf.DUMMYFUNCTION("""COMPUTED_VALUE"""),"KPIS Y OKRS")</f>
        <v>KPIS Y OKRS</v>
      </c>
      <c r="F237" s="7">
        <f>IFERROR(__xludf.DUMMYFUNCTION("""COMPUTED_VALUE"""),46071.0)</f>
        <v>46071</v>
      </c>
      <c r="G237" s="6"/>
      <c r="H237" s="7"/>
      <c r="I237" s="6"/>
      <c r="J237" s="7"/>
      <c r="K237" s="6"/>
      <c r="L237" s="7"/>
      <c r="M237" s="6"/>
      <c r="N237" s="7"/>
      <c r="O237" s="6"/>
      <c r="P237" s="7"/>
      <c r="Q237" s="6" t="str">
        <f>IFERROR(__xludf.DUMMYFUNCTION("""COMPUTED_VALUE"""),"Luis Euribe")</f>
        <v>Luis Euribe</v>
      </c>
      <c r="R237" s="5" t="str">
        <f>IFERROR(__xludf.DUMMYFUNCTION("""COMPUTED_VALUE"""),"Mie")</f>
        <v>Mie</v>
      </c>
      <c r="S237" s="6" t="str">
        <f>IFERROR(__xludf.DUMMYFUNCTION("""COMPUTED_VALUE"""),"7PM - 10PM")</f>
        <v>7PM - 10PM</v>
      </c>
      <c r="T237" s="7" t="str">
        <f>IFERROR(__xludf.DUMMYFUNCTION("""COMPUTED_VALUE"""),"Miércoles 18 Febrero")</f>
        <v>Miércoles 18 Febrero</v>
      </c>
      <c r="U237" s="7" t="str">
        <f>IFERROR(__xludf.DUMMYFUNCTION("""COMPUTED_VALUE"""),"Miércoles 25 Marzo")</f>
        <v>Miércoles 25 Marzo</v>
      </c>
      <c r="V237" s="8">
        <f>IFERROR(__xludf.DUMMYFUNCTION("""COMPUTED_VALUE"""),5.0)</f>
        <v>5</v>
      </c>
      <c r="W237" s="5" t="str">
        <f>IFERROR(__xludf.DUMMYFUNCTION("""COMPUTED_VALUE"""),"pdfs/BROCHURE KPI'S Y OKR'S.pdf")</f>
        <v>pdfs/BROCHURE KPI'S Y OKR'S.pdf</v>
      </c>
      <c r="X237" s="5" t="str">
        <f>IFERROR(__xludf.DUMMYFUNCTION("""COMPUTED_VALUE"""),"🔵*¡Certificado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for"&amp;"matos
🚨 *Por favor, revisa el BROCHURE* 👇🏻
Aqui encontrarás la información completa del programa, el TEMARIO (malla curricular) y todos los BENEFICIOS 📚")</f>
        <v>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*Por favor, revisa el BROCHURE* 👇🏻
Aqui encontrarás la información completa del programa, el TEMARIO (malla curricular) y todos los BENEFICIOS 📚</v>
      </c>
      <c r="Y237" s="5" t="str">
        <f>IFERROR(__xludf.DUMMYFUNCTION("""COMPUTED_VALUE"""),"images/kpis.jpg")</f>
        <v>images/kpis.jpg</v>
      </c>
      <c r="Z237" s="5" t="str">
        <f>IFERROR(__xludf.DUMMYFUNCTION("""COMPUTED_VALUE"""),"Avalado por Microsoft Partner Network")</f>
        <v>Avalado por Microsoft Partner Network</v>
      </c>
      <c r="AA237" s="5" t="str">
        <f>IFERROR(__xludf.DUMMYFUNCTION("""COMPUTED_VALUE"""),"NO")</f>
        <v>NO</v>
      </c>
      <c r="AB237" s="6">
        <f>IFERROR(__xludf.DUMMYFUNCTION("""COMPUTED_VALUE"""),700.0)</f>
        <v>700</v>
      </c>
      <c r="AC237" s="6">
        <f>IFERROR(__xludf.DUMMYFUNCTION("""COMPUTED_VALUE"""),636.0)</f>
        <v>636</v>
      </c>
      <c r="AD237" s="6">
        <f>IFERROR(__xludf.DUMMYFUNCTION("""COMPUTED_VALUE"""),350.0)</f>
        <v>350</v>
      </c>
      <c r="AE237" s="6">
        <f>IFERROR(__xludf.DUMMYFUNCTION("""COMPUTED_VALUE"""),318.0)</f>
        <v>318</v>
      </c>
      <c r="AF237" s="6">
        <f>IFERROR(__xludf.DUMMYFUNCTION("""COMPUTED_VALUE"""),150.0)</f>
        <v>150</v>
      </c>
      <c r="AG237" s="5">
        <f>IFERROR(__xludf.DUMMYFUNCTION("""COMPUTED_VALUE"""),150.0)</f>
        <v>150</v>
      </c>
      <c r="AH237" s="5"/>
      <c r="AI237" s="5">
        <f>IFERROR(__xludf.DUMMYFUNCTION("""COMPUTED_VALUE"""),286.2)</f>
        <v>286.2</v>
      </c>
      <c r="AJ237" s="5">
        <f>IFERROR(__xludf.DUMMYFUNCTION("""COMPUTED_VALUE"""),315.0)</f>
        <v>315</v>
      </c>
      <c r="AK237" s="5" t="str">
        <f>IFERROR(__xludf.DUMMYFUNCTION("""COMPUTED_VALUE"""),"El éxito de los líderes está en medir lo que importa 📈
Con KPIs y OKRs aprenderás a establecer indicadores y objetivos estratégicos aplicados a casos reales 💼.
Aquí la información completa 👇🏻")</f>
        <v>El éxito de los líderes está en medir lo que importa 📈
Con KPIs y OKRs aprenderás a establecer indicadores y objetivos estratégicos aplicados a casos reales 💼.
Aquí la información completa 👇🏻</v>
      </c>
      <c r="AL237" s="5" t="str">
        <f>IFERROR(__xludf.DUMMYFUNCTION("""COMPUTED_VALUE"""),"🌍 *Excelente*, actualízate con *KPIS Y OKRS* y mantente competitivo en el mercado laboral.")</f>
        <v>🌍 *Excelente*, actualízate con *KPIS Y OKRS* y mantente competitivo en el mercado laboral.</v>
      </c>
      <c r="AM237" s="5" t="str">
        <f>IFERROR(__xludf.DUMMYFUNCTION("""COMPUTED_VALUE"""),"✨ Buenísimo, *KPIS Y OKRS* es de las competencias más pedidas por las empresas y aumentará tus oportunidades laborales.")</f>
        <v>✨ Buenísimo, *KPIS Y OKRS* es de las competencias más pedidas por las empresas y aumentará tus oportunidades laborales.</v>
      </c>
      <c r="AN237" s="5" t="str">
        <f>IFERROR(__xludf.DUMMYFUNCTION("""COMPUTED_VALUE"""),"🌍 ¡Genial! Con *KPIS Y OKRS* sumarás una habilidad poderosa que te diferenciará desde la universidad.")</f>
        <v>🌍 ¡Genial! Con *KPIS Y OKRS* sumarás una habilidad poderosa que te diferenciará desde la universidad.</v>
      </c>
      <c r="AO237" s="5" t="str">
        <f>IFERROR(__xludf.DUMMYFUNCTION("""COMPUTED_VALUE"""),"🛠️ ¡Perfecto! Saber *KPIS Y OKRS* te dará ventaja frente a otros postulantes para conseguir prácticas.")</f>
        <v>🛠️ ¡Perfecto! Saber *KPIS Y OKRS* te dará ventaja frente a otros postulantes para conseguir prácticas.</v>
      </c>
      <c r="AP237" s="5" t="str">
        <f>IFERROR(__xludf.DUMMYFUNCTION("""COMPUTED_VALUE"""),"🎓 ¡Excelente! Con *KPIS Y OKRS* podrás aplicarlo en tu negocio y tomar decisiones más inteligentes.")</f>
        <v>🎓 ¡Excelente! Con *KPIS Y OKRS* podrás aplicarlo en tu negocio y tomar decisiones más inteligentes.</v>
      </c>
      <c r="AQ237" s="9" t="str">
        <f>IFERROR(__xludf.DUMMYFUNCTION("""COMPUTED_VALUE"""),"https://we-educacion.com/slides/kpi-s-y-okr-s-203")</f>
        <v>https://we-educacion.com/slides/kpi-s-y-okr-s-203</v>
      </c>
      <c r="AR237" s="5">
        <v>1.0</v>
      </c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</row>
    <row r="238" ht="15.75" customHeight="1">
      <c r="A238" s="5" t="s">
        <v>280</v>
      </c>
      <c r="B238" s="5" t="str">
        <f t="shared" si="1"/>
        <v>FEB. I - ED26</v>
      </c>
      <c r="C238" s="6" t="str">
        <f>IFERROR(__xludf.DUMMYFUNCTION("""COMPUTED_VALUE"""),"EXCEL")</f>
        <v>EXCEL</v>
      </c>
      <c r="D238" s="5" t="str">
        <f>IFERROR(__xludf.DUMMYFUNCTION("""COMPUTED_VALUE"""),"CURSO")</f>
        <v>CURSO</v>
      </c>
      <c r="E238" s="6" t="str">
        <f>IFERROR(__xludf.DUMMYFUNCTION("""COMPUTED_VALUE"""),"PROG. MACROS")</f>
        <v>PROG. MACROS</v>
      </c>
      <c r="F238" s="7">
        <f>IFERROR(__xludf.DUMMYFUNCTION("""COMPUTED_VALUE"""),46071.0)</f>
        <v>46071</v>
      </c>
      <c r="G238" s="6"/>
      <c r="H238" s="7"/>
      <c r="I238" s="6"/>
      <c r="J238" s="7"/>
      <c r="K238" s="6"/>
      <c r="L238" s="7"/>
      <c r="M238" s="6"/>
      <c r="N238" s="7"/>
      <c r="O238" s="6"/>
      <c r="P238" s="7"/>
      <c r="Q238" s="6" t="str">
        <f>IFERROR(__xludf.DUMMYFUNCTION("""COMPUTED_VALUE"""),"Julio Ccari")</f>
        <v>Julio Ccari</v>
      </c>
      <c r="R238" s="5" t="str">
        <f>IFERROR(__xludf.DUMMYFUNCTION("""COMPUTED_VALUE"""),"Lun-Mie-Vier")</f>
        <v>Lun-Mie-Vier</v>
      </c>
      <c r="S238" s="6" t="str">
        <f>IFERROR(__xludf.DUMMYFUNCTION("""COMPUTED_VALUE"""),"7PM - 10PM")</f>
        <v>7PM - 10PM</v>
      </c>
      <c r="T238" s="7" t="str">
        <f>IFERROR(__xludf.DUMMYFUNCTION("""COMPUTED_VALUE"""),"Miércoles 18 Febrero")</f>
        <v>Miércoles 18 Febrero</v>
      </c>
      <c r="U238" s="7" t="str">
        <f>IFERROR(__xludf.DUMMYFUNCTION("""COMPUTED_VALUE"""),"Lunes 2 Marzo")</f>
        <v>Lunes 2 Marzo</v>
      </c>
      <c r="V238" s="8">
        <f>IFERROR(__xludf.DUMMYFUNCTION("""COMPUTED_VALUE"""),6.0)</f>
        <v>6</v>
      </c>
      <c r="W238" s="5" t="str">
        <f>IFERROR(__xludf.DUMMYFUNCTION("""COMPUTED_VALUE"""),"pdfs/BROCHURE PROGRAMACION CON VBA MACROS.pdf")</f>
        <v>pdfs/BROCHURE PROGRAMACION CON VBA MACROS.pdf</v>
      </c>
      <c r="X238" s="5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38" s="5" t="str">
        <f>IFERROR(__xludf.DUMMYFUNCTION("""COMPUTED_VALUE"""),"images/macros.jpg")</f>
        <v>images/macros.jpg</v>
      </c>
      <c r="Z238" s="5" t="str">
        <f>IFERROR(__xludf.DUMMYFUNCTION("""COMPUTED_VALUE"""),"Avalado por Microsoft Partner Network")</f>
        <v>Avalado por Microsoft Partner Network</v>
      </c>
      <c r="AA238" s="5" t="str">
        <f>IFERROR(__xludf.DUMMYFUNCTION("""COMPUTED_VALUE"""),"NO")</f>
        <v>NO</v>
      </c>
      <c r="AB238" s="6">
        <f>IFERROR(__xludf.DUMMYFUNCTION("""COMPUTED_VALUE"""),470.0)</f>
        <v>470</v>
      </c>
      <c r="AC238" s="6">
        <f>IFERROR(__xludf.DUMMYFUNCTION("""COMPUTED_VALUE"""),440.0)</f>
        <v>440</v>
      </c>
      <c r="AD238" s="6">
        <f>IFERROR(__xludf.DUMMYFUNCTION("""COMPUTED_VALUE"""),235.0)</f>
        <v>235</v>
      </c>
      <c r="AE238" s="6">
        <f>IFERROR(__xludf.DUMMYFUNCTION("""COMPUTED_VALUE"""),220.0)</f>
        <v>220</v>
      </c>
      <c r="AF238" s="6">
        <f>IFERROR(__xludf.DUMMYFUNCTION("""COMPUTED_VALUE"""),150.0)</f>
        <v>150</v>
      </c>
      <c r="AG238" s="5">
        <f>IFERROR(__xludf.DUMMYFUNCTION("""COMPUTED_VALUE"""),150.0)</f>
        <v>150</v>
      </c>
      <c r="AH238" s="5"/>
      <c r="AI238" s="5">
        <f>IFERROR(__xludf.DUMMYFUNCTION("""COMPUTED_VALUE"""),198.0)</f>
        <v>198</v>
      </c>
      <c r="AJ238" s="5">
        <f>IFERROR(__xludf.DUMMYFUNCTION("""COMPUTED_VALUE"""),211.5)</f>
        <v>211.5</v>
      </c>
      <c r="AK238" s="5" t="str">
        <f>IFERROR(__xludf.DUMMYFUNCTION("""COMPUTED_VALUE"""),"El poder está en la automatización 📊
Con Programación en Macros aprenderás a optimizar procesos en Excel y ahorrar tiempo valioso ⏱️.
Aquí tienes la info 👇🏻")</f>
        <v>El poder está en la automatización 📊
Con Programación en Macros aprenderás a optimizar procesos en Excel y ahorrar tiempo valioso ⏱️.
Aquí tienes la info 👇🏻</v>
      </c>
      <c r="AL238" s="5" t="str">
        <f>IFERROR(__xludf.DUMMYFUNCTION("""COMPUTED_VALUE"""),"⚡ Excelente, actualízate con Macros en Excel y mejora tu productividad en el trabajo.")</f>
        <v>⚡ Excelente, actualízate con Macros en Excel y mejora tu productividad en el trabajo.</v>
      </c>
      <c r="AM238" s="5" t="str">
        <f>IFERROR(__xludf.DUMMYFUNCTION("""COMPUTED_VALUE"""),"💼 Buenísimo, dominar Macros es muy valorado en empresas para automatizar reportes.")</f>
        <v>💼 Buenísimo, dominar Macros es muy valorado en empresas para automatizar reportes.</v>
      </c>
      <c r="AN238" s="5" t="str">
        <f>IFERROR(__xludf.DUMMYFUNCTION("""COMPUTED_VALUE"""),"🎓 ¡Genial! Aprender Macros desde la universidad te hará más eficiente en proyectos académicos.")</f>
        <v>🎓 ¡Genial! Aprender Macros desde la universidad te hará más eficiente en proyectos académicos.</v>
      </c>
      <c r="AO238" s="5" t="str">
        <f>IFERROR(__xludf.DUMMYFUNCTION("""COMPUTED_VALUE"""),"🚀 ¡Perfecto! Con Macros podrás sobresalir en prácticas de áreas administrativas y financieras.")</f>
        <v>🚀 ¡Perfecto! Con Macros podrás sobresalir en prácticas de áreas administrativas y financieras.</v>
      </c>
      <c r="AP238" s="5" t="str">
        <f>IFERROR(__xludf.DUMMYFUNCTION("""COMPUTED_VALUE"""),"📊 ¡Excelente! Las Macros te permitirán ahorrar tiempo y optimizar tus procesos de negocio.")</f>
        <v>📊 ¡Excelente! Las Macros te permitirán ahorrar tiempo y optimizar tus procesos de negocio.</v>
      </c>
      <c r="AQ238" s="9" t="str">
        <f>IFERROR(__xludf.DUMMYFUNCTION("""COMPUTED_VALUE"""),"https://we-educacion.com/slides/programacion-con-vba-macros-en-excel-159")</f>
        <v>https://we-educacion.com/slides/programacion-con-vba-macros-en-excel-159</v>
      </c>
      <c r="AR238" s="5">
        <v>1.0</v>
      </c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</row>
    <row r="239" ht="15.75" customHeight="1">
      <c r="A239" s="5" t="s">
        <v>281</v>
      </c>
      <c r="B239" s="5" t="str">
        <f t="shared" si="1"/>
        <v>FEB. I - ED26</v>
      </c>
      <c r="C239" s="6" t="str">
        <f>IFERROR(__xludf.DUMMYFUNCTION("""COMPUTED_VALUE"""),"EXCEL")</f>
        <v>EXCEL</v>
      </c>
      <c r="D239" s="5" t="str">
        <f>IFERROR(__xludf.DUMMYFUNCTION("""COMPUTED_VALUE"""),"ESP.")</f>
        <v>ESP.</v>
      </c>
      <c r="E239" s="6" t="str">
        <f>IFERROR(__xludf.DUMMYFUNCTION("""COMPUTED_VALUE"""),"ESPEC. EXCEL")</f>
        <v>ESPEC. EXCEL</v>
      </c>
      <c r="F239" s="7">
        <f>IFERROR(__xludf.DUMMYFUNCTION("""COMPUTED_VALUE"""),46071.0)</f>
        <v>46071</v>
      </c>
      <c r="G239" s="6" t="str">
        <f>IFERROR(__xludf.DUMMYFUNCTION("""COMPUTED_VALUE"""),"EXCEL BÁSICO")</f>
        <v>EXCEL BÁSICO</v>
      </c>
      <c r="H239" s="7">
        <f>IFERROR(__xludf.DUMMYFUNCTION("""COMPUTED_VALUE"""),46071.0)</f>
        <v>46071</v>
      </c>
      <c r="I239" s="6" t="str">
        <f>IFERROR(__xludf.DUMMYFUNCTION("""COMPUTED_VALUE"""),"EXCEL INTERM")</f>
        <v>EXCEL INTERM</v>
      </c>
      <c r="J239" s="7">
        <f>IFERROR(__xludf.DUMMYFUNCTION("""COMPUTED_VALUE"""),46092.0)</f>
        <v>46092</v>
      </c>
      <c r="K239" s="6" t="str">
        <f>IFERROR(__xludf.DUMMYFUNCTION("""COMPUTED_VALUE"""),"EXCEL AVANZ")</f>
        <v>EXCEL AVANZ</v>
      </c>
      <c r="L239" s="7">
        <f>IFERROR(__xludf.DUMMYFUNCTION("""COMPUTED_VALUE"""),46113.0)</f>
        <v>46113</v>
      </c>
      <c r="M239" s="6"/>
      <c r="N239" s="7"/>
      <c r="O239" s="6"/>
      <c r="P239" s="7"/>
      <c r="Q239" s="6"/>
      <c r="R239" s="5" t="str">
        <f>IFERROR(__xludf.DUMMYFUNCTION("""COMPUTED_VALUE"""),"Lun-Mie")</f>
        <v>Lun-Mie</v>
      </c>
      <c r="S239" s="6" t="str">
        <f>IFERROR(__xludf.DUMMYFUNCTION("""COMPUTED_VALUE"""),"7PM - 10PM")</f>
        <v>7PM - 10PM</v>
      </c>
      <c r="T239" s="7" t="str">
        <f>IFERROR(__xludf.DUMMYFUNCTION("""COMPUTED_VALUE"""),"Miércoles 18 Febrero")</f>
        <v>Miércoles 18 Febrero</v>
      </c>
      <c r="U239" s="7" t="str">
        <f>IFERROR(__xludf.DUMMYFUNCTION("""COMPUTED_VALUE"""),"Lunes 20 Abril")</f>
        <v>Lunes 20 Abril</v>
      </c>
      <c r="V239" s="8">
        <f>IFERROR(__xludf.DUMMYFUNCTION("""COMPUTED_VALUE"""),17.0)</f>
        <v>17</v>
      </c>
      <c r="W239" s="5" t="str">
        <f>IFERROR(__xludf.DUMMYFUNCTION("""COMPUTED_VALUE"""),"pdfs/BROCHURE ESPECIALIZACION DE EXCEL.pdf")</f>
        <v>pdfs/BROCHURE ESPECIALIZACION DE EXCEL.pdf</v>
      </c>
      <c r="X239" s="5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*Por favor, revisa el BROCHURE* 👇🏻
Aqui encontrarás la información completa del programa, el TEMARIO (malla curricular) y todos los BE"&amp;"NEFICIOS 📚")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39" s="5" t="str">
        <f>IFERROR(__xludf.DUMMYFUNCTION("""COMPUTED_VALUE"""),"images/espexcel.jpg")</f>
        <v>images/espexcel.jpg</v>
      </c>
      <c r="Z239" s="5" t="str">
        <f>IFERROR(__xludf.DUMMYFUNCTION("""COMPUTED_VALUE"""),"Avalado por Microsoft Partner Network")</f>
        <v>Avalado por Microsoft Partner Network</v>
      </c>
      <c r="AA239" s="5" t="str">
        <f>IFERROR(__xludf.DUMMYFUNCTION("""COMPUTED_VALUE"""),"NO")</f>
        <v>NO</v>
      </c>
      <c r="AB239" s="6">
        <f>IFERROR(__xludf.DUMMYFUNCTION("""COMPUTED_VALUE"""),1200.0)</f>
        <v>1200</v>
      </c>
      <c r="AC239" s="6">
        <f>IFERROR(__xludf.DUMMYFUNCTION("""COMPUTED_VALUE"""),1140.0)</f>
        <v>1140</v>
      </c>
      <c r="AD239" s="6">
        <f>IFERROR(__xludf.DUMMYFUNCTION("""COMPUTED_VALUE"""),600.0)</f>
        <v>600</v>
      </c>
      <c r="AE239" s="6">
        <f>IFERROR(__xludf.DUMMYFUNCTION("""COMPUTED_VALUE"""),570.0)</f>
        <v>570</v>
      </c>
      <c r="AF239" s="6">
        <f>IFERROR(__xludf.DUMMYFUNCTION("""COMPUTED_VALUE"""),250.0)</f>
        <v>250</v>
      </c>
      <c r="AG239" s="5">
        <f>IFERROR(__xludf.DUMMYFUNCTION("""COMPUTED_VALUE"""),350.0)</f>
        <v>350</v>
      </c>
      <c r="AH239" s="5"/>
      <c r="AI239" s="5">
        <f>IFERROR(__xludf.DUMMYFUNCTION("""COMPUTED_VALUE"""),513.0)</f>
        <v>513</v>
      </c>
      <c r="AJ239" s="5">
        <f>IFERROR(__xludf.DUMMYFUNCTION("""COMPUTED_VALUE"""),540.0)</f>
        <v>540</v>
      </c>
      <c r="AK239" s="5" t="str">
        <f>IFERROR(__xludf.DUMMYFUNCTION("""COMPUTED_VALUE"""),"Hoy el dominio de datos se traduce en oportunidades 🚀
Con la Especialización en Excel aprenderás a manejar información con agilidad y a tomar decisiones estratégicas con base en datos 💼.
Aquí tienes la info a detalle 👇🏻")</f>
        <v>Hoy el dominio de datos se traduce en oportunidades 🚀
Con la Especialización en Excel aprenderás a manejar información con agilidad y a tomar decisiones estratégicas con base en datos 💼.
Aquí tienes la info a detalle 👇🏻</v>
      </c>
      <c r="AL239" s="5" t="str">
        <f>IFERROR(__xludf.DUMMYFUNCTION("""COMPUTED_VALUE"""),"Excelente 🙌, actualízate con la Especialización en Excel y mantén al día tus competencias más demandadas 🔥.")</f>
        <v>Excelente 🙌, actualízate con la Especialización en Excel y mantén al día tus competencias más demandadas 🔥.</v>
      </c>
      <c r="AM239" s="5" t="str">
        <f>IFERROR(__xludf.DUMMYFUNCTION("""COMPUTED_VALUE"""),"Buenísimo 💼, las empresas valoran muchísimo el dominio de Excel. Con esta especialización, aumentarás tus opciones de empleo 🚀")</f>
        <v>Buenísimo 💼, las empresas valoran muchísimo el dominio de Excel. Con esta especialización, aumentarás tus opciones de empleo 🚀</v>
      </c>
      <c r="AN239" s="5" t="str">
        <f>IFERROR(__xludf.DUMMYFUNCTION("""COMPUTED_VALUE"""),"¡Excelente! 🎓 Con Excel aprenderás a manejar datos y reportes 📊, diferenciándote en la universidad.")</f>
        <v>¡Excelente! 🎓 Con Excel aprenderás a manejar datos y reportes 📊, diferenciándote en la universidad.</v>
      </c>
      <c r="AO239" s="5" t="str">
        <f>IFERROR(__xludf.DUMMYFUNCTION("""COMPUTED_VALUE"""),"¡Perfecto! ✅ Saber Excel es un plus muy valorado para acceder a prácticas 👩🏻‍💻👨🏻‍💻.")</f>
        <v>¡Perfecto! ✅ Saber Excel es un plus muy valorado para acceder a prácticas 👩🏻‍💻👨🏻‍💻.</v>
      </c>
      <c r="AP239" s="5" t="str">
        <f>IFERROR(__xludf.DUMMYFUNCTION("""COMPUTED_VALUE"""),"¡Excelente! 💡 Con Excel gestionarás tu negocio con reportes claros 📑 y decisiones inteligentes.")</f>
        <v>¡Excelente! 💡 Con Excel gestionarás tu negocio con reportes claros 📑 y decisiones inteligentes.</v>
      </c>
      <c r="AQ239" s="9" t="str">
        <f>IFERROR(__xludf.DUMMYFUNCTION("""COMPUTED_VALUE"""),"https://we-educacion.com/slides/especializacion-en-microsoft-excel-77")</f>
        <v>https://we-educacion.com/slides/especializacion-en-microsoft-excel-77</v>
      </c>
      <c r="AR239" s="5">
        <v>1.0</v>
      </c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</row>
    <row r="240" ht="15.75" customHeight="1">
      <c r="A240" s="5" t="s">
        <v>282</v>
      </c>
      <c r="B240" s="5" t="str">
        <f t="shared" si="1"/>
        <v>FEB. I - ED26</v>
      </c>
      <c r="C240" s="6" t="str">
        <f>IFERROR(__xludf.DUMMYFUNCTION("""COMPUTED_VALUE"""),"EXCEL")</f>
        <v>EXCEL</v>
      </c>
      <c r="D240" s="5" t="str">
        <f>IFERROR(__xludf.DUMMYFUNCTION("""COMPUTED_VALUE"""),"ESP.")</f>
        <v>ESP.</v>
      </c>
      <c r="E240" s="6" t="str">
        <f>IFERROR(__xludf.DUMMYFUNCTION("""COMPUTED_VALUE"""),"ESP. EXCEL EXP")</f>
        <v>ESP. EXCEL EXP</v>
      </c>
      <c r="F240" s="7">
        <f>IFERROR(__xludf.DUMMYFUNCTION("""COMPUTED_VALUE"""),46071.0)</f>
        <v>46071</v>
      </c>
      <c r="G240" s="6" t="str">
        <f>IFERROR(__xludf.DUMMYFUNCTION("""COMPUTED_VALUE"""),"EXCEL BÁSICO")</f>
        <v>EXCEL BÁSICO</v>
      </c>
      <c r="H240" s="7">
        <f>IFERROR(__xludf.DUMMYFUNCTION("""COMPUTED_VALUE"""),46071.0)</f>
        <v>46071</v>
      </c>
      <c r="I240" s="6" t="str">
        <f>IFERROR(__xludf.DUMMYFUNCTION("""COMPUTED_VALUE"""),"EXCEL INTERM")</f>
        <v>EXCEL INTERM</v>
      </c>
      <c r="J240" s="7">
        <f>IFERROR(__xludf.DUMMYFUNCTION("""COMPUTED_VALUE"""),46092.0)</f>
        <v>46092</v>
      </c>
      <c r="K240" s="6" t="str">
        <f>IFERROR(__xludf.DUMMYFUNCTION("""COMPUTED_VALUE"""),"EXCEL AVANZ")</f>
        <v>EXCEL AVANZ</v>
      </c>
      <c r="L240" s="7">
        <f>IFERROR(__xludf.DUMMYFUNCTION("""COMPUTED_VALUE"""),46113.0)</f>
        <v>46113</v>
      </c>
      <c r="M240" s="6" t="str">
        <f>IFERROR(__xludf.DUMMYFUNCTION("""COMPUTED_VALUE"""),"PROG. MACROS")</f>
        <v>PROG. MACROS</v>
      </c>
      <c r="N240" s="7">
        <f>IFERROR(__xludf.DUMMYFUNCTION("""COMPUTED_VALUE"""),46134.0)</f>
        <v>46134</v>
      </c>
      <c r="O240" s="6"/>
      <c r="P240" s="7"/>
      <c r="Q240" s="6"/>
      <c r="R240" s="5" t="str">
        <f>IFERROR(__xludf.DUMMYFUNCTION("""COMPUTED_VALUE"""),"Lun-Mie")</f>
        <v>Lun-Mie</v>
      </c>
      <c r="S240" s="6" t="str">
        <f>IFERROR(__xludf.DUMMYFUNCTION("""COMPUTED_VALUE"""),"7PM - 10PM")</f>
        <v>7PM - 10PM</v>
      </c>
      <c r="T240" s="7" t="str">
        <f>IFERROR(__xludf.DUMMYFUNCTION("""COMPUTED_VALUE"""),"Miércoles 18 Febrero")</f>
        <v>Miércoles 18 Febrero</v>
      </c>
      <c r="U240" s="7" t="str">
        <f>IFERROR(__xludf.DUMMYFUNCTION("""COMPUTED_VALUE"""),"Lunes 11 Mayo")</f>
        <v>Lunes 11 Mayo</v>
      </c>
      <c r="V240" s="8">
        <f>IFERROR(__xludf.DUMMYFUNCTION("""COMPUTED_VALUE"""),23.0)</f>
        <v>23</v>
      </c>
      <c r="W240" s="5" t="str">
        <f>IFERROR(__xludf.DUMMYFUNCTION("""COMPUTED_VALUE"""),"pdfs/BROCHURE ESPECIALIZACION DE EXCEL EXPERT.pdf")</f>
        <v>pdfs/BROCHURE ESPECIALIZACION DE EXCEL EXPERT.pdf</v>
      </c>
      <c r="X240" s="5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MOS*
🔹 "&amp;"05 Cursos Online de regalo con acceso ilimitado 📚
🔹 Desarrollo y seguimiento de tu proyecto *(Evaluado)*
🔹 Contenido Integrado con Chat GPT
🔹 Garantía de Aprendizaje 100%
🚨 *Por favor, revisa el BROCHURE* 👇🏻
Aqui encontrarás la información complet"&amp;"a del programa, el TEMARIO (malla curricular) y todos los BENEFICIOS 📚")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40" s="5" t="str">
        <f>IFERROR(__xludf.DUMMYFUNCTION("""COMPUTED_VALUE"""),"images/excelexp.jpg")</f>
        <v>images/excelexp.jpg</v>
      </c>
      <c r="Z240" s="5" t="str">
        <f>IFERROR(__xludf.DUMMYFUNCTION("""COMPUTED_VALUE"""),"Avalado por Microsoft Partner Network")</f>
        <v>Avalado por Microsoft Partner Network</v>
      </c>
      <c r="AA240" s="5" t="str">
        <f>IFERROR(__xludf.DUMMYFUNCTION("""COMPUTED_VALUE"""),"NO")</f>
        <v>NO</v>
      </c>
      <c r="AB240" s="6">
        <f>IFERROR(__xludf.DUMMYFUNCTION("""COMPUTED_VALUE"""),1600.0)</f>
        <v>1600</v>
      </c>
      <c r="AC240" s="6">
        <f>IFERROR(__xludf.DUMMYFUNCTION("""COMPUTED_VALUE"""),1520.0)</f>
        <v>1520</v>
      </c>
      <c r="AD240" s="6">
        <f>IFERROR(__xludf.DUMMYFUNCTION("""COMPUTED_VALUE"""),800.0)</f>
        <v>800</v>
      </c>
      <c r="AE240" s="6">
        <f>IFERROR(__xludf.DUMMYFUNCTION("""COMPUTED_VALUE"""),760.0)</f>
        <v>760</v>
      </c>
      <c r="AF240" s="6">
        <f>IFERROR(__xludf.DUMMYFUNCTION("""COMPUTED_VALUE"""),250.0)</f>
        <v>250</v>
      </c>
      <c r="AG240" s="5">
        <f>IFERROR(__xludf.DUMMYFUNCTION("""COMPUTED_VALUE"""),350.0)</f>
        <v>350</v>
      </c>
      <c r="AH240" s="5"/>
      <c r="AI240" s="5">
        <f>IFERROR(__xludf.DUMMYFUNCTION("""COMPUTED_VALUE"""),684.0)</f>
        <v>684</v>
      </c>
      <c r="AJ240" s="5">
        <f>IFERROR(__xludf.DUMMYFUNCTION("""COMPUTED_VALUE"""),720.0)</f>
        <v>720</v>
      </c>
      <c r="AK240" s="5" t="str">
        <f>IFERROR(__xludf.DUMMYFUNCTION("""COMPUTED_VALUE"""),"El lenguaje de los profesionales competitivos es Excel Experto 🔥
En pocas semanas dominarás funciones avanzadas y automatización aplicada a casos reales de negocio.
Ahora te comparto la información completa 👇🏻")</f>
        <v>El lenguaje de los profesionales competitivos es Excel Experto 🔥
En pocas semanas dominarás funciones avanzadas y automatización aplicada a casos reales de negocio.
Ahora te comparto la información completa 👇🏻</v>
      </c>
      <c r="AL240" s="5" t="str">
        <f>IFERROR(__xludf.DUMMYFUNCTION("""COMPUTED_VALUE"""),"Excelente 🙌, con Excel Experto actualizarás tus habilidades en funciones avanzadas y automatización ⚡, manteniéndote competitivo.")</f>
        <v>Excelente 🙌, con Excel Experto actualizarás tus habilidades en funciones avanzadas y automatización ⚡, manteniéndote competitivo.</v>
      </c>
      <c r="AM240" s="5" t="str">
        <f>IFERROR(__xludf.DUMMYFUNCTION("""COMPUTED_VALUE"""),"Buenísimo 💼, Excel es de las competencias más pedidas 📊. Dominarlo abrirá más oportunidades laborales 🚀.")</f>
        <v>Buenísimo 💼, Excel es de las competencias más pedidas 📊. Dominarlo abrirá más oportunidades laborales 🚀.</v>
      </c>
      <c r="AN240" s="5" t="str">
        <f>IFERROR(__xludf.DUMMYFUNCTION("""COMPUTED_VALUE"""),"¡Excelente! 🎓 Con Excel Experto sumarás una ventaja práctica desde la universidad y destacarás en tus proyectos 📘.")</f>
        <v>¡Excelente! 🎓 Con Excel Experto sumarás una ventaja práctica desde la universidad y destacarás en tus proyectos 📘.</v>
      </c>
      <c r="AO240" s="5" t="str">
        <f>IFERROR(__xludf.DUMMYFUNCTION("""COMPUTED_VALUE"""),"¡Perfecto! 🔑 Saber Excel Experto te dará ventaja frente a otros postulantes, clave para conseguir prácticas 📝.")</f>
        <v>¡Perfecto! 🔑 Saber Excel Experto te dará ventaja frente a otros postulantes, clave para conseguir prácticas 📝.</v>
      </c>
      <c r="AP240" s="5" t="str">
        <f>IFERROR(__xludf.DUMMYFUNCTION("""COMPUTED_VALUE"""),"¡Excelente! 💡 Con Excel Experto podrás manejar y analizar la información de tu negocio 📈 de forma más profesional.")</f>
        <v>¡Excelente! 💡 Con Excel Experto podrás manejar y analizar la información de tu negocio 📈 de forma más profesional.</v>
      </c>
      <c r="AQ240" s="9" t="str">
        <f>IFERROR(__xludf.DUMMYFUNCTION("""COMPUTED_VALUE"""),"https://we-educacion.com/slides/especializacion-en-microsoft-excel-expert-272")</f>
        <v>https://we-educacion.com/slides/especializacion-en-microsoft-excel-expert-272</v>
      </c>
      <c r="AR240" s="5">
        <v>1.0</v>
      </c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</row>
    <row r="241" ht="15.75" customHeight="1">
      <c r="A241" s="5" t="s">
        <v>283</v>
      </c>
      <c r="B241" s="5" t="str">
        <f t="shared" si="1"/>
        <v>FEB. I - ED26</v>
      </c>
      <c r="C241" s="6" t="str">
        <f>IFERROR(__xludf.DUMMYFUNCTION("""COMPUTED_VALUE"""),"EXCEL")</f>
        <v>EXCEL</v>
      </c>
      <c r="D241" s="6" t="str">
        <f>IFERROR(__xludf.DUMMYFUNCTION("""COMPUTED_VALUE"""),"CURSO")</f>
        <v>CURSO</v>
      </c>
      <c r="E241" s="6" t="str">
        <f>IFERROR(__xludf.DUMMYFUNCTION("""COMPUTED_VALUE"""),"EXCEL BÁSICO")</f>
        <v>EXCEL BÁSICO</v>
      </c>
      <c r="F241" s="7">
        <f>IFERROR(__xludf.DUMMYFUNCTION("""COMPUTED_VALUE"""),46071.0)</f>
        <v>46071</v>
      </c>
      <c r="G241" s="6"/>
      <c r="H241" s="7"/>
      <c r="I241" s="6"/>
      <c r="J241" s="7"/>
      <c r="K241" s="6"/>
      <c r="L241" s="7"/>
      <c r="M241" s="6"/>
      <c r="N241" s="7"/>
      <c r="O241" s="6"/>
      <c r="P241" s="7"/>
      <c r="Q241" s="6"/>
      <c r="R241" s="5" t="str">
        <f>IFERROR(__xludf.DUMMYFUNCTION("""COMPUTED_VALUE"""),"Lun-Mie")</f>
        <v>Lun-Mie</v>
      </c>
      <c r="S241" s="6" t="str">
        <f>IFERROR(__xludf.DUMMYFUNCTION("""COMPUTED_VALUE"""),"7PM - 10PM")</f>
        <v>7PM - 10PM</v>
      </c>
      <c r="T241" s="7" t="str">
        <f>IFERROR(__xludf.DUMMYFUNCTION("""COMPUTED_VALUE"""),"Miércoles 18 Febrero")</f>
        <v>Miércoles 18 Febrero</v>
      </c>
      <c r="U241" s="7" t="str">
        <f>IFERROR(__xludf.DUMMYFUNCTION("""COMPUTED_VALUE"""),"Miércoles 4 Marzo")</f>
        <v>Miércoles 4 Marzo</v>
      </c>
      <c r="V241" s="8">
        <f>IFERROR(__xludf.DUMMYFUNCTION("""COMPUTED_VALUE"""),5.0)</f>
        <v>5</v>
      </c>
      <c r="W241" s="5" t="str">
        <f>IFERROR(__xludf.DUMMYFUNCTION("""COMPUTED_VALUE"""),"pdfs/BROCHURE EXCEL BÁSICO.pdf")</f>
        <v>pdfs/BROCHURE EXCEL BÁSICO.pdf</v>
      </c>
      <c r="X241" s="5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41" s="5" t="str">
        <f>IFERROR(__xludf.DUMMYFUNCTION("""COMPUTED_VALUE"""),"images/excelbasico.jpg")</f>
        <v>images/excelbasico.jpg</v>
      </c>
      <c r="Z241" s="5" t="str">
        <f>IFERROR(__xludf.DUMMYFUNCTION("""COMPUTED_VALUE"""),"Avalado por Microsoft Partner Network")</f>
        <v>Avalado por Microsoft Partner Network</v>
      </c>
      <c r="AA241" s="5" t="str">
        <f>IFERROR(__xludf.DUMMYFUNCTION("""COMPUTED_VALUE"""),"NO")</f>
        <v>NO</v>
      </c>
      <c r="AB241" s="6">
        <f>IFERROR(__xludf.DUMMYFUNCTION("""COMPUTED_VALUE"""),400.0)</f>
        <v>400</v>
      </c>
      <c r="AC241" s="6">
        <f>IFERROR(__xludf.DUMMYFUNCTION("""COMPUTED_VALUE"""),380.0)</f>
        <v>380</v>
      </c>
      <c r="AD241" s="6">
        <f>IFERROR(__xludf.DUMMYFUNCTION("""COMPUTED_VALUE"""),200.0)</f>
        <v>200</v>
      </c>
      <c r="AE241" s="6">
        <f>IFERROR(__xludf.DUMMYFUNCTION("""COMPUTED_VALUE"""),190.0)</f>
        <v>190</v>
      </c>
      <c r="AF241" s="6">
        <f>IFERROR(__xludf.DUMMYFUNCTION("""COMPUTED_VALUE"""),150.0)</f>
        <v>150</v>
      </c>
      <c r="AG241" s="5">
        <f>IFERROR(__xludf.DUMMYFUNCTION("""COMPUTED_VALUE"""),150.0)</f>
        <v>150</v>
      </c>
      <c r="AH241" s="5"/>
      <c r="AI241" s="5">
        <f>IFERROR(__xludf.DUMMYFUNCTION("""COMPUTED_VALUE"""),171.0)</f>
        <v>171</v>
      </c>
      <c r="AJ241" s="5">
        <f>IFERROR(__xludf.DUMMYFUNCTION("""COMPUTED_VALUE"""),180.0)</f>
        <v>180</v>
      </c>
      <c r="AK241" s="5" t="str">
        <f>IFERROR(__xludf.DUMMYFUNCTION("""COMPUTED_VALUE"""),"Todo gran profesional empieza dominando Excel Básico 📝
En pocas semanas aprenderás a manejar hojas de cálculo y análisis de datos de forma práctica 💼.
Aquí la información completa 👇🏻")</f>
        <v>Todo gran profesional empieza dominando Excel Básico 📝
En pocas semanas aprenderás a manejar hojas de cálculo y análisis de datos de forma práctica 💼.
Aquí la información completa 👇🏻</v>
      </c>
      <c r="AL241" s="5" t="str">
        <f>IFERROR(__xludf.DUMMYFUNCTION("""COMPUTED_VALUE"""),"🔑 *Excelente*, actualízate con *EXCEL BÁSICO* y mantente competitivo en el mercado laboral.")</f>
        <v>🔑 *Excelente*, actualízate con *EXCEL BÁSICO* y mantente competitivo en el mercado laboral.</v>
      </c>
      <c r="AM241" s="5" t="str">
        <f>IFERROR(__xludf.DUMMYFUNCTION("""COMPUTED_VALUE"""),"💼 Buenísimo, *EXCEL BÁSICO* es de las competencias más pedidas por las empresas y aumentará tus oportunidades laborales.")</f>
        <v>💼 Buenísimo, *EXCEL BÁSICO* es de las competencias más pedidas por las empresas y aumentará tus oportunidades laborales.</v>
      </c>
      <c r="AN241" s="5" t="str">
        <f>IFERROR(__xludf.DUMMYFUNCTION("""COMPUTED_VALUE"""),"⚡ ¡Genial! Con *EXCEL BÁSICO* sumarás una habilidad poderosa que te diferenciará desde la universidad.")</f>
        <v>⚡ ¡Genial! Con *EXCEL BÁSICO* sumarás una habilidad poderosa que te diferenciará desde la universidad.</v>
      </c>
      <c r="AO241" s="5" t="str">
        <f>IFERROR(__xludf.DUMMYFUNCTION("""COMPUTED_VALUE"""),"🎓 ¡Perfecto! Saber *EXCEL BÁSICO* te dará ventaja frente a otros postulantes para conseguir prácticas.")</f>
        <v>🎓 ¡Perfecto! Saber *EXCEL BÁSICO* te dará ventaja frente a otros postulantes para conseguir prácticas.</v>
      </c>
      <c r="AP241" s="5" t="str">
        <f>IFERROR(__xludf.DUMMYFUNCTION("""COMPUTED_VALUE"""),"🏆 ¡Excelente! Con *EXCEL BÁSICO* podrás aplicarlo en tu negocio y tomar decisiones más inteligentes.")</f>
        <v>🏆 ¡Excelente! Con *EXCEL BÁSICO* podrás aplicarlo en tu negocio y tomar decisiones más inteligentes.</v>
      </c>
      <c r="AQ241" s="9" t="str">
        <f>IFERROR(__xludf.DUMMYFUNCTION("""COMPUTED_VALUE"""),"https://we-educacion.com/slides/microsoft-excel-basico-221")</f>
        <v>https://we-educacion.com/slides/microsoft-excel-basico-221</v>
      </c>
      <c r="AR241" s="5">
        <v>1.0</v>
      </c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</row>
    <row r="242" ht="15.75" customHeight="1">
      <c r="A242" s="5" t="s">
        <v>284</v>
      </c>
      <c r="B242" s="5" t="str">
        <f t="shared" si="1"/>
        <v>FEB. I - ED26</v>
      </c>
      <c r="C242" s="6" t="str">
        <f>IFERROR(__xludf.DUMMYFUNCTION("""COMPUTED_VALUE"""),"BI")</f>
        <v>BI</v>
      </c>
      <c r="D242" s="5" t="str">
        <f>IFERROR(__xludf.DUMMYFUNCTION("""COMPUTED_VALUE"""),"ESP.")</f>
        <v>ESP.</v>
      </c>
      <c r="E242" s="6" t="str">
        <f>IFERROR(__xludf.DUMMYFUNCTION("""COMPUTED_VALUE"""),"ESP. POWER BI")</f>
        <v>ESP. POWER BI</v>
      </c>
      <c r="F242" s="7">
        <f>IFERROR(__xludf.DUMMYFUNCTION("""COMPUTED_VALUE"""),46071.0)</f>
        <v>46071</v>
      </c>
      <c r="G242" s="6" t="str">
        <f>IFERROR(__xludf.DUMMYFUNCTION("""COMPUTED_VALUE"""),"POWER BI")</f>
        <v>POWER BI</v>
      </c>
      <c r="H242" s="7">
        <f>IFERROR(__xludf.DUMMYFUNCTION("""COMPUTED_VALUE"""),46071.0)</f>
        <v>46071</v>
      </c>
      <c r="I242" s="6" t="str">
        <f>IFERROR(__xludf.DUMMYFUNCTION("""COMPUTED_VALUE"""),"POWER BI AVANZ")</f>
        <v>POWER BI AVANZ</v>
      </c>
      <c r="J242" s="7">
        <f>IFERROR(__xludf.DUMMYFUNCTION("""COMPUTED_VALUE"""),46092.0)</f>
        <v>46092</v>
      </c>
      <c r="K242" s="6"/>
      <c r="L242" s="7"/>
      <c r="M242" s="6"/>
      <c r="N242" s="7"/>
      <c r="O242" s="6"/>
      <c r="P242" s="7"/>
      <c r="Q242" s="6" t="str">
        <f>IFERROR(__xludf.DUMMYFUNCTION("""COMPUTED_VALUE"""),"Carlos De La Lama
Fernando Durand")</f>
        <v>Carlos De La Lama
Fernando Durand</v>
      </c>
      <c r="R242" s="5" t="str">
        <f>IFERROR(__xludf.DUMMYFUNCTION("""COMPUTED_VALUE"""),"Lun-Mie")</f>
        <v>Lun-Mie</v>
      </c>
      <c r="S242" s="6" t="str">
        <f>IFERROR(__xludf.DUMMYFUNCTION("""COMPUTED_VALUE"""),"7PM - 10PM")</f>
        <v>7PM - 10PM</v>
      </c>
      <c r="T242" s="7" t="str">
        <f>IFERROR(__xludf.DUMMYFUNCTION("""COMPUTED_VALUE"""),"Miércoles 18 Febrero")</f>
        <v>Miércoles 18 Febrero</v>
      </c>
      <c r="U242" s="7" t="str">
        <f>IFERROR(__xludf.DUMMYFUNCTION("""COMPUTED_VALUE"""),"Lunes 6 Abril")</f>
        <v>Lunes 6 Abril</v>
      </c>
      <c r="V242" s="8">
        <f>IFERROR(__xludf.DUMMYFUNCTION("""COMPUTED_VALUE"""),12.0)</f>
        <v>12</v>
      </c>
      <c r="W242" s="5" t="str">
        <f>IFERROR(__xludf.DUMMYFUNCTION("""COMPUTED_VALUE"""),"pdfs/BROCHURE ESPECIALIZACION DE POWER BI.pdf")</f>
        <v>pdfs/BROCHURE ESPECIALIZACION DE POWER BI.pdf</v>
      </c>
      <c r="X242" s="5" t="str">
        <f>IFERROR(__xludf.DUMMYFUNCTION("""COMPUTED_VALUE"""),"🔵 *Utilizarán Power BI Desktop y Power BI Pro* 👩🏻‍💻
👉🏼 Incluye tutorial y manual de instalación
👉🏼 Manual de Lenguaje DAX en Power BI
💻 _*Importante*: Para la instalación se necesita una Laptop *Windows*_
🚨 *Por favor, revisa el BROCHURE* 👇🏻
"&amp;"Aqui encontrarás la información completa del programa, el TEMARIO (malla curricular) y todos los BENEFICIOS 📚")</f>
        <v>🔵 *Utilizarán Power BI Desktop y Power BI Pro*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242" s="5" t="str">
        <f>IFERROR(__xludf.DUMMYFUNCTION("""COMPUTED_VALUE"""),"images/esppowerbi.jpg")</f>
        <v>images/esppowerbi.jpg</v>
      </c>
      <c r="Z242" s="5" t="str">
        <f>IFERROR(__xludf.DUMMYFUNCTION("""COMPUTED_VALUE"""),"Avalado por Microsoft Partner Network")</f>
        <v>Avalado por Microsoft Partner Network</v>
      </c>
      <c r="AA242" s="5" t="str">
        <f>IFERROR(__xludf.DUMMYFUNCTION("""COMPUTED_VALUE"""),"NO")</f>
        <v>NO</v>
      </c>
      <c r="AB242" s="6">
        <f>IFERROR(__xludf.DUMMYFUNCTION("""COMPUTED_VALUE"""),1600.0)</f>
        <v>1600</v>
      </c>
      <c r="AC242" s="6">
        <f>IFERROR(__xludf.DUMMYFUNCTION("""COMPUTED_VALUE"""),1400.0)</f>
        <v>1400</v>
      </c>
      <c r="AD242" s="6">
        <f>IFERROR(__xludf.DUMMYFUNCTION("""COMPUTED_VALUE"""),800.0)</f>
        <v>800</v>
      </c>
      <c r="AE242" s="6">
        <f>IFERROR(__xludf.DUMMYFUNCTION("""COMPUTED_VALUE"""),700.0)</f>
        <v>700</v>
      </c>
      <c r="AF242" s="6">
        <f>IFERROR(__xludf.DUMMYFUNCTION("""COMPUTED_VALUE"""),250.0)</f>
        <v>250</v>
      </c>
      <c r="AG242" s="5">
        <f>IFERROR(__xludf.DUMMYFUNCTION("""COMPUTED_VALUE"""),350.0)</f>
        <v>350</v>
      </c>
      <c r="AH242" s="5"/>
      <c r="AI242" s="5">
        <f>IFERROR(__xludf.DUMMYFUNCTION("""COMPUTED_VALUE"""),630.0)</f>
        <v>630</v>
      </c>
      <c r="AJ242" s="5">
        <f>IFERROR(__xludf.DUMMYFUNCTION("""COMPUTED_VALUE"""),720.0)</f>
        <v>720</v>
      </c>
      <c r="AK242" s="5" t="str">
        <f>IFERROR(__xludf.DUMMYFUNCTION("""COMPUTED_VALUE"""),"El lenguaje de las empresas hoy son los datos 🚀
Conviértete en especialista en Power BI y domina la visualización de información estratégica 📊
👉🏻 Aquí tienes el detalle.")</f>
        <v>El lenguaje de las empresas hoy son los datos 🚀
Conviértete en especialista en Power BI y domina la visualización de información estratégica 📊
👉🏻 Aquí tienes el detalle.</v>
      </c>
      <c r="AL242" s="5" t="str">
        <f>IFERROR(__xludf.DUMMYFUNCTION("""COMPUTED_VALUE"""),"📈 Excelente, actualízate con Power BI y domina la inteligencia de negocios.")</f>
        <v>📈 Excelente, actualízate con Power BI y domina la inteligencia de negocios.</v>
      </c>
      <c r="AM242" s="5" t="str">
        <f>IFERROR(__xludf.DUMMYFUNCTION("""COMPUTED_VALUE"""),"💼 Buenísimo, muy buscado en empresas que requieren análisis y dashboards.")</f>
        <v>💼 Buenísimo, muy buscado en empresas que requieren análisis y dashboards.</v>
      </c>
      <c r="AN242" s="5" t="str">
        <f>IFERROR(__xludf.DUMMYFUNCTION("""COMPUTED_VALUE"""),"🚀 Genial, será tu diferencial en el mercado laboral.")</f>
        <v>🚀 Genial, será tu diferencial en el mercado laboral.</v>
      </c>
      <c r="AO242" s="5" t="str">
        <f>IFERROR(__xludf.DUMMYFUNCTION("""COMPUTED_VALUE"""),"📊 Perfecto, Power BI te dará ventaja en reportes y decisiones en prácticas.")</f>
        <v>📊 Perfecto, Power BI te dará ventaja en reportes y decisiones en prácticas.</v>
      </c>
      <c r="AP242" s="5" t="str">
        <f>IFERROR(__xludf.DUMMYFUNCTION("""COMPUTED_VALUE"""),"🔑 Excelente, con Power BI podrás visualizar tu negocio con datos claros.")</f>
        <v>🔑 Excelente, con Power BI podrás visualizar tu negocio con datos claros.</v>
      </c>
      <c r="AQ242" s="9" t="str">
        <f>IFERROR(__xludf.DUMMYFUNCTION("""COMPUTED_VALUE"""),"https://we-educacion.com/slides/especializacion-en-power-bi-106")</f>
        <v>https://we-educacion.com/slides/especializacion-en-power-bi-106</v>
      </c>
      <c r="AR242" s="5">
        <v>1.0</v>
      </c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</row>
    <row r="243" ht="15.75" customHeight="1">
      <c r="A243" s="5" t="s">
        <v>285</v>
      </c>
      <c r="B243" s="5" t="str">
        <f t="shared" si="1"/>
        <v>FEB. II - ED26</v>
      </c>
      <c r="C243" s="6" t="str">
        <f>IFERROR(__xludf.DUMMYFUNCTION("""COMPUTED_VALUE"""),"BI")</f>
        <v>BI</v>
      </c>
      <c r="D243" s="6" t="str">
        <f>IFERROR(__xludf.DUMMYFUNCTION("""COMPUTED_VALUE"""),"CURSO")</f>
        <v>CURSO</v>
      </c>
      <c r="E243" s="6" t="str">
        <f>IFERROR(__xludf.DUMMYFUNCTION("""COMPUTED_VALUE"""),"POWER BI")</f>
        <v>POWER BI</v>
      </c>
      <c r="F243" s="7">
        <f>IFERROR(__xludf.DUMMYFUNCTION("""COMPUTED_VALUE"""),46071.0)</f>
        <v>46071</v>
      </c>
      <c r="G243" s="6"/>
      <c r="H243" s="7"/>
      <c r="I243" s="6"/>
      <c r="J243" s="7"/>
      <c r="K243" s="6"/>
      <c r="L243" s="7"/>
      <c r="M243" s="6"/>
      <c r="N243" s="7"/>
      <c r="O243" s="6"/>
      <c r="P243" s="7"/>
      <c r="Q243" s="6" t="str">
        <f>IFERROR(__xludf.DUMMYFUNCTION("""COMPUTED_VALUE"""),"Carlos De La Lama")</f>
        <v>Carlos De La Lama</v>
      </c>
      <c r="R243" s="5" t="str">
        <f>IFERROR(__xludf.DUMMYFUNCTION("""COMPUTED_VALUE"""),"Lun-Mie")</f>
        <v>Lun-Mie</v>
      </c>
      <c r="S243" s="6" t="str">
        <f>IFERROR(__xludf.DUMMYFUNCTION("""COMPUTED_VALUE"""),"7PM - 10PM")</f>
        <v>7PM - 10PM</v>
      </c>
      <c r="T243" s="7" t="str">
        <f>IFERROR(__xludf.DUMMYFUNCTION("""COMPUTED_VALUE"""),"Miércoles 18 Febrero")</f>
        <v>Miércoles 18 Febrero</v>
      </c>
      <c r="U243" s="7" t="str">
        <f>IFERROR(__xludf.DUMMYFUNCTION("""COMPUTED_VALUE"""),"Lunes 9 Marzo")</f>
        <v>Lunes 9 Marzo</v>
      </c>
      <c r="V243" s="8">
        <f>IFERROR(__xludf.DUMMYFUNCTION("""COMPUTED_VALUE"""),6.0)</f>
        <v>6</v>
      </c>
      <c r="W243" s="5" t="str">
        <f>IFERROR(__xludf.DUMMYFUNCTION("""COMPUTED_VALUE"""),"pdfs/BROCHURE POWER BI.pdf")</f>
        <v>pdfs/BROCHURE POWER BI.pdf</v>
      </c>
      <c r="X243" s="5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243" s="5" t="str">
        <f>IFERROR(__xludf.DUMMYFUNCTION("""COMPUTED_VALUE"""),"images/powerbi.jpg")</f>
        <v>images/powerbi.jpg</v>
      </c>
      <c r="Z243" s="5" t="str">
        <f>IFERROR(__xludf.DUMMYFUNCTION("""COMPUTED_VALUE"""),"Avalado por Microsoft Partner Network")</f>
        <v>Avalado por Microsoft Partner Network</v>
      </c>
      <c r="AA243" s="5" t="str">
        <f>IFERROR(__xludf.DUMMYFUNCTION("""COMPUTED_VALUE"""),"NO")</f>
        <v>NO</v>
      </c>
      <c r="AB243" s="6">
        <f>IFERROR(__xludf.DUMMYFUNCTION("""COMPUTED_VALUE"""),830.0)</f>
        <v>830</v>
      </c>
      <c r="AC243" s="6">
        <f>IFERROR(__xludf.DUMMYFUNCTION("""COMPUTED_VALUE"""),740.0)</f>
        <v>740</v>
      </c>
      <c r="AD243" s="6">
        <f>IFERROR(__xludf.DUMMYFUNCTION("""COMPUTED_VALUE"""),415.0)</f>
        <v>415</v>
      </c>
      <c r="AE243" s="6">
        <f>IFERROR(__xludf.DUMMYFUNCTION("""COMPUTED_VALUE"""),370.0)</f>
        <v>370</v>
      </c>
      <c r="AF243" s="6">
        <f>IFERROR(__xludf.DUMMYFUNCTION("""COMPUTED_VALUE"""),150.0)</f>
        <v>150</v>
      </c>
      <c r="AG243" s="5">
        <f>IFERROR(__xludf.DUMMYFUNCTION("""COMPUTED_VALUE"""),150.0)</f>
        <v>150</v>
      </c>
      <c r="AH243" s="5"/>
      <c r="AI243" s="5">
        <f>IFERROR(__xludf.DUMMYFUNCTION("""COMPUTED_VALUE"""),333.0)</f>
        <v>333</v>
      </c>
      <c r="AJ243" s="5">
        <f>IFERROR(__xludf.DUMMYFUNCTION("""COMPUTED_VALUE"""),373.5)</f>
        <v>373.5</v>
      </c>
      <c r="AK243" s="5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243" s="5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243" s="5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243" s="5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243" s="5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243" s="5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243" s="9" t="str">
        <f>IFERROR(__xludf.DUMMYFUNCTION("""COMPUTED_VALUE"""),"https://we-educacion.com/slides/power-bi-46")</f>
        <v>https://we-educacion.com/slides/power-bi-46</v>
      </c>
      <c r="AR243" s="5">
        <v>1.0</v>
      </c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</row>
    <row r="244" ht="15.75" customHeight="1">
      <c r="A244" s="5" t="s">
        <v>286</v>
      </c>
      <c r="B244" s="5" t="str">
        <f t="shared" si="1"/>
        <v>FEB. I - ED26</v>
      </c>
      <c r="C244" s="6" t="str">
        <f>IFERROR(__xludf.DUMMYFUNCTION("""COMPUTED_VALUE"""),"SAP")</f>
        <v>SAP</v>
      </c>
      <c r="D244" s="5" t="str">
        <f>IFERROR(__xludf.DUMMYFUNCTION("""COMPUTED_VALUE"""),"CURSO")</f>
        <v>CURSO</v>
      </c>
      <c r="E244" s="6" t="str">
        <f>IFERROR(__xludf.DUMMYFUNCTION("""COMPUTED_VALUE"""),"SAP HANA FI")</f>
        <v>SAP HANA FI</v>
      </c>
      <c r="F244" s="7">
        <f>IFERROR(__xludf.DUMMYFUNCTION("""COMPUTED_VALUE"""),46072.0)</f>
        <v>46072</v>
      </c>
      <c r="G244" s="6"/>
      <c r="H244" s="7"/>
      <c r="I244" s="6"/>
      <c r="J244" s="7"/>
      <c r="K244" s="6"/>
      <c r="L244" s="7"/>
      <c r="M244" s="6"/>
      <c r="N244" s="7"/>
      <c r="O244" s="6"/>
      <c r="P244" s="7"/>
      <c r="Q244" s="6" t="str">
        <f>IFERROR(__xludf.DUMMYFUNCTION("""COMPUTED_VALUE"""),"Indira Carhuas")</f>
        <v>Indira Carhuas</v>
      </c>
      <c r="R244" s="5" t="str">
        <f>IFERROR(__xludf.DUMMYFUNCTION("""COMPUTED_VALUE"""),"Jue")</f>
        <v>Jue</v>
      </c>
      <c r="S244" s="6" t="str">
        <f>IFERROR(__xludf.DUMMYFUNCTION("""COMPUTED_VALUE"""),"7PM - 10PM")</f>
        <v>7PM - 10PM</v>
      </c>
      <c r="T244" s="7" t="str">
        <f>IFERROR(__xludf.DUMMYFUNCTION("""COMPUTED_VALUE"""),"Jueves 19 Febrero")</f>
        <v>Jueves 19 Febrero</v>
      </c>
      <c r="U244" s="7" t="str">
        <f>IFERROR(__xludf.DUMMYFUNCTION("""COMPUTED_VALUE"""),"Jueves 26 Marzo")</f>
        <v>Jueves 26 Marzo</v>
      </c>
      <c r="V244" s="8">
        <f>IFERROR(__xludf.DUMMYFUNCTION("""COMPUTED_VALUE"""),6.0)</f>
        <v>6</v>
      </c>
      <c r="W244" s="5" t="str">
        <f>IFERROR(__xludf.DUMMYFUNCTION("""COMPUTED_VALUE"""),"pdfs/BROCHURE SAP HANA FI MODULO FINANZAS.pdf")</f>
        <v>pdfs/BROCHURE SAP HANA FI MODULO FINANZAS.pdf</v>
      </c>
      <c r="X244" s="5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244" s="5" t="str">
        <f>IFERROR(__xludf.DUMMYFUNCTION("""COMPUTED_VALUE"""),"images/sapfi.jpg")</f>
        <v>images/sapfi.jpg</v>
      </c>
      <c r="Z244" s="5" t="str">
        <f>IFERROR(__xludf.DUMMYFUNCTION("""COMPUTED_VALUE"""),"Avalado por SAP Partner Open")</f>
        <v>Avalado por SAP Partner Open</v>
      </c>
      <c r="AA244" s="5" t="str">
        <f>IFERROR(__xludf.DUMMYFUNCTION("""COMPUTED_VALUE"""),"NO")</f>
        <v>NO</v>
      </c>
      <c r="AB244" s="6">
        <f>IFERROR(__xludf.DUMMYFUNCTION("""COMPUTED_VALUE"""),900.0)</f>
        <v>900</v>
      </c>
      <c r="AC244" s="6">
        <f>IFERROR(__xludf.DUMMYFUNCTION("""COMPUTED_VALUE"""),750.0)</f>
        <v>750</v>
      </c>
      <c r="AD244" s="6">
        <f>IFERROR(__xludf.DUMMYFUNCTION("""COMPUTED_VALUE"""),450.0)</f>
        <v>450</v>
      </c>
      <c r="AE244" s="6">
        <f>IFERROR(__xludf.DUMMYFUNCTION("""COMPUTED_VALUE"""),375.0)</f>
        <v>375</v>
      </c>
      <c r="AF244" s="6">
        <f>IFERROR(__xludf.DUMMYFUNCTION("""COMPUTED_VALUE"""),150.0)</f>
        <v>150</v>
      </c>
      <c r="AG244" s="5">
        <f>IFERROR(__xludf.DUMMYFUNCTION("""COMPUTED_VALUE"""),150.0)</f>
        <v>150</v>
      </c>
      <c r="AH244" s="5"/>
      <c r="AI244" s="5">
        <f>IFERROR(__xludf.DUMMYFUNCTION("""COMPUTED_VALUE"""),337.5)</f>
        <v>337.5</v>
      </c>
      <c r="AJ244" s="5">
        <f>IFERROR(__xludf.DUMMYFUNCTION("""COMPUTED_VALUE"""),405.0)</f>
        <v>405</v>
      </c>
      <c r="AK244" s="5" t="str">
        <f>IFERROR(__xludf.DUMMYFUNCTION("""COMPUTED_VALUE"""),"El lenguaje financiero global se habla con SAP HANA FI 💼
Con este programa aprenderás a gestionar contabilidad y finanzas de forma práctica en SAP 🚀.
Aquí la información completa 👇🏻")</f>
        <v>El lenguaje financiero global se habla con SAP HANA FI 💼
Con este programa aprenderás a gestionar contabilidad y finanzas de forma práctica en SAP 🚀.
Aquí la información completa 👇🏻</v>
      </c>
      <c r="AL244" s="5" t="str">
        <f>IFERROR(__xludf.DUMMYFUNCTION("""COMPUTED_VALUE"""),"💰 Excelente, actualízate con SAP FI y domina la gestión financiera en SAP.")</f>
        <v>💰 Excelente, actualízate con SAP FI y domina la gestión financiera en SAP.</v>
      </c>
      <c r="AM244" s="5" t="str">
        <f>IFERROR(__xludf.DUMMYFUNCTION("""COMPUTED_VALUE"""),"💼 Buenísimo, SAP FI es clave en empresas que manejan contabilidad y finanzas.")</f>
        <v>💼 Buenísimo, SAP FI es clave en empresas que manejan contabilidad y finanzas.</v>
      </c>
      <c r="AN244" s="5" t="str">
        <f>IFERROR(__xludf.DUMMYFUNCTION("""COMPUTED_VALUE"""),"🎓 ¡Genial! Aprender SAP FI en la universidad fortalecerá tu perfil en finanzas.")</f>
        <v>🎓 ¡Genial! Aprender SAP FI en la universidad fortalecerá tu perfil en finanzas.</v>
      </c>
      <c r="AO244" s="5" t="str">
        <f>IFERROR(__xludf.DUMMYFUNCTION("""COMPUTED_VALUE"""),"🚀 ¡Perfecto! Con SAP FI tendrás ventaja en prácticas de contabilidad y finanzas.")</f>
        <v>🚀 ¡Perfecto! Con SAP FI tendrás ventaja en prácticas de contabilidad y finanzas.</v>
      </c>
      <c r="AP244" s="5" t="str">
        <f>IFERROR(__xludf.DUMMYFUNCTION("""COMPUTED_VALUE"""),"📊 ¡Excelente! Con SAP FI podrás llevar la contabilidad de tu negocio con precisión.")</f>
        <v>📊 ¡Excelente! Con SAP FI podrás llevar la contabilidad de tu negocio con precisión.</v>
      </c>
      <c r="AQ244" s="9" t="str">
        <f>IFERROR(__xludf.DUMMYFUNCTION("""COMPUTED_VALUE"""),"https://we-educacion.com/slides/sap-s-4-hana-fi-54")</f>
        <v>https://we-educacion.com/slides/sap-s-4-hana-fi-54</v>
      </c>
      <c r="AR244" s="5">
        <v>1.0</v>
      </c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</row>
    <row r="245" ht="15.75" customHeight="1">
      <c r="A245" s="5" t="s">
        <v>287</v>
      </c>
      <c r="B245" s="5" t="str">
        <f t="shared" si="1"/>
        <v>FEB. I - ED26</v>
      </c>
      <c r="C245" s="6" t="str">
        <f>IFERROR(__xludf.DUMMYFUNCTION("""COMPUTED_VALUE"""),"LOGÍSTICA")</f>
        <v>LOGÍSTICA</v>
      </c>
      <c r="D245" s="5" t="str">
        <f>IFERROR(__xludf.DUMMYFUNCTION("""COMPUTED_VALUE"""),"CURSO")</f>
        <v>CURSO</v>
      </c>
      <c r="E245" s="6" t="str">
        <f>IFERROR(__xludf.DUMMYFUNCTION("""COMPUTED_VALUE"""),"SUPPLY CHAIN ANALYTICS")</f>
        <v>SUPPLY CHAIN ANALYTICS</v>
      </c>
      <c r="F245" s="7">
        <f>IFERROR(__xludf.DUMMYFUNCTION("""COMPUTED_VALUE"""),46072.0)</f>
        <v>46072</v>
      </c>
      <c r="G245" s="6"/>
      <c r="H245" s="7"/>
      <c r="I245" s="6"/>
      <c r="J245" s="7"/>
      <c r="K245" s="6"/>
      <c r="L245" s="7"/>
      <c r="M245" s="6"/>
      <c r="N245" s="7"/>
      <c r="O245" s="6"/>
      <c r="P245" s="7"/>
      <c r="Q245" s="6" t="str">
        <f>IFERROR(__xludf.DUMMYFUNCTION("""COMPUTED_VALUE"""),"Franz Valdivia")</f>
        <v>Franz Valdivia</v>
      </c>
      <c r="R245" s="5" t="str">
        <f>IFERROR(__xludf.DUMMYFUNCTION("""COMPUTED_VALUE"""),"Jue")</f>
        <v>Jue</v>
      </c>
      <c r="S245" s="6" t="str">
        <f>IFERROR(__xludf.DUMMYFUNCTION("""COMPUTED_VALUE"""),"7PM - 10PM")</f>
        <v>7PM - 10PM</v>
      </c>
      <c r="T245" s="7" t="str">
        <f>IFERROR(__xludf.DUMMYFUNCTION("""COMPUTED_VALUE"""),"Jueves 19 Febrero")</f>
        <v>Jueves 19 Febrero</v>
      </c>
      <c r="U245" s="7" t="str">
        <f>IFERROR(__xludf.DUMMYFUNCTION("""COMPUTED_VALUE"""),"Martes 10 Marzo")</f>
        <v>Martes 10 Marzo</v>
      </c>
      <c r="V245" s="8">
        <f>IFERROR(__xludf.DUMMYFUNCTION("""COMPUTED_VALUE"""),6.0)</f>
        <v>6</v>
      </c>
      <c r="W245" s="5" t="str">
        <f>IFERROR(__xludf.DUMMYFUNCTION("""COMPUTED_VALUE"""),"pdfs/BROCHURE SUPPLY CHAIN ANALYTICS.pdf")</f>
        <v>pdfs/BROCHURE SUPPLY CHAIN ANALYTICS.pdf</v>
      </c>
      <c r="X245" s="5" t="str">
        <f>IFERROR(__xludf.DUMMYFUNCTION("""COMPUTED_VALUE"""),"🔵 *Conoce TODOS los BENEFICIOS a los que accedes*
🧑🏻‍🏫 *Docente* Supervisor de Cadena de Suministros En *Samsung* 
🔹 Acceso a *Campus Virtual* WE 👩🏻‍🏫
🔹 Material digital y grabación de clases 
🔹 Certificado digital incluido
🔹 05 Cursos Online "&amp;"de regalo con acceso ilimitado 📚
🔹 Desarrollo y seguimiento de tu proyecto *(Evaluado)*
🔹 Garantía de Aprendizaje 100%
🔹 Utilizarán Python👩🏻‍💻
👉🏼 *¡Te regalamos el Curso Python Online!*
👉🏼 Incluye videotutorial y manual de Instalación
💻 _*Imp"&amp;"ortante*: Para la instalación se necesita una Laptop *Windows*_
🚨 *Por favor, revisa el BROCHURE* 👇🏻
Aqui encontrarás la información completa del programa, el TEMARIO (malla curricular) y todos los BENEFICIOS 📚")</f>
        <v>🔵 *Conoce TODOS los BENEFICIOS a los que accedes*
🧑🏻‍🏫 *Docente* Supervisor de Cadena de Suministros En *Samsung* 
🔹 Acceso a *Campus Virtual* WE 👩🏻‍🏫
🔹 Material digital y grabación de clases 
🔹 Certificado digital incluido
🔹 05 Cursos Online de regalo con acceso ilimitado 📚
🔹 Desarrollo y seguimiento de tu proyecto *(Evaluado)*
🔹 Garantía de Aprendizaje 100%
🔹 Utilizarán Python👩🏻‍💻
👉🏼 *¡Te regalamos el Curso Python Online!*
👉🏼 Incluye videotutorial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45" s="5"/>
      <c r="Z245" s="5" t="str">
        <f>IFERROR(__xludf.DUMMYFUNCTION("""COMPUTED_VALUE"""),"Avalado por IBM® Partner World")</f>
        <v>Avalado por IBM® Partner World</v>
      </c>
      <c r="AA245" s="5" t="str">
        <f>IFERROR(__xludf.DUMMYFUNCTION("""COMPUTED_VALUE"""),"NO")</f>
        <v>NO</v>
      </c>
      <c r="AB245" s="6">
        <f>IFERROR(__xludf.DUMMYFUNCTION("""COMPUTED_VALUE"""),640.0)</f>
        <v>640</v>
      </c>
      <c r="AC245" s="6">
        <f>IFERROR(__xludf.DUMMYFUNCTION("""COMPUTED_VALUE"""),610.0)</f>
        <v>610</v>
      </c>
      <c r="AD245" s="6">
        <f>IFERROR(__xludf.DUMMYFUNCTION("""COMPUTED_VALUE"""),320.0)</f>
        <v>320</v>
      </c>
      <c r="AE245" s="6">
        <f>IFERROR(__xludf.DUMMYFUNCTION("""COMPUTED_VALUE"""),305.0)</f>
        <v>305</v>
      </c>
      <c r="AF245" s="6">
        <f>IFERROR(__xludf.DUMMYFUNCTION("""COMPUTED_VALUE"""),150.0)</f>
        <v>150</v>
      </c>
      <c r="AG245" s="5">
        <f>IFERROR(__xludf.DUMMYFUNCTION("""COMPUTED_VALUE"""),150.0)</f>
        <v>150</v>
      </c>
      <c r="AH245" s="5"/>
      <c r="AI245" s="5">
        <f>IFERROR(__xludf.DUMMYFUNCTION("""COMPUTED_VALUE"""),274.5)</f>
        <v>274.5</v>
      </c>
      <c r="AJ245" s="5">
        <f>IFERROR(__xludf.DUMMYFUNCTION("""COMPUTED_VALUE"""),288.0)</f>
        <v>288</v>
      </c>
      <c r="AK245" s="5" t="str">
        <f>IFERROR(__xludf.DUMMYFUNCTION("""COMPUTED_VALUE"""),"La competitividad global se gana con Supply Chain Analytics 🌐
Aprenderás a analizar y optimizar cadenas de suministro usando datos estratégicos 📊.
Aquí tienes la información 👇🏻")</f>
        <v>La competitividad global se gana con Supply Chain Analytics 🌐
Aprenderás a analizar y optimizar cadenas de suministro usando datos estratégicos 📊.
Aquí tienes la información 👇🏻</v>
      </c>
      <c r="AL245" s="5" t="str">
        <f>IFERROR(__xludf.DUMMYFUNCTION("""COMPUTED_VALUE"""),"📦 Excelente, actualízate con Supply Chain Analytics y domina el análisis de cadenas de suministro.")</f>
        <v>📦 Excelente, actualízate con Supply Chain Analytics y domina el análisis de cadenas de suministro.</v>
      </c>
      <c r="AM245" s="5" t="str">
        <f>IFERROR(__xludf.DUMMYFUNCTION("""COMPUTED_VALUE"""),"💼 Buenísimo, Supply Chain Analytics es clave en empresas de logística y distribución.")</f>
        <v>💼 Buenísimo, Supply Chain Analytics es clave en empresas de logística y distribución.</v>
      </c>
      <c r="AN245" s="5" t="str">
        <f>IFERROR(__xludf.DUMMYFUNCTION("""COMPUTED_VALUE"""),"🎓 ¡Genial! Con Supply Chain Analytics aprenderás herramientas de análisis desde la universidad.")</f>
        <v>🎓 ¡Genial! Con Supply Chain Analytics aprenderás herramientas de análisis desde la universidad.</v>
      </c>
      <c r="AO245" s="5" t="str">
        <f>IFERROR(__xludf.DUMMYFUNCTION("""COMPUTED_VALUE"""),"🚀 ¡Perfecto! Saber Supply Chain Analytics te dará ventaja en prácticas de logística.")</f>
        <v>🚀 ¡Perfecto! Saber Supply Chain Analytics te dará ventaja en prácticas de logística.</v>
      </c>
      <c r="AP245" s="5" t="str">
        <f>IFERROR(__xludf.DUMMYFUNCTION("""COMPUTED_VALUE"""),"📊 ¡Excelente! Con Supply Chain Analytics podrás optimizar operaciones en tu propio negocio.")</f>
        <v>📊 ¡Excelente! Con Supply Chain Analytics podrás optimizar operaciones en tu propio negocio.</v>
      </c>
      <c r="AQ245" s="5"/>
      <c r="AR245" s="5">
        <v>1.0</v>
      </c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</row>
    <row r="246" ht="15.75" customHeight="1">
      <c r="A246" s="5" t="s">
        <v>288</v>
      </c>
      <c r="B246" s="5" t="str">
        <f t="shared" si="1"/>
        <v>FEB. I - ED26</v>
      </c>
      <c r="C246" s="6" t="str">
        <f>IFERROR(__xludf.DUMMYFUNCTION("""COMPUTED_VALUE"""),"FINANZ")</f>
        <v>FINANZ</v>
      </c>
      <c r="D246" s="6" t="str">
        <f>IFERROR(__xludf.DUMMYFUNCTION("""COMPUTED_VALUE"""),"CURSO")</f>
        <v>CURSO</v>
      </c>
      <c r="E246" s="6" t="str">
        <f>IFERROR(__xludf.DUMMYFUNCTION("""COMPUTED_VALUE"""),"COST Y PRESUP")</f>
        <v>COST Y PRESUP</v>
      </c>
      <c r="F246" s="7">
        <f>IFERROR(__xludf.DUMMYFUNCTION("""COMPUTED_VALUE"""),46072.0)</f>
        <v>46072</v>
      </c>
      <c r="G246" s="6"/>
      <c r="H246" s="7"/>
      <c r="I246" s="6"/>
      <c r="J246" s="7"/>
      <c r="K246" s="6"/>
      <c r="L246" s="7"/>
      <c r="M246" s="6"/>
      <c r="N246" s="7"/>
      <c r="O246" s="6"/>
      <c r="P246" s="7"/>
      <c r="Q246" s="6" t="str">
        <f>IFERROR(__xludf.DUMMYFUNCTION("""COMPUTED_VALUE"""),"José Botonero")</f>
        <v>José Botonero</v>
      </c>
      <c r="R246" s="5" t="str">
        <f>IFERROR(__xludf.DUMMYFUNCTION("""COMPUTED_VALUE"""),"Mar-Jue")</f>
        <v>Mar-Jue</v>
      </c>
      <c r="S246" s="6" t="str">
        <f>IFERROR(__xludf.DUMMYFUNCTION("""COMPUTED_VALUE"""),"7PM - 10PM")</f>
        <v>7PM - 10PM</v>
      </c>
      <c r="T246" s="7" t="str">
        <f>IFERROR(__xludf.DUMMYFUNCTION("""COMPUTED_VALUE"""),"Jueves 19 Febrero")</f>
        <v>Jueves 19 Febrero</v>
      </c>
      <c r="U246" s="7" t="str">
        <f>IFERROR(__xludf.DUMMYFUNCTION("""COMPUTED_VALUE"""),"Martes 10 Marzo")</f>
        <v>Martes 10 Marzo</v>
      </c>
      <c r="V246" s="8">
        <f>IFERROR(__xludf.DUMMYFUNCTION("""COMPUTED_VALUE"""),6.0)</f>
        <v>6</v>
      </c>
      <c r="W246" s="5" t="str">
        <f>IFERROR(__xludf.DUMMYFUNCTION("""COMPUTED_VALUE"""),"pdfs/BROCHURE COSTOS Y PRESUPUESTOS.pdf")</f>
        <v>pdfs/BROCHURE COSTOS Y PRESUPUESTOS.pdf</v>
      </c>
      <c r="X246" s="6" t="str">
        <f>IFERROR(__xludf.DUMMYFUNCTION("""COMPUTED_VALUE"""),"🔵 *Utilizarán Excel Financiero* 👩🏻‍💻
👉🏼 ¡Te regalamos el Curso Online!
👉🏼 Incluye plantillas y formatos
🚨 *Por favor, revisa el BROCHURE* 👇🏻
Aqui encontrarás la información completa del programa, el TEMARIO (malla curricular) y todos los BENEF"&amp;"ICIOS 📚")</f>
        <v>🔵 *Utilizarán Excel Financiero* 👩🏻‍💻
👉🏼 ¡Te regalamos el Curso Online!
👉🏼 Incluye plantillas y formatos
🚨 *Por favor, revisa el BROCHURE* 👇🏻
Aqui encontrarás la información completa del programa, el TEMARIO (malla curricular) y todos los BENEFICIOS 📚</v>
      </c>
      <c r="Y246" s="5" t="str">
        <f>IFERROR(__xludf.DUMMYFUNCTION("""COMPUTED_VALUE"""),"images/costypre.jpg")</f>
        <v>images/costypre.jpg</v>
      </c>
      <c r="Z246" s="5"/>
      <c r="AA246" s="5" t="str">
        <f>IFERROR(__xludf.DUMMYFUNCTION("""COMPUTED_VALUE"""),"NO")</f>
        <v>NO</v>
      </c>
      <c r="AB246" s="6">
        <f>IFERROR(__xludf.DUMMYFUNCTION("""COMPUTED_VALUE"""),750.0)</f>
        <v>750</v>
      </c>
      <c r="AC246" s="6">
        <f>IFERROR(__xludf.DUMMYFUNCTION("""COMPUTED_VALUE"""),700.0)</f>
        <v>700</v>
      </c>
      <c r="AD246" s="6">
        <f>IFERROR(__xludf.DUMMYFUNCTION("""COMPUTED_VALUE"""),375.0)</f>
        <v>375</v>
      </c>
      <c r="AE246" s="6">
        <f>IFERROR(__xludf.DUMMYFUNCTION("""COMPUTED_VALUE"""),350.0)</f>
        <v>350</v>
      </c>
      <c r="AF246" s="6">
        <f>IFERROR(__xludf.DUMMYFUNCTION("""COMPUTED_VALUE"""),150.0)</f>
        <v>150</v>
      </c>
      <c r="AG246" s="5">
        <f>IFERROR(__xludf.DUMMYFUNCTION("""COMPUTED_VALUE"""),150.0)</f>
        <v>150</v>
      </c>
      <c r="AH246" s="5"/>
      <c r="AI246" s="5">
        <f>IFERROR(__xludf.DUMMYFUNCTION("""COMPUTED_VALUE"""),315.0)</f>
        <v>315</v>
      </c>
      <c r="AJ246" s="5">
        <f>IFERROR(__xludf.DUMMYFUNCTION("""COMPUTED_VALUE"""),337.5)</f>
        <v>337.5</v>
      </c>
      <c r="AK246" s="5" t="str">
        <f>IFERROR(__xludf.DUMMYFUNCTION("""COMPUTED_VALUE"""),"Los líderes gestionan recursos con precisión y visión 📊
Con Costos y Presupuestos aprenderás a planificar y controlar gastos de manera práctica 💼.
Aquí te comparto la info 👇🏻")</f>
        <v>Los líderes gestionan recursos con precisión y visión 📊
Con Costos y Presupuestos aprenderás a planificar y controlar gastos de manera práctica 💼.
Aquí te comparto la info 👇🏻</v>
      </c>
      <c r="AL246" s="5" t="str">
        <f>IFERROR(__xludf.DUMMYFUNCTION("""COMPUTED_VALUE"""),"📊 *Excelente*, con *Costos y Presupuestos* te actualizarás en control financiero y gestión de proyectos.")</f>
        <v>📊 *Excelente*, con *Costos y Presupuestos* te actualizarás en control financiero y gestión de proyectos.</v>
      </c>
      <c r="AM246" s="5" t="str">
        <f>IFERROR(__xludf.DUMMYFUNCTION("""COMPUTED_VALUE"""),"💼 Buenísimo, *Costos y Presupuestos* es clave en empresas y muy requerido por empleadores.")</f>
        <v>💼 Buenísimo, *Costos y Presupuestos* es clave en empresas y muy requerido por empleadores.</v>
      </c>
      <c r="AN246" s="5" t="str">
        <f>IFERROR(__xludf.DUMMYFUNCTION("""COMPUTED_VALUE"""),"📘 ¡Perfecto! Aprender *Costos y Presupuestos* te dará una base sólida en gestión financiera.")</f>
        <v>📘 ¡Perfecto! Aprender *Costos y Presupuestos* te dará una base sólida en gestión financiera.</v>
      </c>
      <c r="AO246" s="5" t="str">
        <f>IFERROR(__xludf.DUMMYFUNCTION("""COMPUTED_VALUE"""),"🚀 ¡Genial! Conocer *Costos y Presupuestos* te dará ventaja en prácticas de áreas administrativas.")</f>
        <v>🚀 ¡Genial! Conocer *Costos y Presupuestos* te dará ventaja en prácticas de áreas administrativas.</v>
      </c>
      <c r="AP246" s="5" t="str">
        <f>IFERROR(__xludf.DUMMYFUNCTION("""COMPUTED_VALUE"""),"💰 ¡Muy bien! Como independiente, dominar *Costos y Presupuestos* te permitirá optimizar tus recursos.")</f>
        <v>💰 ¡Muy bien! Como independiente, dominar *Costos y Presupuestos* te permitirá optimizar tus recursos.</v>
      </c>
      <c r="AQ246" s="9" t="str">
        <f>IFERROR(__xludf.DUMMYFUNCTION("""COMPUTED_VALUE"""),"https://we-educacion.com/slides/costos-presupuestos-465")</f>
        <v>https://we-educacion.com/slides/costos-presupuestos-465</v>
      </c>
      <c r="AR246" s="5">
        <v>1.0</v>
      </c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</row>
    <row r="247" ht="15.75" customHeight="1">
      <c r="A247" s="5" t="s">
        <v>289</v>
      </c>
      <c r="B247" s="5" t="str">
        <f t="shared" si="1"/>
        <v>FEB. I - ED26</v>
      </c>
      <c r="C247" s="6" t="str">
        <f>IFERROR(__xludf.DUMMYFUNCTION("""COMPUTED_VALUE"""),"BI")</f>
        <v>BI</v>
      </c>
      <c r="D247" s="5" t="str">
        <f>IFERROR(__xludf.DUMMYFUNCTION("""COMPUTED_VALUE"""),"PEE")</f>
        <v>PEE</v>
      </c>
      <c r="E247" s="6" t="str">
        <f>IFERROR(__xludf.DUMMYFUNCTION("""COMPUTED_VALUE"""),"PEE ANALIST DATOS")</f>
        <v>PEE ANALIST DATOS</v>
      </c>
      <c r="F247" s="7">
        <f>IFERROR(__xludf.DUMMYFUNCTION("""COMPUTED_VALUE"""),46072.0)</f>
        <v>46072</v>
      </c>
      <c r="G247" s="6" t="str">
        <f>IFERROR(__xludf.DUMMYFUNCTION("""COMPUTED_VALUE"""),"SQL SERVER")</f>
        <v>SQL SERVER</v>
      </c>
      <c r="H247" s="7">
        <f>IFERROR(__xludf.DUMMYFUNCTION("""COMPUTED_VALUE"""),46072.0)</f>
        <v>46072</v>
      </c>
      <c r="I247" s="6" t="str">
        <f>IFERROR(__xludf.DUMMYFUNCTION("""COMPUTED_VALUE"""),"POWER BI")</f>
        <v>POWER BI</v>
      </c>
      <c r="J247" s="7">
        <f>IFERROR(__xludf.DUMMYFUNCTION("""COMPUTED_VALUE"""),46100.0)</f>
        <v>46100</v>
      </c>
      <c r="K247" s="6" t="str">
        <f>IFERROR(__xludf.DUMMYFUNCTION("""COMPUTED_VALUE"""),"PYTHON. DATOS")</f>
        <v>PYTHON. DATOS</v>
      </c>
      <c r="L247" s="7">
        <f>IFERROR(__xludf.DUMMYFUNCTION("""COMPUTED_VALUE"""),46135.0)</f>
        <v>46135</v>
      </c>
      <c r="M247" s="6"/>
      <c r="N247" s="7"/>
      <c r="O247" s="6"/>
      <c r="P247" s="7"/>
      <c r="Q247" s="6"/>
      <c r="R247" s="5" t="str">
        <f>IFERROR(__xludf.DUMMYFUNCTION("""COMPUTED_VALUE"""),"Mar-Jue")</f>
        <v>Mar-Jue</v>
      </c>
      <c r="S247" s="6" t="str">
        <f>IFERROR(__xludf.DUMMYFUNCTION("""COMPUTED_VALUE"""),"7PM - 10PM")</f>
        <v>7PM - 10PM</v>
      </c>
      <c r="T247" s="7" t="str">
        <f>IFERROR(__xludf.DUMMYFUNCTION("""COMPUTED_VALUE"""),"Jueves 19 Febrero")</f>
        <v>Jueves 19 Febrero</v>
      </c>
      <c r="U247" s="7" t="str">
        <f>IFERROR(__xludf.DUMMYFUNCTION("""COMPUTED_VALUE"""),"Martes 12 Mayo")</f>
        <v>Martes 12 Mayo</v>
      </c>
      <c r="V247" s="8">
        <f>IFERROR(__xludf.DUMMYFUNCTION("""COMPUTED_VALUE"""),18.0)</f>
        <v>18</v>
      </c>
      <c r="W247" s="5" t="str">
        <f>IFERROR(__xludf.DUMMYFUNCTION("""COMPUTED_VALUE"""),"pdfs/BROCHURE PEE ANALISTA DE DATOS.pdf")</f>
        <v>pdfs/BROCHURE PEE ANALISTA DE DATOS.pdf</v>
      </c>
      <c r="X247" s="5" t="str">
        <f>IFERROR(__xludf.DUMMYFUNCTION("""COMPUTED_VALUE"""),"🔵 *Utilizarán Power BI, SQL Server y Python*👩🏻‍💻
👉🏼 Incluye tutorial y manual de instalación
💻 _*Importante*: Para la instalación se necesita una Laptop *Windows*_
🚨 *Por favor, revisa el BROCHURE* 👇🏻
Aqui encontrarás la información completa de"&amp;"l programa, el TEMARIO (malla curricular) y todos los BENEFICIOS 📚")</f>
        <v>🔵 *Utilizarán Power BI, SQL Server y Python*👩🏻‍💻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47" s="5" t="str">
        <f>IFERROR(__xludf.DUMMYFUNCTION("""COMPUTED_VALUE"""),"images/peedatos.jpg")</f>
        <v>images/peedatos.jpg</v>
      </c>
      <c r="Z247" s="5"/>
      <c r="AA247" s="5" t="str">
        <f>IFERROR(__xludf.DUMMYFUNCTION("""COMPUTED_VALUE"""),"NO")</f>
        <v>NO</v>
      </c>
      <c r="AB247" s="6">
        <f>IFERROR(__xludf.DUMMYFUNCTION("""COMPUTED_VALUE"""),2390.0)</f>
        <v>2390</v>
      </c>
      <c r="AC247" s="6">
        <f>IFERROR(__xludf.DUMMYFUNCTION("""COMPUTED_VALUE"""),2130.0)</f>
        <v>2130</v>
      </c>
      <c r="AD247" s="6">
        <f>IFERROR(__xludf.DUMMYFUNCTION("""COMPUTED_VALUE"""),1195.0)</f>
        <v>1195</v>
      </c>
      <c r="AE247" s="6">
        <f>IFERROR(__xludf.DUMMYFUNCTION("""COMPUTED_VALUE"""),1065.0)</f>
        <v>1065</v>
      </c>
      <c r="AF247" s="6">
        <f>IFERROR(__xludf.DUMMYFUNCTION("""COMPUTED_VALUE"""),250.0)</f>
        <v>250</v>
      </c>
      <c r="AG247" s="5">
        <f>IFERROR(__xludf.DUMMYFUNCTION("""COMPUTED_VALUE"""),350.0)</f>
        <v>350</v>
      </c>
      <c r="AH247" s="5"/>
      <c r="AI247" s="5">
        <f>IFERROR(__xludf.DUMMYFUNCTION("""COMPUTED_VALUE"""),958.5)</f>
        <v>958.5</v>
      </c>
      <c r="AJ247" s="5">
        <f>IFERROR(__xludf.DUMMYFUNCTION("""COMPUTED_VALUE"""),1075.5)</f>
        <v>1075.5</v>
      </c>
      <c r="AK247" s="5" t="str">
        <f>IFERROR(__xludf.DUMMYFUNCTION("""COMPUTED_VALUE"""),"Los analistas de datos son los profesionales más buscados 🔍
Aprende herramientas prácticas de análisis para transformar datos en decisiones 📊
👉🏻 Aquí tienes la información.")</f>
        <v>Los analistas de datos son los profesionales más buscados 🔍
Aprende herramientas prácticas de análisis para transformar datos en decisiones 📊
👉🏻 Aquí tienes la información.</v>
      </c>
      <c r="AL247" s="5" t="str">
        <f>IFERROR(__xludf.DUMMYFUNCTION("""COMPUTED_VALUE"""),"📊 Excelente, el PEE Analista de Datos te enseña herramientas claves como Power BI y SQL.")</f>
        <v>📊 Excelente, el PEE Analista de Datos te enseña herramientas claves como Power BI y SQL.</v>
      </c>
      <c r="AM247" s="5" t="str">
        <f>IFERROR(__xludf.DUMMYFUNCTION("""COMPUTED_VALUE"""),"💼 Buenísimo, el rol de Analista de Datos es uno de los más demandados actualmente.")</f>
        <v>💼 Buenísimo, el rol de Analista de Datos es uno de los más demandados actualmente.</v>
      </c>
      <c r="AN247" s="5" t="str">
        <f>IFERROR(__xludf.DUMMYFUNCTION("""COMPUTED_VALUE"""),"🎓 ¡Genial! Desde la universidad, este PEE te dará una habilidad muy valorada en tu carrera.")</f>
        <v>🎓 ¡Genial! Desde la universidad, este PEE te dará una habilidad muy valorada en tu carrera.</v>
      </c>
      <c r="AO247" s="5" t="str">
        <f>IFERROR(__xludf.DUMMYFUNCTION("""COMPUTED_VALUE"""),"🚀 ¡Perfecto! Con el PEE en Datos tendrás ventaja en empleos de inteligencia de negocios.")</f>
        <v>🚀 ¡Perfecto! Con el PEE en Datos tendrás ventaja en empleos de inteligencia de negocios.</v>
      </c>
      <c r="AP247" s="5" t="str">
        <f>IFERROR(__xludf.DUMMYFUNCTION("""COMPUTED_VALUE"""),"📉 ¡Excelente! Podrás aplicar análisis a tu propio negocio para crecer con datos reales.")</f>
        <v>📉 ¡Excelente! Podrás aplicar análisis a tu propio negocio para crecer con datos reales.</v>
      </c>
      <c r="AQ247" s="9" t="str">
        <f>IFERROR(__xludf.DUMMYFUNCTION("""COMPUTED_VALUE"""),"https://we-educacion.com/slides/pee-analista-de-datos-96")</f>
        <v>https://we-educacion.com/slides/pee-analista-de-datos-96</v>
      </c>
      <c r="AR247" s="5">
        <v>1.0</v>
      </c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</row>
    <row r="248" ht="15.75" customHeight="1">
      <c r="A248" s="5" t="s">
        <v>290</v>
      </c>
      <c r="B248" s="5" t="str">
        <f t="shared" si="1"/>
        <v>FEB. I - ED26</v>
      </c>
      <c r="C248" s="6" t="str">
        <f>IFERROR(__xludf.DUMMYFUNCTION("""COMPUTED_VALUE"""),"BI")</f>
        <v>BI</v>
      </c>
      <c r="D248" s="5" t="str">
        <f>IFERROR(__xludf.DUMMYFUNCTION("""COMPUTED_VALUE"""),"CURSO")</f>
        <v>CURSO</v>
      </c>
      <c r="E248" s="6" t="str">
        <f>IFERROR(__xludf.DUMMYFUNCTION("""COMPUTED_VALUE"""),"SQL SERVER")</f>
        <v>SQL SERVER</v>
      </c>
      <c r="F248" s="7">
        <f>IFERROR(__xludf.DUMMYFUNCTION("""COMPUTED_VALUE"""),46072.0)</f>
        <v>46072</v>
      </c>
      <c r="G248" s="6"/>
      <c r="H248" s="7"/>
      <c r="I248" s="6"/>
      <c r="J248" s="7"/>
      <c r="K248" s="6"/>
      <c r="L248" s="7"/>
      <c r="M248" s="6"/>
      <c r="N248" s="7"/>
      <c r="O248" s="6"/>
      <c r="P248" s="7"/>
      <c r="Q248" s="6"/>
      <c r="R248" s="5" t="str">
        <f>IFERROR(__xludf.DUMMYFUNCTION("""COMPUTED_VALUE"""),"Mar-Jue")</f>
        <v>Mar-Jue</v>
      </c>
      <c r="S248" s="6" t="str">
        <f>IFERROR(__xludf.DUMMYFUNCTION("""COMPUTED_VALUE"""),"7PM - 10PM")</f>
        <v>7PM - 10PM</v>
      </c>
      <c r="T248" s="7" t="str">
        <f>IFERROR(__xludf.DUMMYFUNCTION("""COMPUTED_VALUE"""),"Jueves 19 Febrero")</f>
        <v>Jueves 19 Febrero</v>
      </c>
      <c r="U248" s="7" t="str">
        <f>IFERROR(__xludf.DUMMYFUNCTION("""COMPUTED_VALUE"""),"Martes 10 Marzo")</f>
        <v>Martes 10 Marzo</v>
      </c>
      <c r="V248" s="8">
        <f>IFERROR(__xludf.DUMMYFUNCTION("""COMPUTED_VALUE"""),6.0)</f>
        <v>6</v>
      </c>
      <c r="W248" s="5" t="str">
        <f>IFERROR(__xludf.DUMMYFUNCTION("""COMPUTED_VALUE"""),"pdfs/BROCHURE SQL SERVER.pdf")</f>
        <v>pdfs/BROCHURE SQL SERVER.pdf</v>
      </c>
      <c r="X248" s="5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48" s="5" t="str">
        <f>IFERROR(__xludf.DUMMYFUNCTION("""COMPUTED_VALUE"""),"images/sqlserver.jpg")</f>
        <v>images/sqlserver.jpg</v>
      </c>
      <c r="Z248" s="5" t="str">
        <f>IFERROR(__xludf.DUMMYFUNCTION("""COMPUTED_VALUE"""),"Avalado por Microsoft Partner Network")</f>
        <v>Avalado por Microsoft Partner Network</v>
      </c>
      <c r="AA248" s="5" t="str">
        <f>IFERROR(__xludf.DUMMYFUNCTION("""COMPUTED_VALUE"""),"NO")</f>
        <v>NO</v>
      </c>
      <c r="AB248" s="6">
        <f>IFERROR(__xludf.DUMMYFUNCTION("""COMPUTED_VALUE"""),830.0)</f>
        <v>830</v>
      </c>
      <c r="AC248" s="6">
        <f>IFERROR(__xludf.DUMMYFUNCTION("""COMPUTED_VALUE"""),740.0)</f>
        <v>740</v>
      </c>
      <c r="AD248" s="6">
        <f>IFERROR(__xludf.DUMMYFUNCTION("""COMPUTED_VALUE"""),415.0)</f>
        <v>415</v>
      </c>
      <c r="AE248" s="6">
        <f>IFERROR(__xludf.DUMMYFUNCTION("""COMPUTED_VALUE"""),370.0)</f>
        <v>370</v>
      </c>
      <c r="AF248" s="6">
        <f>IFERROR(__xludf.DUMMYFUNCTION("""COMPUTED_VALUE"""),150.0)</f>
        <v>150</v>
      </c>
      <c r="AG248" s="5">
        <f>IFERROR(__xludf.DUMMYFUNCTION("""COMPUTED_VALUE"""),150.0)</f>
        <v>150</v>
      </c>
      <c r="AH248" s="5"/>
      <c r="AI248" s="5">
        <f>IFERROR(__xludf.DUMMYFUNCTION("""COMPUTED_VALUE"""),333.0)</f>
        <v>333</v>
      </c>
      <c r="AJ248" s="5">
        <f>IFERROR(__xludf.DUMMYFUNCTION("""COMPUTED_VALUE"""),373.5)</f>
        <v>373.5</v>
      </c>
      <c r="AK248" s="5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248" s="5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248" s="5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248" s="5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248" s="5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248" s="5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248" s="9" t="str">
        <f>IFERROR(__xludf.DUMMYFUNCTION("""COMPUTED_VALUE"""),"https://we-educacion.com/slides/sql-server-for-analytics-52")</f>
        <v>https://we-educacion.com/slides/sql-server-for-analytics-52</v>
      </c>
      <c r="AR248" s="5">
        <v>1.0</v>
      </c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</row>
    <row r="249" ht="15.75" customHeight="1">
      <c r="A249" s="5" t="s">
        <v>291</v>
      </c>
      <c r="B249" s="5" t="str">
        <f t="shared" si="1"/>
        <v>FEB. I - ED26</v>
      </c>
      <c r="C249" s="6" t="str">
        <f>IFERROR(__xludf.DUMMYFUNCTION("""COMPUTED_VALUE"""),"SAP")</f>
        <v>SAP</v>
      </c>
      <c r="D249" s="5" t="str">
        <f>IFERROR(__xludf.DUMMYFUNCTION("""COMPUTED_VALUE"""),"CURSO")</f>
        <v>CURSO</v>
      </c>
      <c r="E249" s="6" t="str">
        <f>IFERROR(__xludf.DUMMYFUNCTION("""COMPUTED_VALUE"""),"SAP HANA PP")</f>
        <v>SAP HANA PP</v>
      </c>
      <c r="F249" s="7">
        <f>IFERROR(__xludf.DUMMYFUNCTION("""COMPUTED_VALUE"""),46074.0)</f>
        <v>46074</v>
      </c>
      <c r="G249" s="6"/>
      <c r="H249" s="7"/>
      <c r="I249" s="6"/>
      <c r="J249" s="7"/>
      <c r="K249" s="6"/>
      <c r="L249" s="7"/>
      <c r="M249" s="6"/>
      <c r="N249" s="7"/>
      <c r="O249" s="6"/>
      <c r="P249" s="7"/>
      <c r="Q249" s="6" t="str">
        <f>IFERROR(__xludf.DUMMYFUNCTION("""COMPUTED_VALUE"""),"Cesar Escarcena")</f>
        <v>Cesar Escarcena</v>
      </c>
      <c r="R249" s="5" t="str">
        <f>IFERROR(__xludf.DUMMYFUNCTION("""COMPUTED_VALUE"""),"Sáb")</f>
        <v>Sáb</v>
      </c>
      <c r="S249" s="6" t="str">
        <f>IFERROR(__xludf.DUMMYFUNCTION("""COMPUTED_VALUE"""),"3PM - 6PM")</f>
        <v>3PM - 6PM</v>
      </c>
      <c r="T249" s="7" t="str">
        <f>IFERROR(__xludf.DUMMYFUNCTION("""COMPUTED_VALUE"""),"Sábado 21 Febrero")</f>
        <v>Sábado 21 Febrero</v>
      </c>
      <c r="U249" s="7" t="str">
        <f>IFERROR(__xludf.DUMMYFUNCTION("""COMPUTED_VALUE"""),"Sábado 28 Marzo")</f>
        <v>Sábado 28 Marzo</v>
      </c>
      <c r="V249" s="8">
        <f>IFERROR(__xludf.DUMMYFUNCTION("""COMPUTED_VALUE"""),6.0)</f>
        <v>6</v>
      </c>
      <c r="W249" s="5" t="str">
        <f>IFERROR(__xludf.DUMMYFUNCTION("""COMPUTED_VALUE"""),"pdfs/BROCHURE SAP HANA PP MODULO PRODUCCION.pdf")</f>
        <v>pdfs/BROCHURE SAP HANA PP MODULO PRODUCCION.pdf</v>
      </c>
      <c r="X249" s="5" t="str">
        <f>IFERROR(__xludf.DUMMYFUNCTION("""COMPUTED_VALUE"""),"🔵 *Conoce TODOS los BENEFICIOS a los que accedes*
🔹 Acceso a *Campus Virtual* WE 👩🏻‍🏫
🔹 Material digital y grabación de clases 
🔹 Certificado digital con respaldo *SAP Partner*
🔹 04 Cursos Online de regalo con acceso ilimitado 📚
🔹 Acceso "&amp;"a *Curso SAP R3 con certificación* incluida
🔹 Taller de Automatización SAP con RPA
🔹 Garantía de Aprendizaje 100% 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249" s="5" t="str">
        <f>IFERROR(__xludf.DUMMYFUNCTION("""COMPUTED_VALUE"""),"images/sappp.jpg")</f>
        <v>images/sappp.jpg</v>
      </c>
      <c r="Z249" s="5" t="str">
        <f>IFERROR(__xludf.DUMMYFUNCTION("""COMPUTED_VALUE"""),"Avalado por SAP Partner Open")</f>
        <v>Avalado por SAP Partner Open</v>
      </c>
      <c r="AA249" s="5" t="str">
        <f>IFERROR(__xludf.DUMMYFUNCTION("""COMPUTED_VALUE"""),"NO")</f>
        <v>NO</v>
      </c>
      <c r="AB249" s="6">
        <f>IFERROR(__xludf.DUMMYFUNCTION("""COMPUTED_VALUE"""),900.0)</f>
        <v>900</v>
      </c>
      <c r="AC249" s="6">
        <f>IFERROR(__xludf.DUMMYFUNCTION("""COMPUTED_VALUE"""),750.0)</f>
        <v>750</v>
      </c>
      <c r="AD249" s="6">
        <f>IFERROR(__xludf.DUMMYFUNCTION("""COMPUTED_VALUE"""),450.0)</f>
        <v>450</v>
      </c>
      <c r="AE249" s="6">
        <f>IFERROR(__xludf.DUMMYFUNCTION("""COMPUTED_VALUE"""),375.0)</f>
        <v>375</v>
      </c>
      <c r="AF249" s="6">
        <f>IFERROR(__xludf.DUMMYFUNCTION("""COMPUTED_VALUE"""),150.0)</f>
        <v>150</v>
      </c>
      <c r="AG249" s="5">
        <f>IFERROR(__xludf.DUMMYFUNCTION("""COMPUTED_VALUE"""),150.0)</f>
        <v>150</v>
      </c>
      <c r="AH249" s="5"/>
      <c r="AI249" s="5">
        <f>IFERROR(__xludf.DUMMYFUNCTION("""COMPUTED_VALUE"""),337.5)</f>
        <v>337.5</v>
      </c>
      <c r="AJ249" s="5">
        <f>IFERROR(__xludf.DUMMYFUNCTION("""COMPUTED_VALUE"""),405.0)</f>
        <v>405</v>
      </c>
      <c r="AK249" s="5" t="str">
        <f>IFERROR(__xludf.DUMMYFUNCTION("""COMPUTED_VALUE"""),"La producción inteligente se gestiona con SAP HANA PP 📈
Con este programa aprenderás a planificar y ejecutar procesos productivos con casos aplicados 💼.
Aquí la info completa 👇🏻")</f>
        <v>La producción inteligente se gestiona con SAP HANA PP 📈
Con este programa aprenderás a planificar y ejecutar procesos productivos con casos aplicados 💼.
Aquí la info completa 👇🏻</v>
      </c>
      <c r="AL249" s="5" t="str">
        <f>IFERROR(__xludf.DUMMYFUNCTION("""COMPUTED_VALUE"""),"🏭 Excelente, actualízate con SAP PP y domina la planificación de la producción.")</f>
        <v>🏭 Excelente, actualízate con SAP PP y domina la planificación de la producción.</v>
      </c>
      <c r="AM249" s="5" t="str">
        <f>IFERROR(__xludf.DUMMYFUNCTION("""COMPUTED_VALUE"""),"💼 Buenísimo, SAP PP es muy requerido en empresas de manufactura y supply chain.")</f>
        <v>💼 Buenísimo, SAP PP es muy requerido en empresas de manufactura y supply chain.</v>
      </c>
      <c r="AN249" s="5" t="str">
        <f>IFERROR(__xludf.DUMMYFUNCTION("""COMPUTED_VALUE"""),"🎓 ¡Genial! Con SAP PP aprenderás planificación productiva desde la universidad.")</f>
        <v>🎓 ¡Genial! Con SAP PP aprenderás planificación productiva desde la universidad.</v>
      </c>
      <c r="AO249" s="5" t="str">
        <f>IFERROR(__xludf.DUMMYFUNCTION("""COMPUTED_VALUE"""),"🚀 ¡Perfecto! Con SAP PP tendrás ventaja en prácticas de operaciones y producción.")</f>
        <v>🚀 ¡Perfecto! Con SAP PP tendrás ventaja en prácticas de operaciones y producción.</v>
      </c>
      <c r="AP249" s="5" t="str">
        <f>IFERROR(__xludf.DUMMYFUNCTION("""COMPUTED_VALUE"""),"📊 ¡Excelente! Con SAP PP podrás organizar y optimizar procesos productivos en tu negocio.")</f>
        <v>📊 ¡Excelente! Con SAP PP podrás organizar y optimizar procesos productivos en tu negocio.</v>
      </c>
      <c r="AQ249" s="9" t="str">
        <f>IFERROR(__xludf.DUMMYFUNCTION("""COMPUTED_VALUE"""),"https://we-educacion.com/slides/sap-s-4-hana-pp-66")</f>
        <v>https://we-educacion.com/slides/sap-s-4-hana-pp-66</v>
      </c>
      <c r="AR249" s="5">
        <v>1.0</v>
      </c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</row>
    <row r="250" ht="15.75" customHeight="1">
      <c r="A250" s="5" t="s">
        <v>292</v>
      </c>
      <c r="B250" s="5" t="str">
        <f t="shared" si="1"/>
        <v>FEB. I - ED26</v>
      </c>
      <c r="C250" s="6" t="str">
        <f>IFERROR(__xludf.DUMMYFUNCTION("""COMPUTED_VALUE"""),"SAP")</f>
        <v>SAP</v>
      </c>
      <c r="D250" s="6" t="str">
        <f>IFERROR(__xludf.DUMMYFUNCTION("""COMPUTED_VALUE"""),"CURSO")</f>
        <v>CURSO</v>
      </c>
      <c r="E250" s="6" t="str">
        <f>IFERROR(__xludf.DUMMYFUNCTION("""COMPUTED_VALUE"""),"SAP HANA IN PRESENCIAL")</f>
        <v>SAP HANA IN PRESENCIAL</v>
      </c>
      <c r="F250" s="7">
        <f>IFERROR(__xludf.DUMMYFUNCTION("""COMPUTED_VALUE"""),46074.0)</f>
        <v>46074</v>
      </c>
      <c r="G250" s="6"/>
      <c r="H250" s="7"/>
      <c r="I250" s="6"/>
      <c r="J250" s="7"/>
      <c r="K250" s="6"/>
      <c r="L250" s="7"/>
      <c r="M250" s="6"/>
      <c r="N250" s="7"/>
      <c r="O250" s="6"/>
      <c r="P250" s="7"/>
      <c r="Q250" s="6" t="str">
        <f>IFERROR(__xludf.DUMMYFUNCTION("""COMPUTED_VALUE"""),"David Romero")</f>
        <v>David Romero</v>
      </c>
      <c r="R250" s="5" t="str">
        <f>IFERROR(__xludf.DUMMYFUNCTION("""COMPUTED_VALUE"""),"Sáb")</f>
        <v>Sáb</v>
      </c>
      <c r="S250" s="6" t="str">
        <f>IFERROR(__xludf.DUMMYFUNCTION("""COMPUTED_VALUE"""),"3:30PM - 7.30 PM")</f>
        <v>3:30PM - 7.30 PM</v>
      </c>
      <c r="T250" s="7" t="str">
        <f>IFERROR(__xludf.DUMMYFUNCTION("""COMPUTED_VALUE"""),"Sábado 21 Febrero")</f>
        <v>Sábado 21 Febrero</v>
      </c>
      <c r="U250" s="7" t="str">
        <f>IFERROR(__xludf.DUMMYFUNCTION("""COMPUTED_VALUE"""),"Sábado 25 Abril")</f>
        <v>Sábado 25 Abril</v>
      </c>
      <c r="V250" s="8">
        <f>IFERROR(__xludf.DUMMYFUNCTION("""COMPUTED_VALUE"""),5.0)</f>
        <v>5</v>
      </c>
      <c r="W250" s="5" t="str">
        <f>IFERROR(__xludf.DUMMYFUNCTION("""COMPUTED_VALUE"""),"pdfs/BROCHURE SAP S4 HANA IN PRESENCIAL.pdf")</f>
        <v>pdfs/BROCHURE SAP S4 HANA IN PRESENCIAL.pdf</v>
      </c>
      <c r="X250" s="5" t="str">
        <f>IFERROR(__xludf.DUMMYFUNCTION("""COMPUTED_VALUE"""),"🔵 *Utilizarán SAP HANA* 👩🏻‍💻
👉🏼 Incluye tutorial y manual de instalación
👉🏼 12 meses de Licencia SAP para practicar 🌟
👉🏼 Contarás con Soporte técnico
🚨 *Por favor, revisa el BROCHURE* 👇🏻
Aqui encontrarás la información completa del programa"&amp;", el TEMARIO (malla curricular) y todos los BENEFICIOS 📚")</f>
        <v>🔵 *Utilizarán SAP HANA* 👩🏻‍💻
👉🏼 Incluye tutorial y manual de instalación
👉🏼 12 meses de Licencia SAP para practicar 🌟
👉🏼 Contarás con Soporte técnico
🚨 *Por favor, revisa el BROCHURE* 👇🏻
Aqui encontrarás la información completa del programa, el TEMARIO (malla curricular) y todos los BENEFICIOS 📚</v>
      </c>
      <c r="Y250" s="5" t="str">
        <f>IFERROR(__xludf.DUMMYFUNCTION("""COMPUTED_VALUE"""),"images/sapinprese.jpg")</f>
        <v>images/sapinprese.jpg</v>
      </c>
      <c r="Z250" s="5" t="str">
        <f>IFERROR(__xludf.DUMMYFUNCTION("""COMPUTED_VALUE"""),"Avalado por SAP Partner Open")</f>
        <v>Avalado por SAP Partner Open</v>
      </c>
      <c r="AA250" s="5" t="str">
        <f>IFERROR(__xludf.DUMMYFUNCTION("""COMPUTED_VALUE"""),"NO")</f>
        <v>NO</v>
      </c>
      <c r="AB250" s="6">
        <f>IFERROR(__xludf.DUMMYFUNCTION("""COMPUTED_VALUE"""),1150.0)</f>
        <v>1150</v>
      </c>
      <c r="AC250" s="6">
        <f>IFERROR(__xludf.DUMMYFUNCTION("""COMPUTED_VALUE"""),1000.0)</f>
        <v>1000</v>
      </c>
      <c r="AD250" s="6">
        <f>IFERROR(__xludf.DUMMYFUNCTION("""COMPUTED_VALUE"""),575.0)</f>
        <v>575</v>
      </c>
      <c r="AE250" s="6">
        <f>IFERROR(__xludf.DUMMYFUNCTION("""COMPUTED_VALUE"""),500.0)</f>
        <v>500</v>
      </c>
      <c r="AF250" s="6">
        <f>IFERROR(__xludf.DUMMYFUNCTION("""COMPUTED_VALUE"""),150.0)</f>
        <v>150</v>
      </c>
      <c r="AG250" s="5">
        <f>IFERROR(__xludf.DUMMYFUNCTION("""COMPUTED_VALUE"""),150.0)</f>
        <v>150</v>
      </c>
      <c r="AH250" s="5"/>
      <c r="AI250" s="5">
        <f>IFERROR(__xludf.DUMMYFUNCTION("""COMPUTED_VALUE"""),450.0)</f>
        <v>450</v>
      </c>
      <c r="AJ250" s="5">
        <f>IFERROR(__xludf.DUMMYFUNCTION("""COMPUTED_VALUE"""),517.5)</f>
        <v>517.5</v>
      </c>
      <c r="AK250" s="5" t="str">
        <f>IFERROR(__xludf.DUMMYFUNCTION("""COMPUTED_VALUE"""),"La gestión de producción es aún más efectiva cuando es práctica y en vivo 📌
Con SAP HANA IN Presencial aprenderás a manejar procesos de manufactura directamente en entornos reales 💼.
Aquí la información 👇🏻")</f>
        <v>La gestión de producción es aún más efectiva cuando es práctica y en vivo 📌
Con SAP HANA IN Presencial aprenderás a manejar procesos de manufactura directamente en entornos reales 💼.
Aquí la información 👇🏻</v>
      </c>
      <c r="AL250" s="5" t="str">
        <f>IFERROR(__xludf.DUMMYFUNCTION("""COMPUTED_VALUE"""),"📦 Excelente, actualízate con SAP IN Presencial y aprende gestión de inventarios en vivo.")</f>
        <v>📦 Excelente, actualízate con SAP IN Presencial y aprende gestión de inventarios en vivo.</v>
      </c>
      <c r="AM250" s="5" t="str">
        <f>IFERROR(__xludf.DUMMYFUNCTION("""COMPUTED_VALUE"""),"💼 Buenísimo, SAP IN Presencial te conecta directamente con prácticas reales de empresa.")</f>
        <v>💼 Buenísimo, SAP IN Presencial te conecta directamente con prácticas reales de empresa.</v>
      </c>
      <c r="AN250" s="5" t="str">
        <f>IFERROR(__xludf.DUMMYFUNCTION("""COMPUTED_VALUE"""),"🎓 ¡Genial! De manera presencial aprender SAP IN te diferenciará.")</f>
        <v>🎓 ¡Genial! De manera presencial aprender SAP IN te diferenciará.</v>
      </c>
      <c r="AO250" s="5" t="str">
        <f>IFERROR(__xludf.DUMMYFUNCTION("""COMPUTED_VALUE"""),"🚀 ¡Perfecto! Con SAP IN Presencial tendrás ventaja en prácticas relacionadas con logística.")</f>
        <v>🚀 ¡Perfecto! Con SAP IN Presencial tendrás ventaja en prácticas relacionadas con logística.</v>
      </c>
      <c r="AP250" s="5" t="str">
        <f>IFERROR(__xludf.DUMMYFUNCTION("""COMPUTED_VALUE"""),"📊 ¡Excelente! Con SAP IN Presencial podrás optimizar inventarios en tu propio negocio.")</f>
        <v>📊 ¡Excelente! Con SAP IN Presencial podrás optimizar inventarios en tu propio negocio.</v>
      </c>
      <c r="AQ250" s="9" t="str">
        <f>IFERROR(__xludf.DUMMYFUNCTION("""COMPUTED_VALUE"""),"https://we-educacion.com/slides/sap-hana-integral-presencial-392")</f>
        <v>https://we-educacion.com/slides/sap-hana-integral-presencial-392</v>
      </c>
      <c r="AR250" s="5">
        <v>1.0</v>
      </c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</row>
    <row r="251" ht="15.75" customHeight="1">
      <c r="A251" s="5" t="s">
        <v>293</v>
      </c>
      <c r="B251" s="5" t="str">
        <f t="shared" si="1"/>
        <v>FEB. I - ED26</v>
      </c>
      <c r="C251" s="6" t="str">
        <f>IFERROR(__xludf.DUMMYFUNCTION("""COMPUTED_VALUE"""),"LOGÍSTICA")</f>
        <v>LOGÍSTICA</v>
      </c>
      <c r="D251" s="6" t="str">
        <f>IFERROR(__xludf.DUMMYFUNCTION("""COMPUTED_VALUE"""),"CURSO")</f>
        <v>CURSO</v>
      </c>
      <c r="E251" s="6" t="str">
        <f>IFERROR(__xludf.DUMMYFUNCTION("""COMPUTED_VALUE"""),"GEST. COMP. Y PROV.")</f>
        <v>GEST. COMP. Y PROV.</v>
      </c>
      <c r="F251" s="7">
        <f>IFERROR(__xludf.DUMMYFUNCTION("""COMPUTED_VALUE"""),46075.0)</f>
        <v>46075</v>
      </c>
      <c r="G251" s="6"/>
      <c r="H251" s="7"/>
      <c r="I251" s="6"/>
      <c r="J251" s="7"/>
      <c r="K251" s="6"/>
      <c r="L251" s="7"/>
      <c r="M251" s="6"/>
      <c r="N251" s="7"/>
      <c r="O251" s="6"/>
      <c r="P251" s="7"/>
      <c r="Q251" s="6" t="str">
        <f>IFERROR(__xludf.DUMMYFUNCTION("""COMPUTED_VALUE"""),"Sonia Guerra")</f>
        <v>Sonia Guerra</v>
      </c>
      <c r="R251" s="5" t="str">
        <f>IFERROR(__xludf.DUMMYFUNCTION("""COMPUTED_VALUE"""),"Dom")</f>
        <v>Dom</v>
      </c>
      <c r="S251" s="6" t="str">
        <f>IFERROR(__xludf.DUMMYFUNCTION("""COMPUTED_VALUE"""),"9AM - 12PM")</f>
        <v>9AM - 12PM</v>
      </c>
      <c r="T251" s="7" t="str">
        <f>IFERROR(__xludf.DUMMYFUNCTION("""COMPUTED_VALUE"""),"Domingo 22 Febrero")</f>
        <v>Domingo 22 Febrero</v>
      </c>
      <c r="U251" s="7" t="str">
        <f>IFERROR(__xludf.DUMMYFUNCTION("""COMPUTED_VALUE"""),"Domingo 12 Abril")</f>
        <v>Domingo 12 Abril</v>
      </c>
      <c r="V251" s="8">
        <f>IFERROR(__xludf.DUMMYFUNCTION("""COMPUTED_VALUE"""),6.0)</f>
        <v>6</v>
      </c>
      <c r="W251" s="5" t="str">
        <f>IFERROR(__xludf.DUMMYFUNCTION("""COMPUTED_VALUE"""),"pdfs/BROCHURE GEST DE COMPRAS Y PROVEEDORES.pdf")</f>
        <v>pdfs/BROCHURE GEST DE COMPRAS Y PROVEEDORES.pdf</v>
      </c>
      <c r="X251" s="5" t="str">
        <f>IFERROR(__xludf.DUMMYFUNCTION("""COMPUTED_VALUE"""),"🔵 *Conoce TODOS los BENEFICIOS a los que accedes*
🔹 Acceso a Campus Virtual WE 👩🏻‍🏫
🔹 Material digital y grabación de clases 
🔹 Certificado digital 
🔹 04 Cursos Online de regalo con acceso ilimitado 📚
🔹 Desarrollo y seguimiento de tu proyecto *"&amp;"(Evaluado)*
🔹 Garantía de Aprendizaje 100%
🚨 *Revisa el BROCHURE* 👇🏻")</f>
        <v>🔵 *Conoce TODOS los BENEFICIOS a los que accedes*
🔹 Acceso a Campus Virtual WE 👩🏻‍🏫
🔹 Material digital y grabación de clases 
🔹 Certificado digital 
🔹 04 Cursos Online de regalo con acceso ilimitado 📚
🔹 Desarrollo y seguimiento de tu proyecto *(Evaluado)*
🔹 Garantía de Aprendizaje 100%
🚨 *Revisa el BROCHURE* 👇🏻</v>
      </c>
      <c r="Y251" s="5" t="str">
        <f>IFERROR(__xludf.DUMMYFUNCTION("""COMPUTED_VALUE"""),"images/gestcomp.jpg")</f>
        <v>images/gestcomp.jpg</v>
      </c>
      <c r="Z251" s="5"/>
      <c r="AA251" s="5" t="str">
        <f>IFERROR(__xludf.DUMMYFUNCTION("""COMPUTED_VALUE"""),"SI")</f>
        <v>SI</v>
      </c>
      <c r="AB251" s="6">
        <f>IFERROR(__xludf.DUMMYFUNCTION("""COMPUTED_VALUE"""),830.0)</f>
        <v>830</v>
      </c>
      <c r="AC251" s="6">
        <f>IFERROR(__xludf.DUMMYFUNCTION("""COMPUTED_VALUE"""),770.0)</f>
        <v>770</v>
      </c>
      <c r="AD251" s="6">
        <f>IFERROR(__xludf.DUMMYFUNCTION("""COMPUTED_VALUE"""),415.0)</f>
        <v>415</v>
      </c>
      <c r="AE251" s="6">
        <f>IFERROR(__xludf.DUMMYFUNCTION("""COMPUTED_VALUE"""),385.0)</f>
        <v>385</v>
      </c>
      <c r="AF251" s="6">
        <f>IFERROR(__xludf.DUMMYFUNCTION("""COMPUTED_VALUE"""),150.0)</f>
        <v>150</v>
      </c>
      <c r="AG251" s="5">
        <f>IFERROR(__xludf.DUMMYFUNCTION("""COMPUTED_VALUE"""),150.0)</f>
        <v>150</v>
      </c>
      <c r="AH251" s="5"/>
      <c r="AI251" s="5">
        <f>IFERROR(__xludf.DUMMYFUNCTION("""COMPUTED_VALUE"""),346.5)</f>
        <v>346.5</v>
      </c>
      <c r="AJ251" s="5">
        <f>IFERROR(__xludf.DUMMYFUNCTION("""COMPUTED_VALUE"""),373.5)</f>
        <v>373.5</v>
      </c>
      <c r="AK251" s="5" t="str">
        <f>IFERROR(__xludf.DUMMYFUNCTION("""COMPUTED_VALUE"""),"La clave de la rentabilidad está en una gestión estratégica de compras 💰
Con Gestión de Compras y Proveedores aprenderás a negociar, evaluar y optimizar relaciones con proveedores 💼.
Aquí te comparto la info 👇🏻")</f>
        <v>La clave de la rentabilidad está en una gestión estratégica de compras 💰
Con Gestión de Compras y Proveedores aprenderás a negociar, evaluar y optimizar relaciones con proveedores 💼.
Aquí te comparto la info 👇🏻</v>
      </c>
      <c r="AL251" s="5" t="str">
        <f>IFERROR(__xludf.DUMMYFUNCTION("""COMPUTED_VALUE"""),"🎓 *Excelente*, actualízate con *GEST. COMP. Y PROV.* y mantente competitivo en el mercado laboral.")</f>
        <v>🎓 *Excelente*, actualízate con *GEST. COMP. Y PROV.* y mantente competitivo en el mercado laboral.</v>
      </c>
      <c r="AM251" s="5" t="str">
        <f>IFERROR(__xludf.DUMMYFUNCTION("""COMPUTED_VALUE"""),"🔑 Buenísimo, *GEST. COMP. Y PROV.* es de las competencias más pedidas por las empresas y aumentará tus oportunidades laborales.")</f>
        <v>🔑 Buenísimo, *GEST. COMP. Y PROV.* es de las competencias más pedidas por las empresas y aumentará tus oportunidades laborales.</v>
      </c>
      <c r="AN251" s="5" t="str">
        <f>IFERROR(__xludf.DUMMYFUNCTION("""COMPUTED_VALUE"""),"🌍 ¡Genial! Con *GEST. COMP. Y PROV.* sumarás una habilidad poderosa que te diferenciará desde la universidad.")</f>
        <v>🌍 ¡Genial! Con *GEST. COMP. Y PROV.* sumarás una habilidad poderosa que te diferenciará desde la universidad.</v>
      </c>
      <c r="AO251" s="5" t="str">
        <f>IFERROR(__xludf.DUMMYFUNCTION("""COMPUTED_VALUE"""),"💼 ¡Perfecto! Saber *GEST. COMP. Y PROV.* te dará ventaja frente a otros postulantes para conseguir prácticas.")</f>
        <v>💼 ¡Perfecto! Saber *GEST. COMP. Y PROV.* te dará ventaja frente a otros postulantes para conseguir prácticas.</v>
      </c>
      <c r="AP251" s="5" t="str">
        <f>IFERROR(__xludf.DUMMYFUNCTION("""COMPUTED_VALUE"""),"🚀 ¡Excelente! Con *GEST. COMP. Y PROV.* podrás aplicarlo en tu negocio y tomar decisiones más inteligentes.")</f>
        <v>🚀 ¡Excelente! Con *GEST. COMP. Y PROV.* podrás aplicarlo en tu negocio y tomar decisiones más inteligentes.</v>
      </c>
      <c r="AQ251" s="9" t="str">
        <f>IFERROR(__xludf.DUMMYFUNCTION("""COMPUTED_VALUE"""),"https://we-educacion.com/slides/gestion-de-compras-y-proveedores-74")</f>
        <v>https://we-educacion.com/slides/gestion-de-compras-y-proveedores-74</v>
      </c>
      <c r="AR251" s="5">
        <v>1.0</v>
      </c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</row>
    <row r="252" ht="15.75" customHeight="1">
      <c r="A252" s="5" t="s">
        <v>294</v>
      </c>
      <c r="B252" s="5" t="str">
        <f t="shared" si="1"/>
        <v>FEB. I - ED26</v>
      </c>
      <c r="C252" s="6" t="str">
        <f>IFERROR(__xludf.DUMMYFUNCTION("""COMPUTED_VALUE"""),"BI")</f>
        <v>BI</v>
      </c>
      <c r="D252" s="6" t="str">
        <f>IFERROR(__xludf.DUMMYFUNCTION("""COMPUTED_VALUE"""),"DIPLOMADO")</f>
        <v>DIPLOMADO</v>
      </c>
      <c r="E252" s="6" t="str">
        <f>IFERROR(__xludf.DUMMYFUNCTION("""COMPUTED_VALUE"""),"DIP INTELIG. Y ANALIST. DATOS V2")</f>
        <v>DIP INTELIG. Y ANALIST. DATOS V2</v>
      </c>
      <c r="F252" s="7">
        <f>IFERROR(__xludf.DUMMYFUNCTION("""COMPUTED_VALUE"""),46075.0)</f>
        <v>46075</v>
      </c>
      <c r="G252" s="6" t="str">
        <f>IFERROR(__xludf.DUMMYFUNCTION("""COMPUTED_VALUE"""),"DATA ANALYTICS")</f>
        <v>DATA ANALYTICS</v>
      </c>
      <c r="H252" s="7">
        <f>IFERROR(__xludf.DUMMYFUNCTION("""COMPUTED_VALUE"""),46075.0)</f>
        <v>46075</v>
      </c>
      <c r="I252" s="6" t="str">
        <f>IFERROR(__xludf.DUMMYFUNCTION("""COMPUTED_VALUE"""),"SQL SERVER")</f>
        <v>SQL SERVER</v>
      </c>
      <c r="J252" s="7">
        <f>IFERROR(__xludf.DUMMYFUNCTION("""COMPUTED_VALUE"""),46124.0)</f>
        <v>46124</v>
      </c>
      <c r="K252" s="6" t="str">
        <f>IFERROR(__xludf.DUMMYFUNCTION("""COMPUTED_VALUE"""),"POWER BI")</f>
        <v>POWER BI</v>
      </c>
      <c r="L252" s="7">
        <f>IFERROR(__xludf.DUMMYFUNCTION("""COMPUTED_VALUE"""),46173.0)</f>
        <v>46173</v>
      </c>
      <c r="M252" s="6" t="str">
        <f>IFERROR(__xludf.DUMMYFUNCTION("""COMPUTED_VALUE"""),"PYTHON. DATOS")</f>
        <v>PYTHON. DATOS</v>
      </c>
      <c r="N252" s="7">
        <f>IFERROR(__xludf.DUMMYFUNCTION("""COMPUTED_VALUE"""),46222.0)</f>
        <v>46222</v>
      </c>
      <c r="O252" s="6" t="str">
        <f>IFERROR(__xludf.DUMMYFUNCTION("""COMPUTED_VALUE"""),"PYTHON AVANZ.")</f>
        <v>PYTHON AVANZ.</v>
      </c>
      <c r="P252" s="7">
        <f>IFERROR(__xludf.DUMMYFUNCTION("""COMPUTED_VALUE"""),46278.0)</f>
        <v>46278</v>
      </c>
      <c r="Q252" s="6" t="str">
        <f>IFERROR(__xludf.DUMMYFUNCTION("""COMPUTED_VALUE"""),"Geanfranco Palomino
David Llaja
Moisés Bautista
Jhair Prado
Cesar Valencia")</f>
        <v>Geanfranco Palomino
David Llaja
Moisés Bautista
Jhair Prado
Cesar Valencia</v>
      </c>
      <c r="R252" s="5" t="str">
        <f>IFERROR(__xludf.DUMMYFUNCTION("""COMPUTED_VALUE"""),"Dom")</f>
        <v>Dom</v>
      </c>
      <c r="S252" s="6" t="str">
        <f>IFERROR(__xludf.DUMMYFUNCTION("""COMPUTED_VALUE"""),"9AM - 12PM")</f>
        <v>9AM - 12PM</v>
      </c>
      <c r="T252" s="7" t="str">
        <f>IFERROR(__xludf.DUMMYFUNCTION("""COMPUTED_VALUE"""),"Domingo 22 Febrero")</f>
        <v>Domingo 22 Febrero</v>
      </c>
      <c r="U252" s="7" t="str">
        <f>IFERROR(__xludf.DUMMYFUNCTION("""COMPUTED_VALUE"""),"Domingo 18 Octubre")</f>
        <v>Domingo 18 Octubre</v>
      </c>
      <c r="V252" s="8">
        <f>IFERROR(__xludf.DUMMYFUNCTION("""COMPUTED_VALUE"""),30.0)</f>
        <v>30</v>
      </c>
      <c r="W252" s="5" t="str">
        <f>IFERROR(__xludf.DUMMYFUNCTION("""COMPUTED_VALUE"""),"pdfs/BROCHURE DIPLOMADO INTELIGENCIA Y ANALISIS DE DATOS.pdf")</f>
        <v>pdfs/BROCHURE DIPLOMADO INTELIGENCIA Y ANALISIS DE DATOS.pdf</v>
      </c>
      <c r="X252" s="5" t="str">
        <f>IFERROR(__xludf.DUMMYFUNCTION("""COMPUTED_VALUE"""),"🔵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inf"&amp;"ormación completa del programa, el TEMARIO (malla curricular) y todos los BENEFICIOS 📚")</f>
        <v>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52" s="5" t="str">
        <f>IFERROR(__xludf.DUMMYFUNCTION("""COMPUTED_VALUE"""),"images/dipdatos.jpg")</f>
        <v>images/dipdatos.jpg</v>
      </c>
      <c r="Z252" s="5"/>
      <c r="AA252" s="5" t="str">
        <f>IFERROR(__xludf.DUMMYFUNCTION("""COMPUTED_VALUE"""),"NO")</f>
        <v>NO</v>
      </c>
      <c r="AB252" s="6">
        <f>IFERROR(__xludf.DUMMYFUNCTION("""COMPUTED_VALUE"""),3990.0)</f>
        <v>3990</v>
      </c>
      <c r="AC252" s="6">
        <f>IFERROR(__xludf.DUMMYFUNCTION("""COMPUTED_VALUE"""),3595.0)</f>
        <v>3595</v>
      </c>
      <c r="AD252" s="6">
        <f>IFERROR(__xludf.DUMMYFUNCTION("""COMPUTED_VALUE"""),1995.0)</f>
        <v>1995</v>
      </c>
      <c r="AE252" s="6">
        <f>IFERROR(__xludf.DUMMYFUNCTION("""COMPUTED_VALUE"""),1797.5)</f>
        <v>1797.5</v>
      </c>
      <c r="AF252" s="6">
        <f>IFERROR(__xludf.DUMMYFUNCTION("""COMPUTED_VALUE"""),250.0)</f>
        <v>250</v>
      </c>
      <c r="AG252" s="5">
        <f>IFERROR(__xludf.DUMMYFUNCTION("""COMPUTED_VALUE"""),350.0)</f>
        <v>350</v>
      </c>
      <c r="AH252" s="5"/>
      <c r="AI252" s="5">
        <f>IFERROR(__xludf.DUMMYFUNCTION("""COMPUTED_VALUE"""),1617.75)</f>
        <v>1617.75</v>
      </c>
      <c r="AJ252" s="5">
        <f>IFERROR(__xludf.DUMMYFUNCTION("""COMPUTED_VALUE"""),1795.5)</f>
        <v>1795.5</v>
      </c>
      <c r="AK252" s="5" t="str">
        <f>IFERROR(__xludf.DUMMYFUNCTION("""COMPUTED_VALUE"""),"Los datos son el nuevo petróleo ⛽
Conviértete en especialista en inteligencia de datos y analítica avanzada para la toma de decisiones estratégicas 📊
👉🏻 Te paso la información detallada.")</f>
        <v>Los datos son el nuevo petróleo ⛽
Conviértete en especialista en inteligencia de datos y analítica avanzada para la toma de decisiones estratégicas 📊
👉🏻 Te paso la información detallada.</v>
      </c>
      <c r="AL252" s="5" t="str">
        <f>IFERROR(__xludf.DUMMYFUNCTION("""COMPUTED_VALUE"""),"📊 Excelente, con el Diplomado en Análisis de Datos aprenderás a dominar BI y Big Data.")</f>
        <v>📊 Excelente, con el Diplomado en Análisis de Datos aprenderás a dominar BI y Big Data.</v>
      </c>
      <c r="AM252" s="5" t="str">
        <f>IFERROR(__xludf.DUMMYFUNCTION("""COMPUTED_VALUE"""),"💼 Súper, este Diplomado es clave para trabajar en áreas de inteligencia empresarial.")</f>
        <v>💼 Súper, este Diplomado es clave para trabajar en áreas de inteligencia empresarial.</v>
      </c>
      <c r="AN252" s="5" t="str">
        <f>IFERROR(__xludf.DUMMYFUNCTION("""COMPUTED_VALUE"""),"📚 ¡Genial! Desde la universidad, este Diplomado en Datos te dará un perfil altamente competitivo.")</f>
        <v>📚 ¡Genial! Desde la universidad, este Diplomado en Datos te dará un perfil altamente competitivo.</v>
      </c>
      <c r="AO252" s="5" t="str">
        <f>IFERROR(__xludf.DUMMYFUNCTION("""COMPUTED_VALUE"""),"🚀 ¡Perfecto! Con el Diplomado en Análisis de Datos tendrás ventaja en prácticas de tecnología.")</f>
        <v>🚀 ¡Perfecto! Con el Diplomado en Análisis de Datos tendrás ventaja en prácticas de tecnología.</v>
      </c>
      <c r="AP252" s="5" t="str">
        <f>IFERROR(__xludf.DUMMYFUNCTION("""COMPUTED_VALUE"""),"🤖 ¡Excelente! Lo aprendido te permitirá tomar decisiones estratégicas basadas en datos.")</f>
        <v>🤖 ¡Excelente! Lo aprendido te permitirá tomar decisiones estratégicas basadas en datos.</v>
      </c>
      <c r="AQ252" s="9" t="str">
        <f>IFERROR(__xludf.DUMMYFUNCTION("""COMPUTED_VALUE"""),"https://we-educacion.com/slides/diplomado-en-inteligencia-y-analisis-de-datos-261")</f>
        <v>https://we-educacion.com/slides/diplomado-en-inteligencia-y-analisis-de-datos-261</v>
      </c>
      <c r="AR252" s="5">
        <v>1.0</v>
      </c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</row>
    <row r="253" ht="15.75" customHeight="1">
      <c r="A253" s="5" t="s">
        <v>295</v>
      </c>
      <c r="B253" s="5" t="str">
        <f t="shared" si="1"/>
        <v>FEB. I - ED26</v>
      </c>
      <c r="C253" s="6" t="str">
        <f>IFERROR(__xludf.DUMMYFUNCTION("""COMPUTED_VALUE"""),"BI")</f>
        <v>BI</v>
      </c>
      <c r="D253" s="5" t="str">
        <f>IFERROR(__xludf.DUMMYFUNCTION("""COMPUTED_VALUE"""),"CURSO")</f>
        <v>CURSO</v>
      </c>
      <c r="E253" s="6" t="str">
        <f>IFERROR(__xludf.DUMMYFUNCTION("""COMPUTED_VALUE"""),"DATA ANALYTICS")</f>
        <v>DATA ANALYTICS</v>
      </c>
      <c r="F253" s="7">
        <f>IFERROR(__xludf.DUMMYFUNCTION("""COMPUTED_VALUE"""),46075.0)</f>
        <v>46075</v>
      </c>
      <c r="G253" s="6"/>
      <c r="H253" s="7"/>
      <c r="I253" s="6"/>
      <c r="J253" s="7"/>
      <c r="K253" s="6"/>
      <c r="L253" s="7"/>
      <c r="M253" s="6"/>
      <c r="N253" s="7"/>
      <c r="O253" s="6"/>
      <c r="P253" s="7"/>
      <c r="Q253" s="6"/>
      <c r="R253" s="5" t="str">
        <f>IFERROR(__xludf.DUMMYFUNCTION("""COMPUTED_VALUE"""),"Dom")</f>
        <v>Dom</v>
      </c>
      <c r="S253" s="6" t="str">
        <f>IFERROR(__xludf.DUMMYFUNCTION("""COMPUTED_VALUE"""),"9AM - 12PM")</f>
        <v>9AM - 12PM</v>
      </c>
      <c r="T253" s="7" t="str">
        <f>IFERROR(__xludf.DUMMYFUNCTION("""COMPUTED_VALUE"""),"Domingo 22 Febrero")</f>
        <v>Domingo 22 Febrero</v>
      </c>
      <c r="U253" s="7" t="str">
        <f>IFERROR(__xludf.DUMMYFUNCTION("""COMPUTED_VALUE"""),"Domingo 29 Marzo")</f>
        <v>Domingo 29 Marzo</v>
      </c>
      <c r="V253" s="8">
        <f>IFERROR(__xludf.DUMMYFUNCTION("""COMPUTED_VALUE"""),6.0)</f>
        <v>6</v>
      </c>
      <c r="W253" s="5" t="str">
        <f>IFERROR(__xludf.DUMMYFUNCTION("""COMPUTED_VALUE"""),"pdfs/BROCHURE Data Analytics.pdf")</f>
        <v>pdfs/BROCHURE Data Analytics.pdf</v>
      </c>
      <c r="X253" s="5" t="str">
        <f>IFERROR(__xludf.DUMMYFUNCTION("""COMPUTED_VALUE"""),"🔵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programa"&amp;", el TEMARIO (malla curricular) y todos los BENEFICIOS 📚")</f>
        <v>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53" s="5" t="str">
        <f>IFERROR(__xludf.DUMMYFUNCTION("""COMPUTED_VALUE"""),"images/data.jpg")</f>
        <v>images/data.jpg</v>
      </c>
      <c r="Z253" s="5"/>
      <c r="AA253" s="5" t="str">
        <f>IFERROR(__xludf.DUMMYFUNCTION("""COMPUTED_VALUE"""),"NO")</f>
        <v>NO</v>
      </c>
      <c r="AB253" s="6">
        <f>IFERROR(__xludf.DUMMYFUNCTION("""COMPUTED_VALUE"""),820.0)</f>
        <v>820</v>
      </c>
      <c r="AC253" s="6">
        <f>IFERROR(__xludf.DUMMYFUNCTION("""COMPUTED_VALUE"""),760.0)</f>
        <v>760</v>
      </c>
      <c r="AD253" s="6">
        <f>IFERROR(__xludf.DUMMYFUNCTION("""COMPUTED_VALUE"""),410.0)</f>
        <v>410</v>
      </c>
      <c r="AE253" s="6">
        <f>IFERROR(__xludf.DUMMYFUNCTION("""COMPUTED_VALUE"""),380.0)</f>
        <v>380</v>
      </c>
      <c r="AF253" s="6">
        <f>IFERROR(__xludf.DUMMYFUNCTION("""COMPUTED_VALUE"""),150.0)</f>
        <v>150</v>
      </c>
      <c r="AG253" s="5">
        <f>IFERROR(__xludf.DUMMYFUNCTION("""COMPUTED_VALUE"""),150.0)</f>
        <v>150</v>
      </c>
      <c r="AH253" s="5"/>
      <c r="AI253" s="5">
        <f>IFERROR(__xludf.DUMMYFUNCTION("""COMPUTED_VALUE"""),342.0)</f>
        <v>342</v>
      </c>
      <c r="AJ253" s="5">
        <f>IFERROR(__xludf.DUMMYFUNCTION("""COMPUTED_VALUE"""),369.0)</f>
        <v>369</v>
      </c>
      <c r="AK253" s="5" t="str">
        <f>IFERROR(__xludf.DUMMYFUNCTION("""COMPUTED_VALUE"""),"📊 *Los datos son el nuevo motor de las empresas* 🚀
En pocas semanas aprenderás a analizar, interpretar y visualizar información con herramientas prácticas de Data Analytics, transformando datos en decisiones estratégicas 💡📈
Ahora te comparto la inform"&amp;"ación a detalle 👇🏻")</f>
        <v>📊 *Los datos son el nuevo motor de las empresas* 🚀
En pocas semanas aprenderás a analizar, interpretar y visualizar información con herramientas prácticas de Data Analytics, transformando datos en decisiones estratégicas 💡📈
Ahora te comparto la información a detalle 👇🏻</v>
      </c>
      <c r="AL253" s="5" t="str">
        <f>IFERROR(__xludf.DUMMYFUNCTION("""COMPUTED_VALUE"""),"🔑 *Excelente*, actualízate con *DATA ANALYTICS* y mantente competitivo en el mercado laboral.")</f>
        <v>🔑 *Excelente*, actualízate con *DATA ANALYTICS* y mantente competitivo en el mercado laboral.</v>
      </c>
      <c r="AM253" s="5" t="str">
        <f>IFERROR(__xludf.DUMMYFUNCTION("""COMPUTED_VALUE"""),"🛠️ Buenísimo, *DATA ANALYTICS* es de las competencias más pedidas por las empresas y aumentará tus oportunidades laborales.")</f>
        <v>🛠️ Buenísimo, *DATA ANALYTICS* es de las competencias más pedidas por las empresas y aumentará tus oportunidades laborales.</v>
      </c>
      <c r="AN253" s="5" t="str">
        <f>IFERROR(__xludf.DUMMYFUNCTION("""COMPUTED_VALUE"""),"📈 ¡Genial! Con *DATA ANALYTICS* sumarás una habilidad poderosa que te diferenciará desde la universidad.")</f>
        <v>📈 ¡Genial! Con *DATA ANALYTICS* sumarás una habilidad poderosa que te diferenciará desde la universidad.</v>
      </c>
      <c r="AO253" s="5" t="str">
        <f>IFERROR(__xludf.DUMMYFUNCTION("""COMPUTED_VALUE"""),"🌍 ¡Perfecto! Saber *DATA ANALYTICS* te dará ventaja frente a otros postulantes para conseguir prácticas.")</f>
        <v>🌍 ¡Perfecto! Saber *DATA ANALYTICS* te dará ventaja frente a otros postulantes para conseguir prácticas.</v>
      </c>
      <c r="AP253" s="5" t="str">
        <f>IFERROR(__xludf.DUMMYFUNCTION("""COMPUTED_VALUE"""),"🎓 ¡Excelente! Con *DATA ANALYTICS* podrás aplicarlo en tu negocio y tomar decisiones más inteligentes.")</f>
        <v>🎓 ¡Excelente! Con *DATA ANALYTICS* podrás aplicarlo en tu negocio y tomar decisiones más inteligentes.</v>
      </c>
      <c r="AQ253" s="9" t="str">
        <f>IFERROR(__xludf.DUMMYFUNCTION("""COMPUTED_VALUE"""),"https://we-educacion.com/slides/data-analytics-262")</f>
        <v>https://we-educacion.com/slides/data-analytics-262</v>
      </c>
      <c r="AR253" s="5">
        <v>1.0</v>
      </c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</row>
    <row r="254" ht="15.75" customHeight="1">
      <c r="A254" s="5" t="s">
        <v>296</v>
      </c>
      <c r="B254" s="5" t="str">
        <f t="shared" si="1"/>
        <v>FEB. I - ED26</v>
      </c>
      <c r="C254" s="6" t="str">
        <f>IFERROR(__xludf.DUMMYFUNCTION("""COMPUTED_VALUE"""),"PROCESOS")</f>
        <v>PROCESOS</v>
      </c>
      <c r="D254" s="5" t="str">
        <f>IFERROR(__xludf.DUMMYFUNCTION("""COMPUTED_VALUE"""),"CURSO")</f>
        <v>CURSO</v>
      </c>
      <c r="E254" s="6" t="str">
        <f>IFERROR(__xludf.DUMMYFUNCTION("""COMPUTED_VALUE"""),"POWER APPS AVANZ")</f>
        <v>POWER APPS AVANZ</v>
      </c>
      <c r="F254" s="7">
        <f>IFERROR(__xludf.DUMMYFUNCTION("""COMPUTED_VALUE"""),46075.0)</f>
        <v>46075</v>
      </c>
      <c r="G254" s="6"/>
      <c r="H254" s="7"/>
      <c r="I254" s="6"/>
      <c r="J254" s="7"/>
      <c r="K254" s="6"/>
      <c r="L254" s="7"/>
      <c r="M254" s="6"/>
      <c r="N254" s="7"/>
      <c r="O254" s="6"/>
      <c r="P254" s="7"/>
      <c r="Q254" s="6" t="str">
        <f>IFERROR(__xludf.DUMMYFUNCTION("""COMPUTED_VALUE"""),"Jesús Gaspar")</f>
        <v>Jesús Gaspar</v>
      </c>
      <c r="R254" s="5" t="str">
        <f>IFERROR(__xludf.DUMMYFUNCTION("""COMPUTED_VALUE"""),"Dom")</f>
        <v>Dom</v>
      </c>
      <c r="S254" s="6" t="str">
        <f>IFERROR(__xludf.DUMMYFUNCTION("""COMPUTED_VALUE"""),"9AM - 12PM")</f>
        <v>9AM - 12PM</v>
      </c>
      <c r="T254" s="7" t="str">
        <f>IFERROR(__xludf.DUMMYFUNCTION("""COMPUTED_VALUE"""),"Domingo 22 Febrero")</f>
        <v>Domingo 22 Febrero</v>
      </c>
      <c r="U254" s="7" t="str">
        <f>IFERROR(__xludf.DUMMYFUNCTION("""COMPUTED_VALUE"""),"Domingo 29 Marzo")</f>
        <v>Domingo 29 Marzo</v>
      </c>
      <c r="V254" s="8">
        <f>IFERROR(__xludf.DUMMYFUNCTION("""COMPUTED_VALUE"""),6.0)</f>
        <v>6</v>
      </c>
      <c r="W254" s="5" t="str">
        <f>IFERROR(__xludf.DUMMYFUNCTION("""COMPUTED_VALUE"""),"pdfs/BROCHURE POWER APPS &amp; AUTOMATE AVANZADO.pdf")</f>
        <v>pdfs/BROCHURE POWER APPS &amp; AUTOMATE AVANZADO.pdf</v>
      </c>
      <c r="X254" s="5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254" s="5" t="str">
        <f>IFERROR(__xludf.DUMMYFUNCTION("""COMPUTED_VALUE"""),"images/powerappavanz.jpg")</f>
        <v>images/powerappavanz.jpg</v>
      </c>
      <c r="Z254" s="5" t="str">
        <f>IFERROR(__xludf.DUMMYFUNCTION("""COMPUTED_VALUE"""),"Avalado por Microsoft Partner Network")</f>
        <v>Avalado por Microsoft Partner Network</v>
      </c>
      <c r="AA254" s="5" t="str">
        <f>IFERROR(__xludf.DUMMYFUNCTION("""COMPUTED_VALUE"""),"NO")</f>
        <v>NO</v>
      </c>
      <c r="AB254" s="6">
        <f>IFERROR(__xludf.DUMMYFUNCTION("""COMPUTED_VALUE"""),650.0)</f>
        <v>650</v>
      </c>
      <c r="AC254" s="6">
        <f>IFERROR(__xludf.DUMMYFUNCTION("""COMPUTED_VALUE"""),570.0)</f>
        <v>570</v>
      </c>
      <c r="AD254" s="6">
        <f>IFERROR(__xludf.DUMMYFUNCTION("""COMPUTED_VALUE"""),325.0)</f>
        <v>325</v>
      </c>
      <c r="AE254" s="6">
        <f>IFERROR(__xludf.DUMMYFUNCTION("""COMPUTED_VALUE"""),285.0)</f>
        <v>285</v>
      </c>
      <c r="AF254" s="6">
        <f>IFERROR(__xludf.DUMMYFUNCTION("""COMPUTED_VALUE"""),150.0)</f>
        <v>150</v>
      </c>
      <c r="AG254" s="5">
        <f>IFERROR(__xludf.DUMMYFUNCTION("""COMPUTED_VALUE"""),150.0)</f>
        <v>150</v>
      </c>
      <c r="AH254" s="5"/>
      <c r="AI254" s="5">
        <f>IFERROR(__xludf.DUMMYFUNCTION("""COMPUTED_VALUE"""),256.5)</f>
        <v>256.5</v>
      </c>
      <c r="AJ254" s="5">
        <f>IFERROR(__xludf.DUMMYFUNCTION("""COMPUTED_VALUE"""),292.5)</f>
        <v>292.5</v>
      </c>
      <c r="AK254" s="5" t="str">
        <f>IFERROR(__xludf.DUMMYFUNCTION("""COMPUTED_VALUE"""),"El futuro de los negocios es la automatización sin código 💡
Con Power Apps Avanzado diseñarás aplicaciones prácticas para optimizar procesos reales 📊.
Aquí te comparto la información 👇🏻")</f>
        <v>El futuro de los negocios es la automatización sin código 💡
Con Power Apps Avanzado diseñarás aplicaciones prácticas para optimizar procesos reales 📊.
Aquí te comparto la información 👇🏻</v>
      </c>
      <c r="AL254" s="5" t="str">
        <f>IFERROR(__xludf.DUMMYFUNCTION("""COMPUTED_VALUE"""),"⚡ Excelente, actualízate con Power Apps Avanzado y domina la automatización de procesos.")</f>
        <v>⚡ Excelente, actualízate con Power Apps Avanzado y domina la automatización de procesos.</v>
      </c>
      <c r="AM254" s="5" t="str">
        <f>IFERROR(__xludf.DUMMYFUNCTION("""COMPUTED_VALUE"""),"💼 Buenísimo, Power Apps Avanzado es muy buscado en empresas que digitalizan operaciones.")</f>
        <v>💼 Buenísimo, Power Apps Avanzado es muy buscado en empresas que digitalizan operaciones.</v>
      </c>
      <c r="AN254" s="5" t="str">
        <f>IFERROR(__xludf.DUMMYFUNCTION("""COMPUTED_VALUE"""),"🎓 ¡Genial! Con Power Apps Avanzado aprenderás a crear soluciones prácticas desde la universidad.")</f>
        <v>🎓 ¡Genial! Con Power Apps Avanzado aprenderás a crear soluciones prácticas desde la universidad.</v>
      </c>
      <c r="AO254" s="5" t="str">
        <f>IFERROR(__xludf.DUMMYFUNCTION("""COMPUTED_VALUE"""),"🚀 ¡Perfecto! Saber Power Apps Avanzado te dará ventaja frente a otros en prácticas de TI.")</f>
        <v>🚀 ¡Perfecto! Saber Power Apps Avanzado te dará ventaja frente a otros en prácticas de TI.</v>
      </c>
      <c r="AP254" s="5" t="str">
        <f>IFERROR(__xludf.DUMMYFUNCTION("""COMPUTED_VALUE"""),"📊 ¡Excelente! Con Power Apps Avanzado podrás optimizar tus procesos de negocio con apps propias.")</f>
        <v>📊 ¡Excelente! Con Power Apps Avanzado podrás optimizar tus procesos de negocio con apps propias.</v>
      </c>
      <c r="AQ254" s="9" t="str">
        <f>IFERROR(__xludf.DUMMYFUNCTION("""COMPUTED_VALUE"""),"https://we-educacion.com/slides/power-apps-automate-avanzado-1112")</f>
        <v>https://we-educacion.com/slides/power-apps-automate-avanzado-1112</v>
      </c>
      <c r="AR254" s="5">
        <v>1.0</v>
      </c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</row>
    <row r="255" ht="15.75" customHeight="1">
      <c r="A255" s="5" t="s">
        <v>297</v>
      </c>
      <c r="B255" s="5" t="str">
        <f t="shared" si="1"/>
        <v>FEB. I - ED26</v>
      </c>
      <c r="C255" s="6" t="str">
        <f>IFERROR(__xludf.DUMMYFUNCTION("""COMPUTED_VALUE"""),"PROYECTOS")</f>
        <v>PROYECTOS</v>
      </c>
      <c r="D255" s="6" t="str">
        <f>IFERROR(__xludf.DUMMYFUNCTION("""COMPUTED_VALUE"""),"DIPLOMADO")</f>
        <v>DIPLOMADO</v>
      </c>
      <c r="E255" s="6" t="str">
        <f>IFERROR(__xludf.DUMMYFUNCTION("""COMPUTED_VALUE"""),"DIP GEST PROYECTOS V4")</f>
        <v>DIP GEST PROYECTOS V4</v>
      </c>
      <c r="F255" s="7">
        <f>IFERROR(__xludf.DUMMYFUNCTION("""COMPUTED_VALUE"""),46078.0)</f>
        <v>46078</v>
      </c>
      <c r="G255" s="6" t="str">
        <f>IFERROR(__xludf.DUMMYFUNCTION("""COMPUTED_VALUE"""),"GEST PROYECT I")</f>
        <v>GEST PROYECT I</v>
      </c>
      <c r="H255" s="7">
        <f>IFERROR(__xludf.DUMMYFUNCTION("""COMPUTED_VALUE"""),46078.0)</f>
        <v>46078</v>
      </c>
      <c r="I255" s="6" t="str">
        <f>IFERROR(__xludf.DUMMYFUNCTION("""COMPUTED_VALUE"""),"GEST. ÁGIL PROYECT")</f>
        <v>GEST. ÁGIL PROYECT</v>
      </c>
      <c r="J255" s="7">
        <f>IFERROR(__xludf.DUMMYFUNCTION("""COMPUTED_VALUE"""),46099.0)</f>
        <v>46099</v>
      </c>
      <c r="K255" s="6" t="str">
        <f>IFERROR(__xludf.DUMMYFUNCTION("""COMPUTED_VALUE"""),"MS PROJECT")</f>
        <v>MS PROJECT</v>
      </c>
      <c r="L255" s="7">
        <f>IFERROR(__xludf.DUMMYFUNCTION("""COMPUTED_VALUE"""),46120.0)</f>
        <v>46120</v>
      </c>
      <c r="M255" s="6" t="str">
        <f>IFERROR(__xludf.DUMMYFUNCTION("""COMPUTED_VALUE"""),"PMO")</f>
        <v>PMO</v>
      </c>
      <c r="N255" s="7">
        <f>IFERROR(__xludf.DUMMYFUNCTION("""COMPUTED_VALUE"""),46141.0)</f>
        <v>46141</v>
      </c>
      <c r="O255" s="6" t="str">
        <f>IFERROR(__xludf.DUMMYFUNCTION("""COMPUTED_VALUE"""),"GEST FINANC. PROYECT")</f>
        <v>GEST FINANC. PROYECT</v>
      </c>
      <c r="P255" s="7">
        <f>IFERROR(__xludf.DUMMYFUNCTION("""COMPUTED_VALUE"""),46162.0)</f>
        <v>46162</v>
      </c>
      <c r="Q255" s="6"/>
      <c r="R255" s="5" t="str">
        <f>IFERROR(__xludf.DUMMYFUNCTION("""COMPUTED_VALUE"""),"Lun-Mie")</f>
        <v>Lun-Mie</v>
      </c>
      <c r="S255" s="6" t="str">
        <f>IFERROR(__xludf.DUMMYFUNCTION("""COMPUTED_VALUE"""),"7PM - 10PM")</f>
        <v>7PM - 10PM</v>
      </c>
      <c r="T255" s="7" t="str">
        <f>IFERROR(__xludf.DUMMYFUNCTION("""COMPUTED_VALUE"""),"Miércoles 25 Febrero")</f>
        <v>Miércoles 25 Febrero</v>
      </c>
      <c r="U255" s="7" t="str">
        <f>IFERROR(__xludf.DUMMYFUNCTION("""COMPUTED_VALUE"""),"Lunes 8 Junio")</f>
        <v>Lunes 8 Junio</v>
      </c>
      <c r="V255" s="8">
        <f>IFERROR(__xludf.DUMMYFUNCTION("""COMPUTED_VALUE"""),29.0)</f>
        <v>29</v>
      </c>
      <c r="W255" s="5" t="str">
        <f>IFERROR(__xludf.DUMMYFUNCTION("""COMPUTED_VALUE"""),"pdfs/BROCHURE DIPLOMADO GESTION DE PROYECTOS.pdf")</f>
        <v>pdfs/BROCHURE DIPLOMADO GESTION DE PROYECTOS.pdf</v>
      </c>
      <c r="X255" s="6" t="str">
        <f>IFERROR(__xludf.DUMMYFUNCTION("""COMPUTED_VALUE"""),"🔵 Accede a la CERTIFICACIÓN PMI READY 💻⭐
👉🏼 Material de práctica (Previo al examen) 
👉🏼 Glosario: Conceptos en inglés
🔵 Podrás sustentar las 23 horas solicitadas por parte del CAPM
🔹 Utilizarán MS Project, Excel y Power BI 👩🏻‍💻
👉🏼 Incluye t"&amp;"utorial y manual de instalación
💻 Importante: Para la instalación se necesita una Laptop Windows
Por tu inscripción Al Contado, participa del Congreso de Proyectos en Modalidad General 🔝 
🚨 Por favor, revisa el BROCHURE 👇🏻
Aqui encontrarás la infor"&amp;"mación completa del programa: Temario (malla curricular) y todos los BENEFICIOS ")</f>
        <v>🔵 Accede a la CERTIFICACIÓN PMI READY 💻⭐
👉🏼 Material de práctica (Previo al examen) 
👉🏼 Glosario: Conceptos en inglés
🔵 Podrás sustentar las 23 horas solicitadas por parte del CAPM
🔹 Utilizarán MS Project, Excel y Power BI 👩🏻‍💻
👉🏼 Incluye tutorial y manual de instalación
💻 Importante: Para la instalación se necesita una Laptop Windows
Por tu inscripción Al Contado, participa del Congreso de Proyectos en Modalidad General 🔝 
🚨 Por favor, revisa el BROCHURE 👇🏻
Aqui encontrarás la información completa del programa: Temario (malla curricular) y todos los BENEFICIOS </v>
      </c>
      <c r="Y255" s="5" t="str">
        <f>IFERROR(__xludf.DUMMYFUNCTION("""COMPUTED_VALUE"""),"images/dipproyect.jpg")</f>
        <v>images/dipproyect.jpg</v>
      </c>
      <c r="Z255" s="5"/>
      <c r="AA255" s="5"/>
      <c r="AB255" s="6">
        <f>IFERROR(__xludf.DUMMYFUNCTION("""COMPUTED_VALUE"""),3385.0)</f>
        <v>3385</v>
      </c>
      <c r="AC255" s="6">
        <f>IFERROR(__xludf.DUMMYFUNCTION("""COMPUTED_VALUE"""),3010.0)</f>
        <v>3010</v>
      </c>
      <c r="AD255" s="6">
        <f>IFERROR(__xludf.DUMMYFUNCTION("""COMPUTED_VALUE"""),1692.5)</f>
        <v>1692.5</v>
      </c>
      <c r="AE255" s="6">
        <f>IFERROR(__xludf.DUMMYFUNCTION("""COMPUTED_VALUE"""),1505.0)</f>
        <v>1505</v>
      </c>
      <c r="AF255" s="6">
        <f>IFERROR(__xludf.DUMMYFUNCTION("""COMPUTED_VALUE"""),250.0)</f>
        <v>250</v>
      </c>
      <c r="AG255" s="5">
        <f>IFERROR(__xludf.DUMMYFUNCTION("""COMPUTED_VALUE"""),350.0)</f>
        <v>350</v>
      </c>
      <c r="AH255" s="5"/>
      <c r="AI255" s="5">
        <f>IFERROR(__xludf.DUMMYFUNCTION("""COMPUTED_VALUE"""),1354.5)</f>
        <v>1354.5</v>
      </c>
      <c r="AJ255" s="5">
        <f>IFERROR(__xludf.DUMMYFUNCTION("""COMPUTED_VALUE"""),1523.25)</f>
        <v>1523.25</v>
      </c>
      <c r="AK255" s="5" t="str">
        <f>IFERROR(__xludf.DUMMYFUNCTION("""COMPUTED_VALUE"""),"El liderazgo de proyectos es el motor de las organizaciones 🚀
Aprende metodologías ágiles y herramientas de gestión para llevar tus proyectos al éxito 📈
👉🏻 Aquí tienes la información completa.")</f>
        <v>El liderazgo de proyectos es el motor de las organizaciones 🚀
Aprende metodologías ágiles y herramientas de gestión para llevar tus proyectos al éxito 📈
👉🏻 Aquí tienes la información completa.</v>
      </c>
      <c r="AL255" s="5" t="str">
        <f>IFERROR(__xludf.DUMMYFUNCTION("""COMPUTED_VALUE"""),"📂 Excelente, con el Diplomado en Gestión de Proyectos dominarás metodologías ágiles y PMI.")</f>
        <v>📂 Excelente, con el Diplomado en Gestión de Proyectos dominarás metodologías ágiles y PMI.</v>
      </c>
      <c r="AM255" s="5" t="str">
        <f>IFERROR(__xludf.DUMMYFUNCTION("""COMPUTED_VALUE"""),"💼 Buenísimo, este Diplomado abre puertas en empresas que lideran proyectos estratégicos.")</f>
        <v>💼 Buenísimo, este Diplomado abre puertas en empresas que lideran proyectos estratégicos.</v>
      </c>
      <c r="AN255" s="5" t="str">
        <f>IFERROR(__xludf.DUMMYFUNCTION("""COMPUTED_VALUE"""),"🎓 ¡Genial! Desde la universidad, este Diplomado te dará ventaja en planificación y control.")</f>
        <v>🎓 ¡Genial! Desde la universidad, este Diplomado te dará ventaja en planificación y control.</v>
      </c>
      <c r="AO255" s="5" t="str">
        <f>IFERROR(__xludf.DUMMYFUNCTION("""COMPUTED_VALUE"""),"🚀 ¡Perfecto! Con el Diplomado en Proyectos resaltarás en prácticas de gestión e innovación.")</f>
        <v>🚀 ¡Perfecto! Con el Diplomado en Proyectos resaltarás en prácticas de gestión e innovación.</v>
      </c>
      <c r="AP255" s="5" t="str">
        <f>IFERROR(__xludf.DUMMYFUNCTION("""COMPUTED_VALUE"""),"📊 ¡Excelente! Podrás aplicar lo aprendido para dirigir proyectos propios o de tu negocio.")</f>
        <v>📊 ¡Excelente! Podrás aplicar lo aprendido para dirigir proyectos propios o de tu negocio.</v>
      </c>
      <c r="AQ255" s="9" t="str">
        <f>IFERROR(__xludf.DUMMYFUNCTION("""COMPUTED_VALUE"""),"https://we-educacion.com/slides/diplomado-en-gestion-de-proyectos-209")</f>
        <v>https://we-educacion.com/slides/diplomado-en-gestion-de-proyectos-209</v>
      </c>
      <c r="AR255" s="5">
        <v>1.0</v>
      </c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</row>
    <row r="256" ht="15.75" customHeight="1">
      <c r="A256" s="5" t="s">
        <v>298</v>
      </c>
      <c r="B256" s="5" t="str">
        <f t="shared" si="1"/>
        <v>FEB. I - ED26</v>
      </c>
      <c r="C256" s="6" t="str">
        <f>IFERROR(__xludf.DUMMYFUNCTION("""COMPUTED_VALUE"""),"PROYECTOS")</f>
        <v>PROYECTOS</v>
      </c>
      <c r="D256" s="6" t="str">
        <f>IFERROR(__xludf.DUMMYFUNCTION("""COMPUTED_VALUE"""),"PEE")</f>
        <v>PEE</v>
      </c>
      <c r="E256" s="6" t="str">
        <f>IFERROR(__xludf.DUMMYFUNCTION("""COMPUTED_VALUE"""),"PEE ANALIST PROY V4")</f>
        <v>PEE ANALIST PROY V4</v>
      </c>
      <c r="F256" s="7">
        <f>IFERROR(__xludf.DUMMYFUNCTION("""COMPUTED_VALUE"""),46078.0)</f>
        <v>46078</v>
      </c>
      <c r="G256" s="6" t="str">
        <f>IFERROR(__xludf.DUMMYFUNCTION("""COMPUTED_VALUE"""),"GEST PROYECT I")</f>
        <v>GEST PROYECT I</v>
      </c>
      <c r="H256" s="7">
        <f>IFERROR(__xludf.DUMMYFUNCTION("""COMPUTED_VALUE"""),46078.0)</f>
        <v>46078</v>
      </c>
      <c r="I256" s="6" t="str">
        <f>IFERROR(__xludf.DUMMYFUNCTION("""COMPUTED_VALUE"""),"GEST. ÁGIL PROYECT")</f>
        <v>GEST. ÁGIL PROYECT</v>
      </c>
      <c r="J256" s="7">
        <f>IFERROR(__xludf.DUMMYFUNCTION("""COMPUTED_VALUE"""),46099.0)</f>
        <v>46099</v>
      </c>
      <c r="K256" s="6" t="str">
        <f>IFERROR(__xludf.DUMMYFUNCTION("""COMPUTED_VALUE"""),"MS PROJECT")</f>
        <v>MS PROJECT</v>
      </c>
      <c r="L256" s="7">
        <f>IFERROR(__xludf.DUMMYFUNCTION("""COMPUTED_VALUE"""),46120.0)</f>
        <v>46120</v>
      </c>
      <c r="M256" s="6"/>
      <c r="N256" s="7"/>
      <c r="O256" s="6"/>
      <c r="P256" s="7"/>
      <c r="Q256" s="6"/>
      <c r="R256" s="5" t="str">
        <f>IFERROR(__xludf.DUMMYFUNCTION("""COMPUTED_VALUE"""),"Lun-Mie")</f>
        <v>Lun-Mie</v>
      </c>
      <c r="S256" s="6" t="str">
        <f>IFERROR(__xludf.DUMMYFUNCTION("""COMPUTED_VALUE"""),"7PM - 10PM")</f>
        <v>7PM - 10PM</v>
      </c>
      <c r="T256" s="7" t="str">
        <f>IFERROR(__xludf.DUMMYFUNCTION("""COMPUTED_VALUE"""),"Miércoles 25 Febrero")</f>
        <v>Miércoles 25 Febrero</v>
      </c>
      <c r="U256" s="7" t="str">
        <f>IFERROR(__xludf.DUMMYFUNCTION("""COMPUTED_VALUE"""),"Lunes 27 Abril")</f>
        <v>Lunes 27 Abril</v>
      </c>
      <c r="V256" s="8">
        <f>IFERROR(__xludf.DUMMYFUNCTION("""COMPUTED_VALUE"""),18.0)</f>
        <v>18</v>
      </c>
      <c r="W256" s="5" t="str">
        <f>IFERROR(__xludf.DUMMYFUNCTION("""COMPUTED_VALUE"""),"pdfs/BROCHURE PEE ANALISTA DE PROYECTOS.pdf")</f>
        <v>pdfs/BROCHURE PEE ANALISTA DE PROYECTOS.pdf</v>
      </c>
      <c r="X256" s="5" t="str">
        <f>IFERROR(__xludf.DUMMYFUNCTION("""COMPUTED_VALUE"""),"🔵 *Utilizarán Excel, Ms Project y Power BI*👩🏻‍💻
👉🏼 Incluye tutorial y manual de instalación
👉🏼 ¡Además te regalamos los cursos online!
💻 _*Importante*: Para la instalación se necesita una Laptop *Windows*_
🚨 *Por favor, revisa el BROCHURE* 👇🏻"&amp;"
Aqui encontrarás la información completa del programa, el TEMARIO (malla curricular) y todos los BENEFICIOS 📚")</f>
        <v>🔵 *Utilizarán Excel, Ms Project y Power BI*👩🏻‍💻
👉🏼 Incluye tutorial y manual de instalación
👉🏼 ¡Además te regalamos los cursos online!
💻 _*Importante*: Para la instalación se necesita una Laptop *Windows*_
🚨 *Por favor, revisa el BROCHURE* 👇🏻
Aqui encontrarás la información completa del programa, el TEMARIO (malla curricular) y todos los BENEFICIOS 📚</v>
      </c>
      <c r="Y256" s="5" t="str">
        <f>IFERROR(__xludf.DUMMYFUNCTION("""COMPUTED_VALUE"""),"images/peeproyectos.jpg")</f>
        <v>images/peeproyectos.jpg</v>
      </c>
      <c r="Z256" s="5"/>
      <c r="AA256" s="5"/>
      <c r="AB256" s="6">
        <f>IFERROR(__xludf.DUMMYFUNCTION("""COMPUTED_VALUE"""),1985.0)</f>
        <v>1985</v>
      </c>
      <c r="AC256" s="6">
        <f>IFERROR(__xludf.DUMMYFUNCTION("""COMPUTED_VALUE"""),1810.0)</f>
        <v>1810</v>
      </c>
      <c r="AD256" s="6">
        <f>IFERROR(__xludf.DUMMYFUNCTION("""COMPUTED_VALUE"""),992.5)</f>
        <v>992.5</v>
      </c>
      <c r="AE256" s="6">
        <f>IFERROR(__xludf.DUMMYFUNCTION("""COMPUTED_VALUE"""),905.0)</f>
        <v>905</v>
      </c>
      <c r="AF256" s="6">
        <f>IFERROR(__xludf.DUMMYFUNCTION("""COMPUTED_VALUE"""),250.0)</f>
        <v>250</v>
      </c>
      <c r="AG256" s="5">
        <f>IFERROR(__xludf.DUMMYFUNCTION("""COMPUTED_VALUE"""),350.0)</f>
        <v>350</v>
      </c>
      <c r="AH256" s="5"/>
      <c r="AI256" s="5">
        <f>IFERROR(__xludf.DUMMYFUNCTION("""COMPUTED_VALUE"""),814.5)</f>
        <v>814.5</v>
      </c>
      <c r="AJ256" s="5">
        <f>IFERROR(__xludf.DUMMYFUNCTION("""COMPUTED_VALUE"""),893.25)</f>
        <v>893.25</v>
      </c>
      <c r="AK256" s="5" t="str">
        <f>IFERROR(__xludf.DUMMYFUNCTION("""COMPUTED_VALUE"""),"*La clave del éxito en las empresas hoy es la gestión efectiva de proyectos* 🚀
En pocas semanas dominarás cómo planificar, organizar y ejecutar proyectos con herramientas prácticas y casos reales ⚙️
Ahora te comparto la información a detalle 👇🏻")</f>
        <v>*La clave del éxito en las empresas hoy es la gestión efectiva de proyectos* 🚀
En pocas semanas dominarás cómo planificar, organizar y ejecutar proyectos con herramientas prácticas y casos reales ⚙️
Ahora te comparto la información a detalle 👇🏻</v>
      </c>
      <c r="AL256" s="5" t="str">
        <f>IFERROR(__xludf.DUMMYFUNCTION("""COMPUTED_VALUE"""),"*Excelente*, actualiza tus conocimientos y domina la gestión de proyectos con metodologías modernas 🚀.")</f>
        <v>*Excelente*, actualiza tus conocimientos y domina la gestión de proyectos con metodologías modernas 🚀.</v>
      </c>
      <c r="AM256" s="5" t="str">
        <f>IFERROR(__xludf.DUMMYFUNCTION("""COMPUTED_VALUE"""),"Buenísimo, la gestión de proyectos es muy demandada y te dará un plus en tu CV para más oportunidades laborales 🧳.")</f>
        <v>Buenísimo, la gestión de proyectos es muy demandada y te dará un plus en tu CV para más oportunidades laborales 🧳.</v>
      </c>
      <c r="AN256" s="5" t="str">
        <f>IFERROR(__xludf.DUMMYFUNCTION("""COMPUTED_VALUE""")," ¡Excelente!. podrás complementar lo que ves en la universidad con herramientas prácticas de proyectos y así destacar tu Perfil Profesional 🚀.")</f>
        <v> ¡Excelente!. podrás complementar lo que ves en la universidad con herramientas prácticas de proyectos y así destacar tu Perfil Profesional 🚀.</v>
      </c>
      <c r="AO256" s="5" t="str">
        <f>IFERROR(__xludf.DUMMYFUNCTION("""COMPUTED_VALUE"""),"¡Perfecto!, la gestión de proyectos es muy valorada y te ayudará a sobresalir al postular a prácticas 🧳.")</f>
        <v>¡Perfecto!, la gestión de proyectos es muy valorada y te ayudará a sobresalir al postular a prácticas 🧳.</v>
      </c>
      <c r="AP256" s="5" t="str">
        <f>IFERROR(__xludf.DUMMYFUNCTION("""COMPUTED_VALUE"""),"¡Excelente!, con la gestión de proyectos podrás organizar mejor tus iniciativas y hacer crecer tu negocio 🚀.")</f>
        <v>¡Excelente!, con la gestión de proyectos podrás organizar mejor tus iniciativas y hacer crecer tu negocio 🚀.</v>
      </c>
      <c r="AQ256" s="9" t="str">
        <f>IFERROR(__xludf.DUMMYFUNCTION("""COMPUTED_VALUE"""),"https://we-educacion.com/slides/pee-analista-de-proyectos-163")</f>
        <v>https://we-educacion.com/slides/pee-analista-de-proyectos-163</v>
      </c>
      <c r="AR256" s="5">
        <v>1.0</v>
      </c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</row>
    <row r="257" ht="15.75" customHeight="1">
      <c r="A257" s="5" t="s">
        <v>299</v>
      </c>
      <c r="B257" s="5" t="str">
        <f t="shared" si="1"/>
        <v>FEB. I - ED26</v>
      </c>
      <c r="C257" s="6" t="str">
        <f>IFERROR(__xludf.DUMMYFUNCTION("""COMPUTED_VALUE"""),"PROYECTOS")</f>
        <v>PROYECTOS</v>
      </c>
      <c r="D257" s="6" t="str">
        <f>IFERROR(__xludf.DUMMYFUNCTION("""COMPUTED_VALUE"""),"ESP.")</f>
        <v>ESP.</v>
      </c>
      <c r="E257" s="6" t="str">
        <f>IFERROR(__xludf.DUMMYFUNCTION("""COMPUTED_VALUE"""),"ESP. GEST. PROYECTOS V3")</f>
        <v>ESP. GEST. PROYECTOS V3</v>
      </c>
      <c r="F257" s="7">
        <f>IFERROR(__xludf.DUMMYFUNCTION("""COMPUTED_VALUE"""),46078.0)</f>
        <v>46078</v>
      </c>
      <c r="G257" s="6" t="str">
        <f>IFERROR(__xludf.DUMMYFUNCTION("""COMPUTED_VALUE"""),"GEST PROYECT I")</f>
        <v>GEST PROYECT I</v>
      </c>
      <c r="H257" s="7">
        <f>IFERROR(__xludf.DUMMYFUNCTION("""COMPUTED_VALUE"""),46078.0)</f>
        <v>46078</v>
      </c>
      <c r="I257" s="6" t="str">
        <f>IFERROR(__xludf.DUMMYFUNCTION("""COMPUTED_VALUE"""),"GEST. ÁGIL PROYECT")</f>
        <v>GEST. ÁGIL PROYECT</v>
      </c>
      <c r="J257" s="7">
        <f>IFERROR(__xludf.DUMMYFUNCTION("""COMPUTED_VALUE"""),46099.0)</f>
        <v>46099</v>
      </c>
      <c r="K257" s="6"/>
      <c r="L257" s="7"/>
      <c r="M257" s="6"/>
      <c r="N257" s="7"/>
      <c r="O257" s="6"/>
      <c r="P257" s="7"/>
      <c r="Q257" s="6"/>
      <c r="R257" s="5" t="str">
        <f>IFERROR(__xludf.DUMMYFUNCTION("""COMPUTED_VALUE"""),"Lun-Mie")</f>
        <v>Lun-Mie</v>
      </c>
      <c r="S257" s="6" t="str">
        <f>IFERROR(__xludf.DUMMYFUNCTION("""COMPUTED_VALUE"""),"7PM - 10PM")</f>
        <v>7PM - 10PM</v>
      </c>
      <c r="T257" s="7" t="str">
        <f>IFERROR(__xludf.DUMMYFUNCTION("""COMPUTED_VALUE"""),"Miércoles 25 Febrero")</f>
        <v>Miércoles 25 Febrero</v>
      </c>
      <c r="U257" s="7" t="str">
        <f>IFERROR(__xludf.DUMMYFUNCTION("""COMPUTED_VALUE"""),"Lunes 6 Abril")</f>
        <v>Lunes 6 Abril</v>
      </c>
      <c r="V257" s="8">
        <f>IFERROR(__xludf.DUMMYFUNCTION("""COMPUTED_VALUE"""),11.0)</f>
        <v>11</v>
      </c>
      <c r="W257" s="5" t="str">
        <f>IFERROR(__xludf.DUMMYFUNCTION("""COMPUTED_VALUE"""),"pdfs/BROCHURE ESPECIALIZACION EN GESTIÓN DE PROYECTOS.pdf")</f>
        <v>pdfs/BROCHURE ESPECIALIZACION EN GESTIÓN DE PROYECTOS.pdf</v>
      </c>
      <c r="X257" s="5" t="str">
        <f>IFERROR(__xludf.DUMMYFUNCTION("""COMPUTED_VALUE"""),"🔹 Utilizarán Excel👩🏻‍💻
👉🏼 Incluye tutorial y manual de instalación
👉🏼 ¡Además te regalamos el curso online!
🚨 Por favor, revisa el BROCHURE 👇🏻
Aqui encontrarás la información completa del programa: Temario (malla curricular) y todos los BENEFI"&amp;"CIOS 📚")</f>
        <v>🔹 Utilizarán Excel👩🏻‍💻
👉🏼 Incluye tutorial y manual de instalación
👉🏼 ¡Además te regalamos el curso online!
🚨 Por favor, revisa el BROCHURE 👇🏻
Aqui encontrarás la información completa del programa: Temario (malla curricular) y todos los BENEFICIOS 📚</v>
      </c>
      <c r="Y257" s="5" t="str">
        <f>IFERROR(__xludf.DUMMYFUNCTION("""COMPUTED_VALUE"""),"images/espproyectos.jpg")</f>
        <v>images/espproyectos.jpg</v>
      </c>
      <c r="Z257" s="5"/>
      <c r="AA257" s="5"/>
      <c r="AB257" s="6">
        <f>IFERROR(__xludf.DUMMYFUNCTION("""COMPUTED_VALUE"""),1420.0)</f>
        <v>1420</v>
      </c>
      <c r="AC257" s="6">
        <f>IFERROR(__xludf.DUMMYFUNCTION("""COMPUTED_VALUE"""),1300.0)</f>
        <v>1300</v>
      </c>
      <c r="AD257" s="6">
        <f>IFERROR(__xludf.DUMMYFUNCTION("""COMPUTED_VALUE"""),710.0)</f>
        <v>710</v>
      </c>
      <c r="AE257" s="6">
        <f>IFERROR(__xludf.DUMMYFUNCTION("""COMPUTED_VALUE"""),650.0)</f>
        <v>650</v>
      </c>
      <c r="AF257" s="6">
        <f>IFERROR(__xludf.DUMMYFUNCTION("""COMPUTED_VALUE"""),250.0)</f>
        <v>250</v>
      </c>
      <c r="AG257" s="5">
        <f>IFERROR(__xludf.DUMMYFUNCTION("""COMPUTED_VALUE"""),350.0)</f>
        <v>350</v>
      </c>
      <c r="AH257" s="5"/>
      <c r="AI257" s="5">
        <f>IFERROR(__xludf.DUMMYFUNCTION("""COMPUTED_VALUE"""),585.0)</f>
        <v>585</v>
      </c>
      <c r="AJ257" s="5">
        <f>IFERROR(__xludf.DUMMYFUNCTION("""COMPUTED_VALUE"""),639.0)</f>
        <v>639</v>
      </c>
      <c r="AK257" s="5" t="str">
        <f>IFERROR(__xludf.DUMMYFUNCTION("""COMPUTED_VALUE"""),"Los proyectos exitosos requieren líderes preparados 🏗️
Domina metodologías y herramientas para gestionar proyectos de forma efectiva 📊
👉🏻 Te envío la información.")</f>
        <v>Los proyectos exitosos requieren líderes preparados 🏗️
Domina metodologías y herramientas para gestionar proyectos de forma efectiva 📊
👉🏻 Te envío la información.</v>
      </c>
      <c r="AL257" s="5" t="str">
        <f>IFERROR(__xludf.DUMMYFUNCTION("""COMPUTED_VALUE"""),"📋 Excelente, actualízate en Gestión de Proyectos y lidera con éxito.")</f>
        <v>📋 Excelente, actualízate en Gestión de Proyectos y lidera con éxito.</v>
      </c>
      <c r="AM257" s="5" t="str">
        <f>IFERROR(__xludf.DUMMYFUNCTION("""COMPUTED_VALUE"""),"💼 Buenísimo, el mercado busca expertos en dirección de proyectos.")</f>
        <v>💼 Buenísimo, el mercado busca expertos en dirección de proyectos.</v>
      </c>
      <c r="AN257" s="5" t="str">
        <f>IFERROR(__xludf.DUMMYFUNCTION("""COMPUTED_VALUE"""),"🚀 Genial, tu perfil sumará una habilidad clave en coordinación de equipos.")</f>
        <v>🚀 Genial, tu perfil sumará una habilidad clave en coordinación de equipos.</v>
      </c>
      <c r="AO257" s="5" t="str">
        <f>IFERROR(__xludf.DUMMYFUNCTION("""COMPUTED_VALUE"""),"🔑 Perfecto, tendrás ventaja en prácticas de gestión y planificación.")</f>
        <v>🔑 Perfecto, tendrás ventaja en prácticas de gestión y planificación.</v>
      </c>
      <c r="AP257" s="5" t="str">
        <f>IFERROR(__xludf.DUMMYFUNCTION("""COMPUTED_VALUE"""),"📊 Excelente, aplicarás gestión de proyectos en tu propio negocio.")</f>
        <v>📊 Excelente, aplicarás gestión de proyectos en tu propio negocio.</v>
      </c>
      <c r="AQ257" s="9" t="str">
        <f>IFERROR(__xludf.DUMMYFUNCTION("""COMPUTED_VALUE"""),"https://we-educacion.com/slides/especializacion-en-gestion-de-proyectos-350")</f>
        <v>https://we-educacion.com/slides/especializacion-en-gestion-de-proyectos-350</v>
      </c>
      <c r="AR257" s="5">
        <v>1.0</v>
      </c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</row>
    <row r="258" ht="15.75" customHeight="1">
      <c r="A258" s="5" t="s">
        <v>300</v>
      </c>
      <c r="B258" s="5" t="str">
        <f t="shared" si="1"/>
        <v>FEB. I - ED26</v>
      </c>
      <c r="C258" s="6" t="str">
        <f>IFERROR(__xludf.DUMMYFUNCTION("""COMPUTED_VALUE"""),"PROYECTOS")</f>
        <v>PROYECTOS</v>
      </c>
      <c r="D258" s="5" t="str">
        <f>IFERROR(__xludf.DUMMYFUNCTION("""COMPUTED_VALUE"""),"CURSO")</f>
        <v>CURSO</v>
      </c>
      <c r="E258" s="6" t="str">
        <f>IFERROR(__xludf.DUMMYFUNCTION("""COMPUTED_VALUE"""),"GEST PROYECT I")</f>
        <v>GEST PROYECT I</v>
      </c>
      <c r="F258" s="7">
        <f>IFERROR(__xludf.DUMMYFUNCTION("""COMPUTED_VALUE"""),46078.0)</f>
        <v>46078</v>
      </c>
      <c r="G258" s="6"/>
      <c r="H258" s="7"/>
      <c r="I258" s="6"/>
      <c r="J258" s="7"/>
      <c r="K258" s="6"/>
      <c r="L258" s="7"/>
      <c r="M258" s="6"/>
      <c r="N258" s="7"/>
      <c r="O258" s="6"/>
      <c r="P258" s="7"/>
      <c r="Q258" s="6"/>
      <c r="R258" s="5" t="str">
        <f>IFERROR(__xludf.DUMMYFUNCTION("""COMPUTED_VALUE"""),"Lun-Mie")</f>
        <v>Lun-Mie</v>
      </c>
      <c r="S258" s="6" t="str">
        <f>IFERROR(__xludf.DUMMYFUNCTION("""COMPUTED_VALUE"""),"7PM - 10PM")</f>
        <v>7PM - 10PM</v>
      </c>
      <c r="T258" s="7" t="str">
        <f>IFERROR(__xludf.DUMMYFUNCTION("""COMPUTED_VALUE"""),"Miércoles 25 Febrero")</f>
        <v>Miércoles 25 Febrero</v>
      </c>
      <c r="U258" s="7" t="str">
        <f>IFERROR(__xludf.DUMMYFUNCTION("""COMPUTED_VALUE"""),"Lunes 16 Marzo")</f>
        <v>Lunes 16 Marzo</v>
      </c>
      <c r="V258" s="8">
        <f>IFERROR(__xludf.DUMMYFUNCTION("""COMPUTED_VALUE"""),6.0)</f>
        <v>6</v>
      </c>
      <c r="W258" s="5" t="str">
        <f>IFERROR(__xludf.DUMMYFUNCTION("""COMPUTED_VALUE"""),"pdfs/BROCHURE GESTION DE PROYECTOS I.pdf")</f>
        <v>pdfs/BROCHURE GESTION DE PROYECTOS I.pdf</v>
      </c>
      <c r="X258" s="5" t="str">
        <f>IFERROR(__xludf.DUMMYFUNCTION("""COMPUTED_VALUE"""),"🔵 *Utilizarán Excel*
🚨 *Por favor, revisa el BROCHURE* 👇🏻
Aqui encontrarás la información completa del programa, el TEMARIO (malla curricular) y todos los BENEFICIOS 📚")</f>
        <v>🔵 *Utilizarán Excel*
🚨 *Por favor, revisa el BROCHURE* 👇🏻
Aqui encontrarás la información completa del programa, el TEMARIO (malla curricular) y todos los BENEFICIOS 📚</v>
      </c>
      <c r="Y258" s="5" t="str">
        <f>IFERROR(__xludf.DUMMYFUNCTION("""COMPUTED_VALUE"""),"images/gestproyect.jpg")</f>
        <v>images/gestproyect.jpg</v>
      </c>
      <c r="Z258" s="5"/>
      <c r="AA258" s="5" t="str">
        <f>IFERROR(__xludf.DUMMYFUNCTION("""COMPUTED_VALUE"""),"NO")</f>
        <v>NO</v>
      </c>
      <c r="AB258" s="6">
        <f>IFERROR(__xludf.DUMMYFUNCTION("""COMPUTED_VALUE"""),860.0)</f>
        <v>860</v>
      </c>
      <c r="AC258" s="6">
        <f>IFERROR(__xludf.DUMMYFUNCTION("""COMPUTED_VALUE"""),750.0)</f>
        <v>750</v>
      </c>
      <c r="AD258" s="6">
        <f>IFERROR(__xludf.DUMMYFUNCTION("""COMPUTED_VALUE"""),430.0)</f>
        <v>430</v>
      </c>
      <c r="AE258" s="6">
        <f>IFERROR(__xludf.DUMMYFUNCTION("""COMPUTED_VALUE"""),375.0)</f>
        <v>375</v>
      </c>
      <c r="AF258" s="6">
        <f>IFERROR(__xludf.DUMMYFUNCTION("""COMPUTED_VALUE"""),150.0)</f>
        <v>150</v>
      </c>
      <c r="AG258" s="5">
        <f>IFERROR(__xludf.DUMMYFUNCTION("""COMPUTED_VALUE"""),150.0)</f>
        <v>150</v>
      </c>
      <c r="AH258" s="5"/>
      <c r="AI258" s="5">
        <f>IFERROR(__xludf.DUMMYFUNCTION("""COMPUTED_VALUE"""),337.5)</f>
        <v>337.5</v>
      </c>
      <c r="AJ258" s="5">
        <f>IFERROR(__xludf.DUMMYFUNCTION("""COMPUTED_VALUE"""),387.0)</f>
        <v>387</v>
      </c>
      <c r="AK258" s="5" t="str">
        <f>IFERROR(__xludf.DUMMYFUNCTION("""COMPUTED_VALUE"""),"El liderazgo moderno comienza con la planificación efectiva 🗂️
Con Gestión de Proyectos I aprenderás las bases y herramientas clave para dirigir proyectos con éxito 🚀.
Aquí la información completa 👇🏻")</f>
        <v>El liderazgo moderno comienza con la planificación efectiva 🗂️
Con Gestión de Proyectos I aprenderás las bases y herramientas clave para dirigir proyectos con éxito 🚀.
Aquí la información completa 👇🏻</v>
      </c>
      <c r="AL258" s="5" t="str">
        <f>IFERROR(__xludf.DUMMYFUNCTION("""COMPUTED_VALUE"""),"*Excelente*, actualiza tus conocimientos y domina la gestión de proyectos 🚀.")</f>
        <v>*Excelente*, actualiza tus conocimientos y domina la gestión de proyectos 🚀.</v>
      </c>
      <c r="AM258" s="5" t="str">
        <f>IFERROR(__xludf.DUMMYFUNCTION("""COMPUTED_VALUE"""),"Buenísimo, la *gestión de proyectos* es muy demandada y te dará un plus en tu CV y más oportunidades laborales 🧳")</f>
        <v>Buenísimo, la *gestión de proyectos* es muy demandada y te dará un plus en tu CV y más oportunidades laborales 🧳</v>
      </c>
      <c r="AN258" s="5" t="str">
        <f>IFERROR(__xludf.DUMMYFUNCTION("""COMPUTED_VALUE"""),"¡Excelente!. podrás complementar lo que ves en la universidad con herramientas prácticas y aplicables, y así destacar tu *Perfil Profesional* 🚀. ")</f>
        <v>¡Excelente!. podrás complementar lo que ves en la universidad con herramientas prácticas y aplicables, y así destacar tu *Perfil Profesional* 🚀. </v>
      </c>
      <c r="AO258" s="5" t="str">
        <f>IFERROR(__xludf.DUMMYFUNCTION("""COMPUTED_VALUE"""),"¡Perfecto!, la gestión de proyectos es muy valorada por las empresas y te hará destacar al postular a prácticas 🧳")</f>
        <v>¡Perfecto!, la gestión de proyectos es muy valorada por las empresas y te hará destacar al postular a prácticas 🧳</v>
      </c>
      <c r="AP258" s="5" t="str">
        <f>IFERROR(__xludf.DUMMYFUNCTION("""COMPUTED_VALUE"""),"¡Excelente!, con la gestión de proyectos podrás organizar mejor tus proyectos y hacer crecer tu negocio 🚀.")</f>
        <v>¡Excelente!, con la gestión de proyectos podrás organizar mejor tus proyectos y hacer crecer tu negocio 🚀.</v>
      </c>
      <c r="AQ258" s="9" t="str">
        <f>IFERROR(__xludf.DUMMYFUNCTION("""COMPUTED_VALUE"""),"https://we-educacion.com/slides/gestion-de-proyectos-162")</f>
        <v>https://we-educacion.com/slides/gestion-de-proyectos-162</v>
      </c>
      <c r="AR258" s="5">
        <v>1.0</v>
      </c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</row>
    <row r="259" ht="15.75" customHeight="1">
      <c r="A259" s="5" t="s">
        <v>301</v>
      </c>
      <c r="B259" s="5" t="str">
        <f t="shared" si="1"/>
        <v>FEB. I - ED26</v>
      </c>
      <c r="C259" s="6" t="str">
        <f>IFERROR(__xludf.DUMMYFUNCTION("""COMPUTED_VALUE"""),"PROYECTOS")</f>
        <v>PROYECTOS</v>
      </c>
      <c r="D259" s="5" t="str">
        <f>IFERROR(__xludf.DUMMYFUNCTION("""COMPUTED_VALUE"""),"CURSO")</f>
        <v>CURSO</v>
      </c>
      <c r="E259" s="6" t="str">
        <f>IFERROR(__xludf.DUMMYFUNCTION("""COMPUTED_VALUE"""),"PMO")</f>
        <v>PMO</v>
      </c>
      <c r="F259" s="7">
        <f>IFERROR(__xludf.DUMMYFUNCTION("""COMPUTED_VALUE"""),46079.0)</f>
        <v>46079</v>
      </c>
      <c r="G259" s="6"/>
      <c r="H259" s="7"/>
      <c r="I259" s="6"/>
      <c r="J259" s="7"/>
      <c r="K259" s="6"/>
      <c r="L259" s="7"/>
      <c r="M259" s="6"/>
      <c r="N259" s="7"/>
      <c r="O259" s="6"/>
      <c r="P259" s="7"/>
      <c r="Q259" s="6" t="str">
        <f>IFERROR(__xludf.DUMMYFUNCTION("""COMPUTED_VALUE"""),"José Díaz")</f>
        <v>José Díaz</v>
      </c>
      <c r="R259" s="5" t="str">
        <f>IFERROR(__xludf.DUMMYFUNCTION("""COMPUTED_VALUE"""),"Jue")</f>
        <v>Jue</v>
      </c>
      <c r="S259" s="6" t="str">
        <f>IFERROR(__xludf.DUMMYFUNCTION("""COMPUTED_VALUE"""),"7PM - 10PM")</f>
        <v>7PM - 10PM</v>
      </c>
      <c r="T259" s="7" t="str">
        <f>IFERROR(__xludf.DUMMYFUNCTION("""COMPUTED_VALUE"""),"Jueves 26 Febrero")</f>
        <v>Jueves 26 Febrero</v>
      </c>
      <c r="U259" s="7" t="str">
        <f>IFERROR(__xludf.DUMMYFUNCTION("""COMPUTED_VALUE"""),"Jueves 2 Abril")</f>
        <v>Jueves 2 Abril</v>
      </c>
      <c r="V259" s="8">
        <f>IFERROR(__xludf.DUMMYFUNCTION("""COMPUTED_VALUE"""),6.0)</f>
        <v>6</v>
      </c>
      <c r="W259" s="5" t="str">
        <f>IFERROR(__xludf.DUMMYFUNCTION("""COMPUTED_VALUE"""),"pdfs/BROCHURE PMO GESTIÓN DE PORTAFOLIO (1).pdf")</f>
        <v>pdfs/BROCHURE PMO GESTIÓN DE PORTAFOLIO (1).pdf</v>
      </c>
      <c r="X259" s="5" t="str">
        <f>IFERROR(__xludf.DUMMYFUNCTION("""COMPUTED_VALUE"""),"🔹 Utilizarán Excel 👩🏻‍💻
🚨 Por favor, revisa el BROCHURE 👇🏻
Aqui encontrarás la información completa del programa: Temario (malla curricular) y todos los BENEFICIOS 📚
👉🏼 Te comparto un Modelo de Certificado que elevará tu perfil profesional ")</f>
        <v>🔹 Utilizarán Excel 👩🏻‍💻
🚨 Por favor, revisa el BROCHURE 👇🏻
Aqui encontrarás la información completa del programa: Temario (malla curricular) y todos los BENEFICIOS 📚
👉🏼 Te comparto un Modelo de Certificado que elevará tu perfil profesional </v>
      </c>
      <c r="Y259" s="5"/>
      <c r="Z259" s="5"/>
      <c r="AA259" s="5"/>
      <c r="AB259" s="6">
        <f>IFERROR(__xludf.DUMMYFUNCTION("""COMPUTED_VALUE"""),710.0)</f>
        <v>710</v>
      </c>
      <c r="AC259" s="6">
        <f>IFERROR(__xludf.DUMMYFUNCTION("""COMPUTED_VALUE"""),610.0)</f>
        <v>610</v>
      </c>
      <c r="AD259" s="6">
        <f>IFERROR(__xludf.DUMMYFUNCTION("""COMPUTED_VALUE"""),355.0)</f>
        <v>355</v>
      </c>
      <c r="AE259" s="6">
        <f>IFERROR(__xludf.DUMMYFUNCTION("""COMPUTED_VALUE"""),305.0)</f>
        <v>305</v>
      </c>
      <c r="AF259" s="6">
        <f>IFERROR(__xludf.DUMMYFUNCTION("""COMPUTED_VALUE"""),150.0)</f>
        <v>150</v>
      </c>
      <c r="AG259" s="5">
        <f>IFERROR(__xludf.DUMMYFUNCTION("""COMPUTED_VALUE"""),150.0)</f>
        <v>150</v>
      </c>
      <c r="AH259" s="5"/>
      <c r="AI259" s="5">
        <f>IFERROR(__xludf.DUMMYFUNCTION("""COMPUTED_VALUE"""),274.5)</f>
        <v>274.5</v>
      </c>
      <c r="AJ259" s="5">
        <f>IFERROR(__xludf.DUMMYFUNCTION("""COMPUTED_VALUE"""),319.5)</f>
        <v>319.5</v>
      </c>
      <c r="AK259" s="5" t="str">
        <f>IFERROR(__xludf.DUMMYFUNCTION("""COMPUTED_VALUE"""),"El éxito en proyectos grandes nace de una Oficina de Proyectos sólida 📌
Con PMO aprenderás a estandarizar, supervisar y optimizar la gestión de proyectos en tu organización 🚀.
Aquí tienes la info 👇🏻")</f>
        <v>El éxito en proyectos grandes nace de una Oficina de Proyectos sólida 📌
Con PMO aprenderás a estandarizar, supervisar y optimizar la gestión de proyectos en tu organización 🚀.
Aquí tienes la info 👇🏻</v>
      </c>
      <c r="AL259" s="5" t="str">
        <f>IFERROR(__xludf.DUMMYFUNCTION("""COMPUTED_VALUE"""),"📈 Excelente, actualízate con PMO y aprende a estructurar la gestión de proyectos a nivel organizacional.")</f>
        <v>📈 Excelente, actualízate con PMO y aprende a estructurar la gestión de proyectos a nivel organizacional.</v>
      </c>
      <c r="AM259" s="5" t="str">
        <f>IFERROR(__xludf.DUMMYFUNCTION("""COMPUTED_VALUE"""),"💼 Buenísimo, PMO es clave para acceder a posiciones de gestión en grandes compañías.")</f>
        <v>💼 Buenísimo, PMO es clave para acceder a posiciones de gestión en grandes compañías.</v>
      </c>
      <c r="AN259" s="5" t="str">
        <f>IFERROR(__xludf.DUMMYFUNCTION("""COMPUTED_VALUE"""),"🎓 ¡Genial! Con PMO tendrás conocimientos que te diferenciarán en la universidad.")</f>
        <v>🎓 ¡Genial! Con PMO tendrás conocimientos que te diferenciarán en la universidad.</v>
      </c>
      <c r="AO259" s="5" t="str">
        <f>IFERROR(__xludf.DUMMYFUNCTION("""COMPUTED_VALUE"""),"🚀 ¡Perfecto! Manejar PMO será un plus en postulaciones a prácticas en proyectos.")</f>
        <v>🚀 ¡Perfecto! Manejar PMO será un plus en postulaciones a prácticas en proyectos.</v>
      </c>
      <c r="AP259" s="5" t="str">
        <f>IFERROR(__xludf.DUMMYFUNCTION("""COMPUTED_VALUE"""),"📊 ¡Excelente! Con PMO podrás implementar mejores procesos de gestión en tu propio negocio.")</f>
        <v>📊 ¡Excelente! Con PMO podrás implementar mejores procesos de gestión en tu propio negocio.</v>
      </c>
      <c r="AQ259" s="9" t="str">
        <f>IFERROR(__xludf.DUMMYFUNCTION("""COMPUTED_VALUE"""),"https://we-educacion.com/slides/pmo-gestion-de-portafolio-y-oficina-de-proyectos-1213")</f>
        <v>https://we-educacion.com/slides/pmo-gestion-de-portafolio-y-oficina-de-proyectos-1213</v>
      </c>
      <c r="AR259" s="5">
        <v>1.0</v>
      </c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</row>
    <row r="260" ht="15.75" customHeight="1">
      <c r="A260" s="5" t="s">
        <v>302</v>
      </c>
      <c r="B260" s="5" t="str">
        <f t="shared" si="1"/>
        <v>FEB. I - ED26</v>
      </c>
      <c r="C260" s="6" t="str">
        <f>IFERROR(__xludf.DUMMYFUNCTION("""COMPUTED_VALUE"""),"PROYECTOS")</f>
        <v>PROYECTOS</v>
      </c>
      <c r="D260" s="6" t="str">
        <f>IFERROR(__xludf.DUMMYFUNCTION("""COMPUTED_VALUE"""),"CURSO")</f>
        <v>CURSO</v>
      </c>
      <c r="E260" s="6" t="str">
        <f>IFERROR(__xludf.DUMMYFUNCTION("""COMPUTED_VALUE"""),"MS PROJECT")</f>
        <v>MS PROJECT</v>
      </c>
      <c r="F260" s="7">
        <f>IFERROR(__xludf.DUMMYFUNCTION("""COMPUTED_VALUE"""),46079.0)</f>
        <v>46079</v>
      </c>
      <c r="G260" s="6"/>
      <c r="H260" s="7"/>
      <c r="I260" s="6"/>
      <c r="J260" s="7"/>
      <c r="K260" s="6"/>
      <c r="L260" s="7"/>
      <c r="M260" s="6"/>
      <c r="N260" s="7"/>
      <c r="O260" s="6"/>
      <c r="P260" s="7"/>
      <c r="Q260" s="6"/>
      <c r="R260" s="5" t="str">
        <f>IFERROR(__xludf.DUMMYFUNCTION("""COMPUTED_VALUE"""),"Mar-Jue")</f>
        <v>Mar-Jue</v>
      </c>
      <c r="S260" s="6" t="str">
        <f>IFERROR(__xludf.DUMMYFUNCTION("""COMPUTED_VALUE"""),"7PM - 10PM")</f>
        <v>7PM - 10PM</v>
      </c>
      <c r="T260" s="7" t="str">
        <f>IFERROR(__xludf.DUMMYFUNCTION("""COMPUTED_VALUE"""),"Jueves 26 Febrero")</f>
        <v>Jueves 26 Febrero</v>
      </c>
      <c r="U260" s="7" t="str">
        <f>IFERROR(__xludf.DUMMYFUNCTION("""COMPUTED_VALUE"""),"Martes 17 Marzo")</f>
        <v>Martes 17 Marzo</v>
      </c>
      <c r="V260" s="8">
        <f>IFERROR(__xludf.DUMMYFUNCTION("""COMPUTED_VALUE"""),6.0)</f>
        <v>6</v>
      </c>
      <c r="W260" s="5" t="str">
        <f>IFERROR(__xludf.DUMMYFUNCTION("""COMPUTED_VALUE"""),"pdfs/BROCHURE MS PROJECT.pdf")</f>
        <v>pdfs/BROCHURE MS PROJECT.pdf</v>
      </c>
      <c r="X260" s="5" t="str">
        <f>IFERROR(__xludf.DUMMYFUNCTION("""COMPUTED_VALUE"""),"🔵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60" s="5" t="str">
        <f>IFERROR(__xludf.DUMMYFUNCTION("""COMPUTED_VALUE"""),"images/msproject.jpg")</f>
        <v>images/msproject.jpg</v>
      </c>
      <c r="Z260" s="5" t="str">
        <f>IFERROR(__xludf.DUMMYFUNCTION("""COMPUTED_VALUE"""),"Avalado por Microsoft Partner Network")</f>
        <v>Avalado por Microsoft Partner Network</v>
      </c>
      <c r="AA260" s="5" t="str">
        <f>IFERROR(__xludf.DUMMYFUNCTION("""COMPUTED_VALUE"""),"SI")</f>
        <v>SI</v>
      </c>
      <c r="AB260" s="6">
        <f>IFERROR(__xludf.DUMMYFUNCTION("""COMPUTED_VALUE"""),610.0)</f>
        <v>610</v>
      </c>
      <c r="AC260" s="6">
        <f>IFERROR(__xludf.DUMMYFUNCTION("""COMPUTED_VALUE"""),550.0)</f>
        <v>550</v>
      </c>
      <c r="AD260" s="6">
        <f>IFERROR(__xludf.DUMMYFUNCTION("""COMPUTED_VALUE"""),305.0)</f>
        <v>305</v>
      </c>
      <c r="AE260" s="6">
        <f>IFERROR(__xludf.DUMMYFUNCTION("""COMPUTED_VALUE"""),275.0)</f>
        <v>275</v>
      </c>
      <c r="AF260" s="6">
        <f>IFERROR(__xludf.DUMMYFUNCTION("""COMPUTED_VALUE"""),150.0)</f>
        <v>150</v>
      </c>
      <c r="AG260" s="6">
        <f>IFERROR(__xludf.DUMMYFUNCTION("""COMPUTED_VALUE"""),150.0)</f>
        <v>150</v>
      </c>
      <c r="AH260" s="6"/>
      <c r="AI260" s="5">
        <f>IFERROR(__xludf.DUMMYFUNCTION("""COMPUTED_VALUE"""),247.5)</f>
        <v>247.5</v>
      </c>
      <c r="AJ260" s="5">
        <f>IFERROR(__xludf.DUMMYFUNCTION("""COMPUTED_VALUE"""),274.5)</f>
        <v>274.5</v>
      </c>
      <c r="AK260" s="5" t="str">
        <f>IFERROR(__xludf.DUMMYFUNCTION("""COMPUTED_VALUE"""),"✨ *Planificar bien es la clave para que todo proyecto tenga éxito.*
Aprende a gestionar tareas, tiempos y recursos con Microsoft Project de forma práctica y profesional 📅
Ahora te adjunto la información a detalle 👇🏻")</f>
        <v>✨ *Planificar bien es la clave para que todo proyecto tenga éxito.*
Aprende a gestionar tareas, tiempos y recursos con Microsoft Project de forma práctica y profesional 📅
Ahora te adjunto la información a detalle 👇🏻</v>
      </c>
      <c r="AL260" s="5" t="str">
        <f>IFERROR(__xludf.DUMMYFUNCTION("""COMPUTED_VALUE"""),"✨ Excelente, actualízate con MS Project y gestiona proyectos de manera más eficiente.")</f>
        <v>✨ Excelente, actualízate con MS Project y gestiona proyectos de manera más eficiente.</v>
      </c>
      <c r="AM260" s="5" t="str">
        <f>IFERROR(__xludf.DUMMYFUNCTION("""COMPUTED_VALUE"""),"💼 Buenísimo, MS Project es muy valorado por las empresas que buscan profesionales de gestión.")</f>
        <v>💼 Buenísimo, MS Project es muy valorado por las empresas que buscan profesionales de gestión.</v>
      </c>
      <c r="AN260" s="5" t="str">
        <f>IFERROR(__xludf.DUMMYFUNCTION("""COMPUTED_VALUE"""),"🎓 ¡Genial! Con MS Project aprenderás a organizar proyectos de forma práctica desde la universidad.")</f>
        <v>🎓 ¡Genial! Con MS Project aprenderás a organizar proyectos de forma práctica desde la universidad.</v>
      </c>
      <c r="AO260" s="5" t="str">
        <f>IFERROR(__xludf.DUMMYFUNCTION("""COMPUTED_VALUE"""),"🚀 ¡Perfecto! Saber MS Project te dará ventaja en prácticas relacionadas a gestión de proyectos.")</f>
        <v>🚀 ¡Perfecto! Saber MS Project te dará ventaja en prácticas relacionadas a gestión de proyectos.</v>
      </c>
      <c r="AP260" s="5" t="str">
        <f>IFERROR(__xludf.DUMMYFUNCTION("""COMPUTED_VALUE"""),"📊 ¡Excelente! Con MS Project podrás planificar y controlar tus propios proyectos de manera profesional.")</f>
        <v>📊 ¡Excelente! Con MS Project podrás planificar y controlar tus propios proyectos de manera profesional.</v>
      </c>
      <c r="AQ260" s="9" t="str">
        <f>IFERROR(__xludf.DUMMYFUNCTION("""COMPUTED_VALUE"""),"https://we-educacion.com/slides/ms-project-basico-intermedio-95")</f>
        <v>https://we-educacion.com/slides/ms-project-basico-intermedio-95</v>
      </c>
      <c r="AR260" s="5">
        <v>1.0</v>
      </c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</row>
    <row r="261" ht="15.75" customHeight="1">
      <c r="A261" s="5" t="s">
        <v>303</v>
      </c>
      <c r="B261" s="5" t="str">
        <f t="shared" si="1"/>
        <v>FEB. I - ED26</v>
      </c>
      <c r="C261" s="6" t="str">
        <f>IFERROR(__xludf.DUMMYFUNCTION("""COMPUTED_VALUE"""),"PROCESOS")</f>
        <v>PROCESOS</v>
      </c>
      <c r="D261" s="6" t="str">
        <f>IFERROR(__xludf.DUMMYFUNCTION("""COMPUTED_VALUE"""),"DIPLOMADO")</f>
        <v>DIPLOMADO</v>
      </c>
      <c r="E261" s="6" t="str">
        <f>IFERROR(__xludf.DUMMYFUNCTION("""COMPUTED_VALUE"""),"DIP PROC Y MEJORA V3")</f>
        <v>DIP PROC Y MEJORA V3</v>
      </c>
      <c r="F261" s="7">
        <f>IFERROR(__xludf.DUMMYFUNCTION("""COMPUTED_VALUE"""),46079.0)</f>
        <v>46079</v>
      </c>
      <c r="G261" s="6" t="str">
        <f>IFERROR(__xludf.DUMMYFUNCTION("""COMPUTED_VALUE"""),"GEST PROCESOS")</f>
        <v>GEST PROCESOS</v>
      </c>
      <c r="H261" s="7">
        <f>IFERROR(__xludf.DUMMYFUNCTION("""COMPUTED_VALUE"""),46079.0)</f>
        <v>46079</v>
      </c>
      <c r="I261" s="6" t="str">
        <f>IFERROR(__xludf.DUMMYFUNCTION("""COMPUTED_VALUE"""),"MODEL BIZ.")</f>
        <v>MODEL BIZ.</v>
      </c>
      <c r="J261" s="7">
        <f>IFERROR(__xludf.DUMMYFUNCTION("""COMPUTED_VALUE"""),46128.0)</f>
        <v>46128</v>
      </c>
      <c r="K261" s="6" t="str">
        <f>IFERROR(__xludf.DUMMYFUNCTION("""COMPUTED_VALUE"""),"LEAN SIX SIGMA YELLOW")</f>
        <v>LEAN SIX SIGMA YELLOW</v>
      </c>
      <c r="L261" s="7">
        <f>IFERROR(__xludf.DUMMYFUNCTION("""COMPUTED_VALUE"""),46170.0)</f>
        <v>46170</v>
      </c>
      <c r="M261" s="6" t="str">
        <f>IFERROR(__xludf.DUMMYFUNCTION("""COMPUTED_VALUE"""),"KPIS Y OKRS")</f>
        <v>KPIS Y OKRS</v>
      </c>
      <c r="N261" s="7">
        <f>IFERROR(__xludf.DUMMYFUNCTION("""COMPUTED_VALUE"""),46212.0)</f>
        <v>46212</v>
      </c>
      <c r="O261" s="6" t="str">
        <f>IFERROR(__xludf.DUMMYFUNCTION("""COMPUTED_VALUE"""),"ROBOTIZ.  UIPATH")</f>
        <v>ROBOTIZ.  UIPATH</v>
      </c>
      <c r="P261" s="7">
        <f>IFERROR(__xludf.DUMMYFUNCTION("""COMPUTED_VALUE"""),46261.0)</f>
        <v>46261</v>
      </c>
      <c r="Q261" s="6" t="str">
        <f>IFERROR(__xludf.DUMMYFUNCTION("""COMPUTED_VALUE"""),"Piero Prieto
Julio Dávila
Monica Olivas
Luis Euribe
Christian Rojas")</f>
        <v>Piero Prieto
Julio Dávila
Monica Olivas
Luis Euribe
Christian Rojas</v>
      </c>
      <c r="R261" s="5" t="str">
        <f>IFERROR(__xludf.DUMMYFUNCTION("""COMPUTED_VALUE"""),"Jue")</f>
        <v>Jue</v>
      </c>
      <c r="S261" s="6" t="str">
        <f>IFERROR(__xludf.DUMMYFUNCTION("""COMPUTED_VALUE"""),"7PM - 10PM")</f>
        <v>7PM - 10PM</v>
      </c>
      <c r="T261" s="7" t="str">
        <f>IFERROR(__xludf.DUMMYFUNCTION("""COMPUTED_VALUE"""),"Jueves 26 Febrero")</f>
        <v>Jueves 26 Febrero</v>
      </c>
      <c r="U261" s="7" t="str">
        <f>IFERROR(__xludf.DUMMYFUNCTION("""COMPUTED_VALUE"""),"Jueves 1 Octubre")</f>
        <v>Jueves 1 Octubre</v>
      </c>
      <c r="V261" s="8">
        <f>IFERROR(__xludf.DUMMYFUNCTION("""COMPUTED_VALUE"""),29.0)</f>
        <v>29</v>
      </c>
      <c r="W261" s="5" t="str">
        <f>IFERROR(__xludf.DUMMYFUNCTION("""COMPUTED_VALUE"""),"pdfs/BROCHURE DIPLOMADO PROCESOS Y MEJORA CONTINUA.pdf")</f>
        <v>pdfs/BROCHURE DIPLOMADO PROCESOS Y MEJORA CONTINUA.pdf</v>
      </c>
      <c r="X261" s="5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61" s="5" t="str">
        <f>IFERROR(__xludf.DUMMYFUNCTION("""COMPUTED_VALUE"""),"images/dipproc.jpg")</f>
        <v>images/dipproc.jpg</v>
      </c>
      <c r="Z261" s="5"/>
      <c r="AA261" s="5" t="str">
        <f>IFERROR(__xludf.DUMMYFUNCTION("""COMPUTED_VALUE"""),"NO")</f>
        <v>NO</v>
      </c>
      <c r="AB261" s="6">
        <f>IFERROR(__xludf.DUMMYFUNCTION("""COMPUTED_VALUE"""),3740.0)</f>
        <v>3740</v>
      </c>
      <c r="AC261" s="6">
        <f>IFERROR(__xludf.DUMMYFUNCTION("""COMPUTED_VALUE"""),3346.0)</f>
        <v>3346</v>
      </c>
      <c r="AD261" s="6">
        <f>IFERROR(__xludf.DUMMYFUNCTION("""COMPUTED_VALUE"""),1870.0)</f>
        <v>1870</v>
      </c>
      <c r="AE261" s="6">
        <f>IFERROR(__xludf.DUMMYFUNCTION("""COMPUTED_VALUE"""),1673.0)</f>
        <v>1673</v>
      </c>
      <c r="AF261" s="6">
        <f>IFERROR(__xludf.DUMMYFUNCTION("""COMPUTED_VALUE"""),250.0)</f>
        <v>250</v>
      </c>
      <c r="AG261" s="5">
        <f>IFERROR(__xludf.DUMMYFUNCTION("""COMPUTED_VALUE"""),350.0)</f>
        <v>350</v>
      </c>
      <c r="AH261" s="5"/>
      <c r="AI261" s="5">
        <f>IFERROR(__xludf.DUMMYFUNCTION("""COMPUTED_VALUE"""),1505.7)</f>
        <v>1505.7</v>
      </c>
      <c r="AJ261" s="5">
        <f>IFERROR(__xludf.DUMMYFUNCTION("""COMPUTED_VALUE"""),1683.0)</f>
        <v>1683</v>
      </c>
      <c r="AK261" s="5" t="str">
        <f>IFERROR(__xludf.DUMMYFUNCTION("""COMPUTED_VALUE"""),"Mejorar procesos es sinónimo de crecer 🔄
Aprende a optimizar la eficiencia operativa con herramientas de gestión y mejora continua 🏭
👉🏻 Aquí está la información a detalle.")</f>
        <v>Mejorar procesos es sinónimo de crecer 🔄
Aprende a optimizar la eficiencia operativa con herramientas de gestión y mejora continua 🏭
👉🏻 Aquí está la información a detalle.</v>
      </c>
      <c r="AL261" s="5" t="str">
        <f>IFERROR(__xludf.DUMMYFUNCTION("""COMPUTED_VALUE"""),"⚙️ Excelente, el Diplomado en Procesos y Mejora Continua te convierte en experto en Lean &amp; Six Sigma.")</f>
        <v>⚙️ Excelente, el Diplomado en Procesos y Mejora Continua te convierte en experto en Lean &amp; Six Sigma.</v>
      </c>
      <c r="AM261" s="5" t="str">
        <f>IFERROR(__xludf.DUMMYFUNCTION("""COMPUTED_VALUE"""),"💼 Muy bien, este Diplomado es requerido en empresas que priorizan la eficiencia operativa.")</f>
        <v>💼 Muy bien, este Diplomado es requerido en empresas que priorizan la eficiencia operativa.</v>
      </c>
      <c r="AN261" s="5" t="str">
        <f>IFERROR(__xludf.DUMMYFUNCTION("""COMPUTED_VALUE"""),"📚 ¡Genial! Desde la universidad podrás aplicar conceptos de mejora continua a tus proyectos.")</f>
        <v>📚 ¡Genial! Desde la universidad podrás aplicar conceptos de mejora continua a tus proyectos.</v>
      </c>
      <c r="AO261" s="5" t="str">
        <f>IFERROR(__xludf.DUMMYFUNCTION("""COMPUTED_VALUE"""),"🚀 ¡Perfecto! Con este Diplomado destacarás en prácticas en áreas de calidad y optimización.")</f>
        <v>🚀 ¡Perfecto! Con este Diplomado destacarás en prácticas en áreas de calidad y optimización.</v>
      </c>
      <c r="AP261" s="5" t="str">
        <f>IFERROR(__xludf.DUMMYFUNCTION("""COMPUTED_VALUE"""),"📊 ¡Excelente! Podrás aplicar mejoras de procesos directamente en tu negocio.")</f>
        <v>📊 ¡Excelente! Podrás aplicar mejoras de procesos directamente en tu negocio.</v>
      </c>
      <c r="AQ261" s="9" t="str">
        <f>IFERROR(__xludf.DUMMYFUNCTION("""COMPUTED_VALUE"""),"https://we-educacion.com/slides/diplomado-de-procesos-y-mejora-continua-205")</f>
        <v>https://we-educacion.com/slides/diplomado-de-procesos-y-mejora-continua-205</v>
      </c>
      <c r="AR261" s="5">
        <v>1.0</v>
      </c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</row>
    <row r="262" ht="15.75" customHeight="1">
      <c r="A262" s="5" t="s">
        <v>304</v>
      </c>
      <c r="B262" s="5" t="str">
        <f t="shared" si="1"/>
        <v>FEB. I - ED26</v>
      </c>
      <c r="C262" s="6" t="str">
        <f>IFERROR(__xludf.DUMMYFUNCTION("""COMPUTED_VALUE"""),"PROCESOS")</f>
        <v>PROCESOS</v>
      </c>
      <c r="D262" s="6" t="str">
        <f>IFERROR(__xludf.DUMMYFUNCTION("""COMPUTED_VALUE"""),"PEE")</f>
        <v>PEE</v>
      </c>
      <c r="E262" s="6" t="str">
        <f>IFERROR(__xludf.DUMMYFUNCTION("""COMPUTED_VALUE"""),"PEE ANALIST PROC")</f>
        <v>PEE ANALIST PROC</v>
      </c>
      <c r="F262" s="7">
        <f>IFERROR(__xludf.DUMMYFUNCTION("""COMPUTED_VALUE"""),46079.0)</f>
        <v>46079</v>
      </c>
      <c r="G262" s="6" t="str">
        <f>IFERROR(__xludf.DUMMYFUNCTION("""COMPUTED_VALUE"""),"GEST PROCESOS")</f>
        <v>GEST PROCESOS</v>
      </c>
      <c r="H262" s="7">
        <f>IFERROR(__xludf.DUMMYFUNCTION("""COMPUTED_VALUE"""),46079.0)</f>
        <v>46079</v>
      </c>
      <c r="I262" s="6" t="str">
        <f>IFERROR(__xludf.DUMMYFUNCTION("""COMPUTED_VALUE"""),"MODEL BIZ.")</f>
        <v>MODEL BIZ.</v>
      </c>
      <c r="J262" s="7">
        <f>IFERROR(__xludf.DUMMYFUNCTION("""COMPUTED_VALUE"""),46128.0)</f>
        <v>46128</v>
      </c>
      <c r="K262" s="6" t="str">
        <f>IFERROR(__xludf.DUMMYFUNCTION("""COMPUTED_VALUE"""),"LEAN SIX SIGMA YELLOW")</f>
        <v>LEAN SIX SIGMA YELLOW</v>
      </c>
      <c r="L262" s="7">
        <f>IFERROR(__xludf.DUMMYFUNCTION("""COMPUTED_VALUE"""),46170.0)</f>
        <v>46170</v>
      </c>
      <c r="M262" s="6"/>
      <c r="N262" s="7"/>
      <c r="O262" s="6"/>
      <c r="P262" s="7"/>
      <c r="Q262" s="6" t="str">
        <f>IFERROR(__xludf.DUMMYFUNCTION("""COMPUTED_VALUE"""),"Piero Prieto
Julio Dávila
Monica Olivas")</f>
        <v>Piero Prieto
Julio Dávila
Monica Olivas</v>
      </c>
      <c r="R262" s="5" t="str">
        <f>IFERROR(__xludf.DUMMYFUNCTION("""COMPUTED_VALUE"""),"Jue")</f>
        <v>Jue</v>
      </c>
      <c r="S262" s="6" t="str">
        <f>IFERROR(__xludf.DUMMYFUNCTION("""COMPUTED_VALUE"""),"7PM - 10PM")</f>
        <v>7PM - 10PM</v>
      </c>
      <c r="T262" s="7" t="str">
        <f>IFERROR(__xludf.DUMMYFUNCTION("""COMPUTED_VALUE"""),"Jueves 26 Febrero")</f>
        <v>Jueves 26 Febrero</v>
      </c>
      <c r="U262" s="7" t="str">
        <f>IFERROR(__xludf.DUMMYFUNCTION("""COMPUTED_VALUE"""),"Jueves 2 Julio")</f>
        <v>Jueves 2 Julio</v>
      </c>
      <c r="V262" s="8">
        <f>IFERROR(__xludf.DUMMYFUNCTION("""COMPUTED_VALUE"""),18.0)</f>
        <v>18</v>
      </c>
      <c r="W262" s="5" t="str">
        <f>IFERROR(__xludf.DUMMYFUNCTION("""COMPUTED_VALUE"""),"pdfs/BROCHURE PEE ANALISTA DE PROCESOS.pdf")</f>
        <v>pdfs/BROCHURE PEE ANALISTA DE PROCESOS.pdf</v>
      </c>
      <c r="X262" s="5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62" s="5" t="str">
        <f>IFERROR(__xludf.DUMMYFUNCTION("""COMPUTED_VALUE"""),"images/peeprocesos.jpg")</f>
        <v>images/peeprocesos.jpg</v>
      </c>
      <c r="Z262" s="5"/>
      <c r="AA262" s="5" t="str">
        <f>IFERROR(__xludf.DUMMYFUNCTION("""COMPUTED_VALUE"""),"NO")</f>
        <v>NO</v>
      </c>
      <c r="AB262" s="6">
        <f>IFERROR(__xludf.DUMMYFUNCTION("""COMPUTED_VALUE"""),2280.0)</f>
        <v>2280</v>
      </c>
      <c r="AC262" s="6">
        <f>IFERROR(__xludf.DUMMYFUNCTION("""COMPUTED_VALUE"""),2040.0)</f>
        <v>2040</v>
      </c>
      <c r="AD262" s="6">
        <f>IFERROR(__xludf.DUMMYFUNCTION("""COMPUTED_VALUE"""),1140.0)</f>
        <v>1140</v>
      </c>
      <c r="AE262" s="6">
        <f>IFERROR(__xludf.DUMMYFUNCTION("""COMPUTED_VALUE"""),1020.0)</f>
        <v>1020</v>
      </c>
      <c r="AF262" s="6">
        <f>IFERROR(__xludf.DUMMYFUNCTION("""COMPUTED_VALUE"""),250.0)</f>
        <v>250</v>
      </c>
      <c r="AG262" s="5">
        <f>IFERROR(__xludf.DUMMYFUNCTION("""COMPUTED_VALUE"""),350.0)</f>
        <v>350</v>
      </c>
      <c r="AH262" s="5"/>
      <c r="AI262" s="5">
        <f>IFERROR(__xludf.DUMMYFUNCTION("""COMPUTED_VALUE"""),918.0)</f>
        <v>918</v>
      </c>
      <c r="AJ262" s="5">
        <f>IFERROR(__xludf.DUMMYFUNCTION("""COMPUTED_VALUE"""),1026.0)</f>
        <v>1026</v>
      </c>
      <c r="AK262" s="5" t="str">
        <f>IFERROR(__xludf.DUMMYFUNCTION("""COMPUTED_VALUE"""),"La mejora de procesos es el camino a la eficiencia 🔄
Especialízate en análisis y gestión de procesos para optimizar el rendimiento de las organizaciones 🏭
👉🏻 Te paso el detalle.")</f>
        <v>La mejora de procesos es el camino a la eficiencia 🔄
Especialízate en análisis y gestión de procesos para optimizar el rendimiento de las organizaciones 🏭
👉🏻 Te paso el detalle.</v>
      </c>
      <c r="AL262" s="5" t="str">
        <f>IFERROR(__xludf.DUMMYFUNCTION("""COMPUTED_VALUE"""),"⚡ Excelente, el PEE Analista de Procesos te formará en gestión y mejora de operaciones.")</f>
        <v>⚡ Excelente, el PEE Analista de Procesos te formará en gestión y mejora de operaciones.</v>
      </c>
      <c r="AM262" s="5" t="str">
        <f>IFERROR(__xludf.DUMMYFUNCTION("""COMPUTED_VALUE"""),"💼 Buenísimo, este perfil es clave en empresas que buscan optimizar tiempos y costos.")</f>
        <v>💼 Buenísimo, este perfil es clave en empresas que buscan optimizar tiempos y costos.</v>
      </c>
      <c r="AN262" s="5" t="str">
        <f>IFERROR(__xludf.DUMMYFUNCTION("""COMPUTED_VALUE"""),"📚 ¡Genial! Desde la universidad aprenderás mapa de procesos y metodologías de mejora.")</f>
        <v>📚 ¡Genial! Desde la universidad aprenderás mapa de procesos y metodologías de mejora.</v>
      </c>
      <c r="AO262" s="5" t="str">
        <f>IFERROR(__xludf.DUMMYFUNCTION("""COMPUTED_VALUE"""),"🚀 ¡Perfecto! Este PEE es ideal para destacar en la gestión de eficiencia.")</f>
        <v>🚀 ¡Perfecto! Este PEE es ideal para destacar en la gestión de eficiencia.</v>
      </c>
      <c r="AP262" s="5" t="str">
        <f>IFERROR(__xludf.DUMMYFUNCTION("""COMPUTED_VALUE"""),"📊 ¡Excelente! Podrás rediseñar procesos para hacer más rentable tu negocio.")</f>
        <v>📊 ¡Excelente! Podrás rediseñar procesos para hacer más rentable tu negocio.</v>
      </c>
      <c r="AQ262" s="9" t="str">
        <f>IFERROR(__xludf.DUMMYFUNCTION("""COMPUTED_VALUE"""),"https://we-educacion.com/slides/pee-analista-de-procesos-187")</f>
        <v>https://we-educacion.com/slides/pee-analista-de-procesos-187</v>
      </c>
      <c r="AR262" s="5">
        <v>1.0</v>
      </c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</row>
    <row r="263" ht="15.75" customHeight="1">
      <c r="A263" s="5" t="s">
        <v>305</v>
      </c>
      <c r="B263" s="5" t="str">
        <f t="shared" si="1"/>
        <v>FEB. I - ED26</v>
      </c>
      <c r="C263" s="6" t="str">
        <f>IFERROR(__xludf.DUMMYFUNCTION("""COMPUTED_VALUE"""),"PROCESOS")</f>
        <v>PROCESOS</v>
      </c>
      <c r="D263" s="5" t="str">
        <f>IFERROR(__xludf.DUMMYFUNCTION("""COMPUTED_VALUE"""),"CURSO")</f>
        <v>CURSO</v>
      </c>
      <c r="E263" s="6" t="str">
        <f>IFERROR(__xludf.DUMMYFUNCTION("""COMPUTED_VALUE"""),"GEST PROCESOS")</f>
        <v>GEST PROCESOS</v>
      </c>
      <c r="F263" s="7">
        <f>IFERROR(__xludf.DUMMYFUNCTION("""COMPUTED_VALUE"""),46079.0)</f>
        <v>46079</v>
      </c>
      <c r="G263" s="6"/>
      <c r="H263" s="7"/>
      <c r="I263" s="6"/>
      <c r="J263" s="7"/>
      <c r="K263" s="6"/>
      <c r="L263" s="7"/>
      <c r="M263" s="6"/>
      <c r="N263" s="7"/>
      <c r="O263" s="6"/>
      <c r="P263" s="7"/>
      <c r="Q263" s="6" t="str">
        <f>IFERROR(__xludf.DUMMYFUNCTION("""COMPUTED_VALUE"""),"Piero Prieto
")</f>
        <v>Piero Prieto
</v>
      </c>
      <c r="R263" s="5" t="str">
        <f>IFERROR(__xludf.DUMMYFUNCTION("""COMPUTED_VALUE"""),"Jue")</f>
        <v>Jue</v>
      </c>
      <c r="S263" s="6" t="str">
        <f>IFERROR(__xludf.DUMMYFUNCTION("""COMPUTED_VALUE"""),"7PM - 10PM")</f>
        <v>7PM - 10PM</v>
      </c>
      <c r="T263" s="7" t="str">
        <f>IFERROR(__xludf.DUMMYFUNCTION("""COMPUTED_VALUE"""),"Jueves 26 Febrero")</f>
        <v>Jueves 26 Febrero</v>
      </c>
      <c r="U263" s="7" t="str">
        <f>IFERROR(__xludf.DUMMYFUNCTION("""COMPUTED_VALUE"""),"Jueves 9 Abril")</f>
        <v>Jueves 9 Abril</v>
      </c>
      <c r="V263" s="8">
        <f>IFERROR(__xludf.DUMMYFUNCTION("""COMPUTED_VALUE"""),6.0)</f>
        <v>6</v>
      </c>
      <c r="W263" s="5" t="str">
        <f>IFERROR(__xludf.DUMMYFUNCTION("""COMPUTED_VALUE"""),"pdfs/BROCHURE GESTION DE PROCESOS.pdf")</f>
        <v>pdfs/BROCHURE GESTION DE PROCESOS.pdf</v>
      </c>
      <c r="X263" s="5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63" s="5" t="str">
        <f>IFERROR(__xludf.DUMMYFUNCTION("""COMPUTED_VALUE"""),"images/gestprocesos.jpg")</f>
        <v>images/gestprocesos.jpg</v>
      </c>
      <c r="Z263" s="5"/>
      <c r="AA263" s="5" t="str">
        <f>IFERROR(__xludf.DUMMYFUNCTION("""COMPUTED_VALUE"""),"NO")</f>
        <v>NO</v>
      </c>
      <c r="AB263" s="6">
        <f>IFERROR(__xludf.DUMMYFUNCTION("""COMPUTED_VALUE"""),880.0)</f>
        <v>880</v>
      </c>
      <c r="AC263" s="6">
        <f>IFERROR(__xludf.DUMMYFUNCTION("""COMPUTED_VALUE"""),770.0)</f>
        <v>770</v>
      </c>
      <c r="AD263" s="6">
        <f>IFERROR(__xludf.DUMMYFUNCTION("""COMPUTED_VALUE"""),440.0)</f>
        <v>440</v>
      </c>
      <c r="AE263" s="6">
        <f>IFERROR(__xludf.DUMMYFUNCTION("""COMPUTED_VALUE"""),385.0)</f>
        <v>385</v>
      </c>
      <c r="AF263" s="6">
        <f>IFERROR(__xludf.DUMMYFUNCTION("""COMPUTED_VALUE"""),150.0)</f>
        <v>150</v>
      </c>
      <c r="AG263" s="5">
        <f>IFERROR(__xludf.DUMMYFUNCTION("""COMPUTED_VALUE"""),150.0)</f>
        <v>150</v>
      </c>
      <c r="AH263" s="5"/>
      <c r="AI263" s="5">
        <f>IFERROR(__xludf.DUMMYFUNCTION("""COMPUTED_VALUE"""),346.5)</f>
        <v>346.5</v>
      </c>
      <c r="AJ263" s="5">
        <f>IFERROR(__xludf.DUMMYFUNCTION("""COMPUTED_VALUE"""),396.0)</f>
        <v>396</v>
      </c>
      <c r="AK263" s="5" t="str">
        <f>IFERROR(__xludf.DUMMYFUNCTION("""COMPUTED_VALUE"""),"El lenguaje de los líderes de hoy es la eficiencia operativa ⚙️
Con Gestión de Procesos aprenderás a optimizar y rediseñar flujos de trabajo aplicados a casos reales 💼.
Aquí te comparto la información 👇🏻")</f>
        <v>El lenguaje de los líderes de hoy es la eficiencia operativa ⚙️
Con Gestión de Procesos aprenderás a optimizar y rediseñar flujos de trabajo aplicados a casos reales 💼.
Aquí te comparto la información 👇🏻</v>
      </c>
      <c r="AL263" s="5" t="str">
        <f>IFERROR(__xludf.DUMMYFUNCTION("""COMPUTED_VALUE"""),"⚡ *Excelente*, actualízate con *GEST PROCESOS* y mantente competitivo en el mercado laboral.")</f>
        <v>⚡ *Excelente*, actualízate con *GEST PROCESOS* y mantente competitivo en el mercado laboral.</v>
      </c>
      <c r="AM263" s="5" t="str">
        <f>IFERROR(__xludf.DUMMYFUNCTION("""COMPUTED_VALUE"""),"✨ Buenísimo, *GEST PROCESOS* es de las competencias más pedidas por las empresas y aumentará tus oportunidades laborales.")</f>
        <v>✨ Buenísimo, *GEST PROCESOS* es de las competencias más pedidas por las empresas y aumentará tus oportunidades laborales.</v>
      </c>
      <c r="AN263" s="5" t="str">
        <f>IFERROR(__xludf.DUMMYFUNCTION("""COMPUTED_VALUE"""),"🌍 ¡Genial! Con *GEST PROCESOS* sumarás una habilidad poderosa que te diferenciará desde la universidad.")</f>
        <v>🌍 ¡Genial! Con *GEST PROCESOS* sumarás una habilidad poderosa que te diferenciará desde la universidad.</v>
      </c>
      <c r="AO263" s="5" t="str">
        <f>IFERROR(__xludf.DUMMYFUNCTION("""COMPUTED_VALUE"""),"🔑 ¡Perfecto! Saber *GEST PROCESOS* te dará ventaja frente a otros postulantes para conseguir prácticas.")</f>
        <v>🔑 ¡Perfecto! Saber *GEST PROCESOS* te dará ventaja frente a otros postulantes para conseguir prácticas.</v>
      </c>
      <c r="AP263" s="5" t="str">
        <f>IFERROR(__xludf.DUMMYFUNCTION("""COMPUTED_VALUE"""),"📈 ¡Excelente! Con *GEST PROCESOS* podrás aplicarlo en tu negocio y tomar decisiones más inteligentes.")</f>
        <v>📈 ¡Excelente! Con *GEST PROCESOS* podrás aplicarlo en tu negocio y tomar decisiones más inteligentes.</v>
      </c>
      <c r="AQ263" s="9" t="str">
        <f>IFERROR(__xludf.DUMMYFUNCTION("""COMPUTED_VALUE"""),"https://we-educacion.com/slides/gestion-de-procesos-188")</f>
        <v>https://we-educacion.com/slides/gestion-de-procesos-188</v>
      </c>
      <c r="AR263" s="5">
        <v>1.0</v>
      </c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</row>
    <row r="264" ht="15.75" customHeight="1">
      <c r="A264" s="5" t="s">
        <v>306</v>
      </c>
      <c r="B264" s="5" t="str">
        <f t="shared" si="1"/>
        <v>FEB. II - ED26</v>
      </c>
      <c r="C264" s="6" t="str">
        <f>IFERROR(__xludf.DUMMYFUNCTION("""COMPUTED_VALUE"""),"SAP")</f>
        <v>SAP</v>
      </c>
      <c r="D264" s="6" t="str">
        <f>IFERROR(__xludf.DUMMYFUNCTION("""COMPUTED_VALUE"""),"CURSO")</f>
        <v>CURSO</v>
      </c>
      <c r="E264" s="6" t="str">
        <f>IFERROR(__xludf.DUMMYFUNCTION("""COMPUTED_VALUE"""),"SAP HANA IN")</f>
        <v>SAP HANA IN</v>
      </c>
      <c r="F264" s="7">
        <f>IFERROR(__xludf.DUMMYFUNCTION("""COMPUTED_VALUE"""),46081.0)</f>
        <v>46081</v>
      </c>
      <c r="G264" s="6"/>
      <c r="H264" s="7"/>
      <c r="I264" s="6"/>
      <c r="J264" s="7"/>
      <c r="K264" s="6"/>
      <c r="L264" s="7"/>
      <c r="M264" s="6"/>
      <c r="N264" s="7"/>
      <c r="O264" s="6"/>
      <c r="P264" s="7"/>
      <c r="Q264" s="6" t="str">
        <f>IFERROR(__xludf.DUMMYFUNCTION("""COMPUTED_VALUE"""),"Roller Rubio")</f>
        <v>Roller Rubio</v>
      </c>
      <c r="R264" s="5" t="str">
        <f>IFERROR(__xludf.DUMMYFUNCTION("""COMPUTED_VALUE"""),"Sáb")</f>
        <v>Sáb</v>
      </c>
      <c r="S264" s="6" t="str">
        <f>IFERROR(__xludf.DUMMYFUNCTION("""COMPUTED_VALUE"""),"3PM - 6PM")</f>
        <v>3PM - 6PM</v>
      </c>
      <c r="T264" s="7" t="str">
        <f>IFERROR(__xludf.DUMMYFUNCTION("""COMPUTED_VALUE"""),"Sábado 28 Febrero")</f>
        <v>Sábado 28 Febrero</v>
      </c>
      <c r="U264" s="7" t="str">
        <f>IFERROR(__xludf.DUMMYFUNCTION("""COMPUTED_VALUE"""),"Sábado 4 Abril")</f>
        <v>Sábado 4 Abril</v>
      </c>
      <c r="V264" s="8">
        <f>IFERROR(__xludf.DUMMYFUNCTION("""COMPUTED_VALUE"""),6.0)</f>
        <v>6</v>
      </c>
      <c r="W264" s="5" t="str">
        <f>IFERROR(__xludf.DUMMYFUNCTION("""COMPUTED_VALUE"""),"pdfs/BROCHURE SAP S4 HANA IN.pdf")</f>
        <v>pdfs/BROCHURE SAP S4 HANA IN.pdf</v>
      </c>
      <c r="X264" s="5" t="str">
        <f>IFERROR(__xludf.DUMMYFUNCTION("""COMPUTED_VALUE"""),"🔵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revisa"&amp;"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264" s="5" t="str">
        <f>IFERROR(__xludf.DUMMYFUNCTION("""COMPUTED_VALUE"""),"images/sapin.jpg")</f>
        <v>images/sapin.jpg</v>
      </c>
      <c r="Z264" s="6" t="str">
        <f>IFERROR(__xludf.DUMMYFUNCTION("""COMPUTED_VALUE"""),"Avalado por SAP Partner Open")</f>
        <v>Avalado por SAP Partner Open</v>
      </c>
      <c r="AA264" s="6" t="str">
        <f>IFERROR(__xludf.DUMMYFUNCTION("""COMPUTED_VALUE"""),"NO")</f>
        <v>NO</v>
      </c>
      <c r="AB264" s="6">
        <f>IFERROR(__xludf.DUMMYFUNCTION("""COMPUTED_VALUE"""),950.0)</f>
        <v>950</v>
      </c>
      <c r="AC264" s="6">
        <f>IFERROR(__xludf.DUMMYFUNCTION("""COMPUTED_VALUE"""),820.0)</f>
        <v>820</v>
      </c>
      <c r="AD264" s="6">
        <f>IFERROR(__xludf.DUMMYFUNCTION("""COMPUTED_VALUE"""),475.0)</f>
        <v>475</v>
      </c>
      <c r="AE264" s="6">
        <f>IFERROR(__xludf.DUMMYFUNCTION("""COMPUTED_VALUE"""),410.0)</f>
        <v>410</v>
      </c>
      <c r="AF264" s="6">
        <f>IFERROR(__xludf.DUMMYFUNCTION("""COMPUTED_VALUE"""),150.0)</f>
        <v>150</v>
      </c>
      <c r="AG264" s="5">
        <f>IFERROR(__xludf.DUMMYFUNCTION("""COMPUTED_VALUE"""),150.0)</f>
        <v>150</v>
      </c>
      <c r="AH264" s="5"/>
      <c r="AI264" s="5">
        <f>IFERROR(__xludf.DUMMYFUNCTION("""COMPUTED_VALUE"""),369.0)</f>
        <v>369</v>
      </c>
      <c r="AJ264" s="5">
        <f>IFERROR(__xludf.DUMMYFUNCTION("""COMPUTED_VALUE"""),427.5)</f>
        <v>427.5</v>
      </c>
      <c r="AK264" s="5" t="str">
        <f>IFERROR(__xludf.DUMMYFUNCTION("""COMPUTED_VALUE"""),"La producción eficiente habla con SAP HANA IN ⚙️
Con este programa aprenderás a planificar, controlar y ejecutar procesos de manufactura en SAP 💼.
Aquí te comparto la info 👇🏻")</f>
        <v>La producción eficiente habla con SAP HANA IN ⚙️
Con este programa aprenderás a planificar, controlar y ejecutar procesos de manufactura en SAP 💼.
Aquí te comparto la info 👇🏻</v>
      </c>
      <c r="AL264" s="5" t="str">
        <f>IFERROR(__xludf.DUMMYFUNCTION("""COMPUTED_VALUE"""),"🏭 Excelente, actualízate con SAP IN y domina la gestión de inventarios.")</f>
        <v>🏭 Excelente, actualízate con SAP IN y domina la gestión de inventarios.</v>
      </c>
      <c r="AM264" s="5" t="str">
        <f>IFERROR(__xludf.DUMMYFUNCTION("""COMPUTED_VALUE"""),"💼 Buenísimo, SAP IN es muy requerido en empresas de manufactura y logística.")</f>
        <v>💼 Buenísimo, SAP IN es muy requerido en empresas de manufactura y logística.</v>
      </c>
      <c r="AN264" s="5" t="str">
        <f>IFERROR(__xludf.DUMMYFUNCTION("""COMPUTED_VALUE"""),"🎓 ¡Genial! Con SAP IN aprenderás gestión de inventarios desde la universidad.")</f>
        <v>🎓 ¡Genial! Con SAP IN aprenderás gestión de inventarios desde la universidad.</v>
      </c>
      <c r="AO264" s="5" t="str">
        <f>IFERROR(__xludf.DUMMYFUNCTION("""COMPUTED_VALUE"""),"🚀 ¡Perfecto! Con SAP IN tendrás ventaja en prácticas de gestión de operaciones.")</f>
        <v>🚀 ¡Perfecto! Con SAP IN tendrás ventaja en prácticas de gestión de operaciones.</v>
      </c>
      <c r="AP264" s="5" t="str">
        <f>IFERROR(__xludf.DUMMYFUNCTION("""COMPUTED_VALUE"""),"📊 ¡Excelente! Con SAP IN podrás controlar y optimizar inventarios en tu negocio.")</f>
        <v>📊 ¡Excelente! Con SAP IN podrás controlar y optimizar inventarios en tu negocio.</v>
      </c>
      <c r="AQ264" s="9" t="str">
        <f>IFERROR(__xludf.DUMMYFUNCTION("""COMPUTED_VALUE"""),"https://we-educacion.com/slides/sap-s-4-hana-in-mm-fi-pp-sd-51")</f>
        <v>https://we-educacion.com/slides/sap-s-4-hana-in-mm-fi-pp-sd-51</v>
      </c>
      <c r="AR264" s="5">
        <v>1.0</v>
      </c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</row>
    <row r="265" ht="15.75" customHeight="1">
      <c r="A265" s="5" t="s">
        <v>307</v>
      </c>
      <c r="B265" s="5" t="str">
        <f t="shared" si="1"/>
        <v>FEB. I - ED26</v>
      </c>
      <c r="C265" s="6" t="str">
        <f>IFERROR(__xludf.DUMMYFUNCTION("""COMPUTED_VALUE"""),"BI")</f>
        <v>BI</v>
      </c>
      <c r="D265" s="5" t="str">
        <f>IFERROR(__xludf.DUMMYFUNCTION("""COMPUTED_VALUE"""),"CURSO")</f>
        <v>CURSO</v>
      </c>
      <c r="E265" s="6" t="str">
        <f>IFERROR(__xludf.DUMMYFUNCTION("""COMPUTED_VALUE"""),"POWER BI PRESENCIAL")</f>
        <v>POWER BI PRESENCIAL</v>
      </c>
      <c r="F265" s="7">
        <f>IFERROR(__xludf.DUMMYFUNCTION("""COMPUTED_VALUE"""),46081.0)</f>
        <v>46081</v>
      </c>
      <c r="G265" s="6"/>
      <c r="H265" s="7"/>
      <c r="I265" s="6"/>
      <c r="J265" s="7"/>
      <c r="K265" s="6"/>
      <c r="L265" s="7"/>
      <c r="M265" s="6"/>
      <c r="N265" s="7"/>
      <c r="O265" s="6"/>
      <c r="P265" s="7"/>
      <c r="Q265" s="6" t="str">
        <f>IFERROR(__xludf.DUMMYFUNCTION("""COMPUTED_VALUE"""),"Ricardo Crispin")</f>
        <v>Ricardo Crispin</v>
      </c>
      <c r="R265" s="5" t="str">
        <f>IFERROR(__xludf.DUMMYFUNCTION("""COMPUTED_VALUE"""),"Sáb")</f>
        <v>Sáb</v>
      </c>
      <c r="S265" s="6" t="str">
        <f>IFERROR(__xludf.DUMMYFUNCTION("""COMPUTED_VALUE"""),"9AM - 1PM")</f>
        <v>9AM - 1PM</v>
      </c>
      <c r="T265" s="7" t="str">
        <f>IFERROR(__xludf.DUMMYFUNCTION("""COMPUTED_VALUE"""),"Sábado 28 Febrero")</f>
        <v>Sábado 28 Febrero</v>
      </c>
      <c r="U265" s="7" t="str">
        <f>IFERROR(__xludf.DUMMYFUNCTION("""COMPUTED_VALUE"""),"Sábado 28 Marzo")</f>
        <v>Sábado 28 Marzo</v>
      </c>
      <c r="V265" s="8">
        <f>IFERROR(__xludf.DUMMYFUNCTION("""COMPUTED_VALUE"""),5.0)</f>
        <v>5</v>
      </c>
      <c r="W265" s="5" t="str">
        <f>IFERROR(__xludf.DUMMYFUNCTION("""COMPUTED_VALUE"""),"pdfs/BROCHURE POWER BI PRESENCIAL.pdf")</f>
        <v>pdfs/BROCHURE POWER BI PRESENCIAL.pdf</v>
      </c>
      <c r="X265" s="6" t="str">
        <f>IFERROR(__xludf.DUMMYFUNCTION("""COMPUTED_VALUE"""),"🔹 Recuerda que si traes tu Propia Laptop a todas las sesiones, te descontamos S/50 en tu inscripción
🚨 Por favor, revisa el BROCHURE 👇🏻
Aqui encontrarás la información completa del programa: Temario (malla curricular) y todos los BENEFICIOS 📚
👉🏼 "&amp;"Te comparto un Modelo de Certificado que elevará tu perfil profesional ")</f>
        <v>🔹 Recuerda que si traes tu Propia Laptop a todas las sesiones, te descontamos S/50 en tu inscripción
🚨 Por favor, revisa el BROCHURE 👇🏻
Aqui encontrarás la información completa del programa: Temario (malla curricular) y todos los BENEFICIOS 📚
👉🏼 Te comparto un Modelo de Certificado que elevará tu perfil profesional </v>
      </c>
      <c r="Y265" s="5" t="str">
        <f>IFERROR(__xludf.DUMMYFUNCTION("""COMPUTED_VALUE"""),"images/powerbipres.jpg")</f>
        <v>images/powerbipres.jpg</v>
      </c>
      <c r="Z265" s="5" t="str">
        <f>IFERROR(__xludf.DUMMYFUNCTION("""COMPUTED_VALUE"""),"Avalado por Microsoft Partner Network")</f>
        <v>Avalado por Microsoft Partner Network</v>
      </c>
      <c r="AA265" s="5" t="str">
        <f>IFERROR(__xludf.DUMMYFUNCTION("""COMPUTED_VALUE"""),"NO")</f>
        <v>NO</v>
      </c>
      <c r="AB265" s="6">
        <f>IFERROR(__xludf.DUMMYFUNCTION("""COMPUTED_VALUE"""),940.0)</f>
        <v>940</v>
      </c>
      <c r="AC265" s="6">
        <f>IFERROR(__xludf.DUMMYFUNCTION("""COMPUTED_VALUE"""),860.0)</f>
        <v>860</v>
      </c>
      <c r="AD265" s="6">
        <f>IFERROR(__xludf.DUMMYFUNCTION("""COMPUTED_VALUE"""),470.0)</f>
        <v>470</v>
      </c>
      <c r="AE265" s="6">
        <f>IFERROR(__xludf.DUMMYFUNCTION("""COMPUTED_VALUE"""),430.0)</f>
        <v>430</v>
      </c>
      <c r="AF265" s="6">
        <f>IFERROR(__xludf.DUMMYFUNCTION("""COMPUTED_VALUE"""),150.0)</f>
        <v>150</v>
      </c>
      <c r="AG265" s="5">
        <f>IFERROR(__xludf.DUMMYFUNCTION("""COMPUTED_VALUE"""),150.0)</f>
        <v>150</v>
      </c>
      <c r="AH265" s="5"/>
      <c r="AI265" s="5">
        <f>IFERROR(__xludf.DUMMYFUNCTION("""COMPUTED_VALUE"""),387.0)</f>
        <v>387</v>
      </c>
      <c r="AJ265" s="5">
        <f>IFERROR(__xludf.DUMMYFUNCTION("""COMPUTED_VALUE"""),423.0)</f>
        <v>423</v>
      </c>
      <c r="AK265" s="5" t="str">
        <f>IFERROR(__xludf.DUMMYFUNCTION("""COMPUTED_VALUE"""),"La ventaja competitiva se gana con análisis de datos en vivo 📊
Con Power BI Presencial aprenderás a crear dashboards e informes aplicados a negocios reales 💼.
Aquí tienes la info 👇🏻")</f>
        <v>La ventaja competitiva se gana con análisis de datos en vivo 📊
Con Power BI Presencial aprenderás a crear dashboards e informes aplicados a negocios reales 💼.
Aquí tienes la info 👇🏻</v>
      </c>
      <c r="AL265" s="5" t="str">
        <f>IFERROR(__xludf.DUMMYFUNCTION("""COMPUTED_VALUE"""),"📊 Excelente, actualízate con Power BI Presencial y desarrolla tu capacidad de análisis estratégico.")</f>
        <v>📊 Excelente, actualízate con Power BI Presencial y desarrolla tu capacidad de análisis estratégico.</v>
      </c>
      <c r="AM265" s="5" t="str">
        <f>IFERROR(__xludf.DUMMYFUNCTION("""COMPUTED_VALUE"""),"💼 Buenísimo, Power BI es una de las herramientas más pedidas en el mercado laboral.")</f>
        <v>💼 Buenísimo, Power BI es una de las herramientas más pedidas en el mercado laboral.</v>
      </c>
      <c r="AN265" s="5" t="str">
        <f>IFERROR(__xludf.DUMMYFUNCTION("""COMPUTED_VALUE"""),"🎓 ¡Genial! Desde la universidad, aprender Power BI te dará un diferencial frente a tus compañeros.")</f>
        <v>🎓 ¡Genial! Desde la universidad, aprender Power BI te dará un diferencial frente a tus compañeros.</v>
      </c>
      <c r="AO265" s="5" t="str">
        <f>IFERROR(__xludf.DUMMYFUNCTION("""COMPUTED_VALUE"""),"🚀 ¡Perfecto! Dominar Power BI te permitirá acceder a prácticas en análisis de datos con ventaja.")</f>
        <v>🚀 ¡Perfecto! Dominar Power BI te permitirá acceder a prácticas en análisis de datos con ventaja.</v>
      </c>
      <c r="AP265" s="5" t="str">
        <f>IFERROR(__xludf.DUMMYFUNCTION("""COMPUTED_VALUE"""),"📈 ¡Excelente! Con Power BI Presencial mejorarás la toma de decisiones en tu negocio.")</f>
        <v>📈 ¡Excelente! Con Power BI Presencial mejorarás la toma de decisiones en tu negocio.</v>
      </c>
      <c r="AQ265" s="9" t="str">
        <f>IFERROR(__xludf.DUMMYFUNCTION("""COMPUTED_VALUE"""),"https://we-educacion.com/slides/power-bi-presencial-463")</f>
        <v>https://we-educacion.com/slides/power-bi-presencial-463</v>
      </c>
      <c r="AR265" s="5">
        <v>1.0</v>
      </c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</row>
    <row r="266" ht="15.75" customHeight="1">
      <c r="A266" s="5" t="s">
        <v>308</v>
      </c>
      <c r="B266" s="5" t="str">
        <f t="shared" si="1"/>
        <v>FEB. I - ED26</v>
      </c>
      <c r="C266" s="6" t="str">
        <f>IFERROR(__xludf.DUMMYFUNCTION("""COMPUTED_VALUE"""),"BI")</f>
        <v>BI</v>
      </c>
      <c r="D266" s="5" t="str">
        <f>IFERROR(__xludf.DUMMYFUNCTION("""COMPUTED_VALUE"""),"ESP.")</f>
        <v>ESP.</v>
      </c>
      <c r="E266" s="6" t="str">
        <f>IFERROR(__xludf.DUMMYFUNCTION("""COMPUTED_VALUE"""),"ESP. SQL SERVER")</f>
        <v>ESP. SQL SERVER</v>
      </c>
      <c r="F266" s="7">
        <f>IFERROR(__xludf.DUMMYFUNCTION("""COMPUTED_VALUE"""),46081.0)</f>
        <v>46081</v>
      </c>
      <c r="G266" s="6" t="str">
        <f>IFERROR(__xludf.DUMMYFUNCTION("""COMPUTED_VALUE"""),"SQL SERVER")</f>
        <v>SQL SERVER</v>
      </c>
      <c r="H266" s="7">
        <f>IFERROR(__xludf.DUMMYFUNCTION("""COMPUTED_VALUE"""),46081.0)</f>
        <v>46081</v>
      </c>
      <c r="I266" s="6" t="str">
        <f>IFERROR(__xludf.DUMMYFUNCTION("""COMPUTED_VALUE"""),"SQL AVANZ")</f>
        <v>SQL AVANZ</v>
      </c>
      <c r="J266" s="7">
        <f>IFERROR(__xludf.DUMMYFUNCTION("""COMPUTED_VALUE"""),46130.0)</f>
        <v>46130</v>
      </c>
      <c r="K266" s="6"/>
      <c r="L266" s="7"/>
      <c r="M266" s="6"/>
      <c r="N266" s="7"/>
      <c r="O266" s="6"/>
      <c r="P266" s="7"/>
      <c r="Q266" s="6" t="str">
        <f>IFERROR(__xludf.DUMMYFUNCTION("""COMPUTED_VALUE"""),"David Llaja
Oscar Moreno")</f>
        <v>David Llaja
Oscar Moreno</v>
      </c>
      <c r="R266" s="5" t="str">
        <f>IFERROR(__xludf.DUMMYFUNCTION("""COMPUTED_VALUE"""),"Sáb")</f>
        <v>Sáb</v>
      </c>
      <c r="S266" s="6" t="str">
        <f>IFERROR(__xludf.DUMMYFUNCTION("""COMPUTED_VALUE"""),"3PM - 6PM")</f>
        <v>3PM - 6PM</v>
      </c>
      <c r="T266" s="7" t="str">
        <f>IFERROR(__xludf.DUMMYFUNCTION("""COMPUTED_VALUE"""),"Sábado 28 Febrero")</f>
        <v>Sábado 28 Febrero</v>
      </c>
      <c r="U266" s="7" t="str">
        <f>IFERROR(__xludf.DUMMYFUNCTION("""COMPUTED_VALUE"""),"Sábado 23 Mayo")</f>
        <v>Sábado 23 Mayo</v>
      </c>
      <c r="V266" s="8">
        <f>IFERROR(__xludf.DUMMYFUNCTION("""COMPUTED_VALUE"""),12.0)</f>
        <v>12</v>
      </c>
      <c r="W266" s="5" t="str">
        <f>IFERROR(__xludf.DUMMYFUNCTION("""COMPUTED_VALUE"""),"pdfs/BROCHURE ESPECIALIZACION DE SQL.pdf")</f>
        <v>pdfs/BROCHURE ESPECIALIZACION DE SQL.pdf</v>
      </c>
      <c r="X266" s="5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66" s="5" t="str">
        <f>IFERROR(__xludf.DUMMYFUNCTION("""COMPUTED_VALUE"""),"images/espsql.jpg")</f>
        <v>images/espsql.jpg</v>
      </c>
      <c r="Z266" s="5" t="str">
        <f>IFERROR(__xludf.DUMMYFUNCTION("""COMPUTED_VALUE"""),"Avalado por Microsoft Partner Network")</f>
        <v>Avalado por Microsoft Partner Network</v>
      </c>
      <c r="AA266" s="5" t="str">
        <f>IFERROR(__xludf.DUMMYFUNCTION("""COMPUTED_VALUE"""),"NO")</f>
        <v>NO</v>
      </c>
      <c r="AB266" s="6">
        <f>IFERROR(__xludf.DUMMYFUNCTION("""COMPUTED_VALUE"""),1600.0)</f>
        <v>1600</v>
      </c>
      <c r="AC266" s="6">
        <f>IFERROR(__xludf.DUMMYFUNCTION("""COMPUTED_VALUE"""),1400.0)</f>
        <v>1400</v>
      </c>
      <c r="AD266" s="6">
        <f>IFERROR(__xludf.DUMMYFUNCTION("""COMPUTED_VALUE"""),800.0)</f>
        <v>800</v>
      </c>
      <c r="AE266" s="6">
        <f>IFERROR(__xludf.DUMMYFUNCTION("""COMPUTED_VALUE"""),700.0)</f>
        <v>700</v>
      </c>
      <c r="AF266" s="6">
        <f>IFERROR(__xludf.DUMMYFUNCTION("""COMPUTED_VALUE"""),250.0)</f>
        <v>250</v>
      </c>
      <c r="AG266" s="5">
        <f>IFERROR(__xludf.DUMMYFUNCTION("""COMPUTED_VALUE"""),350.0)</f>
        <v>350</v>
      </c>
      <c r="AH266" s="5"/>
      <c r="AI266" s="5">
        <f>IFERROR(__xludf.DUMMYFUNCTION("""COMPUTED_VALUE"""),630.0)</f>
        <v>630</v>
      </c>
      <c r="AJ266" s="5">
        <f>IFERROR(__xludf.DUMMYFUNCTION("""COMPUTED_VALUE"""),720.0)</f>
        <v>720</v>
      </c>
      <c r="AK266" s="5" t="str">
        <f>IFERROR(__xludf.DUMMYFUNCTION("""COMPUTED_VALUE"""),"Las bases de datos mueven el mundo 💾
Aprende a gestionar y optimizar información con SQL Server para un control eficiente 📊
👉🏻 Aquí está la información.")</f>
        <v>Las bases de datos mueven el mundo 💾
Aprende a gestionar y optimizar información con SQL Server para un control eficiente 📊
👉🏻 Aquí está la información.</v>
      </c>
      <c r="AL266" s="5" t="str">
        <f>IFERROR(__xludf.DUMMYFUNCTION("""COMPUTED_VALUE"""),"💾 Excelente, actualízate en SQL Server y gestiona datos con eficiencia.")</f>
        <v>💾 Excelente, actualízate en SQL Server y gestiona datos con eficiencia.</v>
      </c>
      <c r="AM266" s="5" t="str">
        <f>IFERROR(__xludf.DUMMYFUNCTION("""COMPUTED_VALUE"""),"🏢 Buenísimo, las empresas buscan expertos en bases de datos corporativas.")</f>
        <v>🏢 Buenísimo, las empresas buscan expertos en bases de datos corporativas.</v>
      </c>
      <c r="AN266" s="5" t="str">
        <f>IFERROR(__xludf.DUMMYFUNCTION("""COMPUTED_VALUE"""),"⚡ Genial, dominar SQL Server elevará tu perfil en gestión de información.")</f>
        <v>⚡ Genial, dominar SQL Server elevará tu perfil en gestión de información.</v>
      </c>
      <c r="AO266" s="5" t="str">
        <f>IFERROR(__xludf.DUMMYFUNCTION("""COMPUTED_VALUE"""),"🚀 Perfecto, SQL será tu ventaja en prácticas de análisis y TI.")</f>
        <v>🚀 Perfecto, SQL será tu ventaja en prácticas de análisis y TI.</v>
      </c>
      <c r="AP266" s="5" t="str">
        <f>IFERROR(__xludf.DUMMYFUNCTION("""COMPUTED_VALUE"""),"📊 Excelente, podrás gestionar tus datos con control y rapidez como independiente.")</f>
        <v>📊 Excelente, podrás gestionar tus datos con control y rapidez como independiente.</v>
      </c>
      <c r="AQ266" s="9" t="str">
        <f>IFERROR(__xludf.DUMMYFUNCTION("""COMPUTED_VALUE"""),"https://we-educacion.com/slides/especializacion-en-sql-server-107")</f>
        <v>https://we-educacion.com/slides/especializacion-en-sql-server-107</v>
      </c>
      <c r="AR266" s="5">
        <v>1.0</v>
      </c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</row>
    <row r="267" ht="15.75" customHeight="1">
      <c r="A267" s="5" t="s">
        <v>309</v>
      </c>
      <c r="B267" s="5" t="str">
        <f t="shared" si="1"/>
        <v>FEB. II - ED26</v>
      </c>
      <c r="C267" s="6" t="str">
        <f>IFERROR(__xludf.DUMMYFUNCTION("""COMPUTED_VALUE"""),"BI")</f>
        <v>BI</v>
      </c>
      <c r="D267" s="6" t="str">
        <f>IFERROR(__xludf.DUMMYFUNCTION("""COMPUTED_VALUE"""),"CURSO")</f>
        <v>CURSO</v>
      </c>
      <c r="E267" s="6" t="str">
        <f>IFERROR(__xludf.DUMMYFUNCTION("""COMPUTED_VALUE"""),"SQL SERVER")</f>
        <v>SQL SERVER</v>
      </c>
      <c r="F267" s="7">
        <f>IFERROR(__xludf.DUMMYFUNCTION("""COMPUTED_VALUE"""),46081.0)</f>
        <v>46081</v>
      </c>
      <c r="G267" s="6"/>
      <c r="H267" s="7"/>
      <c r="I267" s="6"/>
      <c r="J267" s="7"/>
      <c r="K267" s="6"/>
      <c r="L267" s="7"/>
      <c r="M267" s="6"/>
      <c r="N267" s="7"/>
      <c r="O267" s="6"/>
      <c r="P267" s="7"/>
      <c r="Q267" s="6" t="str">
        <f>IFERROR(__xludf.DUMMYFUNCTION("""COMPUTED_VALUE"""),"David Llaja")</f>
        <v>David Llaja</v>
      </c>
      <c r="R267" s="5" t="str">
        <f>IFERROR(__xludf.DUMMYFUNCTION("""COMPUTED_VALUE"""),"Sáb")</f>
        <v>Sáb</v>
      </c>
      <c r="S267" s="6" t="str">
        <f>IFERROR(__xludf.DUMMYFUNCTION("""COMPUTED_VALUE"""),"3PM - 6PM")</f>
        <v>3PM - 6PM</v>
      </c>
      <c r="T267" s="7" t="str">
        <f>IFERROR(__xludf.DUMMYFUNCTION("""COMPUTED_VALUE"""),"Sábado 28 Febrero")</f>
        <v>Sábado 28 Febrero</v>
      </c>
      <c r="U267" s="7" t="str">
        <f>IFERROR(__xludf.DUMMYFUNCTION("""COMPUTED_VALUE"""),"Sábado 4 Abril")</f>
        <v>Sábado 4 Abril</v>
      </c>
      <c r="V267" s="8">
        <f>IFERROR(__xludf.DUMMYFUNCTION("""COMPUTED_VALUE"""),6.0)</f>
        <v>6</v>
      </c>
      <c r="W267" s="5" t="str">
        <f>IFERROR(__xludf.DUMMYFUNCTION("""COMPUTED_VALUE"""),"pdfs/BROCHURE SQL SERVER.pdf")</f>
        <v>pdfs/BROCHURE SQL SERVER.pdf</v>
      </c>
      <c r="X267" s="5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67" s="5" t="str">
        <f>IFERROR(__xludf.DUMMYFUNCTION("""COMPUTED_VALUE"""),"images/sqlserver.jpg")</f>
        <v>images/sqlserver.jpg</v>
      </c>
      <c r="Z267" s="5" t="str">
        <f>IFERROR(__xludf.DUMMYFUNCTION("""COMPUTED_VALUE"""),"Avalado por Microsoft Partner Network")</f>
        <v>Avalado por Microsoft Partner Network</v>
      </c>
      <c r="AA267" s="5" t="str">
        <f>IFERROR(__xludf.DUMMYFUNCTION("""COMPUTED_VALUE"""),"NO")</f>
        <v>NO</v>
      </c>
      <c r="AB267" s="6">
        <f>IFERROR(__xludf.DUMMYFUNCTION("""COMPUTED_VALUE"""),830.0)</f>
        <v>830</v>
      </c>
      <c r="AC267" s="6">
        <f>IFERROR(__xludf.DUMMYFUNCTION("""COMPUTED_VALUE"""),740.0)</f>
        <v>740</v>
      </c>
      <c r="AD267" s="6">
        <f>IFERROR(__xludf.DUMMYFUNCTION("""COMPUTED_VALUE"""),415.0)</f>
        <v>415</v>
      </c>
      <c r="AE267" s="6">
        <f>IFERROR(__xludf.DUMMYFUNCTION("""COMPUTED_VALUE"""),370.0)</f>
        <v>370</v>
      </c>
      <c r="AF267" s="6">
        <f>IFERROR(__xludf.DUMMYFUNCTION("""COMPUTED_VALUE"""),150.0)</f>
        <v>150</v>
      </c>
      <c r="AG267" s="5">
        <f>IFERROR(__xludf.DUMMYFUNCTION("""COMPUTED_VALUE"""),150.0)</f>
        <v>150</v>
      </c>
      <c r="AH267" s="5"/>
      <c r="AI267" s="5">
        <f>IFERROR(__xludf.DUMMYFUNCTION("""COMPUTED_VALUE"""),333.0)</f>
        <v>333</v>
      </c>
      <c r="AJ267" s="5">
        <f>IFERROR(__xludf.DUMMYFUNCTION("""COMPUTED_VALUE"""),373.5)</f>
        <v>373.5</v>
      </c>
      <c r="AK267" s="5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267" s="5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267" s="5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267" s="5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267" s="5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267" s="5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267" s="9" t="str">
        <f>IFERROR(__xludf.DUMMYFUNCTION("""COMPUTED_VALUE"""),"https://we-educacion.com/slides/sql-server-for-analytics-52")</f>
        <v>https://we-educacion.com/slides/sql-server-for-analytics-52</v>
      </c>
      <c r="AR267" s="5">
        <v>1.0</v>
      </c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</row>
    <row r="268" ht="15.75" customHeight="1">
      <c r="A268" s="5" t="s">
        <v>310</v>
      </c>
      <c r="B268" s="5" t="str">
        <f t="shared" si="1"/>
        <v>FEB. I - ED26</v>
      </c>
      <c r="C268" s="6" t="str">
        <f>IFERROR(__xludf.DUMMYFUNCTION("""COMPUTED_VALUE"""),"SAP")</f>
        <v>SAP</v>
      </c>
      <c r="D268" s="5" t="str">
        <f>IFERROR(__xludf.DUMMYFUNCTION("""COMPUTED_VALUE"""),"ESP.")</f>
        <v>ESP.</v>
      </c>
      <c r="E268" s="6" t="str">
        <f>IFERROR(__xludf.DUMMYFUNCTION("""COMPUTED_VALUE"""),"ESPEC.SAP HANA")</f>
        <v>ESPEC.SAP HANA</v>
      </c>
      <c r="F268" s="7">
        <f>IFERROR(__xludf.DUMMYFUNCTION("""COMPUTED_VALUE"""),46081.0)</f>
        <v>46081</v>
      </c>
      <c r="G268" s="6" t="str">
        <f>IFERROR(__xludf.DUMMYFUNCTION("""COMPUTED_VALUE"""),"SAP HANA MM")</f>
        <v>SAP HANA MM</v>
      </c>
      <c r="H268" s="7">
        <f>IFERROR(__xludf.DUMMYFUNCTION("""COMPUTED_VALUE"""),46081.0)</f>
        <v>46081</v>
      </c>
      <c r="I268" s="6" t="str">
        <f>IFERROR(__xludf.DUMMYFUNCTION("""COMPUTED_VALUE"""),"SAP HANA PP")</f>
        <v>SAP HANA PP</v>
      </c>
      <c r="J268" s="7">
        <f>IFERROR(__xludf.DUMMYFUNCTION("""COMPUTED_VALUE"""),46130.0)</f>
        <v>46130</v>
      </c>
      <c r="K268" s="6" t="str">
        <f>IFERROR(__xludf.DUMMYFUNCTION("""COMPUTED_VALUE"""),"SAP HANA FI")</f>
        <v>SAP HANA FI</v>
      </c>
      <c r="L268" s="7">
        <f>IFERROR(__xludf.DUMMYFUNCTION("""COMPUTED_VALUE"""),46172.0)</f>
        <v>46172</v>
      </c>
      <c r="M268" s="6"/>
      <c r="N268" s="7"/>
      <c r="O268" s="6"/>
      <c r="P268" s="7"/>
      <c r="Q268" s="6"/>
      <c r="R268" s="5" t="str">
        <f>IFERROR(__xludf.DUMMYFUNCTION("""COMPUTED_VALUE"""),"Sáb")</f>
        <v>Sáb</v>
      </c>
      <c r="S268" s="6" t="str">
        <f>IFERROR(__xludf.DUMMYFUNCTION("""COMPUTED_VALUE"""),"3PM - 6PM")</f>
        <v>3PM - 6PM</v>
      </c>
      <c r="T268" s="7" t="str">
        <f>IFERROR(__xludf.DUMMYFUNCTION("""COMPUTED_VALUE"""),"Sábado 28 Febrero")</f>
        <v>Sábado 28 Febrero</v>
      </c>
      <c r="U268" s="7" t="str">
        <f>IFERROR(__xludf.DUMMYFUNCTION("""COMPUTED_VALUE"""),"Sábado 4 Julio")</f>
        <v>Sábado 4 Julio</v>
      </c>
      <c r="V268" s="8">
        <f>IFERROR(__xludf.DUMMYFUNCTION("""COMPUTED_VALUE"""),18.0)</f>
        <v>18</v>
      </c>
      <c r="W268" s="5" t="str">
        <f>IFERROR(__xludf.DUMMYFUNCTION("""COMPUTED_VALUE"""),"pdfs/BROCHURE ESPECIALIZACION DE SAP HANA.pdf")</f>
        <v>pdfs/BROCHURE ESPECIALIZACION DE SAP HANA.pdf</v>
      </c>
      <c r="X268" s="5" t="str">
        <f>IFERROR(__xludf.DUMMYFUNCTION("""COMPUTED_VALUE"""),"🔵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ne"&amp;"cesita una Laptop *Windows*_
🚨 *Por favor, revisa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*Por favor, revisa el BROCHURE* 👇🏻
Aqui encontrarás la información completa del programa, el TEMARIO (malla curricular) y todos los BENEFICIOS 📚</v>
      </c>
      <c r="Y268" s="5" t="str">
        <f>IFERROR(__xludf.DUMMYFUNCTION("""COMPUTED_VALUE"""),"images/espsap.jpg")</f>
        <v>images/espsap.jpg</v>
      </c>
      <c r="Z268" s="5" t="str">
        <f>IFERROR(__xludf.DUMMYFUNCTION("""COMPUTED_VALUE"""),"Avalado por SAP Partner Open")</f>
        <v>Avalado por SAP Partner Open</v>
      </c>
      <c r="AA268" s="5" t="str">
        <f>IFERROR(__xludf.DUMMYFUNCTION("""COMPUTED_VALUE"""),"NO")</f>
        <v>NO</v>
      </c>
      <c r="AB268" s="6">
        <f>IFERROR(__xludf.DUMMYFUNCTION("""COMPUTED_VALUE"""),1900.0)</f>
        <v>1900</v>
      </c>
      <c r="AC268" s="6">
        <f>IFERROR(__xludf.DUMMYFUNCTION("""COMPUTED_VALUE"""),1750.0)</f>
        <v>1750</v>
      </c>
      <c r="AD268" s="6">
        <f>IFERROR(__xludf.DUMMYFUNCTION("""COMPUTED_VALUE"""),950.0)</f>
        <v>950</v>
      </c>
      <c r="AE268" s="6">
        <f>IFERROR(__xludf.DUMMYFUNCTION("""COMPUTED_VALUE"""),875.0)</f>
        <v>875</v>
      </c>
      <c r="AF268" s="6">
        <f>IFERROR(__xludf.DUMMYFUNCTION("""COMPUTED_VALUE"""),250.0)</f>
        <v>250</v>
      </c>
      <c r="AG268" s="5">
        <f>IFERROR(__xludf.DUMMYFUNCTION("""COMPUTED_VALUE"""),350.0)</f>
        <v>350</v>
      </c>
      <c r="AH268" s="5"/>
      <c r="AI268" s="5">
        <f>IFERROR(__xludf.DUMMYFUNCTION("""COMPUTED_VALUE"""),787.5)</f>
        <v>787.5</v>
      </c>
      <c r="AJ268" s="5">
        <f>IFERROR(__xludf.DUMMYFUNCTION("""COMPUTED_VALUE"""),855.0)</f>
        <v>855</v>
      </c>
      <c r="AK268" s="5" t="str">
        <f>IFERROR(__xludf.DUMMYFUNCTION("""COMPUTED_VALUE"""),"El futuro de SAP está en HANA ⚡
Aprende a manejar esta plataforma de alto rendimiento para impulsar la transformación digital 🌐
👉🏻 Aquí tienes la información.")</f>
        <v>El futuro de SAP está en HANA ⚡
Aprende a manejar esta plataforma de alto rendimiento para impulsar la transformación digital 🌐
👉🏻 Aquí tienes la información.</v>
      </c>
      <c r="AL268" s="5" t="str">
        <f>IFERROR(__xludf.DUMMYFUNCTION("""COMPUTED_VALUE"""),"⚡ Excelente, actualízate en SAP HANA, la base de datos más avanzada del mercado.")</f>
        <v>⚡ Excelente, actualízate en SAP HANA, la base de datos más avanzada del mercado.</v>
      </c>
      <c r="AM268" s="5" t="str">
        <f>IFERROR(__xludf.DUMMYFUNCTION("""COMPUTED_VALUE"""),"🏢 Buenísimo, muy buscado en proyectos de transformación digital empresarial.")</f>
        <v>🏢 Buenísimo, muy buscado en proyectos de transformación digital empresarial.</v>
      </c>
      <c r="AN268" s="5" t="str">
        <f>IFERROR(__xludf.DUMMYFUNCTION("""COMPUTED_VALUE"""),"📊 Genial, te dará un perfil competitivo en gestión de plataformas corporativas.")</f>
        <v>📊 Genial, te dará un perfil competitivo en gestión de plataformas corporativas.</v>
      </c>
      <c r="AO268" s="5" t="str">
        <f>IFERROR(__xludf.DUMMYFUNCTION("""COMPUTED_VALUE"""),"🚀 Perfecto, será tu ventaja en prácticas de sistemas y TI.")</f>
        <v>🚀 Perfecto, será tu ventaja en prácticas de sistemas y TI.</v>
      </c>
      <c r="AP268" s="5" t="str">
        <f>IFERROR(__xludf.DUMMYFUNCTION("""COMPUTED_VALUE"""),"📈 Excelente, podrás optimizar el análisis de tu propia información como independiente.")</f>
        <v>📈 Excelente, podrás optimizar el análisis de tu propia información como independiente.</v>
      </c>
      <c r="AQ268" s="9" t="str">
        <f>IFERROR(__xludf.DUMMYFUNCTION("""COMPUTED_VALUE"""),"https://we-educacion.com/slides/especializacion-en-sap-s-4-hana-501")</f>
        <v>https://we-educacion.com/slides/especializacion-en-sap-s-4-hana-501</v>
      </c>
      <c r="AR268" s="5">
        <v>1.0</v>
      </c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</row>
    <row r="269" ht="15.75" customHeight="1">
      <c r="A269" s="5" t="s">
        <v>311</v>
      </c>
      <c r="B269" s="5" t="str">
        <f t="shared" si="1"/>
        <v>FEB. I - ED26</v>
      </c>
      <c r="C269" s="6" t="str">
        <f>IFERROR(__xludf.DUMMYFUNCTION("""COMPUTED_VALUE"""),"SAP")</f>
        <v>SAP</v>
      </c>
      <c r="D269" s="5" t="str">
        <f>IFERROR(__xludf.DUMMYFUNCTION("""COMPUTED_VALUE"""),"ESP.")</f>
        <v>ESP.</v>
      </c>
      <c r="E269" s="6" t="str">
        <f>IFERROR(__xludf.DUMMYFUNCTION("""COMPUTED_VALUE"""),"ESP. SAP MINERÍA")</f>
        <v>ESP. SAP MINERÍA</v>
      </c>
      <c r="F269" s="7">
        <f>IFERROR(__xludf.DUMMYFUNCTION("""COMPUTED_VALUE"""),46081.0)</f>
        <v>46081</v>
      </c>
      <c r="G269" s="6" t="str">
        <f>IFERROR(__xludf.DUMMYFUNCTION("""COMPUTED_VALUE"""),"SAP HANA MM")</f>
        <v>SAP HANA MM</v>
      </c>
      <c r="H269" s="7">
        <f>IFERROR(__xludf.DUMMYFUNCTION("""COMPUTED_VALUE"""),46081.0)</f>
        <v>46081</v>
      </c>
      <c r="I269" s="6" t="str">
        <f>IFERROR(__xludf.DUMMYFUNCTION("""COMPUTED_VALUE"""),"SAP HANA PP")</f>
        <v>SAP HANA PP</v>
      </c>
      <c r="J269" s="7">
        <f>IFERROR(__xludf.DUMMYFUNCTION("""COMPUTED_VALUE"""),46130.0)</f>
        <v>46130</v>
      </c>
      <c r="K269" s="6" t="str">
        <f>IFERROR(__xludf.DUMMYFUNCTION("""COMPUTED_VALUE"""),"SAP HANA PM")</f>
        <v>SAP HANA PM</v>
      </c>
      <c r="L269" s="7">
        <f>IFERROR(__xludf.DUMMYFUNCTION("""COMPUTED_VALUE"""),46172.0)</f>
        <v>46172</v>
      </c>
      <c r="M269" s="6"/>
      <c r="N269" s="7"/>
      <c r="O269" s="6"/>
      <c r="P269" s="7"/>
      <c r="Q269" s="6"/>
      <c r="R269" s="5" t="str">
        <f>IFERROR(__xludf.DUMMYFUNCTION("""COMPUTED_VALUE"""),"Sáb")</f>
        <v>Sáb</v>
      </c>
      <c r="S269" s="6" t="str">
        <f>IFERROR(__xludf.DUMMYFUNCTION("""COMPUTED_VALUE"""),"3PM - 6PM")</f>
        <v>3PM - 6PM</v>
      </c>
      <c r="T269" s="7" t="str">
        <f>IFERROR(__xludf.DUMMYFUNCTION("""COMPUTED_VALUE"""),"Sábado 28 Febrero")</f>
        <v>Sábado 28 Febrero</v>
      </c>
      <c r="U269" s="7" t="str">
        <f>IFERROR(__xludf.DUMMYFUNCTION("""COMPUTED_VALUE"""),"Sábado 4 Julio")</f>
        <v>Sábado 4 Julio</v>
      </c>
      <c r="V269" s="8">
        <f>IFERROR(__xludf.DUMMYFUNCTION("""COMPUTED_VALUE"""),18.0)</f>
        <v>18</v>
      </c>
      <c r="W269" s="5" t="str">
        <f>IFERROR(__xludf.DUMMYFUNCTION("""COMPUTED_VALUE"""),"pdfs/BROCHURE ESPECIALIZACION SAP HANA MINERIA.pdf")</f>
        <v>pdfs/BROCHURE ESPECIALIZACION SAP HANA MINERIA.pdf</v>
      </c>
      <c r="X269" s="5" t="str">
        <f>IFERROR(__xludf.DUMMYFUNCTION("""COMPUTED_VALUE"""),"🔵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ne"&amp;"cesita una Laptop *Windows*_
🚨 *Por favor, revisa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*Por favor, revisa el BROCHURE* 👇🏻
Aqui encontrarás la información completa del programa, el TEMARIO (malla curricular) y todos los BENEFICIOS 📚</v>
      </c>
      <c r="Y269" s="5" t="str">
        <f>IFERROR(__xludf.DUMMYFUNCTION("""COMPUTED_VALUE"""),"images/espsapmineria.jpg")</f>
        <v>images/espsapmineria.jpg</v>
      </c>
      <c r="Z269" s="5" t="str">
        <f>IFERROR(__xludf.DUMMYFUNCTION("""COMPUTED_VALUE"""),"Avalado por SAP Partner Open")</f>
        <v>Avalado por SAP Partner Open</v>
      </c>
      <c r="AA269" s="5" t="str">
        <f>IFERROR(__xludf.DUMMYFUNCTION("""COMPUTED_VALUE"""),"NO")</f>
        <v>NO</v>
      </c>
      <c r="AB269" s="6">
        <f>IFERROR(__xludf.DUMMYFUNCTION("""COMPUTED_VALUE"""),1900.0)</f>
        <v>1900</v>
      </c>
      <c r="AC269" s="6">
        <f>IFERROR(__xludf.DUMMYFUNCTION("""COMPUTED_VALUE"""),1750.0)</f>
        <v>1750</v>
      </c>
      <c r="AD269" s="6">
        <f>IFERROR(__xludf.DUMMYFUNCTION("""COMPUTED_VALUE"""),950.0)</f>
        <v>950</v>
      </c>
      <c r="AE269" s="6">
        <f>IFERROR(__xludf.DUMMYFUNCTION("""COMPUTED_VALUE"""),875.0)</f>
        <v>875</v>
      </c>
      <c r="AF269" s="6">
        <f>IFERROR(__xludf.DUMMYFUNCTION("""COMPUTED_VALUE"""),250.0)</f>
        <v>250</v>
      </c>
      <c r="AG269" s="5">
        <f>IFERROR(__xludf.DUMMYFUNCTION("""COMPUTED_VALUE"""),350.0)</f>
        <v>350</v>
      </c>
      <c r="AH269" s="5"/>
      <c r="AI269" s="5">
        <f>IFERROR(__xludf.DUMMYFUNCTION("""COMPUTED_VALUE"""),787.5)</f>
        <v>787.5</v>
      </c>
      <c r="AJ269" s="5">
        <f>IFERROR(__xludf.DUMMYFUNCTION("""COMPUTED_VALUE"""),855.0)</f>
        <v>855</v>
      </c>
      <c r="AK269" s="5" t="str">
        <f>IFERROR(__xludf.DUMMYFUNCTION("""COMPUTED_VALUE"""),"El sector minero apuesta por SAP ⛏️
Especialízate en SAP aplicado a minería y lleva tu perfil al siguiente nivel en industrias clave 💼
👉🏻 Te paso la info completa.")</f>
        <v>El sector minero apuesta por SAP ⛏️
Especialízate en SAP aplicado a minería y lleva tu perfil al siguiente nivel en industrias clave 💼
👉🏻 Te paso la info completa.</v>
      </c>
      <c r="AL269" s="5" t="str">
        <f>IFERROR(__xludf.DUMMYFUNCTION("""COMPUTED_VALUE"""),"⛏️ Excelente, actualízate en SAP aplicado a minería y potencia tu perfil en un sector clave.")</f>
        <v>⛏️ Excelente, actualízate en SAP aplicado a minería y potencia tu perfil en un sector clave.</v>
      </c>
      <c r="AM269" s="5" t="str">
        <f>IFERROR(__xludf.DUMMYFUNCTION("""COMPUTED_VALUE"""),"💼 Buenísimo, las empresas mineras requieren especialistas en procesos con SAP.")</f>
        <v>💼 Buenísimo, las empresas mineras requieren especialistas en procesos con SAP.</v>
      </c>
      <c r="AN269" s="5" t="str">
        <f>IFERROR(__xludf.DUMMYFUNCTION("""COMPUTED_VALUE"""),"📊 Genial, dominar SAP Minería te dará un diferencial en industrias estratégicas.")</f>
        <v>📊 Genial, dominar SAP Minería te dará un diferencial en industrias estratégicas.</v>
      </c>
      <c r="AO269" s="5" t="str">
        <f>IFERROR(__xludf.DUMMYFUNCTION("""COMPUTED_VALUE"""),"🚀 Perfecto, tener SAP Minería te abrirá ventaja en prácticas del sector industrial.")</f>
        <v>🚀 Perfecto, tener SAP Minería te abrirá ventaja en prácticas del sector industrial.</v>
      </c>
      <c r="AP269" s="5" t="str">
        <f>IFERROR(__xludf.DUMMYFUNCTION("""COMPUTED_VALUE"""),"📈 Excelente, podrás optimizar proyectos mineros en tu propio negocio.")</f>
        <v>📈 Excelente, podrás optimizar proyectos mineros en tu propio negocio.</v>
      </c>
      <c r="AQ269" s="9" t="str">
        <f>IFERROR(__xludf.DUMMYFUNCTION("""COMPUTED_VALUE"""),"https://we-educacion.com/slides/especializacion-en-sap-s-4-hana-mineria-1128#")</f>
        <v>https://we-educacion.com/slides/especializacion-en-sap-s-4-hana-mineria-1128#</v>
      </c>
      <c r="AR269" s="5">
        <v>1.0</v>
      </c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</row>
    <row r="270" ht="15.75" customHeight="1">
      <c r="A270" s="5" t="s">
        <v>312</v>
      </c>
      <c r="B270" s="5" t="str">
        <f t="shared" si="1"/>
        <v>FEB. I - ED26</v>
      </c>
      <c r="C270" s="6" t="str">
        <f>IFERROR(__xludf.DUMMYFUNCTION("""COMPUTED_VALUE"""),"SAP")</f>
        <v>SAP</v>
      </c>
      <c r="D270" s="6" t="str">
        <f>IFERROR(__xludf.DUMMYFUNCTION("""COMPUTED_VALUE"""),"CURSO")</f>
        <v>CURSO</v>
      </c>
      <c r="E270" s="6" t="str">
        <f>IFERROR(__xludf.DUMMYFUNCTION("""COMPUTED_VALUE"""),"SAP HANA MM")</f>
        <v>SAP HANA MM</v>
      </c>
      <c r="F270" s="7">
        <f>IFERROR(__xludf.DUMMYFUNCTION("""COMPUTED_VALUE"""),46081.0)</f>
        <v>46081</v>
      </c>
      <c r="G270" s="6"/>
      <c r="H270" s="7"/>
      <c r="I270" s="6"/>
      <c r="J270" s="7"/>
      <c r="K270" s="6"/>
      <c r="L270" s="7"/>
      <c r="M270" s="6"/>
      <c r="N270" s="7"/>
      <c r="O270" s="6"/>
      <c r="P270" s="7"/>
      <c r="Q270" s="6"/>
      <c r="R270" s="5" t="str">
        <f>IFERROR(__xludf.DUMMYFUNCTION("""COMPUTED_VALUE"""),"Sáb")</f>
        <v>Sáb</v>
      </c>
      <c r="S270" s="6" t="str">
        <f>IFERROR(__xludf.DUMMYFUNCTION("""COMPUTED_VALUE"""),"3PM - 6PM")</f>
        <v>3PM - 6PM</v>
      </c>
      <c r="T270" s="7" t="str">
        <f>IFERROR(__xludf.DUMMYFUNCTION("""COMPUTED_VALUE"""),"Sábado 28 Febrero")</f>
        <v>Sábado 28 Febrero</v>
      </c>
      <c r="U270" s="7" t="str">
        <f>IFERROR(__xludf.DUMMYFUNCTION("""COMPUTED_VALUE"""),"Sábado 11 Abril")</f>
        <v>Sábado 11 Abril</v>
      </c>
      <c r="V270" s="8">
        <f>IFERROR(__xludf.DUMMYFUNCTION("""COMPUTED_VALUE"""),6.0)</f>
        <v>6</v>
      </c>
      <c r="W270" s="5" t="str">
        <f>IFERROR(__xludf.DUMMYFUNCTION("""COMPUTED_VALUE"""),"pdfs/BROCHURE SAP HANA MM MODULO LOGISTICO.pdf")</f>
        <v>pdfs/BROCHURE SAP HANA MM MODULO LOGISTICO.pdf</v>
      </c>
      <c r="X270" s="5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270" s="5" t="str">
        <f>IFERROR(__xludf.DUMMYFUNCTION("""COMPUTED_VALUE"""),"images/sapmm.jpg")</f>
        <v>images/sapmm.jpg</v>
      </c>
      <c r="Z270" s="5" t="str">
        <f>IFERROR(__xludf.DUMMYFUNCTION("""COMPUTED_VALUE"""),"Avalado por SAP Partner Open")</f>
        <v>Avalado por SAP Partner Open</v>
      </c>
      <c r="AA270" s="5" t="str">
        <f>IFERROR(__xludf.DUMMYFUNCTION("""COMPUTED_VALUE"""),"NO")</f>
        <v>NO</v>
      </c>
      <c r="AB270" s="6">
        <f>IFERROR(__xludf.DUMMYFUNCTION("""COMPUTED_VALUE"""),950.0)</f>
        <v>950</v>
      </c>
      <c r="AC270" s="6">
        <f>IFERROR(__xludf.DUMMYFUNCTION("""COMPUTED_VALUE"""),820.0)</f>
        <v>820</v>
      </c>
      <c r="AD270" s="6">
        <f>IFERROR(__xludf.DUMMYFUNCTION("""COMPUTED_VALUE"""),475.0)</f>
        <v>475</v>
      </c>
      <c r="AE270" s="6">
        <f>IFERROR(__xludf.DUMMYFUNCTION("""COMPUTED_VALUE"""),410.0)</f>
        <v>410</v>
      </c>
      <c r="AF270" s="6">
        <f>IFERROR(__xludf.DUMMYFUNCTION("""COMPUTED_VALUE"""),150.0)</f>
        <v>150</v>
      </c>
      <c r="AG270" s="5">
        <f>IFERROR(__xludf.DUMMYFUNCTION("""COMPUTED_VALUE"""),150.0)</f>
        <v>150</v>
      </c>
      <c r="AH270" s="5"/>
      <c r="AI270" s="5">
        <f>IFERROR(__xludf.DUMMYFUNCTION("""COMPUTED_VALUE"""),369.0)</f>
        <v>369</v>
      </c>
      <c r="AJ270" s="5">
        <f>IFERROR(__xludf.DUMMYFUNCTION("""COMPUTED_VALUE"""),427.5)</f>
        <v>427.5</v>
      </c>
      <c r="AK270" s="5" t="str">
        <f>IFERROR(__xludf.DUMMYFUNCTION("""COMPUTED_VALUE"""),"La gestión de materiales evoluciona con SAP HANA MM 🌐
Domina procesos de compras, inventarios y logística con un enfoque práctico y aplicable al día a día empresarial.
Aquí encuentras la info completa 👇🏻")</f>
        <v>La gestión de materiales evoluciona con SAP HANA MM 🌐
Domina procesos de compras, inventarios y logística con un enfoque práctico y aplicable al día a día empresarial.
Aquí encuentras la info completa 👇🏻</v>
      </c>
      <c r="AL270" s="5" t="str">
        <f>IFERROR(__xludf.DUMMYFUNCTION("""COMPUTED_VALUE"""),"Excelente 🙌, actualizarte con SAP HANA MM te dará un plus competitivo en gestión de materiales 📦 y compras.")</f>
        <v>Excelente 🙌, actualizarte con SAP HANA MM te dará un plus competitivo en gestión de materiales 📦 y compras.</v>
      </c>
      <c r="AM270" s="5" t="str">
        <f>IFERROR(__xludf.DUMMYFUNCTION("""COMPUTED_VALUE"""),"Buenísimo 💼, SAP es altamente valorado en empresas grandes 🌐. Dominar HANA MM abrirá más oportunidades 🚀.")</f>
        <v>Buenísimo 💼, SAP es altamente valorado en empresas grandes 🌐. Dominar HANA MM abrirá más oportunidades 🚀.</v>
      </c>
      <c r="AN270" s="5" t="str">
        <f>IFERROR(__xludf.DUMMYFUNCTION("""COMPUTED_VALUE"""),"¡Excelente! 🎓 Con SAP HANA MM aprenderás sobre procesos logísticos 🔄 que te diferenciarán desde la universidad.")</f>
        <v>¡Excelente! 🎓 Con SAP HANA MM aprenderás sobre procesos logísticos 🔄 que te diferenciarán desde la universidad.</v>
      </c>
      <c r="AO270" s="5" t="str">
        <f>IFERROR(__xludf.DUMMYFUNCTION("""COMPUTED_VALUE"""),"¡Perfecto! 🔑 Conocer SAP te dará ventaja frente a otros postulantes y será clave para prácticas en logística 📝.")</f>
        <v>¡Perfecto! 🔑 Conocer SAP te dará ventaja frente a otros postulantes y será clave para prácticas en logística 📝.</v>
      </c>
      <c r="AP270" s="5" t="str">
        <f>IFERROR(__xludf.DUMMYFUNCTION("""COMPUTED_VALUE"""),"¡Excelente! 💡 Con SAP HANA MM podrás optimizar inventarios 📦 y procesos en tu propio negocio.")</f>
        <v>¡Excelente! 💡 Con SAP HANA MM podrás optimizar inventarios 📦 y procesos en tu propio negocio.</v>
      </c>
      <c r="AQ270" s="9" t="str">
        <f>IFERROR(__xludf.DUMMYFUNCTION("""COMPUTED_VALUE"""),"https://we-educacion.com/slides/sap-s-4-hana-mm-45")</f>
        <v>https://we-educacion.com/slides/sap-s-4-hana-mm-45</v>
      </c>
      <c r="AR270" s="5">
        <v>1.0</v>
      </c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</row>
    <row r="271" ht="15.75" customHeight="1">
      <c r="A271" s="5" t="s">
        <v>313</v>
      </c>
      <c r="B271" s="5" t="str">
        <f t="shared" si="1"/>
        <v>FEB. I - ED26</v>
      </c>
      <c r="C271" s="6" t="str">
        <f>IFERROR(__xludf.DUMMYFUNCTION("""COMPUTED_VALUE"""),"PROCESOS")</f>
        <v>PROCESOS</v>
      </c>
      <c r="D271" s="6" t="str">
        <f>IFERROR(__xludf.DUMMYFUNCTION("""COMPUTED_VALUE"""),"CURSO")</f>
        <v>CURSO</v>
      </c>
      <c r="E271" s="6" t="str">
        <f>IFERROR(__xludf.DUMMYFUNCTION("""COMPUTED_VALUE"""),"APPS SCRIPT")</f>
        <v>APPS SCRIPT</v>
      </c>
      <c r="F271" s="7">
        <f>IFERROR(__xludf.DUMMYFUNCTION("""COMPUTED_VALUE"""),46081.0)</f>
        <v>46081</v>
      </c>
      <c r="G271" s="6"/>
      <c r="H271" s="7"/>
      <c r="I271" s="6"/>
      <c r="J271" s="7"/>
      <c r="K271" s="6"/>
      <c r="L271" s="7"/>
      <c r="M271" s="6"/>
      <c r="N271" s="7"/>
      <c r="O271" s="6"/>
      <c r="P271" s="7"/>
      <c r="Q271" s="6"/>
      <c r="R271" s="5" t="str">
        <f>IFERROR(__xludf.DUMMYFUNCTION("""COMPUTED_VALUE"""),"Sáb")</f>
        <v>Sáb</v>
      </c>
      <c r="S271" s="6" t="str">
        <f>IFERROR(__xludf.DUMMYFUNCTION("""COMPUTED_VALUE"""),"3PM - 6PM")</f>
        <v>3PM - 6PM</v>
      </c>
      <c r="T271" s="7" t="str">
        <f>IFERROR(__xludf.DUMMYFUNCTION("""COMPUTED_VALUE"""),"Sábado 28 Febrero")</f>
        <v>Sábado 28 Febrero</v>
      </c>
      <c r="U271" s="7" t="str">
        <f>IFERROR(__xludf.DUMMYFUNCTION("""COMPUTED_VALUE"""),"Sábado 11 Abril")</f>
        <v>Sábado 11 Abril</v>
      </c>
      <c r="V271" s="8">
        <f>IFERROR(__xludf.DUMMYFUNCTION("""COMPUTED_VALUE"""),6.0)</f>
        <v>6</v>
      </c>
      <c r="W271" s="5"/>
      <c r="X271" s="5"/>
      <c r="Y271" s="5"/>
      <c r="Z271" s="5"/>
      <c r="AA271" s="5"/>
      <c r="AB271" s="6"/>
      <c r="AC271" s="6"/>
      <c r="AD271" s="6"/>
      <c r="AE271" s="6"/>
      <c r="AF271" s="6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 t="str">
        <f>IFERROR(__xludf.DUMMYFUNCTION("""COMPUTED_VALUE"""),"#N/A")</f>
        <v>#N/A</v>
      </c>
      <c r="AR271" s="5">
        <v>1.0</v>
      </c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</row>
    <row r="272" ht="15.75" customHeight="1">
      <c r="A272" s="5" t="s">
        <v>314</v>
      </c>
      <c r="B272" s="5" t="str">
        <f t="shared" si="1"/>
        <v>MAR. I - ED26</v>
      </c>
      <c r="C272" s="6" t="str">
        <f>IFERROR(__xludf.DUMMYFUNCTION("""COMPUTED_VALUE"""),"PROYECTOS")</f>
        <v>PROYECTOS</v>
      </c>
      <c r="D272" s="6" t="str">
        <f>IFERROR(__xludf.DUMMYFUNCTION("""COMPUTED_VALUE"""),"CURSO")</f>
        <v>CURSO</v>
      </c>
      <c r="E272" s="6" t="str">
        <f>IFERROR(__xludf.DUMMYFUNCTION("""COMPUTED_VALUE"""),"GEST. ÁGIL PROYECT")</f>
        <v>GEST. ÁGIL PROYECT</v>
      </c>
      <c r="F272" s="7">
        <f>IFERROR(__xludf.DUMMYFUNCTION("""COMPUTED_VALUE"""),46082.0)</f>
        <v>46082</v>
      </c>
      <c r="G272" s="6"/>
      <c r="H272" s="7"/>
      <c r="I272" s="6"/>
      <c r="J272" s="7"/>
      <c r="K272" s="6"/>
      <c r="L272" s="7"/>
      <c r="M272" s="6"/>
      <c r="N272" s="7"/>
      <c r="O272" s="6"/>
      <c r="P272" s="7"/>
      <c r="Q272" s="6" t="str">
        <f>IFERROR(__xludf.DUMMYFUNCTION("""COMPUTED_VALUE"""),"Juan Bravo")</f>
        <v>Juan Bravo</v>
      </c>
      <c r="R272" s="5" t="str">
        <f>IFERROR(__xludf.DUMMYFUNCTION("""COMPUTED_VALUE"""),"Dom")</f>
        <v>Dom</v>
      </c>
      <c r="S272" s="6" t="str">
        <f>IFERROR(__xludf.DUMMYFUNCTION("""COMPUTED_VALUE"""),"9AM - 12PM")</f>
        <v>9AM - 12PM</v>
      </c>
      <c r="T272" s="7" t="str">
        <f>IFERROR(__xludf.DUMMYFUNCTION("""COMPUTED_VALUE"""),"Domingo 1 Marzo")</f>
        <v>Domingo 1 Marzo</v>
      </c>
      <c r="U272" s="7" t="str">
        <f>IFERROR(__xludf.DUMMYFUNCTION("""COMPUTED_VALUE"""),"Domingo 29 Marzo")</f>
        <v>Domingo 29 Marzo</v>
      </c>
      <c r="V272" s="8">
        <f>IFERROR(__xludf.DUMMYFUNCTION("""COMPUTED_VALUE"""),5.0)</f>
        <v>5</v>
      </c>
      <c r="W272" s="5" t="str">
        <f>IFERROR(__xludf.DUMMYFUNCTION("""COMPUTED_VALUE"""),"pdfs/BROCHURE GESTIÓN ÁGIL DE PROYECTOS.pdf")</f>
        <v>pdfs/BROCHURE GESTIÓN ÁGIL DE PROYECTOS.pdf</v>
      </c>
      <c r="X272" s="5" t="str">
        <f>IFERROR(__xludf.DUMMYFUNCTION("""COMPUTED_VALUE"""),"🔵 *¡Certificados Adicionales!* ⭐
👉🏻 Certificado *Scrum Fundamentals*
👉🏻 Certificado *Scrum Master* tiene la inversión de *$50* ~(Normal $150)~
_Incluye material de práctica y 2 intentos del examen_
🚨 *Por favor, revisa el BROCHURE* 👇🏻
Aqui encont"&amp;"rarás la información completa del programa, el TEMARIO (malla curricular) y todos los BENEFICIOS 📚")</f>
        <v>🔵 *¡Certificados Adicionales!* ⭐
👉🏻 Certificado *Scrum Fundamentals*
👉🏻 Certificado *Scrum Master* tiene la inversión de *$50* ~(Normal $150)~
_Incluye material de práctica y 2 intentos del examen_
🚨 *Por favor, revisa el BROCHURE* 👇🏻
Aqui encontrarás la información completa del programa, el TEMARIO (malla curricular) y todos los BENEFICIOS 📚</v>
      </c>
      <c r="Y272" s="5" t="str">
        <f>IFERROR(__xludf.DUMMYFUNCTION("""COMPUTED_VALUE"""),"images/gestagil.jpg")</f>
        <v>images/gestagil.jpg</v>
      </c>
      <c r="Z272" s="5"/>
      <c r="AA272" s="5" t="str">
        <f>IFERROR(__xludf.DUMMYFUNCTION("""COMPUTED_VALUE"""),"SI")</f>
        <v>SI</v>
      </c>
      <c r="AB272" s="6">
        <f>IFERROR(__xludf.DUMMYFUNCTION("""COMPUTED_VALUE"""),640.0)</f>
        <v>640</v>
      </c>
      <c r="AC272" s="6">
        <f>IFERROR(__xludf.DUMMYFUNCTION("""COMPUTED_VALUE"""),550.0)</f>
        <v>550</v>
      </c>
      <c r="AD272" s="6">
        <f>IFERROR(__xludf.DUMMYFUNCTION("""COMPUTED_VALUE"""),320.0)</f>
        <v>320</v>
      </c>
      <c r="AE272" s="6">
        <f>IFERROR(__xludf.DUMMYFUNCTION("""COMPUTED_VALUE"""),275.0)</f>
        <v>275</v>
      </c>
      <c r="AF272" s="6">
        <f>IFERROR(__xludf.DUMMYFUNCTION("""COMPUTED_VALUE"""),150.0)</f>
        <v>150</v>
      </c>
      <c r="AG272" s="5">
        <f>IFERROR(__xludf.DUMMYFUNCTION("""COMPUTED_VALUE"""),150.0)</f>
        <v>150</v>
      </c>
      <c r="AH272" s="5"/>
      <c r="AI272" s="5">
        <f>IFERROR(__xludf.DUMMYFUNCTION("""COMPUTED_VALUE"""),247.5)</f>
        <v>247.5</v>
      </c>
      <c r="AJ272" s="5">
        <f>IFERROR(__xludf.DUMMYFUNCTION("""COMPUTED_VALUE"""),288.0)</f>
        <v>288</v>
      </c>
      <c r="AK272" s="5" t="str">
        <f>IFERROR(__xludf.DUMMYFUNCTION("""COMPUTED_VALUE"""),"El lenguaje de los equipos de alto rendimiento es la agilidad 🚀
Con Gestión Ágil de Proyectos dominarás metodologías como SCRUM y Kanban aplicadas a negocios reales 💼.
Aquí tienes la info 👇🏻")</f>
        <v>El lenguaje de los equipos de alto rendimiento es la agilidad 🚀
Con Gestión Ágil de Proyectos dominarás metodologías como SCRUM y Kanban aplicadas a negocios reales 💼.
Aquí tienes la info 👇🏻</v>
      </c>
      <c r="AL272" s="5" t="str">
        <f>IFERROR(__xludf.DUMMYFUNCTION("""COMPUTED_VALUE"""),"📘 *Excelente*, actualízate con *GEST. ÁGIL PROYECT* y mantente competitivo en el mercado laboral.")</f>
        <v>📘 *Excelente*, actualízate con *GEST. ÁGIL PROYECT* y mantente competitivo en el mercado laboral.</v>
      </c>
      <c r="AM272" s="5" t="str">
        <f>IFERROR(__xludf.DUMMYFUNCTION("""COMPUTED_VALUE"""),"📈 Buenísimo, *GEST. ÁGIL PROYECT* es de las competencias más pedidas por las empresas y aumentará tus oportunidades laborales.")</f>
        <v>📈 Buenísimo, *GEST. ÁGIL PROYECT* es de las competencias más pedidas por las empresas y aumentará tus oportunidades laborales.</v>
      </c>
      <c r="AN272" s="5" t="str">
        <f>IFERROR(__xludf.DUMMYFUNCTION("""COMPUTED_VALUE"""),"📘 ¡Genial! Con *GEST. ÁGIL PROYECT* sumarás una habilidad poderosa que te diferenciará desde la universidad.")</f>
        <v>📘 ¡Genial! Con *GEST. ÁGIL PROYECT* sumarás una habilidad poderosa que te diferenciará desde la universidad.</v>
      </c>
      <c r="AO272" s="5" t="str">
        <f>IFERROR(__xludf.DUMMYFUNCTION("""COMPUTED_VALUE"""),"🔑 ¡Perfecto! Saber *GEST. ÁGIL PROYECT* te dará ventaja frente a otros postulantes para conseguir prácticas.")</f>
        <v>🔑 ¡Perfecto! Saber *GEST. ÁGIL PROYECT* te dará ventaja frente a otros postulantes para conseguir prácticas.</v>
      </c>
      <c r="AP272" s="5" t="str">
        <f>IFERROR(__xludf.DUMMYFUNCTION("""COMPUTED_VALUE"""),"📘 ¡Excelente! Con *GEST. ÁGIL PROYECT* podrás aplicarlo en tu negocio y tomar decisiones más inteligentes.")</f>
        <v>📘 ¡Excelente! Con *GEST. ÁGIL PROYECT* podrás aplicarlo en tu negocio y tomar decisiones más inteligentes.</v>
      </c>
      <c r="AQ272" s="9" t="str">
        <f>IFERROR(__xludf.DUMMYFUNCTION("""COMPUTED_VALUE"""),"https://we-educacion.com/slides/gestion-agil-de-proyectos-515")</f>
        <v>https://we-educacion.com/slides/gestion-agil-de-proyectos-515</v>
      </c>
      <c r="AR272" s="5">
        <v>1.0</v>
      </c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</row>
    <row r="273" ht="15.75" customHeight="1">
      <c r="A273" s="5" t="s">
        <v>315</v>
      </c>
      <c r="B273" s="5" t="str">
        <f t="shared" si="1"/>
        <v>MAR. I - ED26</v>
      </c>
      <c r="C273" s="6" t="str">
        <f>IFERROR(__xludf.DUMMYFUNCTION("""COMPUTED_VALUE"""),"SAP")</f>
        <v>SAP</v>
      </c>
      <c r="D273" s="5" t="str">
        <f>IFERROR(__xludf.DUMMYFUNCTION("""COMPUTED_VALUE"""),"CURSO")</f>
        <v>CURSO</v>
      </c>
      <c r="E273" s="6" t="str">
        <f>IFERROR(__xludf.DUMMYFUNCTION("""COMPUTED_VALUE"""),"SAP HANA SD")</f>
        <v>SAP HANA SD</v>
      </c>
      <c r="F273" s="7">
        <f>IFERROR(__xludf.DUMMYFUNCTION("""COMPUTED_VALUE"""),46086.0)</f>
        <v>46086</v>
      </c>
      <c r="G273" s="6"/>
      <c r="H273" s="7"/>
      <c r="I273" s="6"/>
      <c r="J273" s="7"/>
      <c r="K273" s="6"/>
      <c r="L273" s="7"/>
      <c r="M273" s="6"/>
      <c r="N273" s="7"/>
      <c r="O273" s="6"/>
      <c r="P273" s="7"/>
      <c r="Q273" s="6" t="str">
        <f>IFERROR(__xludf.DUMMYFUNCTION("""COMPUTED_VALUE"""),"Kevin Riquelme")</f>
        <v>Kevin Riquelme</v>
      </c>
      <c r="R273" s="5" t="str">
        <f>IFERROR(__xludf.DUMMYFUNCTION("""COMPUTED_VALUE"""),"Mar-Jue")</f>
        <v>Mar-Jue</v>
      </c>
      <c r="S273" s="6" t="str">
        <f>IFERROR(__xludf.DUMMYFUNCTION("""COMPUTED_VALUE"""),"7PM - 10PM")</f>
        <v>7PM - 10PM</v>
      </c>
      <c r="T273" s="7" t="str">
        <f>IFERROR(__xludf.DUMMYFUNCTION("""COMPUTED_VALUE"""),"Jueves 5 Marzo")</f>
        <v>Jueves 5 Marzo</v>
      </c>
      <c r="U273" s="7" t="str">
        <f>IFERROR(__xludf.DUMMYFUNCTION("""COMPUTED_VALUE"""),"Martes 24 Marzo")</f>
        <v>Martes 24 Marzo</v>
      </c>
      <c r="V273" s="8">
        <f>IFERROR(__xludf.DUMMYFUNCTION("""COMPUTED_VALUE"""),6.0)</f>
        <v>6</v>
      </c>
      <c r="W273" s="5" t="str">
        <f>IFERROR(__xludf.DUMMYFUNCTION("""COMPUTED_VALUE"""),"pdfs/BROCHURE SAP S4 HANA SD.pdf")</f>
        <v>pdfs/BROCHURE SAP S4 HANA SD.pdf</v>
      </c>
      <c r="X273" s="5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273" s="5" t="str">
        <f>IFERROR(__xludf.DUMMYFUNCTION("""COMPUTED_VALUE"""),"images/sapsd.jpg")</f>
        <v>images/sapsd.jpg</v>
      </c>
      <c r="Z273" s="5" t="str">
        <f>IFERROR(__xludf.DUMMYFUNCTION("""COMPUTED_VALUE"""),"Avalado por SAP Partner Open")</f>
        <v>Avalado por SAP Partner Open</v>
      </c>
      <c r="AA273" s="5" t="str">
        <f>IFERROR(__xludf.DUMMYFUNCTION("""COMPUTED_VALUE"""),"NO")</f>
        <v>NO</v>
      </c>
      <c r="AB273" s="6">
        <f>IFERROR(__xludf.DUMMYFUNCTION("""COMPUTED_VALUE"""),900.0)</f>
        <v>900</v>
      </c>
      <c r="AC273" s="6">
        <f>IFERROR(__xludf.DUMMYFUNCTION("""COMPUTED_VALUE"""),750.0)</f>
        <v>750</v>
      </c>
      <c r="AD273" s="6">
        <f>IFERROR(__xludf.DUMMYFUNCTION("""COMPUTED_VALUE"""),450.0)</f>
        <v>450</v>
      </c>
      <c r="AE273" s="6">
        <f>IFERROR(__xludf.DUMMYFUNCTION("""COMPUTED_VALUE"""),375.0)</f>
        <v>375</v>
      </c>
      <c r="AF273" s="6">
        <f>IFERROR(__xludf.DUMMYFUNCTION("""COMPUTED_VALUE"""),150.0)</f>
        <v>150</v>
      </c>
      <c r="AG273" s="5">
        <f>IFERROR(__xludf.DUMMYFUNCTION("""COMPUTED_VALUE"""),150.0)</f>
        <v>150</v>
      </c>
      <c r="AH273" s="5"/>
      <c r="AI273" s="5">
        <f>IFERROR(__xludf.DUMMYFUNCTION("""COMPUTED_VALUE"""),337.5)</f>
        <v>337.5</v>
      </c>
      <c r="AJ273" s="5">
        <f>IFERROR(__xludf.DUMMYFUNCTION("""COMPUTED_VALUE"""),405.0)</f>
        <v>405</v>
      </c>
      <c r="AK273" s="5" t="str">
        <f>IFERROR(__xludf.DUMMYFUNCTION("""COMPUTED_VALUE"""),"Las ventas y distribución de clase mundial se gestionan con SAP HANA SD 🌍
Aprenderás a optimizar procesos comerciales, facturación y clientes en entornos prácticos 💼.
Aquí tienes la info 👇🏻")</f>
        <v>Las ventas y distribución de clase mundial se gestionan con SAP HANA SD 🌍
Aprenderás a optimizar procesos comerciales, facturación y clientes en entornos prácticos 💼.
Aquí tienes la info 👇🏻</v>
      </c>
      <c r="AL273" s="5" t="str">
        <f>IFERROR(__xludf.DUMMYFUNCTION("""COMPUTED_VALUE"""),"📦 Excelente, actualízate con SAP SD y domina la gestión de ventas y distribución.")</f>
        <v>📦 Excelente, actualízate con SAP SD y domina la gestión de ventas y distribución.</v>
      </c>
      <c r="AM273" s="5" t="str">
        <f>IFERROR(__xludf.DUMMYFUNCTION("""COMPUTED_VALUE"""),"💼 Buenísimo, SAP SD es muy valorado en empresas comerciales y de logística.")</f>
        <v>💼 Buenísimo, SAP SD es muy valorado en empresas comerciales y de logística.</v>
      </c>
      <c r="AN273" s="5" t="str">
        <f>IFERROR(__xludf.DUMMYFUNCTION("""COMPUTED_VALUE"""),"🎓 ¡Genial! Con SAP SD aprenderás gestión de ventas desde la universidad.")</f>
        <v>🎓 ¡Genial! Con SAP SD aprenderás gestión de ventas desde la universidad.</v>
      </c>
      <c r="AO273" s="5" t="str">
        <f>IFERROR(__xludf.DUMMYFUNCTION("""COMPUTED_VALUE"""),"🚀 ¡Perfecto! Con SAP SD destacarás en prácticas en áreas comerciales y de supply chain.")</f>
        <v>🚀 ¡Perfecto! Con SAP SD destacarás en prácticas en áreas comerciales y de supply chain.</v>
      </c>
      <c r="AP273" s="5" t="str">
        <f>IFERROR(__xludf.DUMMYFUNCTION("""COMPUTED_VALUE"""),"📊 ¡Excelente! Con SAP SD optimizarás las ventas y distribución en tu negocio.")</f>
        <v>📊 ¡Excelente! Con SAP SD optimizarás las ventas y distribución en tu negocio.</v>
      </c>
      <c r="AQ273" s="9" t="str">
        <f>IFERROR(__xludf.DUMMYFUNCTION("""COMPUTED_VALUE"""),"https://we-educacion.com/slides/sap-s-4-hana-sd-194")</f>
        <v>https://we-educacion.com/slides/sap-s-4-hana-sd-194</v>
      </c>
      <c r="AR273" s="5">
        <v>1.0</v>
      </c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</row>
    <row r="274" ht="15.75" customHeight="1">
      <c r="A274" s="5" t="s">
        <v>316</v>
      </c>
      <c r="B274" s="5" t="str">
        <f t="shared" si="1"/>
        <v>MAR. I - ED26</v>
      </c>
      <c r="C274" s="6" t="str">
        <f>IFERROR(__xludf.DUMMYFUNCTION("""COMPUTED_VALUE"""),"LOGÍSTICA")</f>
        <v>LOGÍSTICA</v>
      </c>
      <c r="D274" s="5" t="str">
        <f>IFERROR(__xludf.DUMMYFUNCTION("""COMPUTED_VALUE"""),"CURSO")</f>
        <v>CURSO</v>
      </c>
      <c r="E274" s="6" t="str">
        <f>IFERROR(__xludf.DUMMYFUNCTION("""COMPUTED_VALUE"""),"GER. CENTRO DISTRIB.")</f>
        <v>GER. CENTRO DISTRIB.</v>
      </c>
      <c r="F274" s="7">
        <f>IFERROR(__xludf.DUMMYFUNCTION("""COMPUTED_VALUE"""),46086.0)</f>
        <v>46086</v>
      </c>
      <c r="G274" s="6"/>
      <c r="H274" s="7"/>
      <c r="I274" s="6"/>
      <c r="J274" s="7"/>
      <c r="K274" s="6"/>
      <c r="L274" s="7"/>
      <c r="M274" s="6"/>
      <c r="N274" s="7"/>
      <c r="O274" s="6"/>
      <c r="P274" s="7"/>
      <c r="Q274" s="6" t="str">
        <f>IFERROR(__xludf.DUMMYFUNCTION("""COMPUTED_VALUE"""),"Vanessa Roncal")</f>
        <v>Vanessa Roncal</v>
      </c>
      <c r="R274" s="5" t="str">
        <f>IFERROR(__xludf.DUMMYFUNCTION("""COMPUTED_VALUE"""),"Jue")</f>
        <v>Jue</v>
      </c>
      <c r="S274" s="6" t="str">
        <f>IFERROR(__xludf.DUMMYFUNCTION("""COMPUTED_VALUE"""),"7PM - 10PM")</f>
        <v>7PM - 10PM</v>
      </c>
      <c r="T274" s="7" t="str">
        <f>IFERROR(__xludf.DUMMYFUNCTION("""COMPUTED_VALUE"""),"Jueves 5 Marzo")</f>
        <v>Jueves 5 Marzo</v>
      </c>
      <c r="U274" s="7" t="str">
        <f>IFERROR(__xludf.DUMMYFUNCTION("""COMPUTED_VALUE"""),"Jueves 9 Abril")</f>
        <v>Jueves 9 Abril</v>
      </c>
      <c r="V274" s="8">
        <f>IFERROR(__xludf.DUMMYFUNCTION("""COMPUTED_VALUE"""),5.0)</f>
        <v>5</v>
      </c>
      <c r="W274" s="5" t="str">
        <f>IFERROR(__xludf.DUMMYFUNCTION("""COMPUTED_VALUE"""),"pdfs/BROCHURE DISTRIBUCION Y ALMACENES.pdf")</f>
        <v>pdfs/BROCHURE DISTRIBUCION Y ALMACENES.pdf</v>
      </c>
      <c r="X274" s="5" t="str">
        <f>IFERROR(__xludf.DUMMYFUNCTION("""COMPUTED_VALUE"""),"🔵 *Conoce TODOS los BENEFICIOS a los que accedes*
🔹 Acceso a *Campus Virtual* WE 👩🏻‍🏫
🔹 Material digital y grabación de clases 
🔹 Certificado digital incluido
🔹 *05 Cursos Online de regalo* con acceso ilimitado 📚
🔹 Desarrollo y seguimiento de t"&amp;"u proyecto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*05 Cursos Online de regalo*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274" s="5" t="str">
        <f>IFERROR(__xludf.DUMMYFUNCTION("""COMPUTED_VALUE"""),"images/gercentro.jpg")</f>
        <v>images/gercentro.jpg</v>
      </c>
      <c r="Z274" s="5"/>
      <c r="AA274" s="5" t="str">
        <f>IFERROR(__xludf.DUMMYFUNCTION("""COMPUTED_VALUE"""),"NO")</f>
        <v>NO</v>
      </c>
      <c r="AB274" s="6">
        <f>IFERROR(__xludf.DUMMYFUNCTION("""COMPUTED_VALUE"""),830.0)</f>
        <v>830</v>
      </c>
      <c r="AC274" s="6">
        <f>IFERROR(__xludf.DUMMYFUNCTION("""COMPUTED_VALUE"""),770.0)</f>
        <v>770</v>
      </c>
      <c r="AD274" s="6">
        <f>IFERROR(__xludf.DUMMYFUNCTION("""COMPUTED_VALUE"""),415.0)</f>
        <v>415</v>
      </c>
      <c r="AE274" s="6">
        <f>IFERROR(__xludf.DUMMYFUNCTION("""COMPUTED_VALUE"""),385.0)</f>
        <v>385</v>
      </c>
      <c r="AF274" s="6">
        <f>IFERROR(__xludf.DUMMYFUNCTION("""COMPUTED_VALUE"""),150.0)</f>
        <v>150</v>
      </c>
      <c r="AG274" s="5">
        <f>IFERROR(__xludf.DUMMYFUNCTION("""COMPUTED_VALUE"""),150.0)</f>
        <v>150</v>
      </c>
      <c r="AH274" s="5"/>
      <c r="AI274" s="5">
        <f>IFERROR(__xludf.DUMMYFUNCTION("""COMPUTED_VALUE"""),346.5)</f>
        <v>346.5</v>
      </c>
      <c r="AJ274" s="5">
        <f>IFERROR(__xludf.DUMMYFUNCTION("""COMPUTED_VALUE"""),373.5)</f>
        <v>373.5</v>
      </c>
      <c r="AK274" s="5" t="str">
        <f>IFERROR(__xludf.DUMMYFUNCTION("""COMPUTED_VALUE"""),"La clave de la logística moderna es la gestión eficiente de centros de distribución 📦
Con este programa aprenderás a optimizar operaciones, inventarios y flujos reales de negocio 💼.
Aquí te comparto la información 👇🏻")</f>
        <v>La clave de la logística moderna es la gestión eficiente de centros de distribución 📦
Con este programa aprenderás a optimizar operaciones, inventarios y flujos reales de negocio 💼.
Aquí te comparto la información 👇🏻</v>
      </c>
      <c r="AL274" s="5" t="str">
        <f>IFERROR(__xludf.DUMMYFUNCTION("""COMPUTED_VALUE"""),"📈 *Excelente*, actualízate con *GER. CENTRO DISTRIB.* y mantente competitivo en el mercado laboral.")</f>
        <v>📈 *Excelente*, actualízate con *GER. CENTRO DISTRIB.* y mantente competitivo en el mercado laboral.</v>
      </c>
      <c r="AM274" s="5" t="str">
        <f>IFERROR(__xludf.DUMMYFUNCTION("""COMPUTED_VALUE"""),"📈 Buenísimo, *GER. CENTRO DISTRIB.* es de las competencias más pedidas por las empresas y aumentará tus oportunidades laborales.")</f>
        <v>📈 Buenísimo, *GER. CENTRO DISTRIB.* es de las competencias más pedidas por las empresas y aumentará tus oportunidades laborales.</v>
      </c>
      <c r="AN274" s="5" t="str">
        <f>IFERROR(__xludf.DUMMYFUNCTION("""COMPUTED_VALUE"""),"🌍 ¡Genial! Con *GER. CENTRO DISTRIB.* sumarás una habilidad poderosa que te diferenciará desde la universidad.")</f>
        <v>🌍 ¡Genial! Con *GER. CENTRO DISTRIB.* sumarás una habilidad poderosa que te diferenciará desde la universidad.</v>
      </c>
      <c r="AO274" s="5" t="str">
        <f>IFERROR(__xludf.DUMMYFUNCTION("""COMPUTED_VALUE"""),"🏆 ¡Perfecto! Saber *GER. CENTRO DISTRIB.* te dará ventaja frente a otros postulantes para conseguir prácticas.")</f>
        <v>🏆 ¡Perfecto! Saber *GER. CENTRO DISTRIB.* te dará ventaja frente a otros postulantes para conseguir prácticas.</v>
      </c>
      <c r="AP274" s="5" t="str">
        <f>IFERROR(__xludf.DUMMYFUNCTION("""COMPUTED_VALUE"""),"📊 ¡Excelente! Con *GER. CENTRO DISTRIB.* podrás aplicarlo en tu negocio y tomar decisiones más inteligentes.")</f>
        <v>📊 ¡Excelente! Con *GER. CENTRO DISTRIB.* podrás aplicarlo en tu negocio y tomar decisiones más inteligentes.</v>
      </c>
      <c r="AQ274" s="9" t="str">
        <f>IFERROR(__xludf.DUMMYFUNCTION("""COMPUTED_VALUE"""),"https://we-educacion.com/slides/distribucion-y-almacenes-68")</f>
        <v>https://we-educacion.com/slides/distribucion-y-almacenes-68</v>
      </c>
      <c r="AR274" s="5">
        <v>1.0</v>
      </c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</row>
    <row r="275" ht="15.75" customHeight="1">
      <c r="A275" s="5" t="s">
        <v>317</v>
      </c>
      <c r="B275" s="5" t="str">
        <f t="shared" si="1"/>
        <v>MAR. I - ED26</v>
      </c>
      <c r="C275" s="6" t="str">
        <f>IFERROR(__xludf.DUMMYFUNCTION("""COMPUTED_VALUE"""),"LOGÍSTICA")</f>
        <v>LOGÍSTICA</v>
      </c>
      <c r="D275" s="6" t="str">
        <f>IFERROR(__xludf.DUMMYFUNCTION("""COMPUTED_VALUE"""),"CURSO")</f>
        <v>CURSO</v>
      </c>
      <c r="E275" s="6" t="str">
        <f>IFERROR(__xludf.DUMMYFUNCTION("""COMPUTED_VALUE"""),"GEST. COMP. Y PROV.")</f>
        <v>GEST. COMP. Y PROV.</v>
      </c>
      <c r="F275" s="7">
        <f>IFERROR(__xludf.DUMMYFUNCTION("""COMPUTED_VALUE"""),46086.0)</f>
        <v>46086</v>
      </c>
      <c r="G275" s="6"/>
      <c r="H275" s="7"/>
      <c r="I275" s="6"/>
      <c r="J275" s="7"/>
      <c r="K275" s="6"/>
      <c r="L275" s="7"/>
      <c r="M275" s="6"/>
      <c r="N275" s="7"/>
      <c r="O275" s="6"/>
      <c r="P275" s="7"/>
      <c r="Q275" s="6" t="str">
        <f>IFERROR(__xludf.DUMMYFUNCTION("""COMPUTED_VALUE"""),"Katherine Huaroto
")</f>
        <v>Katherine Huaroto
</v>
      </c>
      <c r="R275" s="5" t="str">
        <f>IFERROR(__xludf.DUMMYFUNCTION("""COMPUTED_VALUE"""),"Mar-Jue")</f>
        <v>Mar-Jue</v>
      </c>
      <c r="S275" s="6" t="str">
        <f>IFERROR(__xludf.DUMMYFUNCTION("""COMPUTED_VALUE"""),"7PM - 10PM")</f>
        <v>7PM - 10PM</v>
      </c>
      <c r="T275" s="7" t="str">
        <f>IFERROR(__xludf.DUMMYFUNCTION("""COMPUTED_VALUE"""),"Jueves 5 Marzo")</f>
        <v>Jueves 5 Marzo</v>
      </c>
      <c r="U275" s="7" t="str">
        <f>IFERROR(__xludf.DUMMYFUNCTION("""COMPUTED_VALUE"""),"Martes 24 Marzo")</f>
        <v>Martes 24 Marzo</v>
      </c>
      <c r="V275" s="8">
        <f>IFERROR(__xludf.DUMMYFUNCTION("""COMPUTED_VALUE"""),6.0)</f>
        <v>6</v>
      </c>
      <c r="W275" s="5" t="str">
        <f>IFERROR(__xludf.DUMMYFUNCTION("""COMPUTED_VALUE"""),"pdfs/BROCHURE GEST DE COMPRAS Y PROVEEDORES.pdf")</f>
        <v>pdfs/BROCHURE GEST DE COMPRAS Y PROVEEDORES.pdf</v>
      </c>
      <c r="X275" s="5" t="str">
        <f>IFERROR(__xludf.DUMMYFUNCTION("""COMPUTED_VALUE"""),"🔵 *Conoce TODOS los BENEFICIOS a los que accedes*
🔹 Acceso a Campus Virtual WE 👩🏻‍🏫
🔹 Material digital y grabación de clases 
🔹 Certificado digital 
🔹 04 Cursos Online de regalo con acceso ilimitado 📚
🔹 Desarrollo y seguimiento de tu proyecto *"&amp;"(Evaluado)*
🔹 Garantía de Aprendizaje 100%
🚨 *Revisa el BROCHURE* 👇🏻")</f>
        <v>🔵 *Conoce TODOS los BENEFICIOS a los que accedes*
🔹 Acceso a Campus Virtual WE 👩🏻‍🏫
🔹 Material digital y grabación de clases 
🔹 Certificado digital 
🔹 04 Cursos Online de regalo con acceso ilimitado 📚
🔹 Desarrollo y seguimiento de tu proyecto *(Evaluado)*
🔹 Garantía de Aprendizaje 100%
🚨 *Revisa el BROCHURE* 👇🏻</v>
      </c>
      <c r="Y275" s="5" t="str">
        <f>IFERROR(__xludf.DUMMYFUNCTION("""COMPUTED_VALUE"""),"images/gestcomp.jpg")</f>
        <v>images/gestcomp.jpg</v>
      </c>
      <c r="Z275" s="5"/>
      <c r="AA275" s="5" t="str">
        <f>IFERROR(__xludf.DUMMYFUNCTION("""COMPUTED_VALUE"""),"SI")</f>
        <v>SI</v>
      </c>
      <c r="AB275" s="6">
        <f>IFERROR(__xludf.DUMMYFUNCTION("""COMPUTED_VALUE"""),830.0)</f>
        <v>830</v>
      </c>
      <c r="AC275" s="6">
        <f>IFERROR(__xludf.DUMMYFUNCTION("""COMPUTED_VALUE"""),770.0)</f>
        <v>770</v>
      </c>
      <c r="AD275" s="6">
        <f>IFERROR(__xludf.DUMMYFUNCTION("""COMPUTED_VALUE"""),415.0)</f>
        <v>415</v>
      </c>
      <c r="AE275" s="6">
        <f>IFERROR(__xludf.DUMMYFUNCTION("""COMPUTED_VALUE"""),385.0)</f>
        <v>385</v>
      </c>
      <c r="AF275" s="6">
        <f>IFERROR(__xludf.DUMMYFUNCTION("""COMPUTED_VALUE"""),150.0)</f>
        <v>150</v>
      </c>
      <c r="AG275" s="5">
        <f>IFERROR(__xludf.DUMMYFUNCTION("""COMPUTED_VALUE"""),150.0)</f>
        <v>150</v>
      </c>
      <c r="AH275" s="5"/>
      <c r="AI275" s="5">
        <f>IFERROR(__xludf.DUMMYFUNCTION("""COMPUTED_VALUE"""),346.5)</f>
        <v>346.5</v>
      </c>
      <c r="AJ275" s="5">
        <f>IFERROR(__xludf.DUMMYFUNCTION("""COMPUTED_VALUE"""),373.5)</f>
        <v>373.5</v>
      </c>
      <c r="AK275" s="5" t="str">
        <f>IFERROR(__xludf.DUMMYFUNCTION("""COMPUTED_VALUE"""),"La clave de la rentabilidad está en una gestión estratégica de compras 💰
Con Gestión de Compras y Proveedores aprenderás a negociar, evaluar y optimizar relaciones con proveedores 💼.
Aquí te comparto la info 👇🏻")</f>
        <v>La clave de la rentabilidad está en una gestión estratégica de compras 💰
Con Gestión de Compras y Proveedores aprenderás a negociar, evaluar y optimizar relaciones con proveedores 💼.
Aquí te comparto la info 👇🏻</v>
      </c>
      <c r="AL275" s="5" t="str">
        <f>IFERROR(__xludf.DUMMYFUNCTION("""COMPUTED_VALUE"""),"🎓 *Excelente*, actualízate con *GEST. COMP. Y PROV.* y mantente competitivo en el mercado laboral.")</f>
        <v>🎓 *Excelente*, actualízate con *GEST. COMP. Y PROV.* y mantente competitivo en el mercado laboral.</v>
      </c>
      <c r="AM275" s="5" t="str">
        <f>IFERROR(__xludf.DUMMYFUNCTION("""COMPUTED_VALUE"""),"🔑 Buenísimo, *GEST. COMP. Y PROV.* es de las competencias más pedidas por las empresas y aumentará tus oportunidades laborales.")</f>
        <v>🔑 Buenísimo, *GEST. COMP. Y PROV.* es de las competencias más pedidas por las empresas y aumentará tus oportunidades laborales.</v>
      </c>
      <c r="AN275" s="5" t="str">
        <f>IFERROR(__xludf.DUMMYFUNCTION("""COMPUTED_VALUE"""),"🌍 ¡Genial! Con *GEST. COMP. Y PROV.* sumarás una habilidad poderosa que te diferenciará desde la universidad.")</f>
        <v>🌍 ¡Genial! Con *GEST. COMP. Y PROV.* sumarás una habilidad poderosa que te diferenciará desde la universidad.</v>
      </c>
      <c r="AO275" s="5" t="str">
        <f>IFERROR(__xludf.DUMMYFUNCTION("""COMPUTED_VALUE"""),"💼 ¡Perfecto! Saber *GEST. COMP. Y PROV.* te dará ventaja frente a otros postulantes para conseguir prácticas.")</f>
        <v>💼 ¡Perfecto! Saber *GEST. COMP. Y PROV.* te dará ventaja frente a otros postulantes para conseguir prácticas.</v>
      </c>
      <c r="AP275" s="5" t="str">
        <f>IFERROR(__xludf.DUMMYFUNCTION("""COMPUTED_VALUE"""),"🚀 ¡Excelente! Con *GEST. COMP. Y PROV.* podrás aplicarlo en tu negocio y tomar decisiones más inteligentes.")</f>
        <v>🚀 ¡Excelente! Con *GEST. COMP. Y PROV.* podrás aplicarlo en tu negocio y tomar decisiones más inteligentes.</v>
      </c>
      <c r="AQ275" s="9" t="str">
        <f>IFERROR(__xludf.DUMMYFUNCTION("""COMPUTED_VALUE"""),"https://we-educacion.com/slides/gestion-de-compras-y-proveedores-74")</f>
        <v>https://we-educacion.com/slides/gestion-de-compras-y-proveedores-74</v>
      </c>
      <c r="AR275" s="5">
        <v>1.0</v>
      </c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</row>
    <row r="276" ht="15.75" customHeight="1">
      <c r="A276" s="5" t="s">
        <v>318</v>
      </c>
      <c r="B276" s="5" t="str">
        <f t="shared" si="1"/>
        <v>MAR. I - ED26</v>
      </c>
      <c r="C276" s="6" t="str">
        <f>IFERROR(__xludf.DUMMYFUNCTION("""COMPUTED_VALUE"""),"PROCESOS")</f>
        <v>PROCESOS</v>
      </c>
      <c r="D276" s="5" t="str">
        <f>IFERROR(__xludf.DUMMYFUNCTION("""COMPUTED_VALUE"""),"CURSO")</f>
        <v>CURSO</v>
      </c>
      <c r="E276" s="6" t="str">
        <f>IFERROR(__xludf.DUMMYFUNCTION("""COMPUTED_VALUE"""),"POWER APPS AVANZ")</f>
        <v>POWER APPS AVANZ</v>
      </c>
      <c r="F276" s="7">
        <f>IFERROR(__xludf.DUMMYFUNCTION("""COMPUTED_VALUE"""),46086.0)</f>
        <v>46086</v>
      </c>
      <c r="G276" s="6"/>
      <c r="H276" s="7"/>
      <c r="I276" s="6"/>
      <c r="J276" s="7"/>
      <c r="K276" s="6"/>
      <c r="L276" s="7"/>
      <c r="M276" s="6"/>
      <c r="N276" s="7"/>
      <c r="O276" s="6"/>
      <c r="P276" s="7"/>
      <c r="Q276" s="6" t="str">
        <f>IFERROR(__xludf.DUMMYFUNCTION("""COMPUTED_VALUE"""),"Jesús Gaspar")</f>
        <v>Jesús Gaspar</v>
      </c>
      <c r="R276" s="5" t="str">
        <f>IFERROR(__xludf.DUMMYFUNCTION("""COMPUTED_VALUE"""),"Mar-Jue")</f>
        <v>Mar-Jue</v>
      </c>
      <c r="S276" s="6" t="str">
        <f>IFERROR(__xludf.DUMMYFUNCTION("""COMPUTED_VALUE"""),"7PM - 10PM")</f>
        <v>7PM - 10PM</v>
      </c>
      <c r="T276" s="7" t="str">
        <f>IFERROR(__xludf.DUMMYFUNCTION("""COMPUTED_VALUE"""),"Jueves 5 Marzo")</f>
        <v>Jueves 5 Marzo</v>
      </c>
      <c r="U276" s="7" t="str">
        <f>IFERROR(__xludf.DUMMYFUNCTION("""COMPUTED_VALUE"""),"Martes 24 Marzo")</f>
        <v>Martes 24 Marzo</v>
      </c>
      <c r="V276" s="8">
        <f>IFERROR(__xludf.DUMMYFUNCTION("""COMPUTED_VALUE"""),6.0)</f>
        <v>6</v>
      </c>
      <c r="W276" s="5" t="str">
        <f>IFERROR(__xludf.DUMMYFUNCTION("""COMPUTED_VALUE"""),"pdfs/BROCHURE POWER APPS &amp; AUTOMATE AVANZADO.pdf")</f>
        <v>pdfs/BROCHURE POWER APPS &amp; AUTOMATE AVANZADO.pdf</v>
      </c>
      <c r="X276" s="5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276" s="5" t="str">
        <f>IFERROR(__xludf.DUMMYFUNCTION("""COMPUTED_VALUE"""),"images/powerappavanz.jpg")</f>
        <v>images/powerappavanz.jpg</v>
      </c>
      <c r="Z276" s="5" t="str">
        <f>IFERROR(__xludf.DUMMYFUNCTION("""COMPUTED_VALUE"""),"Avalado por Microsoft Partner Network")</f>
        <v>Avalado por Microsoft Partner Network</v>
      </c>
      <c r="AA276" s="5" t="str">
        <f>IFERROR(__xludf.DUMMYFUNCTION("""COMPUTED_VALUE"""),"NO")</f>
        <v>NO</v>
      </c>
      <c r="AB276" s="6">
        <f>IFERROR(__xludf.DUMMYFUNCTION("""COMPUTED_VALUE"""),650.0)</f>
        <v>650</v>
      </c>
      <c r="AC276" s="6">
        <f>IFERROR(__xludf.DUMMYFUNCTION("""COMPUTED_VALUE"""),570.0)</f>
        <v>570</v>
      </c>
      <c r="AD276" s="6">
        <f>IFERROR(__xludf.DUMMYFUNCTION("""COMPUTED_VALUE"""),325.0)</f>
        <v>325</v>
      </c>
      <c r="AE276" s="6">
        <f>IFERROR(__xludf.DUMMYFUNCTION("""COMPUTED_VALUE"""),285.0)</f>
        <v>285</v>
      </c>
      <c r="AF276" s="6">
        <f>IFERROR(__xludf.DUMMYFUNCTION("""COMPUTED_VALUE"""),150.0)</f>
        <v>150</v>
      </c>
      <c r="AG276" s="5">
        <f>IFERROR(__xludf.DUMMYFUNCTION("""COMPUTED_VALUE"""),150.0)</f>
        <v>150</v>
      </c>
      <c r="AH276" s="5"/>
      <c r="AI276" s="5">
        <f>IFERROR(__xludf.DUMMYFUNCTION("""COMPUTED_VALUE"""),256.5)</f>
        <v>256.5</v>
      </c>
      <c r="AJ276" s="5">
        <f>IFERROR(__xludf.DUMMYFUNCTION("""COMPUTED_VALUE"""),292.5)</f>
        <v>292.5</v>
      </c>
      <c r="AK276" s="5" t="str">
        <f>IFERROR(__xludf.DUMMYFUNCTION("""COMPUTED_VALUE"""),"El futuro de los negocios es la automatización sin código 💡
Con Power Apps Avanzado diseñarás aplicaciones prácticas para optimizar procesos reales 📊.
Aquí te comparto la información 👇🏻")</f>
        <v>El futuro de los negocios es la automatización sin código 💡
Con Power Apps Avanzado diseñarás aplicaciones prácticas para optimizar procesos reales 📊.
Aquí te comparto la información 👇🏻</v>
      </c>
      <c r="AL276" s="5" t="str">
        <f>IFERROR(__xludf.DUMMYFUNCTION("""COMPUTED_VALUE"""),"⚡ Excelente, actualízate con Power Apps Avanzado y domina la automatización de procesos.")</f>
        <v>⚡ Excelente, actualízate con Power Apps Avanzado y domina la automatización de procesos.</v>
      </c>
      <c r="AM276" s="5" t="str">
        <f>IFERROR(__xludf.DUMMYFUNCTION("""COMPUTED_VALUE"""),"💼 Buenísimo, Power Apps Avanzado es muy buscado en empresas que digitalizan operaciones.")</f>
        <v>💼 Buenísimo, Power Apps Avanzado es muy buscado en empresas que digitalizan operaciones.</v>
      </c>
      <c r="AN276" s="5" t="str">
        <f>IFERROR(__xludf.DUMMYFUNCTION("""COMPUTED_VALUE"""),"🎓 ¡Genial! Con Power Apps Avanzado aprenderás a crear soluciones prácticas desde la universidad.")</f>
        <v>🎓 ¡Genial! Con Power Apps Avanzado aprenderás a crear soluciones prácticas desde la universidad.</v>
      </c>
      <c r="AO276" s="5" t="str">
        <f>IFERROR(__xludf.DUMMYFUNCTION("""COMPUTED_VALUE"""),"🚀 ¡Perfecto! Saber Power Apps Avanzado te dará ventaja frente a otros en prácticas de TI.")</f>
        <v>🚀 ¡Perfecto! Saber Power Apps Avanzado te dará ventaja frente a otros en prácticas de TI.</v>
      </c>
      <c r="AP276" s="5" t="str">
        <f>IFERROR(__xludf.DUMMYFUNCTION("""COMPUTED_VALUE"""),"📊 ¡Excelente! Con Power Apps Avanzado podrás optimizar tus procesos de negocio con apps propias.")</f>
        <v>📊 ¡Excelente! Con Power Apps Avanzado podrás optimizar tus procesos de negocio con apps propias.</v>
      </c>
      <c r="AQ276" s="9" t="str">
        <f>IFERROR(__xludf.DUMMYFUNCTION("""COMPUTED_VALUE"""),"https://we-educacion.com/slides/power-apps-automate-avanzado-1112")</f>
        <v>https://we-educacion.com/slides/power-apps-automate-avanzado-1112</v>
      </c>
      <c r="AR276" s="5">
        <v>1.0</v>
      </c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</row>
    <row r="277" ht="15.75" customHeight="1">
      <c r="A277" s="5" t="s">
        <v>319</v>
      </c>
      <c r="B277" s="5" t="str">
        <f t="shared" si="1"/>
        <v>MAR. I - ED26</v>
      </c>
      <c r="C277" s="6" t="str">
        <f>IFERROR(__xludf.DUMMYFUNCTION("""COMPUTED_VALUE"""),"MKT")</f>
        <v>MKT</v>
      </c>
      <c r="D277" s="5" t="str">
        <f>IFERROR(__xludf.DUMMYFUNCTION("""COMPUTED_VALUE"""),"CURSO")</f>
        <v>CURSO</v>
      </c>
      <c r="E277" s="6" t="str">
        <f>IFERROR(__xludf.DUMMYFUNCTION("""COMPUTED_VALUE"""),"ESTR. Y TEC. COMERCIALES")</f>
        <v>ESTR. Y TEC. COMERCIALES</v>
      </c>
      <c r="F277" s="7">
        <f>IFERROR(__xludf.DUMMYFUNCTION("""COMPUTED_VALUE"""),46088.0)</f>
        <v>46088</v>
      </c>
      <c r="G277" s="6"/>
      <c r="H277" s="7"/>
      <c r="I277" s="6"/>
      <c r="J277" s="7"/>
      <c r="K277" s="6"/>
      <c r="L277" s="7"/>
      <c r="M277" s="6"/>
      <c r="N277" s="7"/>
      <c r="O277" s="6"/>
      <c r="P277" s="7"/>
      <c r="Q277" s="6" t="str">
        <f>IFERROR(__xludf.DUMMYFUNCTION("""COMPUTED_VALUE"""),"Johana Pacheco")</f>
        <v>Johana Pacheco</v>
      </c>
      <c r="R277" s="5" t="str">
        <f>IFERROR(__xludf.DUMMYFUNCTION("""COMPUTED_VALUE"""),"Sáb")</f>
        <v>Sáb</v>
      </c>
      <c r="S277" s="6" t="str">
        <f>IFERROR(__xludf.DUMMYFUNCTION("""COMPUTED_VALUE"""),"3PM - 6PM")</f>
        <v>3PM - 6PM</v>
      </c>
      <c r="T277" s="7" t="str">
        <f>IFERROR(__xludf.DUMMYFUNCTION("""COMPUTED_VALUE"""),"Sábado 7 Marzo")</f>
        <v>Sábado 7 Marzo</v>
      </c>
      <c r="U277" s="7" t="str">
        <f>IFERROR(__xludf.DUMMYFUNCTION("""COMPUTED_VALUE"""),"Sábado 18 Abril")</f>
        <v>Sábado 18 Abril</v>
      </c>
      <c r="V277" s="8">
        <f>IFERROR(__xludf.DUMMYFUNCTION("""COMPUTED_VALUE"""),6.0)</f>
        <v>6</v>
      </c>
      <c r="W277" s="5" t="str">
        <f>IFERROR(__xludf.DUMMYFUNCTION("""COMPUTED_VALUE"""),"pdfs/BROCHURE ESTRATEGIAS Y TECNICAS COMERCIALES.pdf")</f>
        <v>pdfs/BROCHURE ESTRATEGIAS Y TECNICAS COMERCIALES.pdf</v>
      </c>
      <c r="X277" s="5" t="str">
        <f>IFERROR(__xludf.DUMMYFUNCTION("""COMPUTED_VALUE"""),"👩🏻‍💻 Aplicarán Automatización de correos, Journey Map, Plan de Acción y mucho más. 
🚨 Por favor, revisa el BROCHURE 👇🏻
Aqui encontrarás la información completa del programa: Temario (malla curricular) y todos los BENEFICIOS 📚
👉🏼 Te comparto un "&amp;"Modelo de Certificado que elevará tu perfil profesional ")</f>
        <v>👩🏻‍💻 Aplicarán Automatización de correos, Journey Map, Plan de Acción y mucho más. 
🚨 Por favor, revisa el BROCHURE 👇🏻
Aqui encontrarás la información completa del programa: Temario (malla curricular) y todos los BENEFICIOS 📚
👉🏼 Te comparto un Modelo de Certificado que elevará tu perfil profesional </v>
      </c>
      <c r="Y277" s="5"/>
      <c r="Z277" s="5"/>
      <c r="AA277" s="5" t="str">
        <f>IFERROR(__xludf.DUMMYFUNCTION("""COMPUTED_VALUE"""),"NO")</f>
        <v>NO</v>
      </c>
      <c r="AB277" s="6">
        <f>IFERROR(__xludf.DUMMYFUNCTION("""COMPUTED_VALUE"""),650.0)</f>
        <v>650</v>
      </c>
      <c r="AC277" s="6">
        <f>IFERROR(__xludf.DUMMYFUNCTION("""COMPUTED_VALUE"""),600.0)</f>
        <v>600</v>
      </c>
      <c r="AD277" s="6">
        <f>IFERROR(__xludf.DUMMYFUNCTION("""COMPUTED_VALUE"""),325.0)</f>
        <v>325</v>
      </c>
      <c r="AE277" s="6">
        <f>IFERROR(__xludf.DUMMYFUNCTION("""COMPUTED_VALUE"""),300.0)</f>
        <v>300</v>
      </c>
      <c r="AF277" s="6">
        <f>IFERROR(__xludf.DUMMYFUNCTION("""COMPUTED_VALUE"""),150.0)</f>
        <v>150</v>
      </c>
      <c r="AG277" s="5">
        <f>IFERROR(__xludf.DUMMYFUNCTION("""COMPUTED_VALUE"""),150.0)</f>
        <v>150</v>
      </c>
      <c r="AH277" s="5"/>
      <c r="AI277" s="5">
        <f>IFERROR(__xludf.DUMMYFUNCTION("""COMPUTED_VALUE"""),270.0)</f>
        <v>270</v>
      </c>
      <c r="AJ277" s="5">
        <f>IFERROR(__xludf.DUMMYFUNCTION("""COMPUTED_VALUE"""),292.5)</f>
        <v>292.5</v>
      </c>
      <c r="AK277" s="5" t="str">
        <f>IFERROR(__xludf.DUMMYFUNCTION("""COMPUTED_VALUE"""),"El motor de las empresas líderes es la gestión comercial estratégica 💡
Con Estrategias y Técnicas Comerciales aprenderás a diseñar y aplicar tácticas de venta con casos reales 🏆.
Aquí te comparto la información 👇🏻")</f>
        <v>El motor de las empresas líderes es la gestión comercial estratégica 💡
Con Estrategias y Técnicas Comerciales aprenderás a diseñar y aplicar tácticas de venta con casos reales 🏆.
Aquí te comparto la información 👇🏻</v>
      </c>
      <c r="AL277" s="5" t="str">
        <f>IFERROR(__xludf.DUMMYFUNCTION("""COMPUTED_VALUE"""),"🛠️ *Excelente*, actualízate con *ESTR. Y TEC. COMERCIALES* y mantente competitivo en el mercado laboral.")</f>
        <v>🛠️ *Excelente*, actualízate con *ESTR. Y TEC. COMERCIALES* y mantente competitivo en el mercado laboral.</v>
      </c>
      <c r="AM277" s="5" t="str">
        <f>IFERROR(__xludf.DUMMYFUNCTION("""COMPUTED_VALUE"""),"💼 Buenísimo, *ESTR. Y TEC. COMERCIALES* es de las competencias más pedidas por las empresas y aumentará tus oportunidades laborales.")</f>
        <v>💼 Buenísimo, *ESTR. Y TEC. COMERCIALES* es de las competencias más pedidas por las empresas y aumentará tus oportunidades laborales.</v>
      </c>
      <c r="AN277" s="5" t="str">
        <f>IFERROR(__xludf.DUMMYFUNCTION("""COMPUTED_VALUE"""),"💼 ¡Genial! Con *ESTR. Y TEC. COMERCIALES* sumarás una habilidad poderosa que te diferenciará desde la universidad.")</f>
        <v>💼 ¡Genial! Con *ESTR. Y TEC. COMERCIALES* sumarás una habilidad poderosa que te diferenciará desde la universidad.</v>
      </c>
      <c r="AO277" s="5" t="str">
        <f>IFERROR(__xludf.DUMMYFUNCTION("""COMPUTED_VALUE"""),"🚀 ¡Perfecto! Saber *ESTR. Y TEC. COMERCIALES* te dará ventaja frente a otros postulantes para conseguir prácticas.")</f>
        <v>🚀 ¡Perfecto! Saber *ESTR. Y TEC. COMERCIALES* te dará ventaja frente a otros postulantes para conseguir prácticas.</v>
      </c>
      <c r="AP277" s="5" t="str">
        <f>IFERROR(__xludf.DUMMYFUNCTION("""COMPUTED_VALUE"""),"💼 ¡Excelente! Con *ESTR. Y TEC. COMERCIALES* podrás aplicarlo en tu negocio y tomar decisiones más inteligentes.")</f>
        <v>💼 ¡Excelente! Con *ESTR. Y TEC. COMERCIALES* podrás aplicarlo en tu negocio y tomar decisiones más inteligentes.</v>
      </c>
      <c r="AQ277" s="5"/>
      <c r="AR277" s="5">
        <v>1.0</v>
      </c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</row>
    <row r="278" ht="15.75" customHeight="1">
      <c r="A278" s="5" t="s">
        <v>320</v>
      </c>
      <c r="B278" s="5" t="str">
        <f t="shared" si="1"/>
        <v>MAR. I - ED26</v>
      </c>
      <c r="C278" s="6" t="str">
        <f>IFERROR(__xludf.DUMMYFUNCTION("""COMPUTED_VALUE"""),"PROCESOS")</f>
        <v>PROCESOS</v>
      </c>
      <c r="D278" s="5" t="str">
        <f>IFERROR(__xludf.DUMMYFUNCTION("""COMPUTED_VALUE"""),"ESP.")</f>
        <v>ESP.</v>
      </c>
      <c r="E278" s="6" t="str">
        <f>IFERROR(__xludf.DUMMYFUNCTION("""COMPUTED_VALUE"""),"ESP. POWER APPS Y AUT.")</f>
        <v>ESP. POWER APPS Y AUT.</v>
      </c>
      <c r="F278" s="7">
        <f>IFERROR(__xludf.DUMMYFUNCTION("""COMPUTED_VALUE"""),46088.0)</f>
        <v>46088</v>
      </c>
      <c r="G278" s="6" t="str">
        <f>IFERROR(__xludf.DUMMYFUNCTION("""COMPUTED_VALUE"""),"POWER APPS Y AUT.")</f>
        <v>POWER APPS Y AUT.</v>
      </c>
      <c r="H278" s="7">
        <f>IFERROR(__xludf.DUMMYFUNCTION("""COMPUTED_VALUE"""),46088.0)</f>
        <v>46088</v>
      </c>
      <c r="I278" s="6" t="str">
        <f>IFERROR(__xludf.DUMMYFUNCTION("""COMPUTED_VALUE"""),"POWER APPS AVANZ")</f>
        <v>POWER APPS AVANZ</v>
      </c>
      <c r="J278" s="7">
        <f>IFERROR(__xludf.DUMMYFUNCTION("""COMPUTED_VALUE"""),46109.0)</f>
        <v>46109</v>
      </c>
      <c r="K278" s="6"/>
      <c r="L278" s="7"/>
      <c r="M278" s="6"/>
      <c r="N278" s="7"/>
      <c r="O278" s="6"/>
      <c r="P278" s="7"/>
      <c r="Q278" s="6"/>
      <c r="R278" s="5" t="str">
        <f>IFERROR(__xludf.DUMMYFUNCTION("""COMPUTED_VALUE"""),"Sáb")</f>
        <v>Sáb</v>
      </c>
      <c r="S278" s="6" t="str">
        <f>IFERROR(__xludf.DUMMYFUNCTION("""COMPUTED_VALUE"""),"3PM - 6PM")</f>
        <v>3PM - 6PM</v>
      </c>
      <c r="T278" s="7" t="str">
        <f>IFERROR(__xludf.DUMMYFUNCTION("""COMPUTED_VALUE"""),"Sábado 7 Marzo")</f>
        <v>Sábado 7 Marzo</v>
      </c>
      <c r="U278" s="7" t="str">
        <f>IFERROR(__xludf.DUMMYFUNCTION("""COMPUTED_VALUE"""),"Sábado 13 Junio")</f>
        <v>Sábado 13 Junio</v>
      </c>
      <c r="V278" s="8">
        <f>IFERROR(__xludf.DUMMYFUNCTION("""COMPUTED_VALUE"""),12.0)</f>
        <v>12</v>
      </c>
      <c r="W278" s="5" t="str">
        <f>IFERROR(__xludf.DUMMYFUNCTION("""COMPUTED_VALUE"""),"pdfs/BROCHURE ESPECIALIZACION DE POWER APSS Y POWER AUTOMATE")</f>
        <v>pdfs/BROCHURE ESPECIALIZACION DE POWER APSS Y POWER AUTOMATE</v>
      </c>
      <c r="X278" s="5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278" s="5" t="str">
        <f>IFERROR(__xludf.DUMMYFUNCTION("""COMPUTED_VALUE"""),"images/esppowerapp.jpg")</f>
        <v>images/esppowerapp.jpg</v>
      </c>
      <c r="Z278" s="5" t="str">
        <f>IFERROR(__xludf.DUMMYFUNCTION("""COMPUTED_VALUE"""),"Avalado por Microsoft Partner Network")</f>
        <v>Avalado por Microsoft Partner Network</v>
      </c>
      <c r="AA278" s="5" t="str">
        <f>IFERROR(__xludf.DUMMYFUNCTION("""COMPUTED_VALUE"""),"NO")</f>
        <v>NO</v>
      </c>
      <c r="AB278" s="6">
        <f>IFERROR(__xludf.DUMMYFUNCTION("""COMPUTED_VALUE"""),1300.0)</f>
        <v>1300</v>
      </c>
      <c r="AC278" s="6">
        <f>IFERROR(__xludf.DUMMYFUNCTION("""COMPUTED_VALUE"""),1140.0)</f>
        <v>1140</v>
      </c>
      <c r="AD278" s="6">
        <f>IFERROR(__xludf.DUMMYFUNCTION("""COMPUTED_VALUE"""),650.0)</f>
        <v>650</v>
      </c>
      <c r="AE278" s="6">
        <f>IFERROR(__xludf.DUMMYFUNCTION("""COMPUTED_VALUE"""),570.0)</f>
        <v>570</v>
      </c>
      <c r="AF278" s="6">
        <f>IFERROR(__xludf.DUMMYFUNCTION("""COMPUTED_VALUE"""),250.0)</f>
        <v>250</v>
      </c>
      <c r="AG278" s="5">
        <f>IFERROR(__xludf.DUMMYFUNCTION("""COMPUTED_VALUE"""),350.0)</f>
        <v>350</v>
      </c>
      <c r="AH278" s="5"/>
      <c r="AI278" s="5">
        <f>IFERROR(__xludf.DUMMYFUNCTION("""COMPUTED_VALUE"""),513.0)</f>
        <v>513</v>
      </c>
      <c r="AJ278" s="5">
        <f>IFERROR(__xludf.DUMMYFUNCTION("""COMPUTED_VALUE"""),585.0)</f>
        <v>585</v>
      </c>
      <c r="AK278" s="5" t="str">
        <f>IFERROR(__xludf.DUMMYFUNCTION("""COMPUTED_VALUE"""),"La transformación digital está en tus manos 📲
Domina Power Apps y Power Automate para crear soluciones ágiles sin necesidad de programar 🤖
👉🏻 Te paso la información.")</f>
        <v>La transformación digital está en tus manos 📲
Domina Power Apps y Power Automate para crear soluciones ágiles sin necesidad de programar 🤖
👉🏻 Te paso la información.</v>
      </c>
      <c r="AL278" s="5" t="str">
        <f>IFERROR(__xludf.DUMMYFUNCTION("""COMPUTED_VALUE"""),"⚡ Excelente, actualízate en Power Apps y Automatización y crea soluciones innovadoras.")</f>
        <v>⚡ Excelente, actualízate en Power Apps y Automatización y crea soluciones innovadoras.</v>
      </c>
      <c r="AM278" s="5" t="str">
        <f>IFERROR(__xludf.DUMMYFUNCTION("""COMPUTED_VALUE"""),"🚀 Buenísimo, empresas buscan expertos en digitalización de procesos.")</f>
        <v>🚀 Buenísimo, empresas buscan expertos en digitalización de procesos.</v>
      </c>
      <c r="AN278" s="5" t="str">
        <f>IFERROR(__xludf.DUMMYFUNCTION("""COMPUTED_VALUE"""),"💡 Genial, estas herramientas harán tu perfil altamente competitivo.")</f>
        <v>💡 Genial, estas herramientas harán tu perfil altamente competitivo.</v>
      </c>
      <c r="AO278" s="5" t="str">
        <f>IFERROR(__xludf.DUMMYFUNCTION("""COMPUTED_VALUE"""),"📋 Perfecto, tendrás ventaja inmediata en prácticas de automatización.")</f>
        <v>📋 Perfecto, tendrás ventaja inmediata en prácticas de automatización.</v>
      </c>
      <c r="AP278" s="5" t="str">
        <f>IFERROR(__xludf.DUMMYFUNCTION("""COMPUTED_VALUE"""),"📊 Excelente, podrás crear apps propias y automatizar tu negocio.")</f>
        <v>📊 Excelente, podrás crear apps propias y automatizar tu negocio.</v>
      </c>
      <c r="AQ278" s="9" t="str">
        <f>IFERROR(__xludf.DUMMYFUNCTION("""COMPUTED_VALUE"""),"https://we-educacion.com/slides/especializacion-en-power-apps-automate-1113")</f>
        <v>https://we-educacion.com/slides/especializacion-en-power-apps-automate-1113</v>
      </c>
      <c r="AR278" s="5">
        <v>1.0</v>
      </c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</row>
    <row r="279" ht="15.75" customHeight="1">
      <c r="A279" s="5" t="s">
        <v>321</v>
      </c>
      <c r="B279" s="5" t="str">
        <f t="shared" si="1"/>
        <v>MAR. I - ED26</v>
      </c>
      <c r="C279" s="6" t="str">
        <f>IFERROR(__xludf.DUMMYFUNCTION("""COMPUTED_VALUE"""),"PROCESOS")</f>
        <v>PROCESOS</v>
      </c>
      <c r="D279" s="6" t="str">
        <f>IFERROR(__xludf.DUMMYFUNCTION("""COMPUTED_VALUE"""),"CURSO")</f>
        <v>CURSO</v>
      </c>
      <c r="E279" s="6" t="str">
        <f>IFERROR(__xludf.DUMMYFUNCTION("""COMPUTED_VALUE"""),"POWER APPS Y AUT.")</f>
        <v>POWER APPS Y AUT.</v>
      </c>
      <c r="F279" s="7">
        <f>IFERROR(__xludf.DUMMYFUNCTION("""COMPUTED_VALUE"""),46088.0)</f>
        <v>46088</v>
      </c>
      <c r="G279" s="6"/>
      <c r="H279" s="7"/>
      <c r="I279" s="6"/>
      <c r="J279" s="7"/>
      <c r="K279" s="6"/>
      <c r="L279" s="7"/>
      <c r="M279" s="6"/>
      <c r="N279" s="7"/>
      <c r="O279" s="6"/>
      <c r="P279" s="7"/>
      <c r="Q279" s="6"/>
      <c r="R279" s="5" t="str">
        <f>IFERROR(__xludf.DUMMYFUNCTION("""COMPUTED_VALUE"""),"Sáb")</f>
        <v>Sáb</v>
      </c>
      <c r="S279" s="6" t="str">
        <f>IFERROR(__xludf.DUMMYFUNCTION("""COMPUTED_VALUE"""),"3PM - 6PM")</f>
        <v>3PM - 6PM</v>
      </c>
      <c r="T279" s="7" t="str">
        <f>IFERROR(__xludf.DUMMYFUNCTION("""COMPUTED_VALUE"""),"Sábado 7 Marzo")</f>
        <v>Sábado 7 Marzo</v>
      </c>
      <c r="U279" s="7" t="str">
        <f>IFERROR(__xludf.DUMMYFUNCTION("""COMPUTED_VALUE"""),"Sábado 25 Abril")</f>
        <v>Sábado 25 Abril</v>
      </c>
      <c r="V279" s="8">
        <f>IFERROR(__xludf.DUMMYFUNCTION("""COMPUTED_VALUE"""),6.0)</f>
        <v>6</v>
      </c>
      <c r="W279" s="5" t="str">
        <f>IFERROR(__xludf.DUMMYFUNCTION("""COMPUTED_VALUE"""),"pdfs/BROCHURE POWER APPS &amp; AUTOMATE.pdf")</f>
        <v>pdfs/BROCHURE POWER APPS &amp; AUTOMATE.pdf</v>
      </c>
      <c r="X279" s="5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279" s="5" t="str">
        <f>IFERROR(__xludf.DUMMYFUNCTION("""COMPUTED_VALUE"""),"images/powerapp.jpg")</f>
        <v>images/powerapp.jpg</v>
      </c>
      <c r="Z279" s="5" t="str">
        <f>IFERROR(__xludf.DUMMYFUNCTION("""COMPUTED_VALUE"""),"Avalado por Microsoft Partner Network")</f>
        <v>Avalado por Microsoft Partner Network</v>
      </c>
      <c r="AA279" s="5" t="str">
        <f>IFERROR(__xludf.DUMMYFUNCTION("""COMPUTED_VALUE"""),"NO")</f>
        <v>NO</v>
      </c>
      <c r="AB279" s="6">
        <f>IFERROR(__xludf.DUMMYFUNCTION("""COMPUTED_VALUE"""),650.0)</f>
        <v>650</v>
      </c>
      <c r="AC279" s="6">
        <f>IFERROR(__xludf.DUMMYFUNCTION("""COMPUTED_VALUE"""),570.0)</f>
        <v>570</v>
      </c>
      <c r="AD279" s="6">
        <f>IFERROR(__xludf.DUMMYFUNCTION("""COMPUTED_VALUE"""),325.0)</f>
        <v>325</v>
      </c>
      <c r="AE279" s="6">
        <f>IFERROR(__xludf.DUMMYFUNCTION("""COMPUTED_VALUE"""),285.0)</f>
        <v>285</v>
      </c>
      <c r="AF279" s="6">
        <f>IFERROR(__xludf.DUMMYFUNCTION("""COMPUTED_VALUE"""),150.0)</f>
        <v>150</v>
      </c>
      <c r="AG279" s="5">
        <f>IFERROR(__xludf.DUMMYFUNCTION("""COMPUTED_VALUE"""),150.0)</f>
        <v>150</v>
      </c>
      <c r="AH279" s="5"/>
      <c r="AI279" s="5">
        <f>IFERROR(__xludf.DUMMYFUNCTION("""COMPUTED_VALUE"""),256.5)</f>
        <v>256.5</v>
      </c>
      <c r="AJ279" s="5">
        <f>IFERROR(__xludf.DUMMYFUNCTION("""COMPUTED_VALUE"""),292.5)</f>
        <v>292.5</v>
      </c>
      <c r="AK279" s="5" t="str">
        <f>IFERROR(__xludf.DUMMYFUNCTION("""COMPUTED_VALUE"""),"Los líderes modernos impulsan la eficiencia con automatización inteligente 🤖
Con este programa dominarás Power Apps y Power Automate para transformar procesos empresariales 🚀.
Aquí la info completa 👇🏻")</f>
        <v>Los líderes modernos impulsan la eficiencia con automatización inteligente 🤖
Con este programa dominarás Power Apps y Power Automate para transformar procesos empresariales 🚀.
Aquí la info completa 👇🏻</v>
      </c>
      <c r="AL279" s="5" t="str">
        <f>IFERROR(__xludf.DUMMYFUNCTION("""COMPUTED_VALUE"""),"⚡ Excelente, actualízate con Power Apps y Automatización, la clave para transformar procesos digitales.")</f>
        <v>⚡ Excelente, actualízate con Power Apps y Automatización, la clave para transformar procesos digitales.</v>
      </c>
      <c r="AM279" s="5" t="str">
        <f>IFERROR(__xludf.DUMMYFUNCTION("""COMPUTED_VALUE"""),"💼 Buenísimo, Power Apps y Automatización es muy demandado en empresas que buscan eficiencia.")</f>
        <v>💼 Buenísimo, Power Apps y Automatización es muy demandado en empresas que buscan eficiencia.</v>
      </c>
      <c r="AN279" s="5" t="str">
        <f>IFERROR(__xludf.DUMMYFUNCTION("""COMPUTED_VALUE"""),"🎓 ¡Genial! Aprender automatización desde la universidad te dará una gran ventaja en el futuro.")</f>
        <v>🎓 ¡Genial! Aprender automatización desde la universidad te dará una gran ventaja en el futuro.</v>
      </c>
      <c r="AO279" s="5" t="str">
        <f>IFERROR(__xludf.DUMMYFUNCTION("""COMPUTED_VALUE"""),"🚀 ¡Perfecto! Con Power Apps y Automatización destacarás en prácticas en áreas de innovación.")</f>
        <v>🚀 ¡Perfecto! Con Power Apps y Automatización destacarás en prácticas en áreas de innovación.</v>
      </c>
      <c r="AP279" s="5" t="str">
        <f>IFERROR(__xludf.DUMMYFUNCTION("""COMPUTED_VALUE"""),"📊 ¡Excelente! Podrás crear soluciones automáticas para tu negocio y optimizar tu tiempo.")</f>
        <v>📊 ¡Excelente! Podrás crear soluciones automáticas para tu negocio y optimizar tu tiempo.</v>
      </c>
      <c r="AQ279" s="9" t="str">
        <f>IFERROR(__xludf.DUMMYFUNCTION("""COMPUTED_VALUE"""),"https://we-educacion.com/slides/power-apps-automate-1073")</f>
        <v>https://we-educacion.com/slides/power-apps-automate-1073</v>
      </c>
      <c r="AR279" s="5">
        <v>1.0</v>
      </c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</row>
    <row r="280" ht="15.75" customHeight="1">
      <c r="A280" s="5" t="s">
        <v>322</v>
      </c>
      <c r="B280" s="5" t="str">
        <f t="shared" si="1"/>
        <v>MAR. I - ED26</v>
      </c>
      <c r="C280" s="6" t="str">
        <f>IFERROR(__xludf.DUMMYFUNCTION("""COMPUTED_VALUE"""),"WEB")</f>
        <v>WEB</v>
      </c>
      <c r="D280" s="6" t="str">
        <f>IFERROR(__xludf.DUMMYFUNCTION("""COMPUTED_VALUE"""),"CURSO")</f>
        <v>CURSO</v>
      </c>
      <c r="E280" s="6" t="str">
        <f>IFERROR(__xludf.DUMMYFUNCTION("""COMPUTED_VALUE"""),"REACT JS")</f>
        <v>REACT JS</v>
      </c>
      <c r="F280" s="7">
        <f>IFERROR(__xludf.DUMMYFUNCTION("""COMPUTED_VALUE"""),46088.0)</f>
        <v>46088</v>
      </c>
      <c r="G280" s="6"/>
      <c r="H280" s="7"/>
      <c r="I280" s="6"/>
      <c r="J280" s="7"/>
      <c r="K280" s="6"/>
      <c r="L280" s="7"/>
      <c r="M280" s="6"/>
      <c r="N280" s="7"/>
      <c r="O280" s="6"/>
      <c r="P280" s="7"/>
      <c r="Q280" s="6" t="str">
        <f>IFERROR(__xludf.DUMMYFUNCTION("""COMPUTED_VALUE"""),"Diego Llashag")</f>
        <v>Diego Llashag</v>
      </c>
      <c r="R280" s="5" t="str">
        <f>IFERROR(__xludf.DUMMYFUNCTION("""COMPUTED_VALUE"""),"Sáb")</f>
        <v>Sáb</v>
      </c>
      <c r="S280" s="6" t="str">
        <f>IFERROR(__xludf.DUMMYFUNCTION("""COMPUTED_VALUE"""),"3PM - 6PM")</f>
        <v>3PM - 6PM</v>
      </c>
      <c r="T280" s="7" t="str">
        <f>IFERROR(__xludf.DUMMYFUNCTION("""COMPUTED_VALUE"""),"Sábado 7 Marzo")</f>
        <v>Sábado 7 Marzo</v>
      </c>
      <c r="U280" s="7" t="str">
        <f>IFERROR(__xludf.DUMMYFUNCTION("""COMPUTED_VALUE"""),"Sábado 18 Abril")</f>
        <v>Sábado 18 Abril</v>
      </c>
      <c r="V280" s="8">
        <f>IFERROR(__xludf.DUMMYFUNCTION("""COMPUTED_VALUE"""),6.0)</f>
        <v>6</v>
      </c>
      <c r="W280" s="5" t="str">
        <f>IFERROR(__xludf.DUMMYFUNCTION("""COMPUTED_VALUE"""),"pdfs/BROCHURE REACT JS &amp; REACT NATIVE.pdf")</f>
        <v>pdfs/BROCHURE REACT JS &amp; REACT NATIVE.pdf</v>
      </c>
      <c r="X280" s="5" t="str">
        <f>IFERROR(__xludf.DUMMYFUNCTION("""COMPUTED_VALUE"""),"🔵 *Utilizarán HTML y CSS* 👩🏻‍💻
👉🏼 Incluye tutorial y manual de instalación
🚨 *Por favor, revisa el BROCHURE* 👇🏻
Aqui encontrarás la información completa del programa, el TEMARIO (malla curricular) y todos los BENEFICIOS 📚")</f>
        <v>🔵 *Utilizarán HTML y CSS* 👩🏻‍💻
👉🏼 Incluye tutorial y manual de instalación
🚨 *Por favor, revisa el BROCHURE* 👇🏻
Aqui encontrarás la información completa del programa, el TEMARIO (malla curricular) y todos los BENEFICIOS 📚</v>
      </c>
      <c r="Y280" s="5" t="str">
        <f>IFERROR(__xludf.DUMMYFUNCTION("""COMPUTED_VALUE"""),"images/react.jpg")</f>
        <v>images/react.jpg</v>
      </c>
      <c r="Z280" s="6"/>
      <c r="AA280" s="6" t="str">
        <f>IFERROR(__xludf.DUMMYFUNCTION("""COMPUTED_VALUE"""),"NO")</f>
        <v>NO</v>
      </c>
      <c r="AB280" s="6">
        <f>IFERROR(__xludf.DUMMYFUNCTION("""COMPUTED_VALUE"""),640.0)</f>
        <v>640</v>
      </c>
      <c r="AC280" s="6">
        <f>IFERROR(__xludf.DUMMYFUNCTION("""COMPUTED_VALUE"""),600.0)</f>
        <v>600</v>
      </c>
      <c r="AD280" s="6">
        <f>IFERROR(__xludf.DUMMYFUNCTION("""COMPUTED_VALUE"""),320.0)</f>
        <v>320</v>
      </c>
      <c r="AE280" s="6">
        <f>IFERROR(__xludf.DUMMYFUNCTION("""COMPUTED_VALUE"""),300.0)</f>
        <v>300</v>
      </c>
      <c r="AF280" s="6">
        <f>IFERROR(__xludf.DUMMYFUNCTION("""COMPUTED_VALUE"""),150.0)</f>
        <v>150</v>
      </c>
      <c r="AG280" s="5">
        <f>IFERROR(__xludf.DUMMYFUNCTION("""COMPUTED_VALUE"""),150.0)</f>
        <v>150</v>
      </c>
      <c r="AH280" s="5"/>
      <c r="AI280" s="5">
        <f>IFERROR(__xludf.DUMMYFUNCTION("""COMPUTED_VALUE"""),270.0)</f>
        <v>270</v>
      </c>
      <c r="AJ280" s="5">
        <f>IFERROR(__xludf.DUMMYFUNCTION("""COMPUTED_VALUE"""),288.0)</f>
        <v>288</v>
      </c>
      <c r="AK280" s="5" t="str">
        <f>IFERROR(__xludf.DUMMYFUNCTION("""COMPUTED_VALUE"""),"Las páginas modernas hablan el lenguaje de React JS 💡
Con este programa aprenderás a crear interfaces dinámicas y profesionales, aplicadas a proyectos reales 🌐.
Aquí te comparto la información 👇🏻")</f>
        <v>Las páginas modernas hablan el lenguaje de React JS 💡
Con este programa aprenderás a crear interfaces dinámicas y profesionales, aplicadas a proyectos reales 🌐.
Aquí te comparto la información 👇🏻</v>
      </c>
      <c r="AL280" s="5" t="str">
        <f>IFERROR(__xludf.DUMMYFUNCTION("""COMPUTED_VALUE"""),"⚛️ Excelente, actualízate con React JS y domina el desarrollo frontend más innovador.")</f>
        <v>⚛️ Excelente, actualízate con React JS y domina el desarrollo frontend más innovador.</v>
      </c>
      <c r="AM280" s="5" t="str">
        <f>IFERROR(__xludf.DUMMYFUNCTION("""COMPUTED_VALUE"""),"💼 Buenísimo, React JS es altamente solicitado en empresas tecnológicas.")</f>
        <v>💼 Buenísimo, React JS es altamente solicitado en empresas tecnológicas.</v>
      </c>
      <c r="AN280" s="5" t="str">
        <f>IFERROR(__xludf.DUMMYFUNCTION("""COMPUTED_VALUE"""),"🎓 ¡Genial! Con React JS aprenderás a crear interfaces modernas desde la universidad.")</f>
        <v>🎓 ¡Genial! Con React JS aprenderás a crear interfaces modernas desde la universidad.</v>
      </c>
      <c r="AO280" s="5" t="str">
        <f>IFERROR(__xludf.DUMMYFUNCTION("""COMPUTED_VALUE"""),"🚀 ¡Perfecto! Saber React JS te dará ventaja para conseguir prácticas en desarrollo web.")</f>
        <v>🚀 ¡Perfecto! Saber React JS te dará ventaja para conseguir prácticas en desarrollo web.</v>
      </c>
      <c r="AP280" s="5" t="str">
        <f>IFERROR(__xludf.DUMMYFUNCTION("""COMPUTED_VALUE"""),"📲 ¡Excelente! Con React JS podrás crear aplicaciones interactivas para tu negocio.")</f>
        <v>📲 ¡Excelente! Con React JS podrás crear aplicaciones interactivas para tu negocio.</v>
      </c>
      <c r="AQ280" s="9" t="str">
        <f>IFERROR(__xludf.DUMMYFUNCTION("""COMPUTED_VALUE"""),"https://we-educacion.com/slides/react-js-react-native-1107")</f>
        <v>https://we-educacion.com/slides/react-js-react-native-1107</v>
      </c>
      <c r="AR280" s="5">
        <v>1.0</v>
      </c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</row>
    <row r="281" ht="15.75" customHeight="1">
      <c r="A281" s="5" t="s">
        <v>323</v>
      </c>
      <c r="B281" s="5" t="str">
        <f t="shared" si="1"/>
        <v>MAR. I - ED26</v>
      </c>
      <c r="C281" s="6" t="str">
        <f>IFERROR(__xludf.DUMMYFUNCTION("""COMPUTED_VALUE"""),"EXCEL")</f>
        <v>EXCEL</v>
      </c>
      <c r="D281" s="5" t="str">
        <f>IFERROR(__xludf.DUMMYFUNCTION("""COMPUTED_VALUE"""),"ESP.")</f>
        <v>ESP.</v>
      </c>
      <c r="E281" s="6" t="str">
        <f>IFERROR(__xludf.DUMMYFUNCTION("""COMPUTED_VALUE"""),"ESP. MACROS")</f>
        <v>ESP. MACROS</v>
      </c>
      <c r="F281" s="7">
        <f>IFERROR(__xludf.DUMMYFUNCTION("""COMPUTED_VALUE"""),46089.0)</f>
        <v>46089</v>
      </c>
      <c r="G281" s="6" t="str">
        <f>IFERROR(__xludf.DUMMYFUNCTION("""COMPUTED_VALUE"""),"EXCEL AVANZ")</f>
        <v>EXCEL AVANZ</v>
      </c>
      <c r="H281" s="7">
        <f>IFERROR(__xludf.DUMMYFUNCTION("""COMPUTED_VALUE"""),46089.0)</f>
        <v>46089</v>
      </c>
      <c r="I281" s="6" t="str">
        <f>IFERROR(__xludf.DUMMYFUNCTION("""COMPUTED_VALUE"""),"PROG. MACROS")</f>
        <v>PROG. MACROS</v>
      </c>
      <c r="J281" s="7">
        <f>IFERROR(__xludf.DUMMYFUNCTION("""COMPUTED_VALUE"""),46138.0)</f>
        <v>46138</v>
      </c>
      <c r="K281" s="6"/>
      <c r="L281" s="7"/>
      <c r="M281" s="6"/>
      <c r="N281" s="7"/>
      <c r="O281" s="6"/>
      <c r="P281" s="7"/>
      <c r="Q281" s="6" t="str">
        <f>IFERROR(__xludf.DUMMYFUNCTION("""COMPUTED_VALUE"""),"Giancarlos Barboza
Julio Ccari")</f>
        <v>Giancarlos Barboza
Julio Ccari</v>
      </c>
      <c r="R281" s="5" t="str">
        <f>IFERROR(__xludf.DUMMYFUNCTION("""COMPUTED_VALUE"""),"Dom")</f>
        <v>Dom</v>
      </c>
      <c r="S281" s="6" t="str">
        <f>IFERROR(__xludf.DUMMYFUNCTION("""COMPUTED_VALUE"""),"9AM - 12PM")</f>
        <v>9AM - 12PM</v>
      </c>
      <c r="T281" s="7" t="str">
        <f>IFERROR(__xludf.DUMMYFUNCTION("""COMPUTED_VALUE"""),"Domingo 8 Marzo")</f>
        <v>Domingo 8 Marzo</v>
      </c>
      <c r="U281" s="7" t="str">
        <f>IFERROR(__xludf.DUMMYFUNCTION("""COMPUTED_VALUE"""),"Domingo 31 Mayo")</f>
        <v>Domingo 31 Mayo</v>
      </c>
      <c r="V281" s="8">
        <f>IFERROR(__xludf.DUMMYFUNCTION("""COMPUTED_VALUE"""),12.0)</f>
        <v>12</v>
      </c>
      <c r="W281" s="5" t="str">
        <f>IFERROR(__xludf.DUMMYFUNCTION("""COMPUTED_VALUE"""),"pdfs/BROCHURE ESPECIALIZACIÓN EN AUTOMATIZACIÓN CON MACROS EN EXCEL.pdf")</f>
        <v>pdfs/BROCHURE ESPECIALIZACIÓN EN AUTOMATIZACIÓN CON MACROS EN EXCEL.pdf</v>
      </c>
      <c r="X281" s="5" t="str">
        <f>IFERROR(__xludf.DUMMYFUNCTION("""COMPUTED_VALUE"""),"🔵 *Conoce TODOS los BENEFICIOS a los que accedes*
🔹 Acceso a *Campus Virtual* WE 👩🏻‍🏫
🔹 Material digital y grabación de clases 
🔹 Certificados digitales con respaldo *Microsoft Partner*
🔹 04 Cursos Online de regalo con acceso ilimitado 📚
🔹 Desa"&amp;"rrollo y seguimiento de tu proyecto *(Evaluado)*
🔹 Contenido Integrado con Chat GPT
🔹 Garantía de Aprendizaje 100%
🔹 *Utilizarán Excel* 👩🏻‍💻
🚨 *Por favor, revisa el BROCHURE* 👇🏻
Aqui encontrarás la información completa del programa, el TEMARIO "&amp;"(malla curricular) y todos los BENEFICIOS 📚")</f>
        <v>🔵 *Conoce TODOS los BENEFICIOS a los que accedes*
🔹 Acceso a *Campus Virtual* WE 👩🏻‍🏫
🔹 Material digital y grabación de clases 
🔹 Certificados digitales con respaldo *Microsoft Partner*
🔹 04 Cursos Online de regalo con acceso ilimitado 📚
🔹 Desarrollo y seguimiento de tu proyecto *(Evaluado)*
🔹 Contenido Integrado con Chat GPT
🔹 Garantía de Aprendizaje 100%
🔹 *Utilizarán Excel* 👩🏻‍💻
🚨 *Por favor, revisa el BROCHURE* 👇🏻
Aqui encontrarás la información completa del programa, el TEMARIO (malla curricular) y todos los BENEFICIOS 📚</v>
      </c>
      <c r="Y281" s="5" t="str">
        <f>IFERROR(__xludf.DUMMYFUNCTION("""COMPUTED_VALUE"""),"images/espmacros.jpg")</f>
        <v>images/espmacros.jpg</v>
      </c>
      <c r="Z281" s="5" t="str">
        <f>IFERROR(__xludf.DUMMYFUNCTION("""COMPUTED_VALUE"""),"Avalado por Microsoft Partner Network")</f>
        <v>Avalado por Microsoft Partner Network</v>
      </c>
      <c r="AA281" s="5" t="str">
        <f>IFERROR(__xludf.DUMMYFUNCTION("""COMPUTED_VALUE"""),"NO")</f>
        <v>NO</v>
      </c>
      <c r="AB281" s="6">
        <f>IFERROR(__xludf.DUMMYFUNCTION("""COMPUTED_VALUE"""),890.0)</f>
        <v>890</v>
      </c>
      <c r="AC281" s="6">
        <f>IFERROR(__xludf.DUMMYFUNCTION("""COMPUTED_VALUE"""),840.0)</f>
        <v>840</v>
      </c>
      <c r="AD281" s="6">
        <f>IFERROR(__xludf.DUMMYFUNCTION("""COMPUTED_VALUE"""),445.0)</f>
        <v>445</v>
      </c>
      <c r="AE281" s="6">
        <f>IFERROR(__xludf.DUMMYFUNCTION("""COMPUTED_VALUE"""),420.0)</f>
        <v>420</v>
      </c>
      <c r="AF281" s="6">
        <f>IFERROR(__xludf.DUMMYFUNCTION("""COMPUTED_VALUE"""),250.0)</f>
        <v>250</v>
      </c>
      <c r="AG281" s="5">
        <f>IFERROR(__xludf.DUMMYFUNCTION("""COMPUTED_VALUE"""),350.0)</f>
        <v>350</v>
      </c>
      <c r="AH281" s="5"/>
      <c r="AI281" s="5">
        <f>IFERROR(__xludf.DUMMYFUNCTION("""COMPUTED_VALUE"""),378.0)</f>
        <v>378</v>
      </c>
      <c r="AJ281" s="5">
        <f>IFERROR(__xludf.DUMMYFUNCTION("""COMPUTED_VALUE"""),400.5)</f>
        <v>400.5</v>
      </c>
      <c r="AK281" s="5" t="str">
        <f>IFERROR(__xludf.DUMMYFUNCTION("""COMPUTED_VALUE"""),"La automatización es la nueva productividad ⚡
Aprende a crear Macros en Excel para optimizar reportes y procesos repetitivos 📑
👉🏻 Aquí tienes la información completa.")</f>
        <v>La automatización es la nueva productividad ⚡
Aprende a crear Macros en Excel para optimizar reportes y procesos repetitivos 📑
👉🏻 Aquí tienes la información completa.</v>
      </c>
      <c r="AL281" s="5" t="str">
        <f>IFERROR(__xludf.DUMMYFUNCTION("""COMPUTED_VALUE"""),"📊 Excelente, actualízate en Macros de Excel y automatiza procesos al máximo.")</f>
        <v>📊 Excelente, actualízate en Macros de Excel y automatiza procesos al máximo.</v>
      </c>
      <c r="AM281" s="5" t="str">
        <f>IFERROR(__xludf.DUMMYFUNCTION("""COMPUTED_VALUE"""),"💼 Buenísimo, muy demandado en gestión de datos y reportes.")</f>
        <v>💼 Buenísimo, muy demandado en gestión de datos y reportes.</v>
      </c>
      <c r="AN281" s="5" t="str">
        <f>IFERROR(__xludf.DUMMYFUNCTION("""COMPUTED_VALUE"""),"⚡ Genial, te dará ventaja en automatización de tareas complejas.")</f>
        <v>⚡ Genial, te dará ventaja en automatización de tareas complejas.</v>
      </c>
      <c r="AO281" s="5" t="str">
        <f>IFERROR(__xludf.DUMMYFUNCTION("""COMPUTED_VALUE"""),"🚀 Perfecto, tener macros es un plus en prácticas de oficina y análisis.")</f>
        <v>🚀 Perfecto, tener macros es un plus en prácticas de oficina y análisis.</v>
      </c>
      <c r="AP281" s="5" t="str">
        <f>IFERROR(__xludf.DUMMYFUNCTION("""COMPUTED_VALUE"""),"📈 Excelente, con macros podrás ahorrar tiempo y gestionar tu negocio mejor.")</f>
        <v>📈 Excelente, con macros podrás ahorrar tiempo y gestionar tu negocio mejor.</v>
      </c>
      <c r="AQ281" s="9" t="str">
        <f>IFERROR(__xludf.DUMMYFUNCTION("""COMPUTED_VALUE"""),"https://we-educacion.com/slides/especializacion-en-vba-macros-en-excel-160")</f>
        <v>https://we-educacion.com/slides/especializacion-en-vba-macros-en-excel-160</v>
      </c>
      <c r="AR281" s="5">
        <v>1.0</v>
      </c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</row>
    <row r="282" ht="15.75" customHeight="1">
      <c r="A282" s="5" t="s">
        <v>324</v>
      </c>
      <c r="B282" s="5" t="str">
        <f t="shared" si="1"/>
        <v>MAR. I - ED26</v>
      </c>
      <c r="C282" s="6" t="str">
        <f>IFERROR(__xludf.DUMMYFUNCTION("""COMPUTED_VALUE"""),"EXCEL")</f>
        <v>EXCEL</v>
      </c>
      <c r="D282" s="6" t="str">
        <f>IFERROR(__xludf.DUMMYFUNCTION("""COMPUTED_VALUE"""),"CURSO")</f>
        <v>CURSO</v>
      </c>
      <c r="E282" s="6" t="str">
        <f>IFERROR(__xludf.DUMMYFUNCTION("""COMPUTED_VALUE"""),"EXCEL AVANZ")</f>
        <v>EXCEL AVANZ</v>
      </c>
      <c r="F282" s="7">
        <f>IFERROR(__xludf.DUMMYFUNCTION("""COMPUTED_VALUE"""),46089.0)</f>
        <v>46089</v>
      </c>
      <c r="G282" s="6"/>
      <c r="H282" s="7"/>
      <c r="I282" s="6"/>
      <c r="J282" s="7"/>
      <c r="K282" s="6"/>
      <c r="L282" s="7"/>
      <c r="M282" s="6"/>
      <c r="N282" s="7"/>
      <c r="O282" s="6"/>
      <c r="P282" s="7"/>
      <c r="Q282" s="6" t="str">
        <f>IFERROR(__xludf.DUMMYFUNCTION("""COMPUTED_VALUE"""),"Giancarlos Barboza")</f>
        <v>Giancarlos Barboza</v>
      </c>
      <c r="R282" s="5" t="str">
        <f>IFERROR(__xludf.DUMMYFUNCTION("""COMPUTED_VALUE"""),"Dom")</f>
        <v>Dom</v>
      </c>
      <c r="S282" s="6" t="str">
        <f>IFERROR(__xludf.DUMMYFUNCTION("""COMPUTED_VALUE"""),"9AM - 12PM")</f>
        <v>9AM - 12PM</v>
      </c>
      <c r="T282" s="7" t="str">
        <f>IFERROR(__xludf.DUMMYFUNCTION("""COMPUTED_VALUE"""),"Domingo 8 Marzo")</f>
        <v>Domingo 8 Marzo</v>
      </c>
      <c r="U282" s="7" t="str">
        <f>IFERROR(__xludf.DUMMYFUNCTION("""COMPUTED_VALUE"""),"Domingo 19 Abril")</f>
        <v>Domingo 19 Abril</v>
      </c>
      <c r="V282" s="8">
        <f>IFERROR(__xludf.DUMMYFUNCTION("""COMPUTED_VALUE"""),6.0)</f>
        <v>6</v>
      </c>
      <c r="W282" s="5" t="str">
        <f>IFERROR(__xludf.DUMMYFUNCTION("""COMPUTED_VALUE"""),"pdfs/BROCHURE EXCEL AVANZADO.pdf")</f>
        <v>pdfs/BROCHURE EXCEL AVANZADO.pdf</v>
      </c>
      <c r="X282" s="5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282" s="5" t="str">
        <f>IFERROR(__xludf.DUMMYFUNCTION("""COMPUTED_VALUE"""),"images/excelavanz.jpg")</f>
        <v>images/excelavanz.jpg</v>
      </c>
      <c r="Z282" s="5" t="str">
        <f>IFERROR(__xludf.DUMMYFUNCTION("""COMPUTED_VALUE"""),"Avalado por Microsoft Partner Network")</f>
        <v>Avalado por Microsoft Partner Network</v>
      </c>
      <c r="AA282" s="5" t="str">
        <f>IFERROR(__xludf.DUMMYFUNCTION("""COMPUTED_VALUE"""),"NO")</f>
        <v>NO</v>
      </c>
      <c r="AB282" s="6">
        <f>IFERROR(__xludf.DUMMYFUNCTION("""COMPUTED_VALUE"""),420.0)</f>
        <v>420</v>
      </c>
      <c r="AC282" s="6">
        <f>IFERROR(__xludf.DUMMYFUNCTION("""COMPUTED_VALUE"""),400.0)</f>
        <v>400</v>
      </c>
      <c r="AD282" s="6">
        <f>IFERROR(__xludf.DUMMYFUNCTION("""COMPUTED_VALUE"""),210.0)</f>
        <v>210</v>
      </c>
      <c r="AE282" s="6">
        <f>IFERROR(__xludf.DUMMYFUNCTION("""COMPUTED_VALUE"""),200.0)</f>
        <v>200</v>
      </c>
      <c r="AF282" s="6">
        <f>IFERROR(__xludf.DUMMYFUNCTION("""COMPUTED_VALUE"""),150.0)</f>
        <v>150</v>
      </c>
      <c r="AG282" s="5">
        <f>IFERROR(__xludf.DUMMYFUNCTION("""COMPUTED_VALUE"""),150.0)</f>
        <v>150</v>
      </c>
      <c r="AH282" s="5"/>
      <c r="AI282" s="5">
        <f>IFERROR(__xludf.DUMMYFUNCTION("""COMPUTED_VALUE"""),180.0)</f>
        <v>180</v>
      </c>
      <c r="AJ282" s="5">
        <f>IFERROR(__xludf.DUMMYFUNCTION("""COMPUTED_VALUE"""),189.0)</f>
        <v>189</v>
      </c>
      <c r="AK282" s="5" t="str">
        <f>IFERROR(__xludf.DUMMYFUNCTION("""COMPUTED_VALUE"""),"El lenguaje de la eficiencia es Excel Avanzado 🔥
Aprenderás funciones complejas, tablas dinámicas y automatización aplicadas a negocios reales 💼.
Aquí tienes la info 👇🏻")</f>
        <v>El lenguaje de la eficiencia es Excel Avanzado 🔥
Aprenderás funciones complejas, tablas dinámicas y automatización aplicadas a negocios reales 💼.
Aquí tienes la info 👇🏻</v>
      </c>
      <c r="AL282" s="5" t="str">
        <f>IFERROR(__xludf.DUMMYFUNCTION("""COMPUTED_VALUE"""),"🚀 *Excelente*, actualízate con *EXCEL AVANZ* y mantente competitivo en el mercado laboral.")</f>
        <v>🚀 *Excelente*, actualízate con *EXCEL AVANZ* y mantente competitivo en el mercado laboral.</v>
      </c>
      <c r="AM282" s="5" t="str">
        <f>IFERROR(__xludf.DUMMYFUNCTION("""COMPUTED_VALUE"""),"🚀 Buenísimo, *EXCEL AVANZ* es de las competencias más pedidas por las empresas y aumentará tus oportunidades laborales.")</f>
        <v>🚀 Buenísimo, *EXCEL AVANZ* es de las competencias más pedidas por las empresas y aumentará tus oportunidades laborales.</v>
      </c>
      <c r="AN282" s="5" t="str">
        <f>IFERROR(__xludf.DUMMYFUNCTION("""COMPUTED_VALUE"""),"🔑 ¡Genial! Con *EXCEL AVANZ* sumarás una habilidad poderosa que te diferenciará desde la universidad.")</f>
        <v>🔑 ¡Genial! Con *EXCEL AVANZ* sumarás una habilidad poderosa que te diferenciará desde la universidad.</v>
      </c>
      <c r="AO282" s="5" t="str">
        <f>IFERROR(__xludf.DUMMYFUNCTION("""COMPUTED_VALUE"""),"📘 ¡Perfecto! Saber *EXCEL AVANZ* te dará ventaja frente a otros postulantes para conseguir prácticas.")</f>
        <v>📘 ¡Perfecto! Saber *EXCEL AVANZ* te dará ventaja frente a otros postulantes para conseguir prácticas.</v>
      </c>
      <c r="AP282" s="5" t="str">
        <f>IFERROR(__xludf.DUMMYFUNCTION("""COMPUTED_VALUE"""),"🌍 ¡Excelente! Con *EXCEL AVANZ* podrás aplicarlo en tu negocio y tomar decisiones más inteligentes.")</f>
        <v>🌍 ¡Excelente! Con *EXCEL AVANZ* podrás aplicarlo en tu negocio y tomar decisiones más inteligentes.</v>
      </c>
      <c r="AQ282" s="9" t="str">
        <f>IFERROR(__xludf.DUMMYFUNCTION("""COMPUTED_VALUE"""),"https://we-educacion.com/slides/microsoft-excel-avanzado-59")</f>
        <v>https://we-educacion.com/slides/microsoft-excel-avanzado-59</v>
      </c>
      <c r="AR282" s="5">
        <v>1.0</v>
      </c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</row>
    <row r="283" ht="15.75" customHeight="1">
      <c r="A283" s="5" t="s">
        <v>325</v>
      </c>
      <c r="B283" s="5" t="str">
        <f t="shared" si="1"/>
        <v>MAR. I - ED26</v>
      </c>
      <c r="C283" s="6" t="str">
        <f>IFERROR(__xludf.DUMMYFUNCTION("""COMPUTED_VALUE"""),"EXCEL")</f>
        <v>EXCEL</v>
      </c>
      <c r="D283" s="6" t="str">
        <f>IFERROR(__xludf.DUMMYFUNCTION("""COMPUTED_VALUE"""),"CURSO")</f>
        <v>CURSO</v>
      </c>
      <c r="E283" s="6" t="str">
        <f>IFERROR(__xludf.DUMMYFUNCTION("""COMPUTED_VALUE"""),"EXCEL INTERM")</f>
        <v>EXCEL INTERM</v>
      </c>
      <c r="F283" s="7">
        <f>IFERROR(__xludf.DUMMYFUNCTION("""COMPUTED_VALUE"""),46092.0)</f>
        <v>46092</v>
      </c>
      <c r="G283" s="6"/>
      <c r="H283" s="7"/>
      <c r="I283" s="6"/>
      <c r="J283" s="7"/>
      <c r="K283" s="6"/>
      <c r="L283" s="7"/>
      <c r="M283" s="6"/>
      <c r="N283" s="7"/>
      <c r="O283" s="6"/>
      <c r="P283" s="7"/>
      <c r="Q283" s="6"/>
      <c r="R283" s="5" t="str">
        <f>IFERROR(__xludf.DUMMYFUNCTION("""COMPUTED_VALUE"""),"Lun-Mie")</f>
        <v>Lun-Mie</v>
      </c>
      <c r="S283" s="6" t="str">
        <f>IFERROR(__xludf.DUMMYFUNCTION("""COMPUTED_VALUE"""),"7PM - 10PM")</f>
        <v>7PM - 10PM</v>
      </c>
      <c r="T283" s="7" t="str">
        <f>IFERROR(__xludf.DUMMYFUNCTION("""COMPUTED_VALUE"""),"Miércoles 11 Marzo")</f>
        <v>Miércoles 11 Marzo</v>
      </c>
      <c r="U283" s="7" t="str">
        <f>IFERROR(__xludf.DUMMYFUNCTION("""COMPUTED_VALUE"""),"Lunes 30 Marzo")</f>
        <v>Lunes 30 Marzo</v>
      </c>
      <c r="V283" s="8">
        <f>IFERROR(__xludf.DUMMYFUNCTION("""COMPUTED_VALUE"""),6.0)</f>
        <v>6</v>
      </c>
      <c r="W283" s="5" t="str">
        <f>IFERROR(__xludf.DUMMYFUNCTION("""COMPUTED_VALUE"""),"pdfs/BROCHURE EXCEL INTERMEDIO.pdf")</f>
        <v>pdfs/BROCHURE EXCEL INTERMEDIO.pdf</v>
      </c>
      <c r="X283" s="5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83" s="5" t="str">
        <f>IFERROR(__xludf.DUMMYFUNCTION("""COMPUTED_VALUE"""),"images/excelinterm.jpg")</f>
        <v>images/excelinterm.jpg</v>
      </c>
      <c r="Z283" s="5" t="str">
        <f>IFERROR(__xludf.DUMMYFUNCTION("""COMPUTED_VALUE"""),"Avalado por Microsoft Partner Network")</f>
        <v>Avalado por Microsoft Partner Network</v>
      </c>
      <c r="AA283" s="5" t="str">
        <f>IFERROR(__xludf.DUMMYFUNCTION("""COMPUTED_VALUE"""),"NO")</f>
        <v>NO</v>
      </c>
      <c r="AB283" s="6">
        <f>IFERROR(__xludf.DUMMYFUNCTION("""COMPUTED_VALUE"""),420.0)</f>
        <v>420</v>
      </c>
      <c r="AC283" s="6">
        <f>IFERROR(__xludf.DUMMYFUNCTION("""COMPUTED_VALUE"""),400.0)</f>
        <v>400</v>
      </c>
      <c r="AD283" s="6">
        <f>IFERROR(__xludf.DUMMYFUNCTION("""COMPUTED_VALUE"""),210.0)</f>
        <v>210</v>
      </c>
      <c r="AE283" s="6">
        <f>IFERROR(__xludf.DUMMYFUNCTION("""COMPUTED_VALUE"""),200.0)</f>
        <v>200</v>
      </c>
      <c r="AF283" s="6">
        <f>IFERROR(__xludf.DUMMYFUNCTION("""COMPUTED_VALUE"""),150.0)</f>
        <v>150</v>
      </c>
      <c r="AG283" s="5">
        <f>IFERROR(__xludf.DUMMYFUNCTION("""COMPUTED_VALUE"""),150.0)</f>
        <v>150</v>
      </c>
      <c r="AH283" s="5"/>
      <c r="AI283" s="5">
        <f>IFERROR(__xludf.DUMMYFUNCTION("""COMPUTED_VALUE"""),180.0)</f>
        <v>180</v>
      </c>
      <c r="AJ283" s="5">
        <f>IFERROR(__xludf.DUMMYFUNCTION("""COMPUTED_VALUE"""),189.0)</f>
        <v>189</v>
      </c>
      <c r="AK283" s="5" t="str">
        <f>IFERROR(__xludf.DUMMYFUNCTION("""COMPUTED_VALUE"""),"El siguiente paso en tu crecimiento es Excel Intermedio 🚀
Consolidarás fórmulas, tablas y reportes aplicables en entornos reales de trabajo 💻.
Aquí tienes la info 👇🏻")</f>
        <v>El siguiente paso en tu crecimiento es Excel Intermedio 🚀
Consolidarás fórmulas, tablas y reportes aplicables en entornos reales de trabajo 💻.
Aquí tienes la info 👇🏻</v>
      </c>
      <c r="AL283" s="5" t="str">
        <f>IFERROR(__xludf.DUMMYFUNCTION("""COMPUTED_VALUE"""),"💼 *Excelente*, actualízate con *EXCEL INTERM* y mantente competitivo en el mercado laboral.")</f>
        <v>💼 *Excelente*, actualízate con *EXCEL INTERM* y mantente competitivo en el mercado laboral.</v>
      </c>
      <c r="AM283" s="5" t="str">
        <f>IFERROR(__xludf.DUMMYFUNCTION("""COMPUTED_VALUE"""),"📘 Buenísimo, *EXCEL INTERM* es de las competencias más pedidas por las empresas y aumentará tus oportunidades laborales.")</f>
        <v>📘 Buenísimo, *EXCEL INTERM* es de las competencias más pedidas por las empresas y aumentará tus oportunidades laborales.</v>
      </c>
      <c r="AN283" s="5" t="str">
        <f>IFERROR(__xludf.DUMMYFUNCTION("""COMPUTED_VALUE"""),"🔑 ¡Genial! Con *EXCEL INTERM* sumarás una habilidad poderosa que te diferenciará desde la universidad.")</f>
        <v>🔑 ¡Genial! Con *EXCEL INTERM* sumarás una habilidad poderosa que te diferenciará desde la universidad.</v>
      </c>
      <c r="AO283" s="5" t="str">
        <f>IFERROR(__xludf.DUMMYFUNCTION("""COMPUTED_VALUE"""),"🔑 ¡Perfecto! Saber *EXCEL INTERM* te dará ventaja frente a otros postulantes para conseguir prácticas.")</f>
        <v>🔑 ¡Perfecto! Saber *EXCEL INTERM* te dará ventaja frente a otros postulantes para conseguir prácticas.</v>
      </c>
      <c r="AP283" s="5" t="str">
        <f>IFERROR(__xludf.DUMMYFUNCTION("""COMPUTED_VALUE"""),"✨ ¡Excelente! Con *EXCEL INTERM* podrás aplicarlo en tu negocio y tomar decisiones más inteligentes.")</f>
        <v>✨ ¡Excelente! Con *EXCEL INTERM* podrás aplicarlo en tu negocio y tomar decisiones más inteligentes.</v>
      </c>
      <c r="AQ283" s="9" t="str">
        <f>IFERROR(__xludf.DUMMYFUNCTION("""COMPUTED_VALUE"""),"https://we-educacion.com/slides/microsoft-excel-intermedio-82")</f>
        <v>https://we-educacion.com/slides/microsoft-excel-intermedio-82</v>
      </c>
      <c r="AR283" s="5">
        <v>1.0</v>
      </c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</row>
    <row r="284" ht="15.75" customHeight="1">
      <c r="A284" s="5" t="s">
        <v>326</v>
      </c>
      <c r="B284" s="5" t="str">
        <f t="shared" si="1"/>
        <v>MAR. I - ED26</v>
      </c>
      <c r="C284" s="6" t="str">
        <f>IFERROR(__xludf.DUMMYFUNCTION("""COMPUTED_VALUE"""),"PROCESOS")</f>
        <v>PROCESOS</v>
      </c>
      <c r="D284" s="5" t="str">
        <f>IFERROR(__xludf.DUMMYFUNCTION("""COMPUTED_VALUE"""),"CURSO")</f>
        <v>CURSO</v>
      </c>
      <c r="E284" s="6" t="str">
        <f>IFERROR(__xludf.DUMMYFUNCTION("""COMPUTED_VALUE"""),"LEAN SIX SIGMA YELLOW")</f>
        <v>LEAN SIX SIGMA YELLOW</v>
      </c>
      <c r="F284" s="7">
        <f>IFERROR(__xludf.DUMMYFUNCTION("""COMPUTED_VALUE"""),46092.0)</f>
        <v>46092</v>
      </c>
      <c r="G284" s="6"/>
      <c r="H284" s="7"/>
      <c r="I284" s="6"/>
      <c r="J284" s="7"/>
      <c r="K284" s="6"/>
      <c r="L284" s="7"/>
      <c r="M284" s="6"/>
      <c r="N284" s="7"/>
      <c r="O284" s="6"/>
      <c r="P284" s="7"/>
      <c r="Q284" s="6" t="str">
        <f>IFERROR(__xludf.DUMMYFUNCTION("""COMPUTED_VALUE"""),"Luis Torres")</f>
        <v>Luis Torres</v>
      </c>
      <c r="R284" s="5" t="str">
        <f>IFERROR(__xludf.DUMMYFUNCTION("""COMPUTED_VALUE"""),"Mie")</f>
        <v>Mie</v>
      </c>
      <c r="S284" s="6" t="str">
        <f>IFERROR(__xludf.DUMMYFUNCTION("""COMPUTED_VALUE"""),"7PM - 10PM")</f>
        <v>7PM - 10PM</v>
      </c>
      <c r="T284" s="7" t="str">
        <f>IFERROR(__xludf.DUMMYFUNCTION("""COMPUTED_VALUE"""),"Miércoles 11 Marzo")</f>
        <v>Miércoles 11 Marzo</v>
      </c>
      <c r="U284" s="7" t="str">
        <f>IFERROR(__xludf.DUMMYFUNCTION("""COMPUTED_VALUE"""),"Miércoles 15 Abril")</f>
        <v>Miércoles 15 Abril</v>
      </c>
      <c r="V284" s="8">
        <f>IFERROR(__xludf.DUMMYFUNCTION("""COMPUTED_VALUE"""),6.0)</f>
        <v>6</v>
      </c>
      <c r="W284" s="5" t="str">
        <f>IFERROR(__xludf.DUMMYFUNCTION("""COMPUTED_VALUE"""),"pdfs/BROCHURE LEAN SIX SIGMA YELLOW BELT.pdf")</f>
        <v>pdfs/BROCHURE LEAN SIX SIGMA YELLOW BELT.pdf</v>
      </c>
      <c r="X284" s="5" t="str">
        <f>IFERROR(__xludf.DUMMYFUNCTION("""COMPUTED_VALUE"""),"🔵  *Utilizarán Minitab* 👩🏻‍💻
👉🏻 Incluye tutorial y manual de instalación
💻 _*Importante*: Para la instalación se necesita una Laptop *Windows*_
🚨 *Por favor, revisa el BROCHURE* 👇🏻
Aqui encontrarás la información completa del programa, el TEMAR"&amp;"IO (malla curricular) y todos los BENEFICIOS 📚")</f>
        <v>🔵  *Utilizarán Minitab* 👩🏻‍💻
👉🏻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84" s="5" t="str">
        <f>IFERROR(__xludf.DUMMYFUNCTION("""COMPUTED_VALUE"""),"images/leansix.jpg")</f>
        <v>images/leansix.jpg</v>
      </c>
      <c r="Z284" s="5"/>
      <c r="AA284" s="5" t="str">
        <f>IFERROR(__xludf.DUMMYFUNCTION("""COMPUTED_VALUE"""),"NO")</f>
        <v>NO</v>
      </c>
      <c r="AB284" s="6">
        <f>IFERROR(__xludf.DUMMYFUNCTION("""COMPUTED_VALUE"""),820.0)</f>
        <v>820</v>
      </c>
      <c r="AC284" s="6">
        <f>IFERROR(__xludf.DUMMYFUNCTION("""COMPUTED_VALUE"""),750.0)</f>
        <v>750</v>
      </c>
      <c r="AD284" s="6">
        <f>IFERROR(__xludf.DUMMYFUNCTION("""COMPUTED_VALUE"""),410.0)</f>
        <v>410</v>
      </c>
      <c r="AE284" s="6">
        <f>IFERROR(__xludf.DUMMYFUNCTION("""COMPUTED_VALUE"""),375.0)</f>
        <v>375</v>
      </c>
      <c r="AF284" s="6">
        <f>IFERROR(__xludf.DUMMYFUNCTION("""COMPUTED_VALUE"""),150.0)</f>
        <v>150</v>
      </c>
      <c r="AG284" s="6">
        <f>IFERROR(__xludf.DUMMYFUNCTION("""COMPUTED_VALUE"""),150.0)</f>
        <v>150</v>
      </c>
      <c r="AH284" s="6"/>
      <c r="AI284" s="5">
        <f>IFERROR(__xludf.DUMMYFUNCTION("""COMPUTED_VALUE"""),337.5)</f>
        <v>337.5</v>
      </c>
      <c r="AJ284" s="5">
        <f>IFERROR(__xludf.DUMMYFUNCTION("""COMPUTED_VALUE"""),369.0)</f>
        <v>369</v>
      </c>
      <c r="AK284" s="5" t="str">
        <f>IFERROR(__xludf.DUMMYFUNCTION("""COMPUTED_VALUE"""),"El primer paso hacia la excelencia es Lean Six Sigma Yellow Belt 🚀
Dominarás las bases de mejora continua y herramientas clave para procesos más eficientes 📊.
Aquí te comparto la información 👇🏻")</f>
        <v>El primer paso hacia la excelencia es Lean Six Sigma Yellow Belt 🚀
Dominarás las bases de mejora continua y herramientas clave para procesos más eficientes 📊.
Aquí te comparto la información 👇🏻</v>
      </c>
      <c r="AL284" s="5" t="str">
        <f>IFERROR(__xludf.DUMMYFUNCTION("""COMPUTED_VALUE"""),"📘 *Excelente*, actualízate con *LEAN SIX SIGMA YELLOW* y mantente competitivo en el mercado laboral.")</f>
        <v>📘 *Excelente*, actualízate con *LEAN SIX SIGMA YELLOW* y mantente competitivo en el mercado laboral.</v>
      </c>
      <c r="AM284" s="5" t="str">
        <f>IFERROR(__xludf.DUMMYFUNCTION("""COMPUTED_VALUE"""),"📈 Buenísimo, *LEAN SIX SIGMA YELLOW* es de las competencias más pedidas por las empresas y aumentará tus oportunidades laborales.")</f>
        <v>📈 Buenísimo, *LEAN SIX SIGMA YELLOW* es de las competencias más pedidas por las empresas y aumentará tus oportunidades laborales.</v>
      </c>
      <c r="AN284" s="5" t="str">
        <f>IFERROR(__xludf.DUMMYFUNCTION("""COMPUTED_VALUE"""),"⚡ ¡Genial! Con *LEAN SIX SIGMA YELLOW* sumarás una habilidad poderosa que te diferenciará desde la universidad.")</f>
        <v>⚡ ¡Genial! Con *LEAN SIX SIGMA YELLOW* sumarás una habilidad poderosa que te diferenciará desde la universidad.</v>
      </c>
      <c r="AO284" s="5" t="str">
        <f>IFERROR(__xludf.DUMMYFUNCTION("""COMPUTED_VALUE"""),"💼 ¡Perfecto! Saber *LEAN SIX SIGMA YELLOW* te dará ventaja frente a otros postulantes para conseguir prácticas.")</f>
        <v>💼 ¡Perfecto! Saber *LEAN SIX SIGMA YELLOW* te dará ventaja frente a otros postulantes para conseguir prácticas.</v>
      </c>
      <c r="AP284" s="5" t="str">
        <f>IFERROR(__xludf.DUMMYFUNCTION("""COMPUTED_VALUE"""),"📘 ¡Excelente! Con *LEAN SIX SIGMA YELLOW* podrás aplicarlo en tu negocio y tomar decisiones más inteligentes.")</f>
        <v>📘 ¡Excelente! Con *LEAN SIX SIGMA YELLOW* podrás aplicarlo en tu negocio y tomar decisiones más inteligentes.</v>
      </c>
      <c r="AQ284" s="9" t="str">
        <f>IFERROR(__xludf.DUMMYFUNCTION("""COMPUTED_VALUE"""),"https://we-educacion.com/slides/lean-six-sigma-yellow-belt-119")</f>
        <v>https://we-educacion.com/slides/lean-six-sigma-yellow-belt-119</v>
      </c>
      <c r="AR284" s="5">
        <v>1.0</v>
      </c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</row>
    <row r="285" ht="15.75" customHeight="1">
      <c r="A285" s="5" t="s">
        <v>327</v>
      </c>
      <c r="B285" s="5" t="str">
        <f t="shared" si="1"/>
        <v>MAR. I - ED26</v>
      </c>
      <c r="C285" s="6" t="str">
        <f>IFERROR(__xludf.DUMMYFUNCTION("""COMPUTED_VALUE"""),"BI")</f>
        <v>BI</v>
      </c>
      <c r="D285" s="6" t="str">
        <f>IFERROR(__xludf.DUMMYFUNCTION("""COMPUTED_VALUE"""),"CURSO")</f>
        <v>CURSO</v>
      </c>
      <c r="E285" s="6" t="str">
        <f>IFERROR(__xludf.DUMMYFUNCTION("""COMPUTED_VALUE"""),"POWER BI AVANZ")</f>
        <v>POWER BI AVANZ</v>
      </c>
      <c r="F285" s="7">
        <f>IFERROR(__xludf.DUMMYFUNCTION("""COMPUTED_VALUE"""),46092.0)</f>
        <v>46092</v>
      </c>
      <c r="G285" s="6"/>
      <c r="H285" s="7"/>
      <c r="I285" s="6"/>
      <c r="J285" s="7"/>
      <c r="K285" s="6"/>
      <c r="L285" s="7"/>
      <c r="M285" s="6"/>
      <c r="N285" s="7"/>
      <c r="O285" s="6"/>
      <c r="P285" s="7"/>
      <c r="Q285" s="6" t="str">
        <f>IFERROR(__xludf.DUMMYFUNCTION("""COMPUTED_VALUE"""),"Fernando Durand")</f>
        <v>Fernando Durand</v>
      </c>
      <c r="R285" s="5" t="str">
        <f>IFERROR(__xludf.DUMMYFUNCTION("""COMPUTED_VALUE"""),"Lun-Mie")</f>
        <v>Lun-Mie</v>
      </c>
      <c r="S285" s="6" t="str">
        <f>IFERROR(__xludf.DUMMYFUNCTION("""COMPUTED_VALUE"""),"7PM - 10PM")</f>
        <v>7PM - 10PM</v>
      </c>
      <c r="T285" s="7" t="str">
        <f>IFERROR(__xludf.DUMMYFUNCTION("""COMPUTED_VALUE"""),"Miércoles 11 Marzo")</f>
        <v>Miércoles 11 Marzo</v>
      </c>
      <c r="U285" s="7" t="str">
        <f>IFERROR(__xludf.DUMMYFUNCTION("""COMPUTED_VALUE"""),"Lunes 30 Marzo")</f>
        <v>Lunes 30 Marzo</v>
      </c>
      <c r="V285" s="8">
        <f>IFERROR(__xludf.DUMMYFUNCTION("""COMPUTED_VALUE"""),6.0)</f>
        <v>6</v>
      </c>
      <c r="W285" s="5" t="str">
        <f>IFERROR(__xludf.DUMMYFUNCTION("""COMPUTED_VALUE"""),"pdfs/BROCHURE POWER BI AVANZADO.pdf")</f>
        <v>pdfs/BROCHURE POWER BI AVANZADO.pdf</v>
      </c>
      <c r="X285" s="5" t="str">
        <f>IFERROR(__xludf.DUMMYFUNCTION("""COMPUTED_VALUE"""),"🔵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BROCHU"&amp;"RE* 👇🏻
Aqui encontrarás la información completa del programa, el TEMARIO (malla curricular) y todos los BENEFICIOS 📚")</f>
        <v>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BROCHURE* 👇🏻
Aqui encontrarás la información completa del programa, el TEMARIO (malla curricular) y todos los BENEFICIOS 📚</v>
      </c>
      <c r="Y285" s="5" t="str">
        <f>IFERROR(__xludf.DUMMYFUNCTION("""COMPUTED_VALUE"""),"images/powerbiavanz.jpg")</f>
        <v>images/powerbiavanz.jpg</v>
      </c>
      <c r="Z285" s="5" t="str">
        <f>IFERROR(__xludf.DUMMYFUNCTION("""COMPUTED_VALUE"""),"Avalado por Microsoft Partner Network")</f>
        <v>Avalado por Microsoft Partner Network</v>
      </c>
      <c r="AA285" s="5" t="str">
        <f>IFERROR(__xludf.DUMMYFUNCTION("""COMPUTED_VALUE"""),"NO")</f>
        <v>NO</v>
      </c>
      <c r="AB285" s="6">
        <f>IFERROR(__xludf.DUMMYFUNCTION("""COMPUTED_VALUE"""),830.0)</f>
        <v>830</v>
      </c>
      <c r="AC285" s="6">
        <f>IFERROR(__xludf.DUMMYFUNCTION("""COMPUTED_VALUE"""),740.0)</f>
        <v>740</v>
      </c>
      <c r="AD285" s="6">
        <f>IFERROR(__xludf.DUMMYFUNCTION("""COMPUTED_VALUE"""),415.0)</f>
        <v>415</v>
      </c>
      <c r="AE285" s="6">
        <f>IFERROR(__xludf.DUMMYFUNCTION("""COMPUTED_VALUE"""),370.0)</f>
        <v>370</v>
      </c>
      <c r="AF285" s="6">
        <f>IFERROR(__xludf.DUMMYFUNCTION("""COMPUTED_VALUE"""),150.0)</f>
        <v>150</v>
      </c>
      <c r="AG285" s="5">
        <f>IFERROR(__xludf.DUMMYFUNCTION("""COMPUTED_VALUE"""),150.0)</f>
        <v>150</v>
      </c>
      <c r="AH285" s="5"/>
      <c r="AI285" s="5">
        <f>IFERROR(__xludf.DUMMYFUNCTION("""COMPUTED_VALUE"""),333.0)</f>
        <v>333</v>
      </c>
      <c r="AJ285" s="5">
        <f>IFERROR(__xludf.DUMMYFUNCTION("""COMPUTED_VALUE"""),373.5)</f>
        <v>373.5</v>
      </c>
      <c r="AK285" s="5" t="str">
        <f>IFERROR(__xludf.DUMMYFUNCTION("""COMPUTED_VALUE"""),"El poder está en la data, pero más en cómo la interpretas 🚀
Con Power BI Avanzado llevarás tus reportes y dashboards a un nivel profesional, con análisis que generan impacto en el negocio.
Aquí la info detallada 👇🏻")</f>
        <v>El poder está en la data, pero más en cómo la interpretas 🚀
Con Power BI Avanzado llevarás tus reportes y dashboards a un nivel profesional, con análisis que generan impacto en el negocio.
Aquí la info detallada 👇🏻</v>
      </c>
      <c r="AL285" s="5" t="str">
        <f>IFERROR(__xludf.DUMMYFUNCTION("""COMPUTED_VALUE"""),"Excelente 🙌, actualízate con Power BI Avanzado y lleva tus reportes a un nivel estratégico 🌐 que buscan las empresas.")</f>
        <v>Excelente 🙌, actualízate con Power BI Avanzado y lleva tus reportes a un nivel estratégico 🌐 que buscan las empresas.</v>
      </c>
      <c r="AM285" s="5" t="str">
        <f>IFERROR(__xludf.DUMMYFUNCTION("""COMPUTED_VALUE"""),"Buenísimo 💼, Power BI es altamente demandado 📊. Dominarlo abrirá más oportunidades laborales 🚀.")</f>
        <v>Buenísimo 💼, Power BI es altamente demandado 📊. Dominarlo abrirá más oportunidades laborales 🚀.</v>
      </c>
      <c r="AN285" s="5" t="str">
        <f>IFERROR(__xludf.DUMMYFUNCTION("""COMPUTED_VALUE"""),"¡Excelente! 🎓 Con Power BI Avanzado aprenderás a visualizar datos 📉📈 de forma profesional.")</f>
        <v>¡Excelente! 🎓 Con Power BI Avanzado aprenderás a visualizar datos 📉📈 de forma profesional.</v>
      </c>
      <c r="AO285" s="5" t="str">
        <f>IFERROR(__xludf.DUMMYFUNCTION("""COMPUTED_VALUE"""),"¡Perfecto! 🔑 Saber Power BI te dará ventaja frente a otros postulantes para prácticas en análisis de datos 💻.")</f>
        <v>¡Perfecto! 🔑 Saber Power BI te dará ventaja frente a otros postulantes para prácticas en análisis de datos 💻.</v>
      </c>
      <c r="AP285" s="5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Q285" s="9" t="str">
        <f>IFERROR(__xludf.DUMMYFUNCTION("""COMPUTED_VALUE"""),"https://we-educacion.com/slides/power-bi-avanzado-90")</f>
        <v>https://we-educacion.com/slides/power-bi-avanzado-90</v>
      </c>
      <c r="AR285" s="5">
        <v>1.0</v>
      </c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</row>
    <row r="286" ht="15.75" customHeight="1">
      <c r="A286" s="5" t="s">
        <v>328</v>
      </c>
      <c r="B286" s="5" t="str">
        <f t="shared" si="1"/>
        <v>MAR. I - ED26</v>
      </c>
      <c r="C286" s="6" t="str">
        <f>IFERROR(__xludf.DUMMYFUNCTION("""COMPUTED_VALUE"""),"SAP")</f>
        <v>SAP</v>
      </c>
      <c r="D286" s="5" t="str">
        <f>IFERROR(__xludf.DUMMYFUNCTION("""COMPUTED_VALUE"""),"CURSO")</f>
        <v>CURSO</v>
      </c>
      <c r="E286" s="6" t="str">
        <f>IFERROR(__xludf.DUMMYFUNCTION("""COMPUTED_VALUE"""),"SAP HANA FI")</f>
        <v>SAP HANA FI</v>
      </c>
      <c r="F286" s="7">
        <f>IFERROR(__xludf.DUMMYFUNCTION("""COMPUTED_VALUE"""),46093.0)</f>
        <v>46093</v>
      </c>
      <c r="G286" s="6"/>
      <c r="H286" s="7"/>
      <c r="I286" s="6"/>
      <c r="J286" s="7"/>
      <c r="K286" s="6"/>
      <c r="L286" s="7"/>
      <c r="M286" s="6"/>
      <c r="N286" s="7"/>
      <c r="O286" s="6"/>
      <c r="P286" s="7"/>
      <c r="Q286" s="6" t="str">
        <f>IFERROR(__xludf.DUMMYFUNCTION("""COMPUTED_VALUE"""),"Andy Leyton
")</f>
        <v>Andy Leyton
</v>
      </c>
      <c r="R286" s="5" t="str">
        <f>IFERROR(__xludf.DUMMYFUNCTION("""COMPUTED_VALUE"""),"Mar-Jue")</f>
        <v>Mar-Jue</v>
      </c>
      <c r="S286" s="6" t="str">
        <f>IFERROR(__xludf.DUMMYFUNCTION("""COMPUTED_VALUE"""),"7PM - 10PM")</f>
        <v>7PM - 10PM</v>
      </c>
      <c r="T286" s="7" t="str">
        <f>IFERROR(__xludf.DUMMYFUNCTION("""COMPUTED_VALUE"""),"Jueves 12 Marzo")</f>
        <v>Jueves 12 Marzo</v>
      </c>
      <c r="U286" s="7" t="str">
        <f>IFERROR(__xludf.DUMMYFUNCTION("""COMPUTED_VALUE"""),"Martes 31 Marzo")</f>
        <v>Martes 31 Marzo</v>
      </c>
      <c r="V286" s="8">
        <f>IFERROR(__xludf.DUMMYFUNCTION("""COMPUTED_VALUE"""),6.0)</f>
        <v>6</v>
      </c>
      <c r="W286" s="5" t="str">
        <f>IFERROR(__xludf.DUMMYFUNCTION("""COMPUTED_VALUE"""),"pdfs/BROCHURE SAP HANA FI MODULO FINANZAS.pdf")</f>
        <v>pdfs/BROCHURE SAP HANA FI MODULO FINANZAS.pdf</v>
      </c>
      <c r="X286" s="5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286" s="5" t="str">
        <f>IFERROR(__xludf.DUMMYFUNCTION("""COMPUTED_VALUE"""),"images/sapfi.jpg")</f>
        <v>images/sapfi.jpg</v>
      </c>
      <c r="Z286" s="5" t="str">
        <f>IFERROR(__xludf.DUMMYFUNCTION("""COMPUTED_VALUE"""),"Avalado por SAP Partner Open")</f>
        <v>Avalado por SAP Partner Open</v>
      </c>
      <c r="AA286" s="5" t="str">
        <f>IFERROR(__xludf.DUMMYFUNCTION("""COMPUTED_VALUE"""),"NO")</f>
        <v>NO</v>
      </c>
      <c r="AB286" s="6">
        <f>IFERROR(__xludf.DUMMYFUNCTION("""COMPUTED_VALUE"""),900.0)</f>
        <v>900</v>
      </c>
      <c r="AC286" s="6">
        <f>IFERROR(__xludf.DUMMYFUNCTION("""COMPUTED_VALUE"""),750.0)</f>
        <v>750</v>
      </c>
      <c r="AD286" s="6">
        <f>IFERROR(__xludf.DUMMYFUNCTION("""COMPUTED_VALUE"""),450.0)</f>
        <v>450</v>
      </c>
      <c r="AE286" s="6">
        <f>IFERROR(__xludf.DUMMYFUNCTION("""COMPUTED_VALUE"""),375.0)</f>
        <v>375</v>
      </c>
      <c r="AF286" s="6">
        <f>IFERROR(__xludf.DUMMYFUNCTION("""COMPUTED_VALUE"""),150.0)</f>
        <v>150</v>
      </c>
      <c r="AG286" s="5">
        <f>IFERROR(__xludf.DUMMYFUNCTION("""COMPUTED_VALUE"""),150.0)</f>
        <v>150</v>
      </c>
      <c r="AH286" s="5"/>
      <c r="AI286" s="5">
        <f>IFERROR(__xludf.DUMMYFUNCTION("""COMPUTED_VALUE"""),337.5)</f>
        <v>337.5</v>
      </c>
      <c r="AJ286" s="5">
        <f>IFERROR(__xludf.DUMMYFUNCTION("""COMPUTED_VALUE"""),405.0)</f>
        <v>405</v>
      </c>
      <c r="AK286" s="5" t="str">
        <f>IFERROR(__xludf.DUMMYFUNCTION("""COMPUTED_VALUE"""),"El lenguaje financiero global se habla con SAP HANA FI 💼
Con este programa aprenderás a gestionar contabilidad y finanzas de forma práctica en SAP 🚀.
Aquí la información completa 👇🏻")</f>
        <v>El lenguaje financiero global se habla con SAP HANA FI 💼
Con este programa aprenderás a gestionar contabilidad y finanzas de forma práctica en SAP 🚀.
Aquí la información completa 👇🏻</v>
      </c>
      <c r="AL286" s="5" t="str">
        <f>IFERROR(__xludf.DUMMYFUNCTION("""COMPUTED_VALUE"""),"💰 Excelente, actualízate con SAP FI y domina la gestión financiera en SAP.")</f>
        <v>💰 Excelente, actualízate con SAP FI y domina la gestión financiera en SAP.</v>
      </c>
      <c r="AM286" s="5" t="str">
        <f>IFERROR(__xludf.DUMMYFUNCTION("""COMPUTED_VALUE"""),"💼 Buenísimo, SAP FI es clave en empresas que manejan contabilidad y finanzas.")</f>
        <v>💼 Buenísimo, SAP FI es clave en empresas que manejan contabilidad y finanzas.</v>
      </c>
      <c r="AN286" s="5" t="str">
        <f>IFERROR(__xludf.DUMMYFUNCTION("""COMPUTED_VALUE"""),"🎓 ¡Genial! Aprender SAP FI en la universidad fortalecerá tu perfil en finanzas.")</f>
        <v>🎓 ¡Genial! Aprender SAP FI en la universidad fortalecerá tu perfil en finanzas.</v>
      </c>
      <c r="AO286" s="5" t="str">
        <f>IFERROR(__xludf.DUMMYFUNCTION("""COMPUTED_VALUE"""),"🚀 ¡Perfecto! Con SAP FI tendrás ventaja en prácticas de contabilidad y finanzas.")</f>
        <v>🚀 ¡Perfecto! Con SAP FI tendrás ventaja en prácticas de contabilidad y finanzas.</v>
      </c>
      <c r="AP286" s="5" t="str">
        <f>IFERROR(__xludf.DUMMYFUNCTION("""COMPUTED_VALUE"""),"📊 ¡Excelente! Con SAP FI podrás llevar la contabilidad de tu negocio con precisión.")</f>
        <v>📊 ¡Excelente! Con SAP FI podrás llevar la contabilidad de tu negocio con precisión.</v>
      </c>
      <c r="AQ286" s="9" t="str">
        <f>IFERROR(__xludf.DUMMYFUNCTION("""COMPUTED_VALUE"""),"https://we-educacion.com/slides/sap-s-4-hana-fi-54")</f>
        <v>https://we-educacion.com/slides/sap-s-4-hana-fi-54</v>
      </c>
      <c r="AR286" s="5">
        <v>1.0</v>
      </c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</row>
    <row r="287" ht="15.75" customHeight="1">
      <c r="A287" s="5" t="s">
        <v>329</v>
      </c>
      <c r="B287" s="5" t="str">
        <f t="shared" si="1"/>
        <v>MAR. I - ED26</v>
      </c>
      <c r="C287" s="6" t="str">
        <f>IFERROR(__xludf.DUMMYFUNCTION("""COMPUTED_VALUE"""),"BI")</f>
        <v>BI</v>
      </c>
      <c r="D287" s="5" t="str">
        <f>IFERROR(__xludf.DUMMYFUNCTION("""COMPUTED_VALUE"""),"CURSO")</f>
        <v>CURSO</v>
      </c>
      <c r="E287" s="6" t="str">
        <f>IFERROR(__xludf.DUMMYFUNCTION("""COMPUTED_VALUE"""),"AZURE")</f>
        <v>AZURE</v>
      </c>
      <c r="F287" s="7">
        <f>IFERROR(__xludf.DUMMYFUNCTION("""COMPUTED_VALUE"""),46093.0)</f>
        <v>46093</v>
      </c>
      <c r="G287" s="6"/>
      <c r="H287" s="7"/>
      <c r="I287" s="6"/>
      <c r="J287" s="7"/>
      <c r="K287" s="6"/>
      <c r="L287" s="7"/>
      <c r="M287" s="6"/>
      <c r="N287" s="7"/>
      <c r="O287" s="6"/>
      <c r="P287" s="7"/>
      <c r="Q287" s="6" t="str">
        <f>IFERROR(__xludf.DUMMYFUNCTION("""COMPUTED_VALUE"""),"Geanfranco Palomino")</f>
        <v>Geanfranco Palomino</v>
      </c>
      <c r="R287" s="5" t="str">
        <f>IFERROR(__xludf.DUMMYFUNCTION("""COMPUTED_VALUE"""),"Mar-Jue")</f>
        <v>Mar-Jue</v>
      </c>
      <c r="S287" s="6" t="str">
        <f>IFERROR(__xludf.DUMMYFUNCTION("""COMPUTED_VALUE"""),"7PM - 10PM")</f>
        <v>7PM - 10PM</v>
      </c>
      <c r="T287" s="7" t="str">
        <f>IFERROR(__xludf.DUMMYFUNCTION("""COMPUTED_VALUE"""),"Jueves 12 Marzo")</f>
        <v>Jueves 12 Marzo</v>
      </c>
      <c r="U287" s="7" t="str">
        <f>IFERROR(__xludf.DUMMYFUNCTION("""COMPUTED_VALUE"""),"Martes 31 Marzo")</f>
        <v>Martes 31 Marzo</v>
      </c>
      <c r="V287" s="8">
        <f>IFERROR(__xludf.DUMMYFUNCTION("""COMPUTED_VALUE"""),6.0)</f>
        <v>6</v>
      </c>
      <c r="W287" s="5" t="str">
        <f>IFERROR(__xludf.DUMMYFUNCTION("""COMPUTED_VALUE"""),"pdfs/BROCHURE AZURE DATA FUNDAMENTALS.pdf")</f>
        <v>pdfs/BROCHURE AZURE DATA FUNDAMENTALS.pdf</v>
      </c>
      <c r="X287" s="5" t="str">
        <f>IFERROR(__xludf.DUMMYFUNCTION("""COMPUTED_VALUE"""),"🔹 Utilizarán Azure Cloud 👩🏻‍💻
👉🏼 Te guiamos en clases a crear tu Cuenta 
🚨 Por favor, revisa el BROCHURE 👇🏻
Aqui encontrarás la información completa del programa: Temario (malla curricular) y todos los BENEFICIOS 📚")</f>
        <v>🔹 Utilizarán Azure Cloud 👩🏻‍💻
👉🏼 Te guiamos en clases a crear tu Cuenta 
🚨 Por favor, revisa el BROCHURE 👇🏻
Aqui encontrarás la información completa del programa: Temario (malla curricular) y todos los BENEFICIOS 📚</v>
      </c>
      <c r="Y287" s="5" t="str">
        <f>IFERROR(__xludf.DUMMYFUNCTION("""COMPUTED_VALUE"""),"images/azure.jpg")</f>
        <v>images/azure.jpg</v>
      </c>
      <c r="Z287" s="5"/>
      <c r="AA287" s="5"/>
      <c r="AB287" s="6">
        <f>IFERROR(__xludf.DUMMYFUNCTION("""COMPUTED_VALUE"""),600.0)</f>
        <v>600</v>
      </c>
      <c r="AC287" s="6">
        <f>IFERROR(__xludf.DUMMYFUNCTION("""COMPUTED_VALUE"""),550.0)</f>
        <v>550</v>
      </c>
      <c r="AD287" s="6">
        <f>IFERROR(__xludf.DUMMYFUNCTION("""COMPUTED_VALUE"""),300.0)</f>
        <v>300</v>
      </c>
      <c r="AE287" s="6">
        <f>IFERROR(__xludf.DUMMYFUNCTION("""COMPUTED_VALUE"""),275.0)</f>
        <v>275</v>
      </c>
      <c r="AF287" s="6">
        <f>IFERROR(__xludf.DUMMYFUNCTION("""COMPUTED_VALUE"""),150.0)</f>
        <v>150</v>
      </c>
      <c r="AG287" s="5">
        <f>IFERROR(__xludf.DUMMYFUNCTION("""COMPUTED_VALUE"""),150.0)</f>
        <v>150</v>
      </c>
      <c r="AH287" s="5"/>
      <c r="AI287" s="5">
        <f>IFERROR(__xludf.DUMMYFUNCTION("""COMPUTED_VALUE"""),247.5)</f>
        <v>247.5</v>
      </c>
      <c r="AJ287" s="5">
        <f>IFERROR(__xludf.DUMMYFUNCTION("""COMPUTED_VALUE"""),270.0)</f>
        <v>270</v>
      </c>
      <c r="AK287" s="5" t="str">
        <f>IFERROR(__xludf.DUMMYFUNCTION("""COMPUTED_VALUE"""),"El futuro de la tecnología se escribe en la nube 🌐
Con Azure dominarás servicios en la nube de manera práctica y aplicable, con proyectos reales 💻.
Aquí tienes la info a detalle 👇🏻")</f>
        <v>El futuro de la tecnología se escribe en la nube 🌐
Con Azure dominarás servicios en la nube de manera práctica y aplicable, con proyectos reales 💻.
Aquí tienes la info a detalle 👇🏻</v>
      </c>
      <c r="AL287" s="5" t="str">
        <f>IFERROR(__xludf.DUMMYFUNCTION("""COMPUTED_VALUE"""),"☁️ *Excelente*, actualízate con *Azure* y mantente a la vanguardia en computación en la nube.")</f>
        <v>☁️ *Excelente*, actualízate con *Azure* y mantente a la vanguardia en computación en la nube.</v>
      </c>
      <c r="AM287" s="5" t="str">
        <f>IFERROR(__xludf.DUMMYFUNCTION("""COMPUTED_VALUE"""),"💼 Buenísimo, *Azure* es muy solicitado en empresas. Dominarlo aumentará tus oportunidades laborales.")</f>
        <v>💼 Buenísimo, *Azure* es muy solicitado en empresas. Dominarlo aumentará tus oportunidades laborales.</v>
      </c>
      <c r="AN287" s="5" t="str">
        <f>IFERROR(__xludf.DUMMYFUNCTION("""COMPUTED_VALUE"""),"📘 ¡Excelente! Con *Azure* sumarás una habilidad clave que te diferenciará desde la universidad.")</f>
        <v>📘 ¡Excelente! Con *Azure* sumarás una habilidad clave que te diferenciará desde la universidad.</v>
      </c>
      <c r="AO287" s="5" t="str">
        <f>IFERROR(__xludf.DUMMYFUNCTION("""COMPUTED_VALUE"""),"🚀 ¡Perfecto! Con *Azure* tendrás ventaja para conseguir prácticas en proyectos de nube.")</f>
        <v>🚀 ¡Perfecto! Con *Azure* tendrás ventaja para conseguir prácticas en proyectos de nube.</v>
      </c>
      <c r="AP287" s="5" t="str">
        <f>IFERROR(__xludf.DUMMYFUNCTION("""COMPUTED_VALUE"""),"📊 ¡Muy bien! Con *Azure* podrás escalar tus propios proyectos y negocios de manera profesional.")</f>
        <v>📊 ¡Muy bien! Con *Azure* podrás escalar tus propios proyectos y negocios de manera profesional.</v>
      </c>
      <c r="AQ287" s="9" t="str">
        <f>IFERROR(__xludf.DUMMYFUNCTION("""COMPUTED_VALUE"""),"https://we-educacion.com/slides/azure-data-fundamentals-1225#")</f>
        <v>https://we-educacion.com/slides/azure-data-fundamentals-1225#</v>
      </c>
      <c r="AR287" s="5">
        <v>1.0</v>
      </c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</row>
    <row r="288" ht="15.75" customHeight="1">
      <c r="A288" s="5" t="s">
        <v>330</v>
      </c>
      <c r="B288" s="5" t="str">
        <f t="shared" si="1"/>
        <v>MAR. I - ED26</v>
      </c>
      <c r="C288" s="6" t="str">
        <f>IFERROR(__xludf.DUMMYFUNCTION("""COMPUTED_VALUE"""),"ADMINISTRACIÓN")</f>
        <v>ADMINISTRACIÓN</v>
      </c>
      <c r="D288" s="5" t="str">
        <f>IFERROR(__xludf.DUMMYFUNCTION("""COMPUTED_VALUE"""),"CURSO")</f>
        <v>CURSO</v>
      </c>
      <c r="E288" s="6" t="str">
        <f>IFERROR(__xludf.DUMMYFUNCTION("""COMPUTED_VALUE"""),"GEST. DE EMPRESAS")</f>
        <v>GEST. DE EMPRESAS</v>
      </c>
      <c r="F288" s="7">
        <f>IFERROR(__xludf.DUMMYFUNCTION("""COMPUTED_VALUE"""),46093.0)</f>
        <v>46093</v>
      </c>
      <c r="G288" s="6"/>
      <c r="H288" s="7"/>
      <c r="I288" s="6"/>
      <c r="J288" s="7"/>
      <c r="K288" s="6"/>
      <c r="L288" s="7"/>
      <c r="M288" s="6"/>
      <c r="N288" s="7"/>
      <c r="O288" s="6"/>
      <c r="P288" s="7"/>
      <c r="Q288" s="6"/>
      <c r="R288" s="5" t="str">
        <f>IFERROR(__xludf.DUMMYFUNCTION("""COMPUTED_VALUE"""),"Mar-Jue")</f>
        <v>Mar-Jue</v>
      </c>
      <c r="S288" s="6" t="str">
        <f>IFERROR(__xludf.DUMMYFUNCTION("""COMPUTED_VALUE"""),"7PM - 10PM")</f>
        <v>7PM - 10PM</v>
      </c>
      <c r="T288" s="7" t="str">
        <f>IFERROR(__xludf.DUMMYFUNCTION("""COMPUTED_VALUE"""),"Jueves 12 Marzo")</f>
        <v>Jueves 12 Marzo</v>
      </c>
      <c r="U288" s="7" t="str">
        <f>IFERROR(__xludf.DUMMYFUNCTION("""COMPUTED_VALUE"""),"Martes 31 Marzo")</f>
        <v>Martes 31 Marzo</v>
      </c>
      <c r="V288" s="8">
        <f>IFERROR(__xludf.DUMMYFUNCTION("""COMPUTED_VALUE"""),6.0)</f>
        <v>6</v>
      </c>
      <c r="W288" s="5"/>
      <c r="X288" s="5"/>
      <c r="Y288" s="5"/>
      <c r="Z288" s="5"/>
      <c r="AA288" s="5"/>
      <c r="AB288" s="6"/>
      <c r="AC288" s="6"/>
      <c r="AD288" s="6"/>
      <c r="AE288" s="6"/>
      <c r="AF288" s="6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 t="str">
        <f>IFERROR(__xludf.DUMMYFUNCTION("""COMPUTED_VALUE"""),"#N/A")</f>
        <v>#N/A</v>
      </c>
      <c r="AR288" s="5">
        <v>1.0</v>
      </c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</row>
    <row r="289" ht="15.75" customHeight="1">
      <c r="A289" s="5" t="s">
        <v>331</v>
      </c>
      <c r="B289" s="5" t="str">
        <f t="shared" si="1"/>
        <v>MAR. I - ED26</v>
      </c>
      <c r="C289" s="6" t="str">
        <f>IFERROR(__xludf.DUMMYFUNCTION("""COMPUTED_VALUE"""),"LOGÍSTICA")</f>
        <v>LOGÍSTICA</v>
      </c>
      <c r="D289" s="6" t="str">
        <f>IFERROR(__xludf.DUMMYFUNCTION("""COMPUTED_VALUE"""),"DIPLOMADO")</f>
        <v>DIPLOMADO</v>
      </c>
      <c r="E289" s="6" t="str">
        <f>IFERROR(__xludf.DUMMYFUNCTION("""COMPUTED_VALUE"""),"DIP SUPPLY V3")</f>
        <v>DIP SUPPLY V3</v>
      </c>
      <c r="F289" s="7">
        <f>IFERROR(__xludf.DUMMYFUNCTION("""COMPUTED_VALUE"""),46095.0)</f>
        <v>46095</v>
      </c>
      <c r="G289" s="6" t="str">
        <f>IFERROR(__xludf.DUMMYFUNCTION("""COMPUTED_VALUE"""),"PLAN. Y PRONOSTICO V2")</f>
        <v>PLAN. Y PRONOSTICO V2</v>
      </c>
      <c r="H289" s="7">
        <f>IFERROR(__xludf.DUMMYFUNCTION("""COMPUTED_VALUE"""),46095.0)</f>
        <v>46095</v>
      </c>
      <c r="I289" s="6" t="str">
        <f>IFERROR(__xludf.DUMMYFUNCTION("""COMPUTED_VALUE"""),"GEST. COMP. Y PROV.")</f>
        <v>GEST. COMP. Y PROV.</v>
      </c>
      <c r="J289" s="7">
        <f>IFERROR(__xludf.DUMMYFUNCTION("""COMPUTED_VALUE"""),46144.0)</f>
        <v>46144</v>
      </c>
      <c r="K289" s="6" t="str">
        <f>IFERROR(__xludf.DUMMYFUNCTION("""COMPUTED_VALUE"""),"GER. CENTRO DISTRIB.")</f>
        <v>GER. CENTRO DISTRIB.</v>
      </c>
      <c r="L289" s="7">
        <f>IFERROR(__xludf.DUMMYFUNCTION("""COMPUTED_VALUE"""),46186.0)</f>
        <v>46186</v>
      </c>
      <c r="M289" s="6" t="str">
        <f>IFERROR(__xludf.DUMMYFUNCTION("""COMPUTED_VALUE"""),"GEST TRANSPORTES")</f>
        <v>GEST TRANSPORTES</v>
      </c>
      <c r="N289" s="7">
        <f>IFERROR(__xludf.DUMMYFUNCTION("""COMPUTED_VALUE"""),46221.0)</f>
        <v>46221</v>
      </c>
      <c r="O289" s="6" t="str">
        <f>IFERROR(__xludf.DUMMYFUNCTION("""COMPUTED_VALUE"""),"LEAN LOGISTICS")</f>
        <v>LEAN LOGISTICS</v>
      </c>
      <c r="P289" s="7">
        <f>IFERROR(__xludf.DUMMYFUNCTION("""COMPUTED_VALUE"""),46263.0)</f>
        <v>46263</v>
      </c>
      <c r="Q289" s="6"/>
      <c r="R289" s="5" t="str">
        <f>IFERROR(__xludf.DUMMYFUNCTION("""COMPUTED_VALUE"""),"Sáb")</f>
        <v>Sáb</v>
      </c>
      <c r="S289" s="6" t="str">
        <f>IFERROR(__xludf.DUMMYFUNCTION("""COMPUTED_VALUE"""),"3PM - 6PM")</f>
        <v>3PM - 6PM</v>
      </c>
      <c r="T289" s="7" t="str">
        <f>IFERROR(__xludf.DUMMYFUNCTION("""COMPUTED_VALUE"""),"Sábado 14 Marzo")</f>
        <v>Sábado 14 Marzo</v>
      </c>
      <c r="U289" s="7" t="str">
        <f>IFERROR(__xludf.DUMMYFUNCTION("""COMPUTED_VALUE"""),"Sábado 26 Septiembre")</f>
        <v>Sábado 26 Septiembre</v>
      </c>
      <c r="V289" s="8">
        <f>IFERROR(__xludf.DUMMYFUNCTION("""COMPUTED_VALUE"""),28.0)</f>
        <v>28</v>
      </c>
      <c r="W289" s="5" t="str">
        <f>IFERROR(__xludf.DUMMYFUNCTION("""COMPUTED_VALUE"""),"pdfs/BROCHURE DIPLOMADO SUPPLY CHAIN MANAGEMENT.pdf")</f>
        <v>pdfs/BROCHURE DIPLOMADO SUPPLY CHAIN MANAGEMENT.pdf</v>
      </c>
      <c r="X289" s="5" t="str">
        <f>IFERROR(__xludf.DUMMYFUNCTION("""COMPUTED_VALUE"""),"🔵 *Utilizarán Excel* 👩🏻‍💻
👉🏼 Brindaremos formatos y plantillas
🚨 *Por favor, revisa el BROCHURE* 👇🏻
Aqui encontrarás la información completa del programa, el TEMARIO (malla curricular) y todos los BENEFICIOS 📚")</f>
        <v>🔵 *Utilizarán Excel* 👩🏻‍💻
👉🏼 Brindaremos formatos y plantillas
🚨 *Por favor, revisa el BROCHURE* 👇🏻
Aqui encontrarás la información completa del programa, el TEMARIO (malla curricular) y todos los BENEFICIOS 📚</v>
      </c>
      <c r="Y289" s="5" t="str">
        <f>IFERROR(__xludf.DUMMYFUNCTION("""COMPUTED_VALUE"""),"images/dipsupply.jpg")</f>
        <v>images/dipsupply.jpg</v>
      </c>
      <c r="Z289" s="5"/>
      <c r="AA289" s="5"/>
      <c r="AB289" s="6">
        <f>IFERROR(__xludf.DUMMYFUNCTION("""COMPUTED_VALUE"""),4060.0)</f>
        <v>4060</v>
      </c>
      <c r="AC289" s="6">
        <f>IFERROR(__xludf.DUMMYFUNCTION("""COMPUTED_VALUE"""),3710.0)</f>
        <v>3710</v>
      </c>
      <c r="AD289" s="6">
        <f>IFERROR(__xludf.DUMMYFUNCTION("""COMPUTED_VALUE"""),2030.0)</f>
        <v>2030</v>
      </c>
      <c r="AE289" s="6">
        <f>IFERROR(__xludf.DUMMYFUNCTION("""COMPUTED_VALUE"""),1855.0)</f>
        <v>1855</v>
      </c>
      <c r="AF289" s="6">
        <f>IFERROR(__xludf.DUMMYFUNCTION("""COMPUTED_VALUE"""),250.0)</f>
        <v>250</v>
      </c>
      <c r="AG289" s="5">
        <f>IFERROR(__xludf.DUMMYFUNCTION("""COMPUTED_VALUE"""),350.0)</f>
        <v>350</v>
      </c>
      <c r="AH289" s="5"/>
      <c r="AI289" s="5">
        <f>IFERROR(__xludf.DUMMYFUNCTION("""COMPUTED_VALUE"""),1669.5)</f>
        <v>1669.5</v>
      </c>
      <c r="AJ289" s="5">
        <f>IFERROR(__xludf.DUMMYFUNCTION("""COMPUTED_VALUE"""),1827.0)</f>
        <v>1827</v>
      </c>
      <c r="AK289" s="5" t="str">
        <f>IFERROR(__xludf.DUMMYFUNCTION("""COMPUTED_VALUE"""),"📦 *El éxito de las empresas depende de cadenas de suministro eficientes* 🌎🚀
En este diplomado aprenderás a gestionar la logística, compras y distribución con un enfoque estratégico y práctico, aplicando herramientas modernas para optimizar procesos de "&amp;"principio a fin ⚙️📊
Ahora te adjunto la información a detalle 👇🏻")</f>
        <v>📦 *El éxito de las empresas depende de cadenas de suministro eficientes* 🌎🚀
En este diplomado aprenderás a gestionar la logística, compras y distribución con un enfoque estratégico y práctico, aplicando herramientas modernas para optimizar procesos de principio a fin ⚙️📊
Ahora te adjunto la información a detalle 👇🏻</v>
      </c>
      <c r="AL289" s="5" t="str">
        <f>IFERROR(__xludf.DUMMYFUNCTION("""COMPUTED_VALUE"""),"*Excelente*, actualiza tus conocimientos y domina la gestión de la cadena de suministro con un enfoque moderno 🚀.")</f>
        <v>*Excelente*, actualiza tus conocimientos y domina la gestión de la cadena de suministro con un enfoque moderno 🚀.</v>
      </c>
      <c r="AM289" s="5" t="str">
        <f>IFERROR(__xludf.DUMMYFUNCTION("""COMPUTED_VALUE"""),"Buenísimo, Supply Chain es altamente demandado y te dará un plus en tu CV para más oportunidades laborales 🧳.")</f>
        <v>Buenísimo, Supply Chain es altamente demandado y te dará un plus en tu CV para más oportunidades laborales 🧳.</v>
      </c>
      <c r="AN289" s="5" t="str">
        <f>IFERROR(__xludf.DUMMYFUNCTION("""COMPUTED_VALUE"""),"¡Excelente!. podrás complementar lo que ves en la universidad con herramientas prácticas de Supply Chain, y así destacar tu Perfil Profesional 🚀.")</f>
        <v>¡Excelente!. podrás complementar lo que ves en la universidad con herramientas prácticas de Supply Chain, y así destacar tu Perfil Profesional 🚀.</v>
      </c>
      <c r="AO289" s="5" t="str">
        <f>IFERROR(__xludf.DUMMYFUNCTION("""COMPUTED_VALUE"""),"¡Perfecto!, el conocimiento en Supply Chain es muy valorado y te ayudará a destacar al postular a prácticas 🧳.")</f>
        <v>¡Perfecto!, el conocimiento en Supply Chain es muy valorado y te ayudará a destacar al postular a prácticas 🧳.</v>
      </c>
      <c r="AP289" s="5" t="str">
        <f>IFERROR(__xludf.DUMMYFUNCTION("""COMPUTED_VALUE"""),"¡Excelente!, con Supply Chain optimizarás logística, compras y distribución, llevando tu negocio al siguiente nivel 🚀.")</f>
        <v>¡Excelente!, con Supply Chain optimizarás logística, compras y distribución, llevando tu negocio al siguiente nivel 🚀.</v>
      </c>
      <c r="AQ289" s="9" t="str">
        <f>IFERROR(__xludf.DUMMYFUNCTION("""COMPUTED_VALUE"""),"https://we-educacion.com/slides/diplomado-en-supply-chain-management-49")</f>
        <v>https://we-educacion.com/slides/diplomado-en-supply-chain-management-49</v>
      </c>
      <c r="AR289" s="5">
        <v>1.0</v>
      </c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</row>
    <row r="290" ht="15.75" customHeight="1">
      <c r="A290" s="5" t="s">
        <v>332</v>
      </c>
      <c r="B290" s="5" t="str">
        <f t="shared" si="1"/>
        <v>MAR. I - ED26</v>
      </c>
      <c r="C290" s="6" t="str">
        <f>IFERROR(__xludf.DUMMYFUNCTION("""COMPUTED_VALUE"""),"LOGÍSTICA")</f>
        <v>LOGÍSTICA</v>
      </c>
      <c r="D290" s="5" t="str">
        <f>IFERROR(__xludf.DUMMYFUNCTION("""COMPUTED_VALUE"""),"CURSO")</f>
        <v>CURSO</v>
      </c>
      <c r="E290" s="6" t="str">
        <f>IFERROR(__xludf.DUMMYFUNCTION("""COMPUTED_VALUE"""),"PLAN. Y PRONOSTICO V2")</f>
        <v>PLAN. Y PRONOSTICO V2</v>
      </c>
      <c r="F290" s="7">
        <f>IFERROR(__xludf.DUMMYFUNCTION("""COMPUTED_VALUE"""),46095.0)</f>
        <v>46095</v>
      </c>
      <c r="G290" s="6"/>
      <c r="H290" s="7"/>
      <c r="I290" s="6"/>
      <c r="J290" s="7"/>
      <c r="K290" s="6"/>
      <c r="L290" s="7"/>
      <c r="M290" s="6"/>
      <c r="N290" s="7"/>
      <c r="O290" s="6"/>
      <c r="P290" s="7"/>
      <c r="Q290" s="6" t="str">
        <f>IFERROR(__xludf.DUMMYFUNCTION("""COMPUTED_VALUE"""),"Hugo Vasquez")</f>
        <v>Hugo Vasquez</v>
      </c>
      <c r="R290" s="5" t="str">
        <f>IFERROR(__xludf.DUMMYFUNCTION("""COMPUTED_VALUE"""),"Sáb")</f>
        <v>Sáb</v>
      </c>
      <c r="S290" s="6" t="str">
        <f>IFERROR(__xludf.DUMMYFUNCTION("""COMPUTED_VALUE"""),"3PM - 6PM")</f>
        <v>3PM - 6PM</v>
      </c>
      <c r="T290" s="7" t="str">
        <f>IFERROR(__xludf.DUMMYFUNCTION("""COMPUTED_VALUE"""),"Sábado 14 Marzo")</f>
        <v>Sábado 14 Marzo</v>
      </c>
      <c r="U290" s="7" t="str">
        <f>IFERROR(__xludf.DUMMYFUNCTION("""COMPUTED_VALUE"""),"Sábado 25 Abril")</f>
        <v>Sábado 25 Abril</v>
      </c>
      <c r="V290" s="8">
        <f>IFERROR(__xludf.DUMMYFUNCTION("""COMPUTED_VALUE"""),6.0)</f>
        <v>6</v>
      </c>
      <c r="W290" s="5" t="str">
        <f>IFERROR(__xludf.DUMMYFUNCTION("""COMPUTED_VALUE"""),"pdfs/BROCHURE PLANEAMIENTO Y PRONÓSTICO DE LA DEMANDA.pdf")</f>
        <v>pdfs/BROCHURE PLANEAMIENTO Y PRONÓSTICO DE LA DEMANDA.pdf</v>
      </c>
      <c r="X290" s="5" t="str">
        <f>IFERROR(__xludf.DUMMYFUNCTION("""COMPUTED_VALUE"""),"🔵 *Utilizarán Excel* 👩🏻‍💻
👉🏼 *¡Te regalamos el Curso Excel Intermedio!*
🚨 *Por favor, revisa el BROCHURE* 👇🏻
Aqui encontrarás la información completa del programa, el TEMARIO (malla curricular) y todos los BENEFICIOS 📚")</f>
        <v>🔵 *Utilizarán Excel* 👩🏻‍💻
👉🏼 *¡Te regalamos el Curso Excel Intermedio!*
🚨 *Por favor, revisa el BROCHURE* 👇🏻
Aqui encontrarás la información completa del programa, el TEMARIO (malla curricular) y todos los BENEFICIOS 📚</v>
      </c>
      <c r="Y290" s="5" t="str">
        <f>IFERROR(__xludf.DUMMYFUNCTION("""COMPUTED_VALUE"""),"images/planypronost.jpg")</f>
        <v>images/planypronost.jpg</v>
      </c>
      <c r="Z290" s="5"/>
      <c r="AA290" s="5"/>
      <c r="AB290" s="6">
        <f>IFERROR(__xludf.DUMMYFUNCTION("""COMPUTED_VALUE"""),830.0)</f>
        <v>830</v>
      </c>
      <c r="AC290" s="6">
        <f>IFERROR(__xludf.DUMMYFUNCTION("""COMPUTED_VALUE"""),770.0)</f>
        <v>770</v>
      </c>
      <c r="AD290" s="6">
        <f>IFERROR(__xludf.DUMMYFUNCTION("""COMPUTED_VALUE"""),415.0)</f>
        <v>415</v>
      </c>
      <c r="AE290" s="6">
        <f>IFERROR(__xludf.DUMMYFUNCTION("""COMPUTED_VALUE"""),385.0)</f>
        <v>385</v>
      </c>
      <c r="AF290" s="6">
        <f>IFERROR(__xludf.DUMMYFUNCTION("""COMPUTED_VALUE"""),150.0)</f>
        <v>150</v>
      </c>
      <c r="AG290" s="5">
        <f>IFERROR(__xludf.DUMMYFUNCTION("""COMPUTED_VALUE"""),150.0)</f>
        <v>150</v>
      </c>
      <c r="AH290" s="5"/>
      <c r="AI290" s="5">
        <f>IFERROR(__xludf.DUMMYFUNCTION("""COMPUTED_VALUE"""),346.5)</f>
        <v>346.5</v>
      </c>
      <c r="AJ290" s="5">
        <f>IFERROR(__xludf.DUMMYFUNCTION("""COMPUTED_VALUE"""),373.5)</f>
        <v>373.5</v>
      </c>
      <c r="AK290" s="5" t="str">
        <f>IFERROR(__xludf.DUMMYFUNCTION("""COMPUTED_VALUE"""),"Los líderes de hoy no solo ejecutan, anticipan 💡
Con Planeamiento y Pronóstico desarrollarás habilidades para proyectar escenarios reales y tomar decisiones con visión estratégica.
Revisa la información completa aquí 👇🏻")</f>
        <v>Los líderes de hoy no solo ejecutan, anticipan 💡
Con Planeamiento y Pronóstico desarrollarás habilidades para proyectar escenarios reales y tomar decisiones con visión estratégica.
Revisa la información completa aquí 👇🏻</v>
      </c>
      <c r="AL290" s="5" t="str">
        <f>IFERROR(__xludf.DUMMYFUNCTION("""COMPUTED_VALUE"""),"Excelente 🙌, actualizarte en Planeamiento y Pronóstico te ayudará a proyectar escenarios reales 🔮 y mantenerte competitivo.")</f>
        <v>Excelente 🙌, actualizarte en Planeamiento y Pronóstico te ayudará a proyectar escenarios reales 🔮 y mantenerte competitivo.</v>
      </c>
      <c r="AM290" s="5" t="str">
        <f>IFERROR(__xludf.DUMMYFUNCTION("""COMPUTED_VALUE"""),"Buenísimo 💼, esta herramienta es clave en empresas que buscan profesionales capaces de anticipar y planear estratégicamente 🧭.")</f>
        <v>Buenísimo 💼, esta herramienta es clave en empresas que buscan profesionales capaces de anticipar y planear estratégicamente 🧭.</v>
      </c>
      <c r="AN290" s="5" t="str">
        <f>IFERROR(__xludf.DUMMYFUNCTION("""COMPUTED_VALUE"""),"¡Excelente! 🎓 Aprender Planeamiento y Pronóstico te dará visión estratégica 👀 que te diferenciará.")</f>
        <v>¡Excelente! 🎓 Aprender Planeamiento y Pronóstico te dará visión estratégica 👀 que te diferenciará.</v>
      </c>
      <c r="AO290" s="5" t="str">
        <f>IFERROR(__xludf.DUMMYFUNCTION("""COMPUTED_VALUE"""),"¡Perfecto! 🔑 Tener conocimientos en Planeamiento y Pronóstico te dará ventaja en prácticas en planeamiento o finanzas 💹.")</f>
        <v>¡Perfecto! 🔑 Tener conocimientos en Planeamiento y Pronóstico te dará ventaja en prácticas en planeamiento o finanzas 💹.</v>
      </c>
      <c r="AP290" s="5" t="str">
        <f>IFERROR(__xludf.DUMMYFUNCTION("""COMPUTED_VALUE"""),"¡Excelente! 💡 Con Planeamiento y Pronóstico podrás anticipar resultados 📈 y tomar mejores decisiones en tu negocio.")</f>
        <v>¡Excelente! 💡 Con Planeamiento y Pronóstico podrás anticipar resultados 📈 y tomar mejores decisiones en tu negocio.</v>
      </c>
      <c r="AQ290" s="9" t="str">
        <f>IFERROR(__xludf.DUMMYFUNCTION("""COMPUTED_VALUE"""),"https://we-educacion.com/slides/planeamiento-pronostico-de-la-demanda-78")</f>
        <v>https://we-educacion.com/slides/planeamiento-pronostico-de-la-demanda-78</v>
      </c>
      <c r="AR290" s="5">
        <v>1.0</v>
      </c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</row>
    <row r="291" ht="15.75" customHeight="1">
      <c r="A291" s="5" t="s">
        <v>333</v>
      </c>
      <c r="B291" s="5" t="str">
        <f t="shared" si="1"/>
        <v>MAR. I - ED26</v>
      </c>
      <c r="C291" s="6" t="str">
        <f>IFERROR(__xludf.DUMMYFUNCTION("""COMPUTED_VALUE"""),"EXCEL")</f>
        <v>EXCEL</v>
      </c>
      <c r="D291" s="6" t="str">
        <f>IFERROR(__xludf.DUMMYFUNCTION("""COMPUTED_VALUE"""),"CURSO")</f>
        <v>CURSO</v>
      </c>
      <c r="E291" s="6" t="str">
        <f>IFERROR(__xludf.DUMMYFUNCTION("""COMPUTED_VALUE"""),"PROG. MACROS")</f>
        <v>PROG. MACROS</v>
      </c>
      <c r="F291" s="7">
        <f>IFERROR(__xludf.DUMMYFUNCTION("""COMPUTED_VALUE"""),46095.0)</f>
        <v>46095</v>
      </c>
      <c r="G291" s="6"/>
      <c r="H291" s="7"/>
      <c r="I291" s="6"/>
      <c r="J291" s="7"/>
      <c r="K291" s="6"/>
      <c r="L291" s="7"/>
      <c r="M291" s="6"/>
      <c r="N291" s="7"/>
      <c r="O291" s="6"/>
      <c r="P291" s="7"/>
      <c r="Q291" s="6" t="str">
        <f>IFERROR(__xludf.DUMMYFUNCTION("""COMPUTED_VALUE"""),"Julio Ccari")</f>
        <v>Julio Ccari</v>
      </c>
      <c r="R291" s="5" t="str">
        <f>IFERROR(__xludf.DUMMYFUNCTION("""COMPUTED_VALUE"""),"Sáb")</f>
        <v>Sáb</v>
      </c>
      <c r="S291" s="6" t="str">
        <f>IFERROR(__xludf.DUMMYFUNCTION("""COMPUTED_VALUE"""),"3PM - 6PM")</f>
        <v>3PM - 6PM</v>
      </c>
      <c r="T291" s="7" t="str">
        <f>IFERROR(__xludf.DUMMYFUNCTION("""COMPUTED_VALUE"""),"Sábado 14 Marzo")</f>
        <v>Sábado 14 Marzo</v>
      </c>
      <c r="U291" s="7" t="str">
        <f>IFERROR(__xludf.DUMMYFUNCTION("""COMPUTED_VALUE"""),"Sábado 18 Abril")</f>
        <v>Sábado 18 Abril</v>
      </c>
      <c r="V291" s="8">
        <f>IFERROR(__xludf.DUMMYFUNCTION("""COMPUTED_VALUE"""),6.0)</f>
        <v>6</v>
      </c>
      <c r="W291" s="5" t="str">
        <f>IFERROR(__xludf.DUMMYFUNCTION("""COMPUTED_VALUE"""),"pdfs/BROCHURE PROGRAMACION CON VBA MACROS.pdf")</f>
        <v>pdfs/BROCHURE PROGRAMACION CON VBA MACROS.pdf</v>
      </c>
      <c r="X291" s="5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91" s="5" t="str">
        <f>IFERROR(__xludf.DUMMYFUNCTION("""COMPUTED_VALUE"""),"images/macros.jpg")</f>
        <v>images/macros.jpg</v>
      </c>
      <c r="Z291" s="5" t="str">
        <f>IFERROR(__xludf.DUMMYFUNCTION("""COMPUTED_VALUE"""),"Avalado por Microsoft Partner Network")</f>
        <v>Avalado por Microsoft Partner Network</v>
      </c>
      <c r="AA291" s="5" t="str">
        <f>IFERROR(__xludf.DUMMYFUNCTION("""COMPUTED_VALUE"""),"NO")</f>
        <v>NO</v>
      </c>
      <c r="AB291" s="6">
        <f>IFERROR(__xludf.DUMMYFUNCTION("""COMPUTED_VALUE"""),470.0)</f>
        <v>470</v>
      </c>
      <c r="AC291" s="6">
        <f>IFERROR(__xludf.DUMMYFUNCTION("""COMPUTED_VALUE"""),440.0)</f>
        <v>440</v>
      </c>
      <c r="AD291" s="6">
        <f>IFERROR(__xludf.DUMMYFUNCTION("""COMPUTED_VALUE"""),235.0)</f>
        <v>235</v>
      </c>
      <c r="AE291" s="6">
        <f>IFERROR(__xludf.DUMMYFUNCTION("""COMPUTED_VALUE"""),220.0)</f>
        <v>220</v>
      </c>
      <c r="AF291" s="6">
        <f>IFERROR(__xludf.DUMMYFUNCTION("""COMPUTED_VALUE"""),150.0)</f>
        <v>150</v>
      </c>
      <c r="AG291" s="5">
        <f>IFERROR(__xludf.DUMMYFUNCTION("""COMPUTED_VALUE"""),150.0)</f>
        <v>150</v>
      </c>
      <c r="AH291" s="5"/>
      <c r="AI291" s="5">
        <f>IFERROR(__xludf.DUMMYFUNCTION("""COMPUTED_VALUE"""),198.0)</f>
        <v>198</v>
      </c>
      <c r="AJ291" s="5">
        <f>IFERROR(__xludf.DUMMYFUNCTION("""COMPUTED_VALUE"""),211.5)</f>
        <v>211.5</v>
      </c>
      <c r="AK291" s="5" t="str">
        <f>IFERROR(__xludf.DUMMYFUNCTION("""COMPUTED_VALUE"""),"El poder está en la automatización 📊
Con Programación en Macros aprenderás a optimizar procesos en Excel y ahorrar tiempo valioso ⏱️.
Aquí tienes la info 👇🏻")</f>
        <v>El poder está en la automatización 📊
Con Programación en Macros aprenderás a optimizar procesos en Excel y ahorrar tiempo valioso ⏱️.
Aquí tienes la info 👇🏻</v>
      </c>
      <c r="AL291" s="5" t="str">
        <f>IFERROR(__xludf.DUMMYFUNCTION("""COMPUTED_VALUE"""),"⚡ Excelente, actualízate con Macros en Excel y mejora tu productividad en el trabajo.")</f>
        <v>⚡ Excelente, actualízate con Macros en Excel y mejora tu productividad en el trabajo.</v>
      </c>
      <c r="AM291" s="5" t="str">
        <f>IFERROR(__xludf.DUMMYFUNCTION("""COMPUTED_VALUE"""),"💼 Buenísimo, dominar Macros es muy valorado en empresas para automatizar reportes.")</f>
        <v>💼 Buenísimo, dominar Macros es muy valorado en empresas para automatizar reportes.</v>
      </c>
      <c r="AN291" s="5" t="str">
        <f>IFERROR(__xludf.DUMMYFUNCTION("""COMPUTED_VALUE"""),"🎓 ¡Genial! Aprender Macros desde la universidad te hará más eficiente en proyectos académicos.")</f>
        <v>🎓 ¡Genial! Aprender Macros desde la universidad te hará más eficiente en proyectos académicos.</v>
      </c>
      <c r="AO291" s="5" t="str">
        <f>IFERROR(__xludf.DUMMYFUNCTION("""COMPUTED_VALUE"""),"🚀 ¡Perfecto! Con Macros podrás sobresalir en prácticas de áreas administrativas y financieras.")</f>
        <v>🚀 ¡Perfecto! Con Macros podrás sobresalir en prácticas de áreas administrativas y financieras.</v>
      </c>
      <c r="AP291" s="5" t="str">
        <f>IFERROR(__xludf.DUMMYFUNCTION("""COMPUTED_VALUE"""),"📊 ¡Excelente! Las Macros te permitirán ahorrar tiempo y optimizar tus procesos de negocio.")</f>
        <v>📊 ¡Excelente! Las Macros te permitirán ahorrar tiempo y optimizar tus procesos de negocio.</v>
      </c>
      <c r="AQ291" s="9" t="str">
        <f>IFERROR(__xludf.DUMMYFUNCTION("""COMPUTED_VALUE"""),"https://we-educacion.com/slides/programacion-con-vba-macros-en-excel-159")</f>
        <v>https://we-educacion.com/slides/programacion-con-vba-macros-en-excel-159</v>
      </c>
      <c r="AR291" s="5">
        <v>1.0</v>
      </c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</row>
    <row r="292" ht="15.75" customHeight="1">
      <c r="A292" s="5" t="s">
        <v>334</v>
      </c>
      <c r="B292" s="5" t="str">
        <f t="shared" si="1"/>
        <v>MAR. II - ED26</v>
      </c>
      <c r="C292" s="6" t="str">
        <f>IFERROR(__xludf.DUMMYFUNCTION("""COMPUTED_VALUE"""),"EXCEL")</f>
        <v>EXCEL</v>
      </c>
      <c r="D292" s="6" t="str">
        <f>IFERROR(__xludf.DUMMYFUNCTION("""COMPUTED_VALUE"""),"CURSO")</f>
        <v>CURSO</v>
      </c>
      <c r="E292" s="6" t="str">
        <f>IFERROR(__xludf.DUMMYFUNCTION("""COMPUTED_VALUE"""),"EXCEL INTERM")</f>
        <v>EXCEL INTERM</v>
      </c>
      <c r="F292" s="7">
        <f>IFERROR(__xludf.DUMMYFUNCTION("""COMPUTED_VALUE"""),46095.0)</f>
        <v>46095</v>
      </c>
      <c r="G292" s="6"/>
      <c r="H292" s="7"/>
      <c r="I292" s="6"/>
      <c r="J292" s="7"/>
      <c r="K292" s="6"/>
      <c r="L292" s="7"/>
      <c r="M292" s="6"/>
      <c r="N292" s="7"/>
      <c r="O292" s="6"/>
      <c r="P292" s="7"/>
      <c r="Q292" s="6" t="str">
        <f>IFERROR(__xludf.DUMMYFUNCTION("""COMPUTED_VALUE"""),"Jonathan Sanchez")</f>
        <v>Jonathan Sanchez</v>
      </c>
      <c r="R292" s="5" t="str">
        <f>IFERROR(__xludf.DUMMYFUNCTION("""COMPUTED_VALUE"""),"Sáb")</f>
        <v>Sáb</v>
      </c>
      <c r="S292" s="6" t="str">
        <f>IFERROR(__xludf.DUMMYFUNCTION("""COMPUTED_VALUE"""),"3PM - 6PM")</f>
        <v>3PM - 6PM</v>
      </c>
      <c r="T292" s="7" t="str">
        <f>IFERROR(__xludf.DUMMYFUNCTION("""COMPUTED_VALUE"""),"Sábado 14 Marzo")</f>
        <v>Sábado 14 Marzo</v>
      </c>
      <c r="U292" s="7" t="str">
        <f>IFERROR(__xludf.DUMMYFUNCTION("""COMPUTED_VALUE"""),"Sábado 25 Abril")</f>
        <v>Sábado 25 Abril</v>
      </c>
      <c r="V292" s="8">
        <f>IFERROR(__xludf.DUMMYFUNCTION("""COMPUTED_VALUE"""),6.0)</f>
        <v>6</v>
      </c>
      <c r="W292" s="5" t="str">
        <f>IFERROR(__xludf.DUMMYFUNCTION("""COMPUTED_VALUE"""),"pdfs/BROCHURE EXCEL INTERMEDIO.pdf")</f>
        <v>pdfs/BROCHURE EXCEL INTERMEDIO.pdf</v>
      </c>
      <c r="X292" s="5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92" s="5" t="str">
        <f>IFERROR(__xludf.DUMMYFUNCTION("""COMPUTED_VALUE"""),"images/excelinterm.jpg")</f>
        <v>images/excelinterm.jpg</v>
      </c>
      <c r="Z292" s="5" t="str">
        <f>IFERROR(__xludf.DUMMYFUNCTION("""COMPUTED_VALUE"""),"Avalado por Microsoft Partner Network")</f>
        <v>Avalado por Microsoft Partner Network</v>
      </c>
      <c r="AA292" s="5" t="str">
        <f>IFERROR(__xludf.DUMMYFUNCTION("""COMPUTED_VALUE"""),"NO")</f>
        <v>NO</v>
      </c>
      <c r="AB292" s="6">
        <f>IFERROR(__xludf.DUMMYFUNCTION("""COMPUTED_VALUE"""),420.0)</f>
        <v>420</v>
      </c>
      <c r="AC292" s="6">
        <f>IFERROR(__xludf.DUMMYFUNCTION("""COMPUTED_VALUE"""),400.0)</f>
        <v>400</v>
      </c>
      <c r="AD292" s="6">
        <f>IFERROR(__xludf.DUMMYFUNCTION("""COMPUTED_VALUE"""),210.0)</f>
        <v>210</v>
      </c>
      <c r="AE292" s="6">
        <f>IFERROR(__xludf.DUMMYFUNCTION("""COMPUTED_VALUE"""),200.0)</f>
        <v>200</v>
      </c>
      <c r="AF292" s="6">
        <f>IFERROR(__xludf.DUMMYFUNCTION("""COMPUTED_VALUE"""),150.0)</f>
        <v>150</v>
      </c>
      <c r="AG292" s="5">
        <f>IFERROR(__xludf.DUMMYFUNCTION("""COMPUTED_VALUE"""),150.0)</f>
        <v>150</v>
      </c>
      <c r="AH292" s="5"/>
      <c r="AI292" s="5">
        <f>IFERROR(__xludf.DUMMYFUNCTION("""COMPUTED_VALUE"""),180.0)</f>
        <v>180</v>
      </c>
      <c r="AJ292" s="5">
        <f>IFERROR(__xludf.DUMMYFUNCTION("""COMPUTED_VALUE"""),189.0)</f>
        <v>189</v>
      </c>
      <c r="AK292" s="5" t="str">
        <f>IFERROR(__xludf.DUMMYFUNCTION("""COMPUTED_VALUE"""),"El siguiente paso en tu crecimiento es Excel Intermedio 🚀
Consolidarás fórmulas, tablas y reportes aplicables en entornos reales de trabajo 💻.
Aquí tienes la info 👇🏻")</f>
        <v>El siguiente paso en tu crecimiento es Excel Intermedio 🚀
Consolidarás fórmulas, tablas y reportes aplicables en entornos reales de trabajo 💻.
Aquí tienes la info 👇🏻</v>
      </c>
      <c r="AL292" s="5" t="str">
        <f>IFERROR(__xludf.DUMMYFUNCTION("""COMPUTED_VALUE"""),"💼 *Excelente*, actualízate con *EXCEL INTERM* y mantente competitivo en el mercado laboral.")</f>
        <v>💼 *Excelente*, actualízate con *EXCEL INTERM* y mantente competitivo en el mercado laboral.</v>
      </c>
      <c r="AM292" s="5" t="str">
        <f>IFERROR(__xludf.DUMMYFUNCTION("""COMPUTED_VALUE"""),"📘 Buenísimo, *EXCEL INTERM* es de las competencias más pedidas por las empresas y aumentará tus oportunidades laborales.")</f>
        <v>📘 Buenísimo, *EXCEL INTERM* es de las competencias más pedidas por las empresas y aumentará tus oportunidades laborales.</v>
      </c>
      <c r="AN292" s="5" t="str">
        <f>IFERROR(__xludf.DUMMYFUNCTION("""COMPUTED_VALUE"""),"🔑 ¡Genial! Con *EXCEL INTERM* sumarás una habilidad poderosa que te diferenciará desde la universidad.")</f>
        <v>🔑 ¡Genial! Con *EXCEL INTERM* sumarás una habilidad poderosa que te diferenciará desde la universidad.</v>
      </c>
      <c r="AO292" s="5" t="str">
        <f>IFERROR(__xludf.DUMMYFUNCTION("""COMPUTED_VALUE"""),"🔑 ¡Perfecto! Saber *EXCEL INTERM* te dará ventaja frente a otros postulantes para conseguir prácticas.")</f>
        <v>🔑 ¡Perfecto! Saber *EXCEL INTERM* te dará ventaja frente a otros postulantes para conseguir prácticas.</v>
      </c>
      <c r="AP292" s="5" t="str">
        <f>IFERROR(__xludf.DUMMYFUNCTION("""COMPUTED_VALUE"""),"✨ ¡Excelente! Con *EXCEL INTERM* podrás aplicarlo en tu negocio y tomar decisiones más inteligentes.")</f>
        <v>✨ ¡Excelente! Con *EXCEL INTERM* podrás aplicarlo en tu negocio y tomar decisiones más inteligentes.</v>
      </c>
      <c r="AQ292" s="9" t="str">
        <f>IFERROR(__xludf.DUMMYFUNCTION("""COMPUTED_VALUE"""),"https://we-educacion.com/slides/microsoft-excel-intermedio-82")</f>
        <v>https://we-educacion.com/slides/microsoft-excel-intermedio-82</v>
      </c>
      <c r="AR292" s="5">
        <v>1.0</v>
      </c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</row>
    <row r="293" ht="15.75" customHeight="1">
      <c r="A293" s="5" t="s">
        <v>335</v>
      </c>
      <c r="B293" s="5" t="str">
        <f t="shared" si="1"/>
        <v>MAR. I - ED26</v>
      </c>
      <c r="C293" s="6" t="str">
        <f>IFERROR(__xludf.DUMMYFUNCTION("""COMPUTED_VALUE"""),"PROCESOS")</f>
        <v>PROCESOS</v>
      </c>
      <c r="D293" s="5" t="str">
        <f>IFERROR(__xludf.DUMMYFUNCTION("""COMPUTED_VALUE"""),"CURSO")</f>
        <v>CURSO</v>
      </c>
      <c r="E293" s="6" t="str">
        <f>IFERROR(__xludf.DUMMYFUNCTION("""COMPUTED_VALUE"""),"MODEL BIZ.")</f>
        <v>MODEL BIZ.</v>
      </c>
      <c r="F293" s="7">
        <f>IFERROR(__xludf.DUMMYFUNCTION("""COMPUTED_VALUE"""),46095.0)</f>
        <v>46095</v>
      </c>
      <c r="G293" s="6"/>
      <c r="H293" s="7"/>
      <c r="I293" s="6"/>
      <c r="J293" s="7"/>
      <c r="K293" s="6"/>
      <c r="L293" s="7"/>
      <c r="M293" s="6"/>
      <c r="N293" s="7"/>
      <c r="O293" s="6"/>
      <c r="P293" s="7"/>
      <c r="Q293" s="6" t="str">
        <f>IFERROR(__xludf.DUMMYFUNCTION("""COMPUTED_VALUE"""),"Julio Dávila")</f>
        <v>Julio Dávila</v>
      </c>
      <c r="R293" s="5" t="str">
        <f>IFERROR(__xludf.DUMMYFUNCTION("""COMPUTED_VALUE"""),"Sáb")</f>
        <v>Sáb</v>
      </c>
      <c r="S293" s="6" t="str">
        <f>IFERROR(__xludf.DUMMYFUNCTION("""COMPUTED_VALUE"""),"3PM - 6PM")</f>
        <v>3PM - 6PM</v>
      </c>
      <c r="T293" s="7" t="str">
        <f>IFERROR(__xludf.DUMMYFUNCTION("""COMPUTED_VALUE"""),"Sábado 14 Marzo")</f>
        <v>Sábado 14 Marzo</v>
      </c>
      <c r="U293" s="7" t="str">
        <f>IFERROR(__xludf.DUMMYFUNCTION("""COMPUTED_VALUE"""),"Sábado 25 Abril")</f>
        <v>Sábado 25 Abril</v>
      </c>
      <c r="V293" s="8">
        <f>IFERROR(__xludf.DUMMYFUNCTION("""COMPUTED_VALUE"""),6.0)</f>
        <v>6</v>
      </c>
      <c r="W293" s="5" t="str">
        <f>IFERROR(__xludf.DUMMYFUNCTION("""COMPUTED_VALUE"""),"pdfs/BROCHURE MODELAMIENTO DE PROCESOS CON BIZAGI.pdf")</f>
        <v>pdfs/BROCHURE MODELAMIENTO DE PROCESOS CON BIZAGI.pdf</v>
      </c>
      <c r="X293" s="5" t="str">
        <f>IFERROR(__xludf.DUMMYFUNCTION("""COMPUTED_VALUE"""),"🔵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programa"&amp;", el TEMARIO (malla curricular) y todos los BENEFICIOS 📚")</f>
        <v>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programa, el TEMARIO (malla curricular) y todos los BENEFICIOS 📚</v>
      </c>
      <c r="Y293" s="5" t="str">
        <f>IFERROR(__xludf.DUMMYFUNCTION("""COMPUTED_VALUE"""),"images/bizagi.jpg")</f>
        <v>images/bizagi.jpg</v>
      </c>
      <c r="Z293" s="5"/>
      <c r="AA293" s="5" t="str">
        <f>IFERROR(__xludf.DUMMYFUNCTION("""COMPUTED_VALUE"""),"NO")</f>
        <v>NO</v>
      </c>
      <c r="AB293" s="6">
        <f>IFERROR(__xludf.DUMMYFUNCTION("""COMPUTED_VALUE"""),610.0)</f>
        <v>610</v>
      </c>
      <c r="AC293" s="6">
        <f>IFERROR(__xludf.DUMMYFUNCTION("""COMPUTED_VALUE"""),550.0)</f>
        <v>550</v>
      </c>
      <c r="AD293" s="6">
        <f>IFERROR(__xludf.DUMMYFUNCTION("""COMPUTED_VALUE"""),305.0)</f>
        <v>305</v>
      </c>
      <c r="AE293" s="6">
        <f>IFERROR(__xludf.DUMMYFUNCTION("""COMPUTED_VALUE"""),275.0)</f>
        <v>275</v>
      </c>
      <c r="AF293" s="6">
        <f>IFERROR(__xludf.DUMMYFUNCTION("""COMPUTED_VALUE"""),150.0)</f>
        <v>150</v>
      </c>
      <c r="AG293" s="5">
        <f>IFERROR(__xludf.DUMMYFUNCTION("""COMPUTED_VALUE"""),150.0)</f>
        <v>150</v>
      </c>
      <c r="AH293" s="5"/>
      <c r="AI293" s="5">
        <f>IFERROR(__xludf.DUMMYFUNCTION("""COMPUTED_VALUE"""),247.5)</f>
        <v>247.5</v>
      </c>
      <c r="AJ293" s="5">
        <f>IFERROR(__xludf.DUMMYFUNCTION("""COMPUTED_VALUE"""),274.5)</f>
        <v>274.5</v>
      </c>
      <c r="AK293" s="5" t="str">
        <f>IFERROR(__xludf.DUMMYFUNCTION("""COMPUTED_VALUE"""),"*Entender el proceso es clave para cualquier proyecto* 🚀 
Aprende a diseñar, optimizar y automatizar procesos con Bizagi de forma práctica ⚙️
Ahora te adjunto la información a detalle 👇🏻")</f>
        <v>*Entender el proceso es clave para cualquier proyecto* 🚀 
Aprende a diseñar, optimizar y automatizar procesos con Bizagi de forma práctica ⚙️
Ahora te adjunto la información a detalle 👇🏻</v>
      </c>
      <c r="AL293" s="5" t="str">
        <f>IFERROR(__xludf.DUMMYFUNCTION("""COMPUTED_VALUE"""),"📈 Excelente, actualízate con Model Biz. y potencia tu visión estratégica en los negocios.")</f>
        <v>📈 Excelente, actualízate con Model Biz. y potencia tu visión estratégica en los negocios.</v>
      </c>
      <c r="AM293" s="5" t="str">
        <f>IFERROR(__xludf.DUMMYFUNCTION("""COMPUTED_VALUE"""),"💼 Buenísimo, dominar Model Biz. te dará más oportunidades en empresas que buscan perfiles analíticos.")</f>
        <v>💼 Buenísimo, dominar Model Biz. te dará más oportunidades en empresas que buscan perfiles analíticos.</v>
      </c>
      <c r="AN293" s="5" t="str">
        <f>IFERROR(__xludf.DUMMYFUNCTION("""COMPUTED_VALUE"""),"🎓 ¡Genial! Con Model Biz. sumarás una habilidad clave que te diferenciará desde la universidad.")</f>
        <v>🎓 ¡Genial! Con Model Biz. sumarás una habilidad clave que te diferenciará desde la universidad.</v>
      </c>
      <c r="AO293" s="5" t="str">
        <f>IFERROR(__xludf.DUMMYFUNCTION("""COMPUTED_VALUE"""),"🚀 ¡Perfecto! Conocer Model Biz. será un plus para destacar en prácticas profesionales.")</f>
        <v>🚀 ¡Perfecto! Conocer Model Biz. será un plus para destacar en prácticas profesionales.</v>
      </c>
      <c r="AP293" s="5" t="str">
        <f>IFERROR(__xludf.DUMMYFUNCTION("""COMPUTED_VALUE"""),"📊 ¡Excelente! Con Model Biz. podrás optimizar tu propio negocio y tomar decisiones más inteligentes.")</f>
        <v>📊 ¡Excelente! Con Model Biz. podrás optimizar tu propio negocio y tomar decisiones más inteligentes.</v>
      </c>
      <c r="AQ293" s="9" t="str">
        <f>IFERROR(__xludf.DUMMYFUNCTION("""COMPUTED_VALUE"""),"https://we-educacion.com/slides/modelamiento-de-procesos-con-bizagi-118")</f>
        <v>https://we-educacion.com/slides/modelamiento-de-procesos-con-bizagi-118</v>
      </c>
      <c r="AR293" s="5">
        <v>1.0</v>
      </c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</row>
    <row r="294" ht="15.75" customHeight="1">
      <c r="A294" s="5" t="s">
        <v>336</v>
      </c>
      <c r="B294" s="5" t="str">
        <f t="shared" si="1"/>
        <v>MAR. I - ED26</v>
      </c>
      <c r="C294" s="6" t="str">
        <f>IFERROR(__xludf.DUMMYFUNCTION("""COMPUTED_VALUE"""),"PROYECTOS")</f>
        <v>PROYECTOS</v>
      </c>
      <c r="D294" s="6" t="str">
        <f>IFERROR(__xludf.DUMMYFUNCTION("""COMPUTED_VALUE"""),"CURSO")</f>
        <v>CURSO</v>
      </c>
      <c r="E294" s="6" t="str">
        <f>IFERROR(__xludf.DUMMYFUNCTION("""COMPUTED_VALUE"""),"PMO")</f>
        <v>PMO</v>
      </c>
      <c r="F294" s="7">
        <f>IFERROR(__xludf.DUMMYFUNCTION("""COMPUTED_VALUE"""),46095.0)</f>
        <v>46095</v>
      </c>
      <c r="G294" s="6"/>
      <c r="H294" s="7"/>
      <c r="I294" s="6"/>
      <c r="J294" s="7"/>
      <c r="K294" s="6"/>
      <c r="L294" s="7"/>
      <c r="M294" s="6"/>
      <c r="N294" s="7"/>
      <c r="O294" s="6"/>
      <c r="P294" s="7"/>
      <c r="Q294" s="6" t="str">
        <f>IFERROR(__xludf.DUMMYFUNCTION("""COMPUTED_VALUE"""),"Aurio de la Cruz")</f>
        <v>Aurio de la Cruz</v>
      </c>
      <c r="R294" s="5" t="str">
        <f>IFERROR(__xludf.DUMMYFUNCTION("""COMPUTED_VALUE"""),"Sáb")</f>
        <v>Sáb</v>
      </c>
      <c r="S294" s="6" t="str">
        <f>IFERROR(__xludf.DUMMYFUNCTION("""COMPUTED_VALUE"""),"3PM - 6PM")</f>
        <v>3PM - 6PM</v>
      </c>
      <c r="T294" s="7" t="str">
        <f>IFERROR(__xludf.DUMMYFUNCTION("""COMPUTED_VALUE"""),"Sábado 14 Marzo")</f>
        <v>Sábado 14 Marzo</v>
      </c>
      <c r="U294" s="7" t="str">
        <f>IFERROR(__xludf.DUMMYFUNCTION("""COMPUTED_VALUE"""),"Sábado 25 Abril")</f>
        <v>Sábado 25 Abril</v>
      </c>
      <c r="V294" s="8">
        <f>IFERROR(__xludf.DUMMYFUNCTION("""COMPUTED_VALUE"""),6.0)</f>
        <v>6</v>
      </c>
      <c r="W294" s="5" t="str">
        <f>IFERROR(__xludf.DUMMYFUNCTION("""COMPUTED_VALUE"""),"pdfs/BROCHURE PMO GESTIÓN DE PORTAFOLIO (1).pdf")</f>
        <v>pdfs/BROCHURE PMO GESTIÓN DE PORTAFOLIO (1).pdf</v>
      </c>
      <c r="X294" s="5" t="str">
        <f>IFERROR(__xludf.DUMMYFUNCTION("""COMPUTED_VALUE"""),"🔹 Utilizarán Excel 👩🏻‍💻
🚨 Por favor, revisa el BROCHURE 👇🏻
Aqui encontrarás la información completa del programa: Temario (malla curricular) y todos los BENEFICIOS 📚
👉🏼 Te comparto un Modelo de Certificado que elevará tu perfil profesional ")</f>
        <v>🔹 Utilizarán Excel 👩🏻‍💻
🚨 Por favor, revisa el BROCHURE 👇🏻
Aqui encontrarás la información completa del programa: Temario (malla curricular) y todos los BENEFICIOS 📚
👉🏼 Te comparto un Modelo de Certificado que elevará tu perfil profesional </v>
      </c>
      <c r="Y294" s="5"/>
      <c r="Z294" s="5"/>
      <c r="AA294" s="5"/>
      <c r="AB294" s="6">
        <f>IFERROR(__xludf.DUMMYFUNCTION("""COMPUTED_VALUE"""),710.0)</f>
        <v>710</v>
      </c>
      <c r="AC294" s="6">
        <f>IFERROR(__xludf.DUMMYFUNCTION("""COMPUTED_VALUE"""),610.0)</f>
        <v>610</v>
      </c>
      <c r="AD294" s="6">
        <f>IFERROR(__xludf.DUMMYFUNCTION("""COMPUTED_VALUE"""),355.0)</f>
        <v>355</v>
      </c>
      <c r="AE294" s="6">
        <f>IFERROR(__xludf.DUMMYFUNCTION("""COMPUTED_VALUE"""),305.0)</f>
        <v>305</v>
      </c>
      <c r="AF294" s="6">
        <f>IFERROR(__xludf.DUMMYFUNCTION("""COMPUTED_VALUE"""),150.0)</f>
        <v>150</v>
      </c>
      <c r="AG294" s="5">
        <f>IFERROR(__xludf.DUMMYFUNCTION("""COMPUTED_VALUE"""),150.0)</f>
        <v>150</v>
      </c>
      <c r="AH294" s="5"/>
      <c r="AI294" s="5">
        <f>IFERROR(__xludf.DUMMYFUNCTION("""COMPUTED_VALUE"""),274.5)</f>
        <v>274.5</v>
      </c>
      <c r="AJ294" s="5">
        <f>IFERROR(__xludf.DUMMYFUNCTION("""COMPUTED_VALUE"""),319.5)</f>
        <v>319.5</v>
      </c>
      <c r="AK294" s="5" t="str">
        <f>IFERROR(__xludf.DUMMYFUNCTION("""COMPUTED_VALUE"""),"El éxito en proyectos grandes nace de una Oficina de Proyectos sólida 📌
Con PMO aprenderás a estandarizar, supervisar y optimizar la gestión de proyectos en tu organización 🚀.
Aquí tienes la info 👇🏻")</f>
        <v>El éxito en proyectos grandes nace de una Oficina de Proyectos sólida 📌
Con PMO aprenderás a estandarizar, supervisar y optimizar la gestión de proyectos en tu organización 🚀.
Aquí tienes la info 👇🏻</v>
      </c>
      <c r="AL294" s="5" t="str">
        <f>IFERROR(__xludf.DUMMYFUNCTION("""COMPUTED_VALUE"""),"📈 Excelente, actualízate con PMO y aprende a estructurar la gestión de proyectos a nivel organizacional.")</f>
        <v>📈 Excelente, actualízate con PMO y aprende a estructurar la gestión de proyectos a nivel organizacional.</v>
      </c>
      <c r="AM294" s="5" t="str">
        <f>IFERROR(__xludf.DUMMYFUNCTION("""COMPUTED_VALUE"""),"💼 Buenísimo, PMO es clave para acceder a posiciones de gestión en grandes compañías.")</f>
        <v>💼 Buenísimo, PMO es clave para acceder a posiciones de gestión en grandes compañías.</v>
      </c>
      <c r="AN294" s="5" t="str">
        <f>IFERROR(__xludf.DUMMYFUNCTION("""COMPUTED_VALUE"""),"🎓 ¡Genial! Con PMO tendrás conocimientos que te diferenciarán en la universidad.")</f>
        <v>🎓 ¡Genial! Con PMO tendrás conocimientos que te diferenciarán en la universidad.</v>
      </c>
      <c r="AO294" s="5" t="str">
        <f>IFERROR(__xludf.DUMMYFUNCTION("""COMPUTED_VALUE"""),"🚀 ¡Perfecto! Manejar PMO será un plus en postulaciones a prácticas en proyectos.")</f>
        <v>🚀 ¡Perfecto! Manejar PMO será un plus en postulaciones a prácticas en proyectos.</v>
      </c>
      <c r="AP294" s="5" t="str">
        <f>IFERROR(__xludf.DUMMYFUNCTION("""COMPUTED_VALUE"""),"📊 ¡Excelente! Con PMO podrás implementar mejores procesos de gestión en tu propio negocio.")</f>
        <v>📊 ¡Excelente! Con PMO podrás implementar mejores procesos de gestión en tu propio negocio.</v>
      </c>
      <c r="AQ294" s="9" t="str">
        <f>IFERROR(__xludf.DUMMYFUNCTION("""COMPUTED_VALUE"""),"https://we-educacion.com/slides/pmo-gestion-de-portafolio-y-oficina-de-proyectos-1213")</f>
        <v>https://we-educacion.com/slides/pmo-gestion-de-portafolio-y-oficina-de-proyectos-1213</v>
      </c>
      <c r="AR294" s="5">
        <v>1.0</v>
      </c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</row>
    <row r="295" ht="15.75" customHeight="1">
      <c r="A295" s="5" t="s">
        <v>337</v>
      </c>
      <c r="B295" s="5" t="str">
        <f t="shared" si="1"/>
        <v>MAR. I - ED26</v>
      </c>
      <c r="C295" s="6" t="str">
        <f>IFERROR(__xludf.DUMMYFUNCTION("""COMPUTED_VALUE"""),"EXCEL")</f>
        <v>EXCEL</v>
      </c>
      <c r="D295" s="5" t="str">
        <f>IFERROR(__xludf.DUMMYFUNCTION("""COMPUTED_VALUE"""),"ESP.")</f>
        <v>ESP.</v>
      </c>
      <c r="E295" s="6" t="str">
        <f>IFERROR(__xludf.DUMMYFUNCTION("""COMPUTED_VALUE"""),"ESP. EXCEL EXP")</f>
        <v>ESP. EXCEL EXP</v>
      </c>
      <c r="F295" s="7">
        <f>IFERROR(__xludf.DUMMYFUNCTION("""COMPUTED_VALUE"""),46095.0)</f>
        <v>46095</v>
      </c>
      <c r="G295" s="6" t="str">
        <f>IFERROR(__xludf.DUMMYFUNCTION("""COMPUTED_VALUE"""),"EXCEL BÁSICO")</f>
        <v>EXCEL BÁSICO</v>
      </c>
      <c r="H295" s="7">
        <f>IFERROR(__xludf.DUMMYFUNCTION("""COMPUTED_VALUE"""),46095.0)</f>
        <v>46095</v>
      </c>
      <c r="I295" s="6" t="str">
        <f>IFERROR(__xludf.DUMMYFUNCTION("""COMPUTED_VALUE"""),"EXCEL INTERM")</f>
        <v>EXCEL INTERM</v>
      </c>
      <c r="J295" s="7">
        <f>IFERROR(__xludf.DUMMYFUNCTION("""COMPUTED_VALUE"""),46130.0)</f>
        <v>46130</v>
      </c>
      <c r="K295" s="6" t="str">
        <f>IFERROR(__xludf.DUMMYFUNCTION("""COMPUTED_VALUE"""),"EXCEL AVANZ")</f>
        <v>EXCEL AVANZ</v>
      </c>
      <c r="L295" s="7">
        <f>IFERROR(__xludf.DUMMYFUNCTION("""COMPUTED_VALUE"""),46172.0)</f>
        <v>46172</v>
      </c>
      <c r="M295" s="6" t="str">
        <f>IFERROR(__xludf.DUMMYFUNCTION("""COMPUTED_VALUE"""),"PROG. MACROS")</f>
        <v>PROG. MACROS</v>
      </c>
      <c r="N295" s="7">
        <f>IFERROR(__xludf.DUMMYFUNCTION("""COMPUTED_VALUE"""),46214.0)</f>
        <v>46214</v>
      </c>
      <c r="O295" s="6"/>
      <c r="P295" s="7"/>
      <c r="Q295" s="6"/>
      <c r="R295" s="5" t="str">
        <f>IFERROR(__xludf.DUMMYFUNCTION("""COMPUTED_VALUE"""),"Sáb")</f>
        <v>Sáb</v>
      </c>
      <c r="S295" s="6" t="str">
        <f>IFERROR(__xludf.DUMMYFUNCTION("""COMPUTED_VALUE"""),"3PM - 6PM")</f>
        <v>3PM - 6PM</v>
      </c>
      <c r="T295" s="7" t="str">
        <f>IFERROR(__xludf.DUMMYFUNCTION("""COMPUTED_VALUE"""),"Sábado 14 Marzo")</f>
        <v>Sábado 14 Marzo</v>
      </c>
      <c r="U295" s="7" t="str">
        <f>IFERROR(__xludf.DUMMYFUNCTION("""COMPUTED_VALUE"""),"Sábado 15 Agosto")</f>
        <v>Sábado 15 Agosto</v>
      </c>
      <c r="V295" s="8">
        <f>IFERROR(__xludf.DUMMYFUNCTION("""COMPUTED_VALUE"""),23.0)</f>
        <v>23</v>
      </c>
      <c r="W295" s="5" t="str">
        <f>IFERROR(__xludf.DUMMYFUNCTION("""COMPUTED_VALUE"""),"pdfs/BROCHURE ESPECIALIZACION DE EXCEL EXPERT.pdf")</f>
        <v>pdfs/BROCHURE ESPECIALIZACION DE EXCEL EXPERT.pdf</v>
      </c>
      <c r="X295" s="5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MOS*
🔹 "&amp;"05 Cursos Online de regalo con acceso ilimitado 📚
🔹 Desarrollo y seguimiento de tu proyecto *(Evaluado)*
🔹 Contenido Integrado con Chat GPT
🔹 Garantía de Aprendizaje 100%
🚨 *Por favor, revisa el BROCHURE* 👇🏻
Aqui encontrarás la información complet"&amp;"a del programa, el TEMARIO (malla curricular) y todos los BENEFICIOS 📚")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95" s="5" t="str">
        <f>IFERROR(__xludf.DUMMYFUNCTION("""COMPUTED_VALUE"""),"images/excelexp.jpg")</f>
        <v>images/excelexp.jpg</v>
      </c>
      <c r="Z295" s="5" t="str">
        <f>IFERROR(__xludf.DUMMYFUNCTION("""COMPUTED_VALUE"""),"Avalado por Microsoft Partner Network")</f>
        <v>Avalado por Microsoft Partner Network</v>
      </c>
      <c r="AA295" s="5" t="str">
        <f>IFERROR(__xludf.DUMMYFUNCTION("""COMPUTED_VALUE"""),"NO")</f>
        <v>NO</v>
      </c>
      <c r="AB295" s="6">
        <f>IFERROR(__xludf.DUMMYFUNCTION("""COMPUTED_VALUE"""),1600.0)</f>
        <v>1600</v>
      </c>
      <c r="AC295" s="6">
        <f>IFERROR(__xludf.DUMMYFUNCTION("""COMPUTED_VALUE"""),1520.0)</f>
        <v>1520</v>
      </c>
      <c r="AD295" s="6">
        <f>IFERROR(__xludf.DUMMYFUNCTION("""COMPUTED_VALUE"""),800.0)</f>
        <v>800</v>
      </c>
      <c r="AE295" s="6">
        <f>IFERROR(__xludf.DUMMYFUNCTION("""COMPUTED_VALUE"""),760.0)</f>
        <v>760</v>
      </c>
      <c r="AF295" s="6">
        <f>IFERROR(__xludf.DUMMYFUNCTION("""COMPUTED_VALUE"""),250.0)</f>
        <v>250</v>
      </c>
      <c r="AG295" s="5">
        <f>IFERROR(__xludf.DUMMYFUNCTION("""COMPUTED_VALUE"""),350.0)</f>
        <v>350</v>
      </c>
      <c r="AH295" s="5"/>
      <c r="AI295" s="5">
        <f>IFERROR(__xludf.DUMMYFUNCTION("""COMPUTED_VALUE"""),684.0)</f>
        <v>684</v>
      </c>
      <c r="AJ295" s="5">
        <f>IFERROR(__xludf.DUMMYFUNCTION("""COMPUTED_VALUE"""),720.0)</f>
        <v>720</v>
      </c>
      <c r="AK295" s="5" t="str">
        <f>IFERROR(__xludf.DUMMYFUNCTION("""COMPUTED_VALUE"""),"El lenguaje de los profesionales competitivos es Excel Experto 🔥
En pocas semanas dominarás funciones avanzadas y automatización aplicada a casos reales de negocio.
Ahora te comparto la información completa 👇🏻")</f>
        <v>El lenguaje de los profesionales competitivos es Excel Experto 🔥
En pocas semanas dominarás funciones avanzadas y automatización aplicada a casos reales de negocio.
Ahora te comparto la información completa 👇🏻</v>
      </c>
      <c r="AL295" s="5" t="str">
        <f>IFERROR(__xludf.DUMMYFUNCTION("""COMPUTED_VALUE"""),"Excelente 🙌, con Excel Experto actualizarás tus habilidades en funciones avanzadas y automatización ⚡, manteniéndote competitivo.")</f>
        <v>Excelente 🙌, con Excel Experto actualizarás tus habilidades en funciones avanzadas y automatización ⚡, manteniéndote competitivo.</v>
      </c>
      <c r="AM295" s="5" t="str">
        <f>IFERROR(__xludf.DUMMYFUNCTION("""COMPUTED_VALUE"""),"Buenísimo 💼, Excel es de las competencias más pedidas 📊. Dominarlo abrirá más oportunidades laborales 🚀.")</f>
        <v>Buenísimo 💼, Excel es de las competencias más pedidas 📊. Dominarlo abrirá más oportunidades laborales 🚀.</v>
      </c>
      <c r="AN295" s="5" t="str">
        <f>IFERROR(__xludf.DUMMYFUNCTION("""COMPUTED_VALUE"""),"¡Excelente! 🎓 Con Excel Experto sumarás una ventaja práctica desde la universidad y destacarás en tus proyectos 📘.")</f>
        <v>¡Excelente! 🎓 Con Excel Experto sumarás una ventaja práctica desde la universidad y destacarás en tus proyectos 📘.</v>
      </c>
      <c r="AO295" s="5" t="str">
        <f>IFERROR(__xludf.DUMMYFUNCTION("""COMPUTED_VALUE"""),"¡Perfecto! 🔑 Saber Excel Experto te dará ventaja frente a otros postulantes, clave para conseguir prácticas 📝.")</f>
        <v>¡Perfecto! 🔑 Saber Excel Experto te dará ventaja frente a otros postulantes, clave para conseguir prácticas 📝.</v>
      </c>
      <c r="AP295" s="5" t="str">
        <f>IFERROR(__xludf.DUMMYFUNCTION("""COMPUTED_VALUE"""),"¡Excelente! 💡 Con Excel Experto podrás manejar y analizar la información de tu negocio 📈 de forma más profesional.")</f>
        <v>¡Excelente! 💡 Con Excel Experto podrás manejar y analizar la información de tu negocio 📈 de forma más profesional.</v>
      </c>
      <c r="AQ295" s="9" t="str">
        <f>IFERROR(__xludf.DUMMYFUNCTION("""COMPUTED_VALUE"""),"https://we-educacion.com/slides/especializacion-en-microsoft-excel-expert-272")</f>
        <v>https://we-educacion.com/slides/especializacion-en-microsoft-excel-expert-272</v>
      </c>
      <c r="AR295" s="5">
        <v>1.0</v>
      </c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</row>
    <row r="296" ht="15.75" customHeight="1">
      <c r="A296" s="5" t="s">
        <v>338</v>
      </c>
      <c r="B296" s="5" t="str">
        <f t="shared" si="1"/>
        <v>MAR. I - ED26</v>
      </c>
      <c r="C296" s="6" t="str">
        <f>IFERROR(__xludf.DUMMYFUNCTION("""COMPUTED_VALUE"""),"EXCEL")</f>
        <v>EXCEL</v>
      </c>
      <c r="D296" s="6" t="str">
        <f>IFERROR(__xludf.DUMMYFUNCTION("""COMPUTED_VALUE"""),"ESP.")</f>
        <v>ESP.</v>
      </c>
      <c r="E296" s="6" t="str">
        <f>IFERROR(__xludf.DUMMYFUNCTION("""COMPUTED_VALUE"""),"ESPEC. EXCEL")</f>
        <v>ESPEC. EXCEL</v>
      </c>
      <c r="F296" s="7">
        <f>IFERROR(__xludf.DUMMYFUNCTION("""COMPUTED_VALUE"""),46095.0)</f>
        <v>46095</v>
      </c>
      <c r="G296" s="6" t="str">
        <f>IFERROR(__xludf.DUMMYFUNCTION("""COMPUTED_VALUE"""),"EXCEL BÁSICO")</f>
        <v>EXCEL BÁSICO</v>
      </c>
      <c r="H296" s="7">
        <f>IFERROR(__xludf.DUMMYFUNCTION("""COMPUTED_VALUE"""),46095.0)</f>
        <v>46095</v>
      </c>
      <c r="I296" s="6" t="str">
        <f>IFERROR(__xludf.DUMMYFUNCTION("""COMPUTED_VALUE"""),"EXCEL INTERM")</f>
        <v>EXCEL INTERM</v>
      </c>
      <c r="J296" s="7">
        <f>IFERROR(__xludf.DUMMYFUNCTION("""COMPUTED_VALUE"""),46130.0)</f>
        <v>46130</v>
      </c>
      <c r="K296" s="6" t="str">
        <f>IFERROR(__xludf.DUMMYFUNCTION("""COMPUTED_VALUE"""),"EXCEL AVANZ")</f>
        <v>EXCEL AVANZ</v>
      </c>
      <c r="L296" s="7">
        <f>IFERROR(__xludf.DUMMYFUNCTION("""COMPUTED_VALUE"""),46172.0)</f>
        <v>46172</v>
      </c>
      <c r="M296" s="6"/>
      <c r="N296" s="7"/>
      <c r="O296" s="6"/>
      <c r="P296" s="7"/>
      <c r="Q296" s="6"/>
      <c r="R296" s="5" t="str">
        <f>IFERROR(__xludf.DUMMYFUNCTION("""COMPUTED_VALUE"""),"Sáb")</f>
        <v>Sáb</v>
      </c>
      <c r="S296" s="6" t="str">
        <f>IFERROR(__xludf.DUMMYFUNCTION("""COMPUTED_VALUE"""),"3PM - 6PM")</f>
        <v>3PM - 6PM</v>
      </c>
      <c r="T296" s="7" t="str">
        <f>IFERROR(__xludf.DUMMYFUNCTION("""COMPUTED_VALUE"""),"Sábado 14 Marzo")</f>
        <v>Sábado 14 Marzo</v>
      </c>
      <c r="U296" s="7" t="str">
        <f>IFERROR(__xludf.DUMMYFUNCTION("""COMPUTED_VALUE"""),"Sábado 4 Julio")</f>
        <v>Sábado 4 Julio</v>
      </c>
      <c r="V296" s="8">
        <f>IFERROR(__xludf.DUMMYFUNCTION("""COMPUTED_VALUE"""),17.0)</f>
        <v>17</v>
      </c>
      <c r="W296" s="5" t="str">
        <f>IFERROR(__xludf.DUMMYFUNCTION("""COMPUTED_VALUE"""),"pdfs/BROCHURE ESPECIALIZACION DE EXCEL.pdf")</f>
        <v>pdfs/BROCHURE ESPECIALIZACION DE EXCEL.pdf</v>
      </c>
      <c r="X296" s="5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*Por favor, revisa el BROCHURE* 👇🏻
Aqui encontrarás la información completa del programa, el TEMARIO (malla curricular) y todos los BE"&amp;"NEFICIOS 📚")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96" s="5" t="str">
        <f>IFERROR(__xludf.DUMMYFUNCTION("""COMPUTED_VALUE"""),"images/espexcel.jpg")</f>
        <v>images/espexcel.jpg</v>
      </c>
      <c r="Z296" s="5" t="str">
        <f>IFERROR(__xludf.DUMMYFUNCTION("""COMPUTED_VALUE"""),"Avalado por Microsoft Partner Network")</f>
        <v>Avalado por Microsoft Partner Network</v>
      </c>
      <c r="AA296" s="5" t="str">
        <f>IFERROR(__xludf.DUMMYFUNCTION("""COMPUTED_VALUE"""),"NO")</f>
        <v>NO</v>
      </c>
      <c r="AB296" s="6">
        <f>IFERROR(__xludf.DUMMYFUNCTION("""COMPUTED_VALUE"""),1200.0)</f>
        <v>1200</v>
      </c>
      <c r="AC296" s="6">
        <f>IFERROR(__xludf.DUMMYFUNCTION("""COMPUTED_VALUE"""),1140.0)</f>
        <v>1140</v>
      </c>
      <c r="AD296" s="6">
        <f>IFERROR(__xludf.DUMMYFUNCTION("""COMPUTED_VALUE"""),600.0)</f>
        <v>600</v>
      </c>
      <c r="AE296" s="6">
        <f>IFERROR(__xludf.DUMMYFUNCTION("""COMPUTED_VALUE"""),570.0)</f>
        <v>570</v>
      </c>
      <c r="AF296" s="6">
        <f>IFERROR(__xludf.DUMMYFUNCTION("""COMPUTED_VALUE"""),250.0)</f>
        <v>250</v>
      </c>
      <c r="AG296" s="5">
        <f>IFERROR(__xludf.DUMMYFUNCTION("""COMPUTED_VALUE"""),350.0)</f>
        <v>350</v>
      </c>
      <c r="AH296" s="5"/>
      <c r="AI296" s="5">
        <f>IFERROR(__xludf.DUMMYFUNCTION("""COMPUTED_VALUE"""),513.0)</f>
        <v>513</v>
      </c>
      <c r="AJ296" s="5">
        <f>IFERROR(__xludf.DUMMYFUNCTION("""COMPUTED_VALUE"""),540.0)</f>
        <v>540</v>
      </c>
      <c r="AK296" s="5" t="str">
        <f>IFERROR(__xludf.DUMMYFUNCTION("""COMPUTED_VALUE"""),"Hoy el dominio de datos se traduce en oportunidades 🚀
Con la Especialización en Excel aprenderás a manejar información con agilidad y a tomar decisiones estratégicas con base en datos 💼.
Aquí tienes la info a detalle 👇🏻")</f>
        <v>Hoy el dominio de datos se traduce en oportunidades 🚀
Con la Especialización en Excel aprenderás a manejar información con agilidad y a tomar decisiones estratégicas con base en datos 💼.
Aquí tienes la info a detalle 👇🏻</v>
      </c>
      <c r="AL296" s="5" t="str">
        <f>IFERROR(__xludf.DUMMYFUNCTION("""COMPUTED_VALUE"""),"Excelente 🙌, actualízate con la Especialización en Excel y mantén al día tus competencias más demandadas 🔥.")</f>
        <v>Excelente 🙌, actualízate con la Especialización en Excel y mantén al día tus competencias más demandadas 🔥.</v>
      </c>
      <c r="AM296" s="5" t="str">
        <f>IFERROR(__xludf.DUMMYFUNCTION("""COMPUTED_VALUE"""),"Buenísimo 💼, las empresas valoran muchísimo el dominio de Excel. Con esta especialización, aumentarás tus opciones de empleo 🚀")</f>
        <v>Buenísimo 💼, las empresas valoran muchísimo el dominio de Excel. Con esta especialización, aumentarás tus opciones de empleo 🚀</v>
      </c>
      <c r="AN296" s="5" t="str">
        <f>IFERROR(__xludf.DUMMYFUNCTION("""COMPUTED_VALUE"""),"¡Excelente! 🎓 Con Excel aprenderás a manejar datos y reportes 📊, diferenciándote en la universidad.")</f>
        <v>¡Excelente! 🎓 Con Excel aprenderás a manejar datos y reportes 📊, diferenciándote en la universidad.</v>
      </c>
      <c r="AO296" s="5" t="str">
        <f>IFERROR(__xludf.DUMMYFUNCTION("""COMPUTED_VALUE"""),"¡Perfecto! ✅ Saber Excel es un plus muy valorado para acceder a prácticas 👩🏻‍💻👨🏻‍💻.")</f>
        <v>¡Perfecto! ✅ Saber Excel es un plus muy valorado para acceder a prácticas 👩🏻‍💻👨🏻‍💻.</v>
      </c>
      <c r="AP296" s="5" t="str">
        <f>IFERROR(__xludf.DUMMYFUNCTION("""COMPUTED_VALUE"""),"¡Excelente! 💡 Con Excel gestionarás tu negocio con reportes claros 📑 y decisiones inteligentes.")</f>
        <v>¡Excelente! 💡 Con Excel gestionarás tu negocio con reportes claros 📑 y decisiones inteligentes.</v>
      </c>
      <c r="AQ296" s="9" t="str">
        <f>IFERROR(__xludf.DUMMYFUNCTION("""COMPUTED_VALUE"""),"https://we-educacion.com/slides/especializacion-en-microsoft-excel-77")</f>
        <v>https://we-educacion.com/slides/especializacion-en-microsoft-excel-77</v>
      </c>
      <c r="AR296" s="5">
        <v>1.0</v>
      </c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</row>
    <row r="297" ht="15.75" customHeight="1">
      <c r="A297" s="5" t="s">
        <v>339</v>
      </c>
      <c r="B297" s="5" t="str">
        <f t="shared" si="1"/>
        <v>MAR. I - ED26</v>
      </c>
      <c r="C297" s="6" t="str">
        <f>IFERROR(__xludf.DUMMYFUNCTION("""COMPUTED_VALUE"""),"EXCEL")</f>
        <v>EXCEL</v>
      </c>
      <c r="D297" s="6" t="str">
        <f>IFERROR(__xludf.DUMMYFUNCTION("""COMPUTED_VALUE"""),"CURSO")</f>
        <v>CURSO</v>
      </c>
      <c r="E297" s="6" t="str">
        <f>IFERROR(__xludf.DUMMYFUNCTION("""COMPUTED_VALUE"""),"EXCEL BÁSICO")</f>
        <v>EXCEL BÁSICO</v>
      </c>
      <c r="F297" s="7">
        <f>IFERROR(__xludf.DUMMYFUNCTION("""COMPUTED_VALUE"""),46095.0)</f>
        <v>46095</v>
      </c>
      <c r="G297" s="6"/>
      <c r="H297" s="7"/>
      <c r="I297" s="6"/>
      <c r="J297" s="7"/>
      <c r="K297" s="6"/>
      <c r="L297" s="7"/>
      <c r="M297" s="6"/>
      <c r="N297" s="7"/>
      <c r="O297" s="6"/>
      <c r="P297" s="7"/>
      <c r="Q297" s="6"/>
      <c r="R297" s="5" t="str">
        <f>IFERROR(__xludf.DUMMYFUNCTION("""COMPUTED_VALUE"""),"Sáb")</f>
        <v>Sáb</v>
      </c>
      <c r="S297" s="6" t="str">
        <f>IFERROR(__xludf.DUMMYFUNCTION("""COMPUTED_VALUE"""),"3PM - 6PM")</f>
        <v>3PM - 6PM</v>
      </c>
      <c r="T297" s="7" t="str">
        <f>IFERROR(__xludf.DUMMYFUNCTION("""COMPUTED_VALUE"""),"Sábado 14 Marzo")</f>
        <v>Sábado 14 Marzo</v>
      </c>
      <c r="U297" s="7" t="str">
        <f>IFERROR(__xludf.DUMMYFUNCTION("""COMPUTED_VALUE"""),"Sábado 11 Abril")</f>
        <v>Sábado 11 Abril</v>
      </c>
      <c r="V297" s="8">
        <f>IFERROR(__xludf.DUMMYFUNCTION("""COMPUTED_VALUE"""),5.0)</f>
        <v>5</v>
      </c>
      <c r="W297" s="5" t="str">
        <f>IFERROR(__xludf.DUMMYFUNCTION("""COMPUTED_VALUE"""),"pdfs/BROCHURE EXCEL BÁSICO.pdf")</f>
        <v>pdfs/BROCHURE EXCEL BÁSICO.pdf</v>
      </c>
      <c r="X297" s="6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97" s="5" t="str">
        <f>IFERROR(__xludf.DUMMYFUNCTION("""COMPUTED_VALUE"""),"images/excelbasico.jpg")</f>
        <v>images/excelbasico.jpg</v>
      </c>
      <c r="Z297" s="5" t="str">
        <f>IFERROR(__xludf.DUMMYFUNCTION("""COMPUTED_VALUE"""),"Avalado por Microsoft Partner Network")</f>
        <v>Avalado por Microsoft Partner Network</v>
      </c>
      <c r="AA297" s="5" t="str">
        <f>IFERROR(__xludf.DUMMYFUNCTION("""COMPUTED_VALUE"""),"NO")</f>
        <v>NO</v>
      </c>
      <c r="AB297" s="6">
        <f>IFERROR(__xludf.DUMMYFUNCTION("""COMPUTED_VALUE"""),400.0)</f>
        <v>400</v>
      </c>
      <c r="AC297" s="6">
        <f>IFERROR(__xludf.DUMMYFUNCTION("""COMPUTED_VALUE"""),380.0)</f>
        <v>380</v>
      </c>
      <c r="AD297" s="6">
        <f>IFERROR(__xludf.DUMMYFUNCTION("""COMPUTED_VALUE"""),200.0)</f>
        <v>200</v>
      </c>
      <c r="AE297" s="6">
        <f>IFERROR(__xludf.DUMMYFUNCTION("""COMPUTED_VALUE"""),190.0)</f>
        <v>190</v>
      </c>
      <c r="AF297" s="6">
        <f>IFERROR(__xludf.DUMMYFUNCTION("""COMPUTED_VALUE"""),150.0)</f>
        <v>150</v>
      </c>
      <c r="AG297" s="5">
        <f>IFERROR(__xludf.DUMMYFUNCTION("""COMPUTED_VALUE"""),150.0)</f>
        <v>150</v>
      </c>
      <c r="AH297" s="5"/>
      <c r="AI297" s="5">
        <f>IFERROR(__xludf.DUMMYFUNCTION("""COMPUTED_VALUE"""),171.0)</f>
        <v>171</v>
      </c>
      <c r="AJ297" s="5">
        <f>IFERROR(__xludf.DUMMYFUNCTION("""COMPUTED_VALUE"""),180.0)</f>
        <v>180</v>
      </c>
      <c r="AK297" s="5" t="str">
        <f>IFERROR(__xludf.DUMMYFUNCTION("""COMPUTED_VALUE"""),"Todo gran profesional empieza dominando Excel Básico 📝
En pocas semanas aprenderás a manejar hojas de cálculo y análisis de datos de forma práctica 💼.
Aquí la información completa 👇🏻")</f>
        <v>Todo gran profesional empieza dominando Excel Básico 📝
En pocas semanas aprenderás a manejar hojas de cálculo y análisis de datos de forma práctica 💼.
Aquí la información completa 👇🏻</v>
      </c>
      <c r="AL297" s="5" t="str">
        <f>IFERROR(__xludf.DUMMYFUNCTION("""COMPUTED_VALUE"""),"🔑 *Excelente*, actualízate con *EXCEL BÁSICO* y mantente competitivo en el mercado laboral.")</f>
        <v>🔑 *Excelente*, actualízate con *EXCEL BÁSICO* y mantente competitivo en el mercado laboral.</v>
      </c>
      <c r="AM297" s="5" t="str">
        <f>IFERROR(__xludf.DUMMYFUNCTION("""COMPUTED_VALUE"""),"💼 Buenísimo, *EXCEL BÁSICO* es de las competencias más pedidas por las empresas y aumentará tus oportunidades laborales.")</f>
        <v>💼 Buenísimo, *EXCEL BÁSICO* es de las competencias más pedidas por las empresas y aumentará tus oportunidades laborales.</v>
      </c>
      <c r="AN297" s="5" t="str">
        <f>IFERROR(__xludf.DUMMYFUNCTION("""COMPUTED_VALUE"""),"⚡ ¡Genial! Con *EXCEL BÁSICO* sumarás una habilidad poderosa que te diferenciará desde la universidad.")</f>
        <v>⚡ ¡Genial! Con *EXCEL BÁSICO* sumarás una habilidad poderosa que te diferenciará desde la universidad.</v>
      </c>
      <c r="AO297" s="5" t="str">
        <f>IFERROR(__xludf.DUMMYFUNCTION("""COMPUTED_VALUE"""),"🎓 ¡Perfecto! Saber *EXCEL BÁSICO* te dará ventaja frente a otros postulantes para conseguir prácticas.")</f>
        <v>🎓 ¡Perfecto! Saber *EXCEL BÁSICO* te dará ventaja frente a otros postulantes para conseguir prácticas.</v>
      </c>
      <c r="AP297" s="5" t="str">
        <f>IFERROR(__xludf.DUMMYFUNCTION("""COMPUTED_VALUE"""),"🏆 ¡Excelente! Con *EXCEL BÁSICO* podrás aplicarlo en tu negocio y tomar decisiones más inteligentes.")</f>
        <v>🏆 ¡Excelente! Con *EXCEL BÁSICO* podrás aplicarlo en tu negocio y tomar decisiones más inteligentes.</v>
      </c>
      <c r="AQ297" s="9" t="str">
        <f>IFERROR(__xludf.DUMMYFUNCTION("""COMPUTED_VALUE"""),"https://we-educacion.com/slides/microsoft-excel-basico-221")</f>
        <v>https://we-educacion.com/slides/microsoft-excel-basico-221</v>
      </c>
      <c r="AR297" s="5">
        <v>1.0</v>
      </c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</row>
    <row r="298" ht="15.75" customHeight="1">
      <c r="A298" s="5" t="s">
        <v>340</v>
      </c>
      <c r="B298" s="5" t="str">
        <f t="shared" si="1"/>
        <v>MAR. I - ED26</v>
      </c>
      <c r="C298" s="6" t="str">
        <f>IFERROR(__xludf.DUMMYFUNCTION("""COMPUTED_VALUE"""),"SAP")</f>
        <v>SAP</v>
      </c>
      <c r="D298" s="5" t="str">
        <f>IFERROR(__xludf.DUMMYFUNCTION("""COMPUTED_VALUE"""),"CURSO")</f>
        <v>CURSO</v>
      </c>
      <c r="E298" s="6" t="str">
        <f>IFERROR(__xludf.DUMMYFUNCTION("""COMPUTED_VALUE"""),"SAP HANA IN")</f>
        <v>SAP HANA IN</v>
      </c>
      <c r="F298" s="7">
        <f>IFERROR(__xludf.DUMMYFUNCTION("""COMPUTED_VALUE"""),46099.0)</f>
        <v>46099</v>
      </c>
      <c r="G298" s="6"/>
      <c r="H298" s="7"/>
      <c r="I298" s="6"/>
      <c r="J298" s="7"/>
      <c r="K298" s="6"/>
      <c r="L298" s="7"/>
      <c r="M298" s="6"/>
      <c r="N298" s="7"/>
      <c r="O298" s="6"/>
      <c r="P298" s="7"/>
      <c r="Q298" s="6" t="str">
        <f>IFERROR(__xludf.DUMMYFUNCTION("""COMPUTED_VALUE"""),"David Romero")</f>
        <v>David Romero</v>
      </c>
      <c r="R298" s="5" t="str">
        <f>IFERROR(__xludf.DUMMYFUNCTION("""COMPUTED_VALUE"""),"Lun-Mie")</f>
        <v>Lun-Mie</v>
      </c>
      <c r="S298" s="6" t="str">
        <f>IFERROR(__xludf.DUMMYFUNCTION("""COMPUTED_VALUE"""),"7PM - 10PM")</f>
        <v>7PM - 10PM</v>
      </c>
      <c r="T298" s="7" t="str">
        <f>IFERROR(__xludf.DUMMYFUNCTION("""COMPUTED_VALUE"""),"Miércoles 18 Marzo")</f>
        <v>Miércoles 18 Marzo</v>
      </c>
      <c r="U298" s="7" t="str">
        <f>IFERROR(__xludf.DUMMYFUNCTION("""COMPUTED_VALUE"""),"Lunes 6 Abril")</f>
        <v>Lunes 6 Abril</v>
      </c>
      <c r="V298" s="8">
        <f>IFERROR(__xludf.DUMMYFUNCTION("""COMPUTED_VALUE"""),6.0)</f>
        <v>6</v>
      </c>
      <c r="W298" s="5" t="str">
        <f>IFERROR(__xludf.DUMMYFUNCTION("""COMPUTED_VALUE"""),"pdfs/BROCHURE SAP S4 HANA IN.pdf")</f>
        <v>pdfs/BROCHURE SAP S4 HANA IN.pdf</v>
      </c>
      <c r="X298" s="5" t="str">
        <f>IFERROR(__xludf.DUMMYFUNCTION("""COMPUTED_VALUE"""),"🔵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revisa"&amp;"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298" s="5" t="str">
        <f>IFERROR(__xludf.DUMMYFUNCTION("""COMPUTED_VALUE"""),"images/sapin.jpg")</f>
        <v>images/sapin.jpg</v>
      </c>
      <c r="Z298" s="5" t="str">
        <f>IFERROR(__xludf.DUMMYFUNCTION("""COMPUTED_VALUE"""),"Avalado por SAP Partner Open")</f>
        <v>Avalado por SAP Partner Open</v>
      </c>
      <c r="AA298" s="5" t="str">
        <f>IFERROR(__xludf.DUMMYFUNCTION("""COMPUTED_VALUE"""),"NO")</f>
        <v>NO</v>
      </c>
      <c r="AB298" s="6">
        <f>IFERROR(__xludf.DUMMYFUNCTION("""COMPUTED_VALUE"""),950.0)</f>
        <v>950</v>
      </c>
      <c r="AC298" s="6">
        <f>IFERROR(__xludf.DUMMYFUNCTION("""COMPUTED_VALUE"""),820.0)</f>
        <v>820</v>
      </c>
      <c r="AD298" s="6">
        <f>IFERROR(__xludf.DUMMYFUNCTION("""COMPUTED_VALUE"""),475.0)</f>
        <v>475</v>
      </c>
      <c r="AE298" s="6">
        <f>IFERROR(__xludf.DUMMYFUNCTION("""COMPUTED_VALUE"""),410.0)</f>
        <v>410</v>
      </c>
      <c r="AF298" s="6">
        <f>IFERROR(__xludf.DUMMYFUNCTION("""COMPUTED_VALUE"""),150.0)</f>
        <v>150</v>
      </c>
      <c r="AG298" s="5">
        <f>IFERROR(__xludf.DUMMYFUNCTION("""COMPUTED_VALUE"""),150.0)</f>
        <v>150</v>
      </c>
      <c r="AH298" s="5"/>
      <c r="AI298" s="5">
        <f>IFERROR(__xludf.DUMMYFUNCTION("""COMPUTED_VALUE"""),369.0)</f>
        <v>369</v>
      </c>
      <c r="AJ298" s="5">
        <f>IFERROR(__xludf.DUMMYFUNCTION("""COMPUTED_VALUE"""),427.5)</f>
        <v>427.5</v>
      </c>
      <c r="AK298" s="5" t="str">
        <f>IFERROR(__xludf.DUMMYFUNCTION("""COMPUTED_VALUE"""),"La producción eficiente habla con SAP HANA IN ⚙️
Con este programa aprenderás a planificar, controlar y ejecutar procesos de manufactura en SAP 💼.
Aquí te comparto la info 👇🏻")</f>
        <v>La producción eficiente habla con SAP HANA IN ⚙️
Con este programa aprenderás a planificar, controlar y ejecutar procesos de manufactura en SAP 💼.
Aquí te comparto la info 👇🏻</v>
      </c>
      <c r="AL298" s="5" t="str">
        <f>IFERROR(__xludf.DUMMYFUNCTION("""COMPUTED_VALUE"""),"🏭 Excelente, actualízate con SAP IN y domina la gestión de inventarios.")</f>
        <v>🏭 Excelente, actualízate con SAP IN y domina la gestión de inventarios.</v>
      </c>
      <c r="AM298" s="5" t="str">
        <f>IFERROR(__xludf.DUMMYFUNCTION("""COMPUTED_VALUE"""),"💼 Buenísimo, SAP IN es muy requerido en empresas de manufactura y logística.")</f>
        <v>💼 Buenísimo, SAP IN es muy requerido en empresas de manufactura y logística.</v>
      </c>
      <c r="AN298" s="5" t="str">
        <f>IFERROR(__xludf.DUMMYFUNCTION("""COMPUTED_VALUE"""),"🎓 ¡Genial! Con SAP IN aprenderás gestión de inventarios desde la universidad.")</f>
        <v>🎓 ¡Genial! Con SAP IN aprenderás gestión de inventarios desde la universidad.</v>
      </c>
      <c r="AO298" s="5" t="str">
        <f>IFERROR(__xludf.DUMMYFUNCTION("""COMPUTED_VALUE"""),"🚀 ¡Perfecto! Con SAP IN tendrás ventaja en prácticas de gestión de operaciones.")</f>
        <v>🚀 ¡Perfecto! Con SAP IN tendrás ventaja en prácticas de gestión de operaciones.</v>
      </c>
      <c r="AP298" s="5" t="str">
        <f>IFERROR(__xludf.DUMMYFUNCTION("""COMPUTED_VALUE"""),"📊 ¡Excelente! Con SAP IN podrás controlar y optimizar inventarios en tu negocio.")</f>
        <v>📊 ¡Excelente! Con SAP IN podrás controlar y optimizar inventarios en tu negocio.</v>
      </c>
      <c r="AQ298" s="9" t="str">
        <f>IFERROR(__xludf.DUMMYFUNCTION("""COMPUTED_VALUE"""),"https://we-educacion.com/slides/sap-s-4-hana-in-mm-fi-pp-sd-51")</f>
        <v>https://we-educacion.com/slides/sap-s-4-hana-in-mm-fi-pp-sd-51</v>
      </c>
      <c r="AR298" s="5">
        <v>1.0</v>
      </c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</row>
    <row r="299" ht="15.75" customHeight="1">
      <c r="A299" s="5" t="s">
        <v>341</v>
      </c>
      <c r="B299" s="5" t="str">
        <f t="shared" si="1"/>
        <v>MAR. I - ED26</v>
      </c>
      <c r="C299" s="6" t="str">
        <f>IFERROR(__xludf.DUMMYFUNCTION("""COMPUTED_VALUE"""),"BI")</f>
        <v>BI</v>
      </c>
      <c r="D299" s="5" t="str">
        <f>IFERROR(__xludf.DUMMYFUNCTION("""COMPUTED_VALUE"""),"ESP.")</f>
        <v>ESP.</v>
      </c>
      <c r="E299" s="6" t="str">
        <f>IFERROR(__xludf.DUMMYFUNCTION("""COMPUTED_VALUE"""),"ESP. EN PYTHON DATA SCIENCE")</f>
        <v>ESP. EN PYTHON DATA SCIENCE</v>
      </c>
      <c r="F299" s="7">
        <f>IFERROR(__xludf.DUMMYFUNCTION("""COMPUTED_VALUE"""),46099.0)</f>
        <v>46099</v>
      </c>
      <c r="G299" s="6" t="str">
        <f>IFERROR(__xludf.DUMMYFUNCTION("""COMPUTED_VALUE"""),"PYTHON. DATOS")</f>
        <v>PYTHON. DATOS</v>
      </c>
      <c r="H299" s="7">
        <f>IFERROR(__xludf.DUMMYFUNCTION("""COMPUTED_VALUE"""),46099.0)</f>
        <v>46099</v>
      </c>
      <c r="I299" s="6" t="str">
        <f>IFERROR(__xludf.DUMMYFUNCTION("""COMPUTED_VALUE"""),"PYTHON AVANZ.")</f>
        <v>PYTHON AVANZ.</v>
      </c>
      <c r="J299" s="7">
        <f>IFERROR(__xludf.DUMMYFUNCTION("""COMPUTED_VALUE"""),46127.0)</f>
        <v>46127</v>
      </c>
      <c r="K299" s="6" t="str">
        <f>IFERROR(__xludf.DUMMYFUNCTION("""COMPUTED_VALUE"""),"IA &amp; DEEP LEARNING V2")</f>
        <v>IA &amp; DEEP LEARNING V2</v>
      </c>
      <c r="L299" s="7">
        <f>IFERROR(__xludf.DUMMYFUNCTION("""COMPUTED_VALUE"""),46158.0)</f>
        <v>46158</v>
      </c>
      <c r="M299" s="6"/>
      <c r="N299" s="7"/>
      <c r="O299" s="6"/>
      <c r="P299" s="7"/>
      <c r="Q299" s="6" t="str">
        <f>IFERROR(__xludf.DUMMYFUNCTION("""COMPUTED_VALUE"""),"Brigitt Ramirez
Briam Aguirre
Paul Gabino")</f>
        <v>Brigitt Ramirez
Briam Aguirre
Paul Gabino</v>
      </c>
      <c r="R299" s="5" t="str">
        <f>IFERROR(__xludf.DUMMYFUNCTION("""COMPUTED_VALUE"""),"Lun-Mie")</f>
        <v>Lun-Mie</v>
      </c>
      <c r="S299" s="6" t="str">
        <f>IFERROR(__xludf.DUMMYFUNCTION("""COMPUTED_VALUE"""),"7PM - 10PM")</f>
        <v>7PM - 10PM</v>
      </c>
      <c r="T299" s="7" t="str">
        <f>IFERROR(__xludf.DUMMYFUNCTION("""COMPUTED_VALUE"""),"Miércoles 18 Marzo")</f>
        <v>Miércoles 18 Marzo</v>
      </c>
      <c r="U299" s="7" t="str">
        <f>IFERROR(__xludf.DUMMYFUNCTION("""COMPUTED_VALUE"""),"Lunes 1 Junio")</f>
        <v>Lunes 1 Junio</v>
      </c>
      <c r="V299" s="8">
        <f>IFERROR(__xludf.DUMMYFUNCTION("""COMPUTED_VALUE"""),18.0)</f>
        <v>18</v>
      </c>
      <c r="W299" s="5" t="str">
        <f>IFERROR(__xludf.DUMMYFUNCTION("""COMPUTED_VALUE"""),"pdfs/ESPECIALIZACIÓN EN PYTHON DATA SCIENCE.pdf")</f>
        <v>pdfs/ESPECIALIZACIÓN EN PYTHON DATA SCIENCE.pdf</v>
      </c>
      <c r="X299" s="5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99" s="5" t="str">
        <f>IFERROR(__xludf.DUMMYFUNCTION("""COMPUTED_VALUE"""),"images/esppython.jpg")</f>
        <v>images/esppython.jpg</v>
      </c>
      <c r="Z299" s="5" t="str">
        <f>IFERROR(__xludf.DUMMYFUNCTION("""COMPUTED_VALUE"""),"Avalado por IBM® Partner World")</f>
        <v>Avalado por IBM® Partner World</v>
      </c>
      <c r="AA299" s="5" t="str">
        <f>IFERROR(__xludf.DUMMYFUNCTION("""COMPUTED_VALUE"""),"NO")</f>
        <v>NO</v>
      </c>
      <c r="AB299" s="6">
        <f>IFERROR(__xludf.DUMMYFUNCTION("""COMPUTED_VALUE"""),1840.0)</f>
        <v>1840</v>
      </c>
      <c r="AC299" s="6">
        <f>IFERROR(__xludf.DUMMYFUNCTION("""COMPUTED_VALUE"""),1740.0)</f>
        <v>1740</v>
      </c>
      <c r="AD299" s="6">
        <f>IFERROR(__xludf.DUMMYFUNCTION("""COMPUTED_VALUE"""),920.0)</f>
        <v>920</v>
      </c>
      <c r="AE299" s="6">
        <f>IFERROR(__xludf.DUMMYFUNCTION("""COMPUTED_VALUE"""),870.0)</f>
        <v>870</v>
      </c>
      <c r="AF299" s="6">
        <f>IFERROR(__xludf.DUMMYFUNCTION("""COMPUTED_VALUE"""),250.0)</f>
        <v>250</v>
      </c>
      <c r="AG299" s="5">
        <f>IFERROR(__xludf.DUMMYFUNCTION("""COMPUTED_VALUE"""),350.0)</f>
        <v>350</v>
      </c>
      <c r="AH299" s="5"/>
      <c r="AI299" s="5">
        <f>IFERROR(__xludf.DUMMYFUNCTION("""COMPUTED_VALUE"""),783.0)</f>
        <v>783</v>
      </c>
      <c r="AJ299" s="5">
        <f>IFERROR(__xludf.DUMMYFUNCTION("""COMPUTED_VALUE"""),828.0)</f>
        <v>828</v>
      </c>
      <c r="AK299" s="5" t="str">
        <f>IFERROR(__xludf.DUMMYFUNCTION("""COMPUTED_VALUE"""),"El lenguaje de la ciencia de datos es Python 🐍
Aprende a programar y aplicar modelos en Data Science para transformar información en valor 📊
👉🏻 Aquí tienes la información completa.")</f>
        <v>El lenguaje de la ciencia de datos es Python 🐍
Aprende a programar y aplicar modelos en Data Science para transformar información en valor 📊
👉🏻 Aquí tienes la información completa.</v>
      </c>
      <c r="AL299" s="5" t="str">
        <f>IFERROR(__xludf.DUMMYFUNCTION("""COMPUTED_VALUE"""),"📈 Excelente, actualízate con Python y Data Science, la base del análisis de datos moderno.")</f>
        <v>📈 Excelente, actualízate con Python y Data Science, la base del análisis de datos moderno.</v>
      </c>
      <c r="AM299" s="5" t="str">
        <f>IFERROR(__xludf.DUMMYFUNCTION("""COMPUTED_VALUE"""),"💡 Buenísimo, las empresas demandan especialistas en datos y Python.")</f>
        <v>💡 Buenísimo, las empresas demandan especialistas en datos y Python.</v>
      </c>
      <c r="AN299" s="5" t="str">
        <f>IFERROR(__xludf.DUMMYFUNCTION("""COMPUTED_VALUE"""),"⚡ Genial, dominar Python te dará habilidades muy valoradas en el mercado.")</f>
        <v>⚡ Genial, dominar Python te dará habilidades muy valoradas en el mercado.</v>
      </c>
      <c r="AO299" s="5" t="str">
        <f>IFERROR(__xludf.DUMMYFUNCTION("""COMPUTED_VALUE"""),"🚀 Perfecto, tener Python será tu ventaja en procesos de selección.")</f>
        <v>🚀 Perfecto, tener Python será tu ventaja en procesos de selección.</v>
      </c>
      <c r="AP299" s="5" t="str">
        <f>IFERROR(__xludf.DUMMYFUNCTION("""COMPUTED_VALUE"""),"📊 Excelente, con Python podrás analizar la información de tu negocio estratégicamente.")</f>
        <v>📊 Excelente, con Python podrás analizar la información de tu negocio estratégicamente.</v>
      </c>
      <c r="AQ299" s="9" t="str">
        <f>IFERROR(__xludf.DUMMYFUNCTION("""COMPUTED_VALUE"""),"https://we-educacion.com/slides/especializacion-en-python-data-science-507#")</f>
        <v>https://we-educacion.com/slides/especializacion-en-python-data-science-507#</v>
      </c>
      <c r="AR299" s="5">
        <v>1.0</v>
      </c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</row>
    <row r="300" ht="15.75" customHeight="1">
      <c r="A300" s="5" t="s">
        <v>342</v>
      </c>
      <c r="B300" s="5" t="str">
        <f t="shared" si="1"/>
        <v>MAR. I - ED26</v>
      </c>
      <c r="C300" s="6" t="str">
        <f>IFERROR(__xludf.DUMMYFUNCTION("""COMPUTED_VALUE"""),"BI")</f>
        <v>BI</v>
      </c>
      <c r="D300" s="6" t="str">
        <f>IFERROR(__xludf.DUMMYFUNCTION("""COMPUTED_VALUE"""),"CURSO")</f>
        <v>CURSO</v>
      </c>
      <c r="E300" s="6" t="str">
        <f>IFERROR(__xludf.DUMMYFUNCTION("""COMPUTED_VALUE"""),"PYTHON. DATOS")</f>
        <v>PYTHON. DATOS</v>
      </c>
      <c r="F300" s="7">
        <f>IFERROR(__xludf.DUMMYFUNCTION("""COMPUTED_VALUE"""),46099.0)</f>
        <v>46099</v>
      </c>
      <c r="G300" s="6"/>
      <c r="H300" s="7"/>
      <c r="I300" s="6"/>
      <c r="J300" s="7"/>
      <c r="K300" s="6"/>
      <c r="L300" s="7"/>
      <c r="M300" s="6"/>
      <c r="N300" s="7"/>
      <c r="O300" s="6"/>
      <c r="P300" s="7"/>
      <c r="Q300" s="6" t="str">
        <f>IFERROR(__xludf.DUMMYFUNCTION("""COMPUTED_VALUE"""),"Brigitt Ramirez")</f>
        <v>Brigitt Ramirez</v>
      </c>
      <c r="R300" s="5" t="str">
        <f>IFERROR(__xludf.DUMMYFUNCTION("""COMPUTED_VALUE"""),"Lun-Mie")</f>
        <v>Lun-Mie</v>
      </c>
      <c r="S300" s="6" t="str">
        <f>IFERROR(__xludf.DUMMYFUNCTION("""COMPUTED_VALUE"""),"7PM - 10PM")</f>
        <v>7PM - 10PM</v>
      </c>
      <c r="T300" s="7" t="str">
        <f>IFERROR(__xludf.DUMMYFUNCTION("""COMPUTED_VALUE"""),"Miércoles 18 Marzo")</f>
        <v>Miércoles 18 Marzo</v>
      </c>
      <c r="U300" s="7" t="str">
        <f>IFERROR(__xludf.DUMMYFUNCTION("""COMPUTED_VALUE"""),"Lunes 6 Abril")</f>
        <v>Lunes 6 Abril</v>
      </c>
      <c r="V300" s="8">
        <f>IFERROR(__xludf.DUMMYFUNCTION("""COMPUTED_VALUE"""),6.0)</f>
        <v>6</v>
      </c>
      <c r="W300" s="5" t="str">
        <f>IFERROR(__xludf.DUMMYFUNCTION("""COMPUTED_VALUE"""),"pdfs/BROCHURE PYTHON ANALISIS DE DATOS.pdf")</f>
        <v>pdfs/BROCHURE PYTHON ANALISIS DE DATOS.pdf</v>
      </c>
      <c r="X300" s="5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00" s="5" t="str">
        <f>IFERROR(__xludf.DUMMYFUNCTION("""COMPUTED_VALUE"""),"images/python.jpg")</f>
        <v>images/python.jpg</v>
      </c>
      <c r="Z300" s="5" t="str">
        <f>IFERROR(__xludf.DUMMYFUNCTION("""COMPUTED_VALUE"""),"Avalado por IBM® Partner World")</f>
        <v>Avalado por IBM® Partner World</v>
      </c>
      <c r="AA300" s="5" t="str">
        <f>IFERROR(__xludf.DUMMYFUNCTION("""COMPUTED_VALUE"""),"SI")</f>
        <v>SI</v>
      </c>
      <c r="AB300" s="6">
        <f>IFERROR(__xludf.DUMMYFUNCTION("""COMPUTED_VALUE"""),730.0)</f>
        <v>730</v>
      </c>
      <c r="AC300" s="6">
        <f>IFERROR(__xludf.DUMMYFUNCTION("""COMPUTED_VALUE"""),650.0)</f>
        <v>650</v>
      </c>
      <c r="AD300" s="6">
        <f>IFERROR(__xludf.DUMMYFUNCTION("""COMPUTED_VALUE"""),365.0)</f>
        <v>365</v>
      </c>
      <c r="AE300" s="6">
        <f>IFERROR(__xludf.DUMMYFUNCTION("""COMPUTED_VALUE"""),325.0)</f>
        <v>325</v>
      </c>
      <c r="AF300" s="6">
        <f>IFERROR(__xludf.DUMMYFUNCTION("""COMPUTED_VALUE"""),150.0)</f>
        <v>150</v>
      </c>
      <c r="AG300" s="5">
        <f>IFERROR(__xludf.DUMMYFUNCTION("""COMPUTED_VALUE"""),150.0)</f>
        <v>150</v>
      </c>
      <c r="AH300" s="5"/>
      <c r="AI300" s="5">
        <f>IFERROR(__xludf.DUMMYFUNCTION("""COMPUTED_VALUE"""),292.5)</f>
        <v>292.5</v>
      </c>
      <c r="AJ300" s="5">
        <f>IFERROR(__xludf.DUMMYFUNCTION("""COMPUTED_VALUE"""),328.5)</f>
        <v>328.5</v>
      </c>
      <c r="AK300" s="5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300" s="5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300" s="5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300" s="5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300" s="5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300" s="5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300" s="9" t="str">
        <f>IFERROR(__xludf.DUMMYFUNCTION("""COMPUTED_VALUE"""),"https://we-educacion.com/slides/python-analisis-de-datos-259")</f>
        <v>https://we-educacion.com/slides/python-analisis-de-datos-259</v>
      </c>
      <c r="AR300" s="5">
        <v>1.0</v>
      </c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</row>
    <row r="301" ht="15.75" customHeight="1">
      <c r="A301" s="5" t="s">
        <v>343</v>
      </c>
      <c r="B301" s="5" t="str">
        <f t="shared" si="1"/>
        <v>MAR. II - ED26</v>
      </c>
      <c r="C301" s="6" t="str">
        <f>IFERROR(__xludf.DUMMYFUNCTION("""COMPUTED_VALUE"""),"PROYECTOS")</f>
        <v>PROYECTOS</v>
      </c>
      <c r="D301" s="6" t="str">
        <f>IFERROR(__xludf.DUMMYFUNCTION("""COMPUTED_VALUE"""),"CURSO")</f>
        <v>CURSO</v>
      </c>
      <c r="E301" s="6" t="str">
        <f>IFERROR(__xludf.DUMMYFUNCTION("""COMPUTED_VALUE"""),"GEST. ÁGIL PROYECT")</f>
        <v>GEST. ÁGIL PROYECT</v>
      </c>
      <c r="F301" s="7">
        <f>IFERROR(__xludf.DUMMYFUNCTION("""COMPUTED_VALUE"""),46099.0)</f>
        <v>46099</v>
      </c>
      <c r="G301" s="6"/>
      <c r="H301" s="7"/>
      <c r="I301" s="6"/>
      <c r="J301" s="7"/>
      <c r="K301" s="6"/>
      <c r="L301" s="7"/>
      <c r="M301" s="6"/>
      <c r="N301" s="7"/>
      <c r="O301" s="6"/>
      <c r="P301" s="7"/>
      <c r="Q301" s="6"/>
      <c r="R301" s="5" t="str">
        <f>IFERROR(__xludf.DUMMYFUNCTION("""COMPUTED_VALUE"""),"Lun-Mie")</f>
        <v>Lun-Mie</v>
      </c>
      <c r="S301" s="6" t="str">
        <f>IFERROR(__xludf.DUMMYFUNCTION("""COMPUTED_VALUE"""),"7PM - 10PM")</f>
        <v>7PM - 10PM</v>
      </c>
      <c r="T301" s="7" t="str">
        <f>IFERROR(__xludf.DUMMYFUNCTION("""COMPUTED_VALUE"""),"Miércoles 18 Marzo")</f>
        <v>Miércoles 18 Marzo</v>
      </c>
      <c r="U301" s="7" t="str">
        <f>IFERROR(__xludf.DUMMYFUNCTION("""COMPUTED_VALUE"""),"Lunes 6 Abril")</f>
        <v>Lunes 6 Abril</v>
      </c>
      <c r="V301" s="8">
        <f>IFERROR(__xludf.DUMMYFUNCTION("""COMPUTED_VALUE"""),5.0)</f>
        <v>5</v>
      </c>
      <c r="W301" s="5" t="str">
        <f>IFERROR(__xludf.DUMMYFUNCTION("""COMPUTED_VALUE"""),"pdfs/BROCHURE GESTIÓN ÁGIL DE PROYECTOS.pdf")</f>
        <v>pdfs/BROCHURE GESTIÓN ÁGIL DE PROYECTOS.pdf</v>
      </c>
      <c r="X301" s="5" t="str">
        <f>IFERROR(__xludf.DUMMYFUNCTION("""COMPUTED_VALUE"""),"🔵 *¡Certificados Adicionales!* ⭐
👉🏻 Certificado *Scrum Fundamentals*
👉🏻 Certificado *Scrum Master* tiene la inversión de *$50* ~(Normal $150)~
_Incluye material de práctica y 2 intentos del examen_
🚨 *Por favor, revisa el BROCHURE* 👇🏻
Aqui encont"&amp;"rarás la información completa del programa, el TEMARIO (malla curricular) y todos los BENEFICIOS 📚")</f>
        <v>🔵 *¡Certificados Adicionales!* ⭐
👉🏻 Certificado *Scrum Fundamentals*
👉🏻 Certificado *Scrum Master* tiene la inversión de *$50* ~(Normal $150)~
_Incluye material de práctica y 2 intentos del examen_
🚨 *Por favor, revisa el BROCHURE* 👇🏻
Aqui encontrarás la información completa del programa, el TEMARIO (malla curricular) y todos los BENEFICIOS 📚</v>
      </c>
      <c r="Y301" s="5" t="str">
        <f>IFERROR(__xludf.DUMMYFUNCTION("""COMPUTED_VALUE"""),"images/gestagil.jpg")</f>
        <v>images/gestagil.jpg</v>
      </c>
      <c r="Z301" s="5"/>
      <c r="AA301" s="5" t="str">
        <f>IFERROR(__xludf.DUMMYFUNCTION("""COMPUTED_VALUE"""),"SI")</f>
        <v>SI</v>
      </c>
      <c r="AB301" s="6">
        <f>IFERROR(__xludf.DUMMYFUNCTION("""COMPUTED_VALUE"""),640.0)</f>
        <v>640</v>
      </c>
      <c r="AC301" s="6">
        <f>IFERROR(__xludf.DUMMYFUNCTION("""COMPUTED_VALUE"""),550.0)</f>
        <v>550</v>
      </c>
      <c r="AD301" s="6">
        <f>IFERROR(__xludf.DUMMYFUNCTION("""COMPUTED_VALUE"""),320.0)</f>
        <v>320</v>
      </c>
      <c r="AE301" s="6">
        <f>IFERROR(__xludf.DUMMYFUNCTION("""COMPUTED_VALUE"""),275.0)</f>
        <v>275</v>
      </c>
      <c r="AF301" s="6">
        <f>IFERROR(__xludf.DUMMYFUNCTION("""COMPUTED_VALUE"""),150.0)</f>
        <v>150</v>
      </c>
      <c r="AG301" s="5">
        <f>IFERROR(__xludf.DUMMYFUNCTION("""COMPUTED_VALUE"""),150.0)</f>
        <v>150</v>
      </c>
      <c r="AH301" s="5"/>
      <c r="AI301" s="5">
        <f>IFERROR(__xludf.DUMMYFUNCTION("""COMPUTED_VALUE"""),247.5)</f>
        <v>247.5</v>
      </c>
      <c r="AJ301" s="5">
        <f>IFERROR(__xludf.DUMMYFUNCTION("""COMPUTED_VALUE"""),288.0)</f>
        <v>288</v>
      </c>
      <c r="AK301" s="5" t="str">
        <f>IFERROR(__xludf.DUMMYFUNCTION("""COMPUTED_VALUE"""),"El lenguaje de los equipos de alto rendimiento es la agilidad 🚀
Con Gestión Ágil de Proyectos dominarás metodologías como SCRUM y Kanban aplicadas a negocios reales 💼.
Aquí tienes la info 👇🏻")</f>
        <v>El lenguaje de los equipos de alto rendimiento es la agilidad 🚀
Con Gestión Ágil de Proyectos dominarás metodologías como SCRUM y Kanban aplicadas a negocios reales 💼.
Aquí tienes la info 👇🏻</v>
      </c>
      <c r="AL301" s="5" t="str">
        <f>IFERROR(__xludf.DUMMYFUNCTION("""COMPUTED_VALUE"""),"📘 *Excelente*, actualízate con *GEST. ÁGIL PROYECT* y mantente competitivo en el mercado laboral.")</f>
        <v>📘 *Excelente*, actualízate con *GEST. ÁGIL PROYECT* y mantente competitivo en el mercado laboral.</v>
      </c>
      <c r="AM301" s="5" t="str">
        <f>IFERROR(__xludf.DUMMYFUNCTION("""COMPUTED_VALUE"""),"📈 Buenísimo, *GEST. ÁGIL PROYECT* es de las competencias más pedidas por las empresas y aumentará tus oportunidades laborales.")</f>
        <v>📈 Buenísimo, *GEST. ÁGIL PROYECT* es de las competencias más pedidas por las empresas y aumentará tus oportunidades laborales.</v>
      </c>
      <c r="AN301" s="5" t="str">
        <f>IFERROR(__xludf.DUMMYFUNCTION("""COMPUTED_VALUE"""),"📘 ¡Genial! Con *GEST. ÁGIL PROYECT* sumarás una habilidad poderosa que te diferenciará desde la universidad.")</f>
        <v>📘 ¡Genial! Con *GEST. ÁGIL PROYECT* sumarás una habilidad poderosa que te diferenciará desde la universidad.</v>
      </c>
      <c r="AO301" s="5" t="str">
        <f>IFERROR(__xludf.DUMMYFUNCTION("""COMPUTED_VALUE"""),"🔑 ¡Perfecto! Saber *GEST. ÁGIL PROYECT* te dará ventaja frente a otros postulantes para conseguir prácticas.")</f>
        <v>🔑 ¡Perfecto! Saber *GEST. ÁGIL PROYECT* te dará ventaja frente a otros postulantes para conseguir prácticas.</v>
      </c>
      <c r="AP301" s="5" t="str">
        <f>IFERROR(__xludf.DUMMYFUNCTION("""COMPUTED_VALUE"""),"📘 ¡Excelente! Con *GEST. ÁGIL PROYECT* podrás aplicarlo en tu negocio y tomar decisiones más inteligentes.")</f>
        <v>📘 ¡Excelente! Con *GEST. ÁGIL PROYECT* podrás aplicarlo en tu negocio y tomar decisiones más inteligentes.</v>
      </c>
      <c r="AQ301" s="9" t="str">
        <f>IFERROR(__xludf.DUMMYFUNCTION("""COMPUTED_VALUE"""),"https://we-educacion.com/slides/gestion-agil-de-proyectos-515")</f>
        <v>https://we-educacion.com/slides/gestion-agil-de-proyectos-515</v>
      </c>
      <c r="AR301" s="5">
        <v>1.0</v>
      </c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</row>
    <row r="302" ht="15.75" customHeight="1">
      <c r="A302" s="5" t="s">
        <v>344</v>
      </c>
      <c r="B302" s="5" t="str">
        <f t="shared" si="1"/>
        <v>MAR. I - ED26</v>
      </c>
      <c r="C302" s="6" t="str">
        <f>IFERROR(__xludf.DUMMYFUNCTION("""COMPUTED_VALUE"""),"SAP")</f>
        <v>SAP</v>
      </c>
      <c r="D302" s="6" t="str">
        <f>IFERROR(__xludf.DUMMYFUNCTION("""COMPUTED_VALUE"""),"CURSO")</f>
        <v>CURSO</v>
      </c>
      <c r="E302" s="6" t="str">
        <f>IFERROR(__xludf.DUMMYFUNCTION("""COMPUTED_VALUE"""),"SAP HANA HCM")</f>
        <v>SAP HANA HCM</v>
      </c>
      <c r="F302" s="7">
        <f>IFERROR(__xludf.DUMMYFUNCTION("""COMPUTED_VALUE"""),46100.0)</f>
        <v>46100</v>
      </c>
      <c r="G302" s="6"/>
      <c r="H302" s="7"/>
      <c r="I302" s="6"/>
      <c r="J302" s="7"/>
      <c r="K302" s="6"/>
      <c r="L302" s="7"/>
      <c r="M302" s="6"/>
      <c r="N302" s="7"/>
      <c r="O302" s="6"/>
      <c r="P302" s="7"/>
      <c r="Q302" s="6"/>
      <c r="R302" s="5" t="str">
        <f>IFERROR(__xludf.DUMMYFUNCTION("""COMPUTED_VALUE"""),"Mar-Jue")</f>
        <v>Mar-Jue</v>
      </c>
      <c r="S302" s="6" t="str">
        <f>IFERROR(__xludf.DUMMYFUNCTION("""COMPUTED_VALUE"""),"7PM - 10PM")</f>
        <v>7PM - 10PM</v>
      </c>
      <c r="T302" s="7" t="str">
        <f>IFERROR(__xludf.DUMMYFUNCTION("""COMPUTED_VALUE"""),"Jueves 19 Marzo")</f>
        <v>Jueves 19 Marzo</v>
      </c>
      <c r="U302" s="7" t="str">
        <f>IFERROR(__xludf.DUMMYFUNCTION("""COMPUTED_VALUE"""),"Jueves 9 Abril")</f>
        <v>Jueves 9 Abril</v>
      </c>
      <c r="V302" s="8">
        <f>IFERROR(__xludf.DUMMYFUNCTION("""COMPUTED_VALUE"""),6.0)</f>
        <v>6</v>
      </c>
      <c r="W302" s="5" t="str">
        <f>IFERROR(__xludf.DUMMYFUNCTION("""COMPUTED_VALUE"""),"pdfs/BROCHURE SAP S4 HANA HCM.pdf")</f>
        <v>pdfs/BROCHURE SAP S4 HANA HCM.pdf</v>
      </c>
      <c r="X302" s="5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03 Cursos Online de regalo con acceso ilimitado 📚
🔹 Taller de"&amp;" Automatización SAP con RPA
🔹 Garantía de Aprendizaje 100% 
🔹 Desarrollo y seguimiento de tu proyecto *(Evaluado)*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03 Cursos Online de regalo con acceso ilimitado 📚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302" s="5" t="str">
        <f>IFERROR(__xludf.DUMMYFUNCTION("""COMPUTED_VALUE"""),"images/hcm.jpg")</f>
        <v>images/hcm.jpg</v>
      </c>
      <c r="Z302" s="5" t="str">
        <f>IFERROR(__xludf.DUMMYFUNCTION("""COMPUTED_VALUE"""),"Avalado por SAP Partner Open")</f>
        <v>Avalado por SAP Partner Open</v>
      </c>
      <c r="AA302" s="5" t="str">
        <f>IFERROR(__xludf.DUMMYFUNCTION("""COMPUTED_VALUE"""),"NO")</f>
        <v>NO</v>
      </c>
      <c r="AB302" s="6">
        <f>IFERROR(__xludf.DUMMYFUNCTION("""COMPUTED_VALUE"""),900.0)</f>
        <v>900</v>
      </c>
      <c r="AC302" s="6">
        <f>IFERROR(__xludf.DUMMYFUNCTION("""COMPUTED_VALUE"""),750.0)</f>
        <v>750</v>
      </c>
      <c r="AD302" s="6">
        <f>IFERROR(__xludf.DUMMYFUNCTION("""COMPUTED_VALUE"""),450.0)</f>
        <v>450</v>
      </c>
      <c r="AE302" s="6">
        <f>IFERROR(__xludf.DUMMYFUNCTION("""COMPUTED_VALUE"""),375.0)</f>
        <v>375</v>
      </c>
      <c r="AF302" s="6">
        <f>IFERROR(__xludf.DUMMYFUNCTION("""COMPUTED_VALUE"""),150.0)</f>
        <v>150</v>
      </c>
      <c r="AG302" s="5">
        <f>IFERROR(__xludf.DUMMYFUNCTION("""COMPUTED_VALUE"""),150.0)</f>
        <v>150</v>
      </c>
      <c r="AH302" s="5"/>
      <c r="AI302" s="5">
        <f>IFERROR(__xludf.DUMMYFUNCTION("""COMPUTED_VALUE"""),337.5)</f>
        <v>337.5</v>
      </c>
      <c r="AJ302" s="5">
        <f>IFERROR(__xludf.DUMMYFUNCTION("""COMPUTED_VALUE"""),405.0)</f>
        <v>405</v>
      </c>
      <c r="AK302" s="5" t="str">
        <f>IFERROR(__xludf.DUMMYFUNCTION("""COMPUTED_VALUE"""),"El capital más importante son las personas 👤
Con SAP HANA HCM aprenderás a gestionar talento humano, nóminas y procesos de RRHH en entornos reales 📊.
Aquí tienes la info 👇🏻")</f>
        <v>El capital más importante son las personas 👤
Con SAP HANA HCM aprenderás a gestionar talento humano, nóminas y procesos de RRHH en entornos reales 📊.
Aquí tienes la info 👇🏻</v>
      </c>
      <c r="AL302" s="5" t="str">
        <f>IFERROR(__xludf.DUMMYFUNCTION("""COMPUTED_VALUE"""),"👥 Excelente, actualízate con SAP HCM y domina la gestión de talento en SAP.")</f>
        <v>👥 Excelente, actualízate con SAP HCM y domina la gestión de talento en SAP.</v>
      </c>
      <c r="AM302" s="5" t="str">
        <f>IFERROR(__xludf.DUMMYFUNCTION("""COMPUTED_VALUE"""),"💼 Buenísimo, SAP HCM es muy buscado en empresas que manejan recursos humanos.")</f>
        <v>💼 Buenísimo, SAP HCM es muy buscado en empresas que manejan recursos humanos.</v>
      </c>
      <c r="AN302" s="5" t="str">
        <f>IFERROR(__xludf.DUMMYFUNCTION("""COMPUTED_VALUE"""),"🎓 ¡Genial! Con SAP HCM aprenderás gestión de personas desde la universidad.")</f>
        <v>🎓 ¡Genial! Con SAP HCM aprenderás gestión de personas desde la universidad.</v>
      </c>
      <c r="AO302" s="5" t="str">
        <f>IFERROR(__xludf.DUMMYFUNCTION("""COMPUTED_VALUE"""),"🚀 ¡Perfecto! Con SAP HCM podrás acceder a prácticas en recursos humanos.")</f>
        <v>🚀 ¡Perfecto! Con SAP HCM podrás acceder a prácticas en recursos humanos.</v>
      </c>
      <c r="AP302" s="5" t="str">
        <f>IFERROR(__xludf.DUMMYFUNCTION("""COMPUTED_VALUE"""),"📊 ¡Excelente! Con SAP HCM podrás gestionar el talento de tu negocio de forma más estratégica.")</f>
        <v>📊 ¡Excelente! Con SAP HCM podrás gestionar el talento de tu negocio de forma más estratégica.</v>
      </c>
      <c r="AQ302" s="9" t="str">
        <f>IFERROR(__xludf.DUMMYFUNCTION("""COMPUTED_VALUE"""),"https://we-educacion.com/slides/sap-s-4-hana-hcm-1134#")</f>
        <v>https://we-educacion.com/slides/sap-s-4-hana-hcm-1134#</v>
      </c>
      <c r="AR302" s="5">
        <v>1.0</v>
      </c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</row>
    <row r="303" ht="15.75" customHeight="1">
      <c r="A303" s="5" t="s">
        <v>345</v>
      </c>
      <c r="B303" s="5" t="str">
        <f t="shared" si="1"/>
        <v>MAR. I - ED26</v>
      </c>
      <c r="C303" s="6" t="str">
        <f>IFERROR(__xludf.DUMMYFUNCTION("""COMPUTED_VALUE"""),"BI")</f>
        <v>BI</v>
      </c>
      <c r="D303" s="5" t="str">
        <f>IFERROR(__xludf.DUMMYFUNCTION("""COMPUTED_VALUE"""),"ESP.")</f>
        <v>ESP.</v>
      </c>
      <c r="E303" s="6" t="str">
        <f>IFERROR(__xludf.DUMMYFUNCTION("""COMPUTED_VALUE"""),"ESP. POWER BI")</f>
        <v>ESP. POWER BI</v>
      </c>
      <c r="F303" s="7">
        <f>IFERROR(__xludf.DUMMYFUNCTION("""COMPUTED_VALUE"""),46100.0)</f>
        <v>46100</v>
      </c>
      <c r="G303" s="6" t="str">
        <f>IFERROR(__xludf.DUMMYFUNCTION("""COMPUTED_VALUE"""),"POWER BI")</f>
        <v>POWER BI</v>
      </c>
      <c r="H303" s="7">
        <f>IFERROR(__xludf.DUMMYFUNCTION("""COMPUTED_VALUE"""),46100.0)</f>
        <v>46100</v>
      </c>
      <c r="I303" s="6" t="str">
        <f>IFERROR(__xludf.DUMMYFUNCTION("""COMPUTED_VALUE"""),"POWER BI AVANZ")</f>
        <v>POWER BI AVANZ</v>
      </c>
      <c r="J303" s="7">
        <f>IFERROR(__xludf.DUMMYFUNCTION("""COMPUTED_VALUE"""),46135.0)</f>
        <v>46135</v>
      </c>
      <c r="K303" s="6"/>
      <c r="L303" s="7"/>
      <c r="M303" s="6"/>
      <c r="N303" s="7"/>
      <c r="O303" s="6"/>
      <c r="P303" s="7"/>
      <c r="Q303" s="6"/>
      <c r="R303" s="5" t="str">
        <f>IFERROR(__xludf.DUMMYFUNCTION("""COMPUTED_VALUE"""),"Mar-Jue")</f>
        <v>Mar-Jue</v>
      </c>
      <c r="S303" s="6" t="str">
        <f>IFERROR(__xludf.DUMMYFUNCTION("""COMPUTED_VALUE"""),"7PM - 10PM")</f>
        <v>7PM - 10PM</v>
      </c>
      <c r="T303" s="7" t="str">
        <f>IFERROR(__xludf.DUMMYFUNCTION("""COMPUTED_VALUE"""),"Jueves 19 Marzo")</f>
        <v>Jueves 19 Marzo</v>
      </c>
      <c r="U303" s="7" t="str">
        <f>IFERROR(__xludf.DUMMYFUNCTION("""COMPUTED_VALUE"""),"Martes 12 Mayo")</f>
        <v>Martes 12 Mayo</v>
      </c>
      <c r="V303" s="8">
        <f>IFERROR(__xludf.DUMMYFUNCTION("""COMPUTED_VALUE"""),12.0)</f>
        <v>12</v>
      </c>
      <c r="W303" s="5" t="str">
        <f>IFERROR(__xludf.DUMMYFUNCTION("""COMPUTED_VALUE"""),"pdfs/BROCHURE ESPECIALIZACION DE POWER BI.pdf")</f>
        <v>pdfs/BROCHURE ESPECIALIZACION DE POWER BI.pdf</v>
      </c>
      <c r="X303" s="5" t="str">
        <f>IFERROR(__xludf.DUMMYFUNCTION("""COMPUTED_VALUE"""),"🔵 *Utilizarán Power BI Desktop y Power BI Pro* 👩🏻‍💻
👉🏼 Incluye tutorial y manual de instalación
👉🏼 Manual de Lenguaje DAX en Power BI
💻 _*Importante*: Para la instalación se necesita una Laptop *Windows*_
🚨 *Por favor, revisa el BROCHURE* 👇🏻
"&amp;"Aqui encontrarás la información completa del programa, el TEMARIO (malla curricular) y todos los BENEFICIOS 📚")</f>
        <v>🔵 *Utilizarán Power BI Desktop y Power BI Pro*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303" s="5" t="str">
        <f>IFERROR(__xludf.DUMMYFUNCTION("""COMPUTED_VALUE"""),"images/esppowerbi.jpg")</f>
        <v>images/esppowerbi.jpg</v>
      </c>
      <c r="Z303" s="5" t="str">
        <f>IFERROR(__xludf.DUMMYFUNCTION("""COMPUTED_VALUE"""),"Avalado por Microsoft Partner Network")</f>
        <v>Avalado por Microsoft Partner Network</v>
      </c>
      <c r="AA303" s="5" t="str">
        <f>IFERROR(__xludf.DUMMYFUNCTION("""COMPUTED_VALUE"""),"NO")</f>
        <v>NO</v>
      </c>
      <c r="AB303" s="6">
        <f>IFERROR(__xludf.DUMMYFUNCTION("""COMPUTED_VALUE"""),1600.0)</f>
        <v>1600</v>
      </c>
      <c r="AC303" s="6">
        <f>IFERROR(__xludf.DUMMYFUNCTION("""COMPUTED_VALUE"""),1400.0)</f>
        <v>1400</v>
      </c>
      <c r="AD303" s="6">
        <f>IFERROR(__xludf.DUMMYFUNCTION("""COMPUTED_VALUE"""),800.0)</f>
        <v>800</v>
      </c>
      <c r="AE303" s="6">
        <f>IFERROR(__xludf.DUMMYFUNCTION("""COMPUTED_VALUE"""),700.0)</f>
        <v>700</v>
      </c>
      <c r="AF303" s="6">
        <f>IFERROR(__xludf.DUMMYFUNCTION("""COMPUTED_VALUE"""),250.0)</f>
        <v>250</v>
      </c>
      <c r="AG303" s="5">
        <f>IFERROR(__xludf.DUMMYFUNCTION("""COMPUTED_VALUE"""),350.0)</f>
        <v>350</v>
      </c>
      <c r="AH303" s="5"/>
      <c r="AI303" s="5">
        <f>IFERROR(__xludf.DUMMYFUNCTION("""COMPUTED_VALUE"""),630.0)</f>
        <v>630</v>
      </c>
      <c r="AJ303" s="5">
        <f>IFERROR(__xludf.DUMMYFUNCTION("""COMPUTED_VALUE"""),720.0)</f>
        <v>720</v>
      </c>
      <c r="AK303" s="5" t="str">
        <f>IFERROR(__xludf.DUMMYFUNCTION("""COMPUTED_VALUE"""),"El lenguaje de las empresas hoy son los datos 🚀
Conviértete en especialista en Power BI y domina la visualización de información estratégica 📊
👉🏻 Aquí tienes el detalle.")</f>
        <v>El lenguaje de las empresas hoy son los datos 🚀
Conviértete en especialista en Power BI y domina la visualización de información estratégica 📊
👉🏻 Aquí tienes el detalle.</v>
      </c>
      <c r="AL303" s="5" t="str">
        <f>IFERROR(__xludf.DUMMYFUNCTION("""COMPUTED_VALUE"""),"📈 Excelente, actualízate con Power BI y domina la inteligencia de negocios.")</f>
        <v>📈 Excelente, actualízate con Power BI y domina la inteligencia de negocios.</v>
      </c>
      <c r="AM303" s="5" t="str">
        <f>IFERROR(__xludf.DUMMYFUNCTION("""COMPUTED_VALUE"""),"💼 Buenísimo, muy buscado en empresas que requieren análisis y dashboards.")</f>
        <v>💼 Buenísimo, muy buscado en empresas que requieren análisis y dashboards.</v>
      </c>
      <c r="AN303" s="5" t="str">
        <f>IFERROR(__xludf.DUMMYFUNCTION("""COMPUTED_VALUE"""),"🚀 Genial, será tu diferencial en el mercado laboral.")</f>
        <v>🚀 Genial, será tu diferencial en el mercado laboral.</v>
      </c>
      <c r="AO303" s="5" t="str">
        <f>IFERROR(__xludf.DUMMYFUNCTION("""COMPUTED_VALUE"""),"📊 Perfecto, Power BI te dará ventaja en reportes y decisiones en prácticas.")</f>
        <v>📊 Perfecto, Power BI te dará ventaja en reportes y decisiones en prácticas.</v>
      </c>
      <c r="AP303" s="5" t="str">
        <f>IFERROR(__xludf.DUMMYFUNCTION("""COMPUTED_VALUE"""),"🔑 Excelente, con Power BI podrás visualizar tu negocio con datos claros.")</f>
        <v>🔑 Excelente, con Power BI podrás visualizar tu negocio con datos claros.</v>
      </c>
      <c r="AQ303" s="9" t="str">
        <f>IFERROR(__xludf.DUMMYFUNCTION("""COMPUTED_VALUE"""),"https://we-educacion.com/slides/especializacion-en-power-bi-106")</f>
        <v>https://we-educacion.com/slides/especializacion-en-power-bi-106</v>
      </c>
      <c r="AR303" s="5">
        <v>1.0</v>
      </c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</row>
    <row r="304" ht="15.75" customHeight="1">
      <c r="A304" s="5" t="s">
        <v>346</v>
      </c>
      <c r="B304" s="5" t="str">
        <f t="shared" si="1"/>
        <v>MAR. I - ED26</v>
      </c>
      <c r="C304" s="6" t="str">
        <f>IFERROR(__xludf.DUMMYFUNCTION("""COMPUTED_VALUE"""),"BI")</f>
        <v>BI</v>
      </c>
      <c r="D304" s="6" t="str">
        <f>IFERROR(__xludf.DUMMYFUNCTION("""COMPUTED_VALUE"""),"CURSO")</f>
        <v>CURSO</v>
      </c>
      <c r="E304" s="6" t="str">
        <f>IFERROR(__xludf.DUMMYFUNCTION("""COMPUTED_VALUE"""),"POWER BI")</f>
        <v>POWER BI</v>
      </c>
      <c r="F304" s="7">
        <f>IFERROR(__xludf.DUMMYFUNCTION("""COMPUTED_VALUE"""),46100.0)</f>
        <v>46100</v>
      </c>
      <c r="G304" s="6"/>
      <c r="H304" s="7"/>
      <c r="I304" s="6"/>
      <c r="J304" s="7"/>
      <c r="K304" s="6"/>
      <c r="L304" s="7"/>
      <c r="M304" s="6"/>
      <c r="N304" s="7"/>
      <c r="O304" s="6"/>
      <c r="P304" s="7"/>
      <c r="Q304" s="6"/>
      <c r="R304" s="5" t="str">
        <f>IFERROR(__xludf.DUMMYFUNCTION("""COMPUTED_VALUE"""),"Mar-Jue")</f>
        <v>Mar-Jue</v>
      </c>
      <c r="S304" s="6" t="str">
        <f>IFERROR(__xludf.DUMMYFUNCTION("""COMPUTED_VALUE"""),"7PM - 10PM")</f>
        <v>7PM - 10PM</v>
      </c>
      <c r="T304" s="7" t="str">
        <f>IFERROR(__xludf.DUMMYFUNCTION("""COMPUTED_VALUE"""),"Jueves 19 Marzo")</f>
        <v>Jueves 19 Marzo</v>
      </c>
      <c r="U304" s="7" t="str">
        <f>IFERROR(__xludf.DUMMYFUNCTION("""COMPUTED_VALUE"""),"Jueves 16 Abril")</f>
        <v>Jueves 16 Abril</v>
      </c>
      <c r="V304" s="8">
        <f>IFERROR(__xludf.DUMMYFUNCTION("""COMPUTED_VALUE"""),6.0)</f>
        <v>6</v>
      </c>
      <c r="W304" s="5" t="str">
        <f>IFERROR(__xludf.DUMMYFUNCTION("""COMPUTED_VALUE"""),"pdfs/BROCHURE POWER BI.pdf")</f>
        <v>pdfs/BROCHURE POWER BI.pdf</v>
      </c>
      <c r="X304" s="5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304" s="5" t="str">
        <f>IFERROR(__xludf.DUMMYFUNCTION("""COMPUTED_VALUE"""),"images/powerbi.jpg")</f>
        <v>images/powerbi.jpg</v>
      </c>
      <c r="Z304" s="5" t="str">
        <f>IFERROR(__xludf.DUMMYFUNCTION("""COMPUTED_VALUE"""),"Avalado por Microsoft Partner Network")</f>
        <v>Avalado por Microsoft Partner Network</v>
      </c>
      <c r="AA304" s="5" t="str">
        <f>IFERROR(__xludf.DUMMYFUNCTION("""COMPUTED_VALUE"""),"NO")</f>
        <v>NO</v>
      </c>
      <c r="AB304" s="6">
        <f>IFERROR(__xludf.DUMMYFUNCTION("""COMPUTED_VALUE"""),830.0)</f>
        <v>830</v>
      </c>
      <c r="AC304" s="6">
        <f>IFERROR(__xludf.DUMMYFUNCTION("""COMPUTED_VALUE"""),740.0)</f>
        <v>740</v>
      </c>
      <c r="AD304" s="6">
        <f>IFERROR(__xludf.DUMMYFUNCTION("""COMPUTED_VALUE"""),415.0)</f>
        <v>415</v>
      </c>
      <c r="AE304" s="6">
        <f>IFERROR(__xludf.DUMMYFUNCTION("""COMPUTED_VALUE"""),370.0)</f>
        <v>370</v>
      </c>
      <c r="AF304" s="6">
        <f>IFERROR(__xludf.DUMMYFUNCTION("""COMPUTED_VALUE"""),150.0)</f>
        <v>150</v>
      </c>
      <c r="AG304" s="5">
        <f>IFERROR(__xludf.DUMMYFUNCTION("""COMPUTED_VALUE"""),150.0)</f>
        <v>150</v>
      </c>
      <c r="AH304" s="5"/>
      <c r="AI304" s="5">
        <f>IFERROR(__xludf.DUMMYFUNCTION("""COMPUTED_VALUE"""),333.0)</f>
        <v>333</v>
      </c>
      <c r="AJ304" s="5">
        <f>IFERROR(__xludf.DUMMYFUNCTION("""COMPUTED_VALUE"""),373.5)</f>
        <v>373.5</v>
      </c>
      <c r="AK304" s="5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304" s="5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304" s="5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304" s="5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304" s="5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304" s="5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304" s="9" t="str">
        <f>IFERROR(__xludf.DUMMYFUNCTION("""COMPUTED_VALUE"""),"https://we-educacion.com/slides/power-bi-46")</f>
        <v>https://we-educacion.com/slides/power-bi-46</v>
      </c>
      <c r="AR304" s="5">
        <v>1.0</v>
      </c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</row>
    <row r="305" ht="15.75" customHeight="1">
      <c r="A305" s="5" t="s">
        <v>347</v>
      </c>
      <c r="B305" s="5" t="str">
        <f t="shared" si="1"/>
        <v>MAR. I - ED26</v>
      </c>
      <c r="C305" s="6" t="str">
        <f>IFERROR(__xludf.DUMMYFUNCTION("""COMPUTED_VALUE"""),"BI")</f>
        <v>BI</v>
      </c>
      <c r="D305" s="6" t="str">
        <f>IFERROR(__xludf.DUMMYFUNCTION("""COMPUTED_VALUE"""),"ESP.")</f>
        <v>ESP.</v>
      </c>
      <c r="E305" s="6" t="str">
        <f>IFERROR(__xludf.DUMMYFUNCTION("""COMPUTED_VALUE"""),"ESP. SQL SERVER")</f>
        <v>ESP. SQL SERVER</v>
      </c>
      <c r="F305" s="7">
        <f>IFERROR(__xludf.DUMMYFUNCTION("""COMPUTED_VALUE"""),46102.0)</f>
        <v>46102</v>
      </c>
      <c r="G305" s="6" t="str">
        <f>IFERROR(__xludf.DUMMYFUNCTION("""COMPUTED_VALUE"""),"SQL SERVER")</f>
        <v>SQL SERVER</v>
      </c>
      <c r="H305" s="7">
        <f>IFERROR(__xludf.DUMMYFUNCTION("""COMPUTED_VALUE"""),46102.0)</f>
        <v>46102</v>
      </c>
      <c r="I305" s="6" t="str">
        <f>IFERROR(__xludf.DUMMYFUNCTION("""COMPUTED_VALUE"""),"SQL AVANZ")</f>
        <v>SQL AVANZ</v>
      </c>
      <c r="J305" s="7">
        <f>IFERROR(__xludf.DUMMYFUNCTION("""COMPUTED_VALUE"""),46151.0)</f>
        <v>46151</v>
      </c>
      <c r="K305" s="6"/>
      <c r="L305" s="7"/>
      <c r="M305" s="6"/>
      <c r="N305" s="7"/>
      <c r="O305" s="6"/>
      <c r="P305" s="7"/>
      <c r="Q305" s="6" t="str">
        <f>IFERROR(__xludf.DUMMYFUNCTION("""COMPUTED_VALUE"""),"David Llaja
Oscar Moreno")</f>
        <v>David Llaja
Oscar Moreno</v>
      </c>
      <c r="R305" s="5" t="str">
        <f>IFERROR(__xludf.DUMMYFUNCTION("""COMPUTED_VALUE"""),"Sáb")</f>
        <v>Sáb</v>
      </c>
      <c r="S305" s="6" t="str">
        <f>IFERROR(__xludf.DUMMYFUNCTION("""COMPUTED_VALUE"""),"3PM - 6PM")</f>
        <v>3PM - 6PM</v>
      </c>
      <c r="T305" s="7" t="str">
        <f>IFERROR(__xludf.DUMMYFUNCTION("""COMPUTED_VALUE"""),"Sábado 21 Marzo")</f>
        <v>Sábado 21 Marzo</v>
      </c>
      <c r="U305" s="7" t="str">
        <f>IFERROR(__xludf.DUMMYFUNCTION("""COMPUTED_VALUE"""),"Sábado 13 Junio")</f>
        <v>Sábado 13 Junio</v>
      </c>
      <c r="V305" s="8">
        <f>IFERROR(__xludf.DUMMYFUNCTION("""COMPUTED_VALUE"""),12.0)</f>
        <v>12</v>
      </c>
      <c r="W305" s="5" t="str">
        <f>IFERROR(__xludf.DUMMYFUNCTION("""COMPUTED_VALUE"""),"pdfs/BROCHURE ESPECIALIZACION DE SQL.pdf")</f>
        <v>pdfs/BROCHURE ESPECIALIZACION DE SQL.pdf</v>
      </c>
      <c r="X305" s="5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05" s="5" t="str">
        <f>IFERROR(__xludf.DUMMYFUNCTION("""COMPUTED_VALUE"""),"images/espsql.jpg")</f>
        <v>images/espsql.jpg</v>
      </c>
      <c r="Z305" s="5" t="str">
        <f>IFERROR(__xludf.DUMMYFUNCTION("""COMPUTED_VALUE"""),"Avalado por Microsoft Partner Network")</f>
        <v>Avalado por Microsoft Partner Network</v>
      </c>
      <c r="AA305" s="5" t="str">
        <f>IFERROR(__xludf.DUMMYFUNCTION("""COMPUTED_VALUE"""),"NO")</f>
        <v>NO</v>
      </c>
      <c r="AB305" s="6">
        <f>IFERROR(__xludf.DUMMYFUNCTION("""COMPUTED_VALUE"""),1600.0)</f>
        <v>1600</v>
      </c>
      <c r="AC305" s="6">
        <f>IFERROR(__xludf.DUMMYFUNCTION("""COMPUTED_VALUE"""),1400.0)</f>
        <v>1400</v>
      </c>
      <c r="AD305" s="6">
        <f>IFERROR(__xludf.DUMMYFUNCTION("""COMPUTED_VALUE"""),800.0)</f>
        <v>800</v>
      </c>
      <c r="AE305" s="6">
        <f>IFERROR(__xludf.DUMMYFUNCTION("""COMPUTED_VALUE"""),700.0)</f>
        <v>700</v>
      </c>
      <c r="AF305" s="6">
        <f>IFERROR(__xludf.DUMMYFUNCTION("""COMPUTED_VALUE"""),250.0)</f>
        <v>250</v>
      </c>
      <c r="AG305" s="5">
        <f>IFERROR(__xludf.DUMMYFUNCTION("""COMPUTED_VALUE"""),350.0)</f>
        <v>350</v>
      </c>
      <c r="AH305" s="5"/>
      <c r="AI305" s="5">
        <f>IFERROR(__xludf.DUMMYFUNCTION("""COMPUTED_VALUE"""),630.0)</f>
        <v>630</v>
      </c>
      <c r="AJ305" s="5">
        <f>IFERROR(__xludf.DUMMYFUNCTION("""COMPUTED_VALUE"""),720.0)</f>
        <v>720</v>
      </c>
      <c r="AK305" s="5" t="str">
        <f>IFERROR(__xludf.DUMMYFUNCTION("""COMPUTED_VALUE"""),"Las bases de datos mueven el mundo 💾
Aprende a gestionar y optimizar información con SQL Server para un control eficiente 📊
👉🏻 Aquí está la información.")</f>
        <v>Las bases de datos mueven el mundo 💾
Aprende a gestionar y optimizar información con SQL Server para un control eficiente 📊
👉🏻 Aquí está la información.</v>
      </c>
      <c r="AL305" s="5" t="str">
        <f>IFERROR(__xludf.DUMMYFUNCTION("""COMPUTED_VALUE"""),"💾 Excelente, actualízate en SQL Server y gestiona datos con eficiencia.")</f>
        <v>💾 Excelente, actualízate en SQL Server y gestiona datos con eficiencia.</v>
      </c>
      <c r="AM305" s="5" t="str">
        <f>IFERROR(__xludf.DUMMYFUNCTION("""COMPUTED_VALUE"""),"🏢 Buenísimo, las empresas buscan expertos en bases de datos corporativas.")</f>
        <v>🏢 Buenísimo, las empresas buscan expertos en bases de datos corporativas.</v>
      </c>
      <c r="AN305" s="5" t="str">
        <f>IFERROR(__xludf.DUMMYFUNCTION("""COMPUTED_VALUE"""),"⚡ Genial, dominar SQL Server elevará tu perfil en gestión de información.")</f>
        <v>⚡ Genial, dominar SQL Server elevará tu perfil en gestión de información.</v>
      </c>
      <c r="AO305" s="5" t="str">
        <f>IFERROR(__xludf.DUMMYFUNCTION("""COMPUTED_VALUE"""),"🚀 Perfecto, SQL será tu ventaja en prácticas de análisis y TI.")</f>
        <v>🚀 Perfecto, SQL será tu ventaja en prácticas de análisis y TI.</v>
      </c>
      <c r="AP305" s="5" t="str">
        <f>IFERROR(__xludf.DUMMYFUNCTION("""COMPUTED_VALUE"""),"📊 Excelente, podrás gestionar tus datos con control y rapidez como independiente.")</f>
        <v>📊 Excelente, podrás gestionar tus datos con control y rapidez como independiente.</v>
      </c>
      <c r="AQ305" s="9" t="str">
        <f>IFERROR(__xludf.DUMMYFUNCTION("""COMPUTED_VALUE"""),"https://we-educacion.com/slides/especializacion-en-sql-server-107")</f>
        <v>https://we-educacion.com/slides/especializacion-en-sql-server-107</v>
      </c>
      <c r="AR305" s="5">
        <v>1.0</v>
      </c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</row>
    <row r="306" ht="15.75" customHeight="1">
      <c r="A306" s="5" t="s">
        <v>348</v>
      </c>
      <c r="B306" s="5" t="str">
        <f t="shared" si="1"/>
        <v>MAR. I - ED26</v>
      </c>
      <c r="C306" s="6" t="str">
        <f>IFERROR(__xludf.DUMMYFUNCTION("""COMPUTED_VALUE"""),"BI")</f>
        <v>BI</v>
      </c>
      <c r="D306" s="6" t="str">
        <f>IFERROR(__xludf.DUMMYFUNCTION("""COMPUTED_VALUE"""),"CURSO")</f>
        <v>CURSO</v>
      </c>
      <c r="E306" s="6" t="str">
        <f>IFERROR(__xludf.DUMMYFUNCTION("""COMPUTED_VALUE"""),"SQL SERVER")</f>
        <v>SQL SERVER</v>
      </c>
      <c r="F306" s="7">
        <f>IFERROR(__xludf.DUMMYFUNCTION("""COMPUTED_VALUE"""),46102.0)</f>
        <v>46102</v>
      </c>
      <c r="G306" s="6"/>
      <c r="H306" s="7"/>
      <c r="I306" s="6"/>
      <c r="J306" s="7"/>
      <c r="K306" s="6"/>
      <c r="L306" s="7"/>
      <c r="M306" s="6"/>
      <c r="N306" s="7"/>
      <c r="O306" s="6"/>
      <c r="P306" s="7"/>
      <c r="Q306" s="6" t="str">
        <f>IFERROR(__xludf.DUMMYFUNCTION("""COMPUTED_VALUE"""),"David Llaja")</f>
        <v>David Llaja</v>
      </c>
      <c r="R306" s="5" t="str">
        <f>IFERROR(__xludf.DUMMYFUNCTION("""COMPUTED_VALUE"""),"Sáb")</f>
        <v>Sáb</v>
      </c>
      <c r="S306" s="6" t="str">
        <f>IFERROR(__xludf.DUMMYFUNCTION("""COMPUTED_VALUE"""),"3PM - 6PM")</f>
        <v>3PM - 6PM</v>
      </c>
      <c r="T306" s="7" t="str">
        <f>IFERROR(__xludf.DUMMYFUNCTION("""COMPUTED_VALUE"""),"Sábado 21 Marzo")</f>
        <v>Sábado 21 Marzo</v>
      </c>
      <c r="U306" s="7" t="str">
        <f>IFERROR(__xludf.DUMMYFUNCTION("""COMPUTED_VALUE"""),"Sábado 2 Mayo")</f>
        <v>Sábado 2 Mayo</v>
      </c>
      <c r="V306" s="8">
        <f>IFERROR(__xludf.DUMMYFUNCTION("""COMPUTED_VALUE"""),6.0)</f>
        <v>6</v>
      </c>
      <c r="W306" s="5" t="str">
        <f>IFERROR(__xludf.DUMMYFUNCTION("""COMPUTED_VALUE"""),"pdfs/BROCHURE SQL SERVER.pdf")</f>
        <v>pdfs/BROCHURE SQL SERVER.pdf</v>
      </c>
      <c r="X306" s="5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06" s="5" t="str">
        <f>IFERROR(__xludf.DUMMYFUNCTION("""COMPUTED_VALUE"""),"images/sqlserver.jpg")</f>
        <v>images/sqlserver.jpg</v>
      </c>
      <c r="Z306" s="5" t="str">
        <f>IFERROR(__xludf.DUMMYFUNCTION("""COMPUTED_VALUE"""),"Avalado por Microsoft Partner Network")</f>
        <v>Avalado por Microsoft Partner Network</v>
      </c>
      <c r="AA306" s="5" t="str">
        <f>IFERROR(__xludf.DUMMYFUNCTION("""COMPUTED_VALUE"""),"NO")</f>
        <v>NO</v>
      </c>
      <c r="AB306" s="6">
        <f>IFERROR(__xludf.DUMMYFUNCTION("""COMPUTED_VALUE"""),830.0)</f>
        <v>830</v>
      </c>
      <c r="AC306" s="6">
        <f>IFERROR(__xludf.DUMMYFUNCTION("""COMPUTED_VALUE"""),740.0)</f>
        <v>740</v>
      </c>
      <c r="AD306" s="6">
        <f>IFERROR(__xludf.DUMMYFUNCTION("""COMPUTED_VALUE"""),415.0)</f>
        <v>415</v>
      </c>
      <c r="AE306" s="6">
        <f>IFERROR(__xludf.DUMMYFUNCTION("""COMPUTED_VALUE"""),370.0)</f>
        <v>370</v>
      </c>
      <c r="AF306" s="6">
        <f>IFERROR(__xludf.DUMMYFUNCTION("""COMPUTED_VALUE"""),150.0)</f>
        <v>150</v>
      </c>
      <c r="AG306" s="5">
        <f>IFERROR(__xludf.DUMMYFUNCTION("""COMPUTED_VALUE"""),150.0)</f>
        <v>150</v>
      </c>
      <c r="AH306" s="5"/>
      <c r="AI306" s="5">
        <f>IFERROR(__xludf.DUMMYFUNCTION("""COMPUTED_VALUE"""),333.0)</f>
        <v>333</v>
      </c>
      <c r="AJ306" s="5">
        <f>IFERROR(__xludf.DUMMYFUNCTION("""COMPUTED_VALUE"""),373.5)</f>
        <v>373.5</v>
      </c>
      <c r="AK306" s="5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306" s="5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306" s="5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306" s="5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306" s="5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306" s="5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306" s="9" t="str">
        <f>IFERROR(__xludf.DUMMYFUNCTION("""COMPUTED_VALUE"""),"https://we-educacion.com/slides/sql-server-for-analytics-52")</f>
        <v>https://we-educacion.com/slides/sql-server-for-analytics-52</v>
      </c>
      <c r="AR306" s="5">
        <v>1.0</v>
      </c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</row>
    <row r="307" ht="15.75" customHeight="1">
      <c r="A307" s="5" t="s">
        <v>349</v>
      </c>
      <c r="B307" s="5" t="str">
        <f t="shared" si="1"/>
        <v>MAR. I - ED26</v>
      </c>
      <c r="C307" s="6" t="str">
        <f>IFERROR(__xludf.DUMMYFUNCTION("""COMPUTED_VALUE"""),"FINANZ")</f>
        <v>FINANZ</v>
      </c>
      <c r="D307" s="6" t="str">
        <f>IFERROR(__xludf.DUMMYFUNCTION("""COMPUTED_VALUE"""),"ESP.")</f>
        <v>ESP.</v>
      </c>
      <c r="E307" s="6" t="str">
        <f>IFERROR(__xludf.DUMMYFUNCTION("""COMPUTED_VALUE"""),"ESP. FINANZAS")</f>
        <v>ESP. FINANZAS</v>
      </c>
      <c r="F307" s="7">
        <f>IFERROR(__xludf.DUMMYFUNCTION("""COMPUTED_VALUE"""),46102.0)</f>
        <v>46102</v>
      </c>
      <c r="G307" s="6" t="str">
        <f>IFERROR(__xludf.DUMMYFUNCTION("""COMPUTED_VALUE"""),"CONT. FINANCIERA")</f>
        <v>CONT. FINANCIERA</v>
      </c>
      <c r="H307" s="7">
        <f>IFERROR(__xludf.DUMMYFUNCTION("""COMPUTED_VALUE"""),46102.0)</f>
        <v>46102</v>
      </c>
      <c r="I307" s="6" t="str">
        <f>IFERROR(__xludf.DUMMYFUNCTION("""COMPUTED_VALUE"""),"COST Y PRESUP")</f>
        <v>COST Y PRESUP</v>
      </c>
      <c r="J307" s="7">
        <f>IFERROR(__xludf.DUMMYFUNCTION("""COMPUTED_VALUE"""),46151.0)</f>
        <v>46151</v>
      </c>
      <c r="K307" s="6" t="str">
        <f>IFERROR(__xludf.DUMMYFUNCTION("""COMPUTED_VALUE"""),"SAP HANA FI")</f>
        <v>SAP HANA FI</v>
      </c>
      <c r="L307" s="7">
        <f>IFERROR(__xludf.DUMMYFUNCTION("""COMPUTED_VALUE"""),46193.0)</f>
        <v>46193</v>
      </c>
      <c r="M307" s="6"/>
      <c r="N307" s="7"/>
      <c r="O307" s="6"/>
      <c r="P307" s="7"/>
      <c r="Q307" s="6" t="str">
        <f>IFERROR(__xludf.DUMMYFUNCTION("""COMPUTED_VALUE"""),"Christian Montánchez
Ralphi Jauregui
Indira Carhuas")</f>
        <v>Christian Montánchez
Ralphi Jauregui
Indira Carhuas</v>
      </c>
      <c r="R307" s="5" t="str">
        <f>IFERROR(__xludf.DUMMYFUNCTION("""COMPUTED_VALUE"""),"Sáb")</f>
        <v>Sáb</v>
      </c>
      <c r="S307" s="6" t="str">
        <f>IFERROR(__xludf.DUMMYFUNCTION("""COMPUTED_VALUE"""),"3PM - 6PM")</f>
        <v>3PM - 6PM</v>
      </c>
      <c r="T307" s="7" t="str">
        <f>IFERROR(__xludf.DUMMYFUNCTION("""COMPUTED_VALUE"""),"Sábado 21 Marzo")</f>
        <v>Sábado 21 Marzo</v>
      </c>
      <c r="U307" s="7" t="str">
        <f>IFERROR(__xludf.DUMMYFUNCTION("""COMPUTED_VALUE"""),"Sábado 25 Julio")</f>
        <v>Sábado 25 Julio</v>
      </c>
      <c r="V307" s="8">
        <f>IFERROR(__xludf.DUMMYFUNCTION("""COMPUTED_VALUE"""),18.0)</f>
        <v>18</v>
      </c>
      <c r="W307" s="5" t="str">
        <f>IFERROR(__xludf.DUMMYFUNCTION("""COMPUTED_VALUE"""),"pdfs/BROCHURE ESPECIALIZACION EN FINANZAS APLICADAS.pdf")</f>
        <v>pdfs/BROCHURE ESPECIALIZACION EN FINANZAS APLICADAS.pdf</v>
      </c>
      <c r="X307" s="6" t="str">
        <f>IFERROR(__xludf.DUMMYFUNCTION("""COMPUTED_VALUE"""),"🔵 *Conoce TODOS los BENEFICIOS a los que accedes*
🔹 Acceso a Campus Virtual WE 👩🏻‍🏫
🔹 Material digital y grabación de clases 
🔹 Certificado digital por módulo con respaldo *SAP Open Ecosystem* e *ISO*
🔹 04 Cursos Online de regalo con acceso "&amp;"ilimitado 📚
🔹 Desarrollo y seguimiento de tu proyecto *(Evaluado)*
🔹 Garantía de Aprendizaje 100%
🔹 *Utilizarán SAP HANA* 👩🏻‍💻
👉🏼 Incluye tutorial y manual de instalación
👉🏼 12 meses de Licencia SAP para practicar
👉🏼 Contarás con Sopo"&amp;"rte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por módulo con respaldo *SAP Open Ecosystem* e *ISO*
🔹 04 Cursos Online de regalo con acceso ilimitado 📚
🔹 Desarrollo y seguimiento de tu proyecto *(Evaluado)*
🔹 Garantía de Aprendizaje 100%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307" s="5"/>
      <c r="Z307" s="5"/>
      <c r="AA307" s="5" t="str">
        <f>IFERROR(__xludf.DUMMYFUNCTION("""COMPUTED_VALUE"""),"NO")</f>
        <v>NO</v>
      </c>
      <c r="AB307" s="6">
        <f>IFERROR(__xludf.DUMMYFUNCTION("""COMPUTED_VALUE"""),2400.0)</f>
        <v>2400</v>
      </c>
      <c r="AC307" s="6">
        <f>IFERROR(__xludf.DUMMYFUNCTION("""COMPUTED_VALUE"""),2150.0)</f>
        <v>2150</v>
      </c>
      <c r="AD307" s="6">
        <f>IFERROR(__xludf.DUMMYFUNCTION("""COMPUTED_VALUE"""),1200.0)</f>
        <v>1200</v>
      </c>
      <c r="AE307" s="6">
        <f>IFERROR(__xludf.DUMMYFUNCTION("""COMPUTED_VALUE"""),1075.0)</f>
        <v>1075</v>
      </c>
      <c r="AF307" s="6">
        <f>IFERROR(__xludf.DUMMYFUNCTION("""COMPUTED_VALUE"""),250.0)</f>
        <v>250</v>
      </c>
      <c r="AG307" s="5">
        <f>IFERROR(__xludf.DUMMYFUNCTION("""COMPUTED_VALUE"""),350.0)</f>
        <v>350</v>
      </c>
      <c r="AH307" s="5"/>
      <c r="AI307" s="5">
        <f>IFERROR(__xludf.DUMMYFUNCTION("""COMPUTED_VALUE"""),967.5)</f>
        <v>967.5</v>
      </c>
      <c r="AJ307" s="5">
        <f>IFERROR(__xludf.DUMMYFUNCTION("""COMPUTED_VALUE"""),1080.0)</f>
        <v>1080</v>
      </c>
      <c r="AK307" s="5" t="str">
        <f>IFERROR(__xludf.DUMMYFUNCTION("""COMPUTED_VALUE"""),"La clave de toda empresa está en sus finanzas 💼
Domina la gestión financiera con herramientas modernas y eleva tu perfil profesional 📈
👉🏻 Te comparto la información.")</f>
        <v>La clave de toda empresa está en sus finanzas 💼
Domina la gestión financiera con herramientas modernas y eleva tu perfil profesional 📈
👉🏻 Te comparto la información.</v>
      </c>
      <c r="AL307" s="5" t="str">
        <f>IFERROR(__xludf.DUMMYFUNCTION("""COMPUTED_VALUE"""),"💰 Excelente, actualízate en finanzas y domina decisiones estratégicas.")</f>
        <v>💰 Excelente, actualízate en finanzas y domina decisiones estratégicas.</v>
      </c>
      <c r="AM307" s="5" t="str">
        <f>IFERROR(__xludf.DUMMYFUNCTION("""COMPUTED_VALUE"""),"🏦 Buenísimo, el mercado busca expertos en análisis y control financiero.")</f>
        <v>🏦 Buenísimo, el mercado busca expertos en análisis y control financiero.</v>
      </c>
      <c r="AN307" s="5" t="str">
        <f>IFERROR(__xludf.DUMMYFUNCTION("""COMPUTED_VALUE"""),"📊 Genial, finanzas te dará un perfil con competencias diferenciales.")</f>
        <v>📊 Genial, finanzas te dará un perfil con competencias diferenciales.</v>
      </c>
      <c r="AO307" s="5" t="str">
        <f>IFERROR(__xludf.DUMMYFUNCTION("""COMPUTED_VALUE"""),"📋 Perfecto, te abrirá más puertas en prácticas de administración.")</f>
        <v>📋 Perfecto, te abrirá más puertas en prácticas de administración.</v>
      </c>
      <c r="AP307" s="5" t="str">
        <f>IFERROR(__xludf.DUMMYFUNCTION("""COMPUTED_VALUE"""),"🚀 Excelente, con finanzas podrás gestionar y proyectar mejor tu negocio.")</f>
        <v>🚀 Excelente, con finanzas podrás gestionar y proyectar mejor tu negocio.</v>
      </c>
      <c r="AQ307" s="9" t="str">
        <f>IFERROR(__xludf.DUMMYFUNCTION("""COMPUTED_VALUE"""),"https://we-educacion.com/slides/especializacion-en-finanzas-aplicadas-1130")</f>
        <v>https://we-educacion.com/slides/especializacion-en-finanzas-aplicadas-1130</v>
      </c>
      <c r="AR307" s="5">
        <v>1.0</v>
      </c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</row>
    <row r="308" ht="15.75" customHeight="1">
      <c r="A308" s="5" t="s">
        <v>350</v>
      </c>
      <c r="B308" s="5" t="str">
        <f t="shared" si="1"/>
        <v>MAR. I - ED26</v>
      </c>
      <c r="C308" s="6" t="str">
        <f>IFERROR(__xludf.DUMMYFUNCTION("""COMPUTED_VALUE"""),"FINANZ")</f>
        <v>FINANZ</v>
      </c>
      <c r="D308" s="5" t="str">
        <f>IFERROR(__xludf.DUMMYFUNCTION("""COMPUTED_VALUE"""),"CURSO")</f>
        <v>CURSO</v>
      </c>
      <c r="E308" s="6" t="str">
        <f>IFERROR(__xludf.DUMMYFUNCTION("""COMPUTED_VALUE"""),"CONT. FINANCIERA")</f>
        <v>CONT. FINANCIERA</v>
      </c>
      <c r="F308" s="7">
        <f>IFERROR(__xludf.DUMMYFUNCTION("""COMPUTED_VALUE"""),46102.0)</f>
        <v>46102</v>
      </c>
      <c r="G308" s="6"/>
      <c r="H308" s="7"/>
      <c r="I308" s="6"/>
      <c r="J308" s="7"/>
      <c r="K308" s="6"/>
      <c r="L308" s="7"/>
      <c r="M308" s="6"/>
      <c r="N308" s="7"/>
      <c r="O308" s="6"/>
      <c r="P308" s="7"/>
      <c r="Q308" s="6" t="str">
        <f>IFERROR(__xludf.DUMMYFUNCTION("""COMPUTED_VALUE"""),"Christian Montánchez")</f>
        <v>Christian Montánchez</v>
      </c>
      <c r="R308" s="5" t="str">
        <f>IFERROR(__xludf.DUMMYFUNCTION("""COMPUTED_VALUE"""),"Sáb")</f>
        <v>Sáb</v>
      </c>
      <c r="S308" s="6" t="str">
        <f>IFERROR(__xludf.DUMMYFUNCTION("""COMPUTED_VALUE"""),"3PM - 6PM")</f>
        <v>3PM - 6PM</v>
      </c>
      <c r="T308" s="7" t="str">
        <f>IFERROR(__xludf.DUMMYFUNCTION("""COMPUTED_VALUE"""),"Sábado 21 Marzo")</f>
        <v>Sábado 21 Marzo</v>
      </c>
      <c r="U308" s="7" t="str">
        <f>IFERROR(__xludf.DUMMYFUNCTION("""COMPUTED_VALUE"""),"Sábado 2 Mayo")</f>
        <v>Sábado 2 Mayo</v>
      </c>
      <c r="V308" s="8">
        <f>IFERROR(__xludf.DUMMYFUNCTION("""COMPUTED_VALUE"""),6.0)</f>
        <v>6</v>
      </c>
      <c r="W308" s="5" t="str">
        <f>IFERROR(__xludf.DUMMYFUNCTION("""COMPUTED_VALUE"""),"pdfs/BROCHURE Contabilidad Financiera con ERP.pdf")</f>
        <v>pdfs/BROCHURE Contabilidad Financiera con ERP.pdf</v>
      </c>
      <c r="X308" s="5" t="str">
        <f>IFERROR(__xludf.DUMMYFUNCTION("""COMPUTED_VALUE"""),"🔹 Utilizarán CONCAR 👩🏻‍💻
👉🏼 Incluye tutorial y manual de instalación
💻 Importante: Para la instalación se necesita una Laptop Windows
🚨 Por favor, revisa el BROCHURE 👇🏻
Aqui encontrarás la información completa del programa: Temario (malla curri"&amp;"cular) y todos los BENEFICIOS 📚")</f>
        <v>🔹 Utilizarán CONCAR 👩🏻‍💻
👉🏼 Incluye tutorial y manual de instalación
💻 Importante: Para la instalación se necesita una Laptop Windows
🚨 Por favor, revisa el BROCHURE 👇🏻
Aqui encontrarás la información completa del programa: Temario (malla curricular) y todos los BENEFICIOS 📚</v>
      </c>
      <c r="Y308" s="5"/>
      <c r="Z308" s="5"/>
      <c r="AA308" s="5" t="str">
        <f>IFERROR(__xludf.DUMMYFUNCTION("""COMPUTED_VALUE"""),"NO")</f>
        <v>NO</v>
      </c>
      <c r="AB308" s="6">
        <f>IFERROR(__xludf.DUMMYFUNCTION("""COMPUTED_VALUE"""),750.0)</f>
        <v>750</v>
      </c>
      <c r="AC308" s="6">
        <f>IFERROR(__xludf.DUMMYFUNCTION("""COMPUTED_VALUE"""),700.0)</f>
        <v>700</v>
      </c>
      <c r="AD308" s="6">
        <f>IFERROR(__xludf.DUMMYFUNCTION("""COMPUTED_VALUE"""),375.0)</f>
        <v>375</v>
      </c>
      <c r="AE308" s="6">
        <f>IFERROR(__xludf.DUMMYFUNCTION("""COMPUTED_VALUE"""),350.0)</f>
        <v>350</v>
      </c>
      <c r="AF308" s="6">
        <f>IFERROR(__xludf.DUMMYFUNCTION("""COMPUTED_VALUE"""),150.0)</f>
        <v>150</v>
      </c>
      <c r="AG308" s="5">
        <f>IFERROR(__xludf.DUMMYFUNCTION("""COMPUTED_VALUE"""),150.0)</f>
        <v>150</v>
      </c>
      <c r="AH308" s="5"/>
      <c r="AI308" s="5">
        <f>IFERROR(__xludf.DUMMYFUNCTION("""COMPUTED_VALUE"""),315.0)</f>
        <v>315</v>
      </c>
      <c r="AJ308" s="5">
        <f>IFERROR(__xludf.DUMMYFUNCTION("""COMPUTED_VALUE"""),337.5)</f>
        <v>337.5</v>
      </c>
      <c r="AK308" s="5" t="str">
        <f>IFERROR(__xludf.DUMMYFUNCTION("""COMPUTED_VALUE"""),"El idioma de los negocios es la contabilidad financiera 📊
En pocas semanas aprenderás a analizar estados financieros y tomar decisiones estratégicas 💼.
Aquí la información completa 👇🏻")</f>
        <v>El idioma de los negocios es la contabilidad financiera 📊
En pocas semanas aprenderás a analizar estados financieros y tomar decisiones estratégicas 💼.
Aquí la información completa 👇🏻</v>
      </c>
      <c r="AL308" s="5" t="str">
        <f>IFERROR(__xludf.DUMMYFUNCTION("""COMPUTED_VALUE"""),"💰 *Excelente*, con *Contabilidad Financiera* te actualizarás en gestión económica y normativa vigente.")</f>
        <v>💰 *Excelente*, con *Contabilidad Financiera* te actualizarás en gestión económica y normativa vigente.</v>
      </c>
      <c r="AM308" s="5" t="str">
        <f>IFERROR(__xludf.DUMMYFUNCTION("""COMPUTED_VALUE"""),"💼 Buenísimo, la *Contabilidad Financiera* es muy pedida por empresas y te abrirá más oportunidades.")</f>
        <v>💼 Buenísimo, la *Contabilidad Financiera* es muy pedida por empresas y te abrirá más oportunidades.</v>
      </c>
      <c r="AN308" s="5" t="str">
        <f>IFERROR(__xludf.DUMMYFUNCTION("""COMPUTED_VALUE"""),"📘 ¡Perfecto! Aprender *Contabilidad Financiera* te diferenciará en la universidad con una base sólida.")</f>
        <v>📘 ¡Perfecto! Aprender *Contabilidad Financiera* te diferenciará en la universidad con una base sólida.</v>
      </c>
      <c r="AO308" s="5" t="str">
        <f>IFERROR(__xludf.DUMMYFUNCTION("""COMPUTED_VALUE"""),"🚀 ¡Genial! Conocer *Contabilidad Financiera* te dará ventaja en prácticas de áreas financieras.")</f>
        <v>🚀 ¡Genial! Conocer *Contabilidad Financiera* te dará ventaja en prácticas de áreas financieras.</v>
      </c>
      <c r="AP308" s="5" t="str">
        <f>IFERROR(__xludf.DUMMYFUNCTION("""COMPUTED_VALUE"""),"📊 ¡Muy bien! Como independiente, la *Contabilidad Financiera* te ayudará a manejar mejor tus finanzas.")</f>
        <v>📊 ¡Muy bien! Como independiente, la *Contabilidad Financiera* te ayudará a manejar mejor tus finanzas.</v>
      </c>
      <c r="AQ308" s="9" t="str">
        <f>IFERROR(__xludf.DUMMYFUNCTION("""COMPUTED_VALUE"""),"https://we-educacion.com/slides/contabilidad-financiera-1129")</f>
        <v>https://we-educacion.com/slides/contabilidad-financiera-1129</v>
      </c>
      <c r="AR308" s="5">
        <v>1.0</v>
      </c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</row>
    <row r="309" ht="15.75" customHeight="1">
      <c r="A309" s="5" t="s">
        <v>351</v>
      </c>
      <c r="B309" s="5" t="str">
        <f t="shared" si="1"/>
        <v>MAR. I - ED26</v>
      </c>
      <c r="C309" s="6" t="str">
        <f>IFERROR(__xludf.DUMMYFUNCTION("""COMPUTED_VALUE"""),"LOGÍSTICA")</f>
        <v>LOGÍSTICA</v>
      </c>
      <c r="D309" s="5" t="str">
        <f>IFERROR(__xludf.DUMMYFUNCTION("""COMPUTED_VALUE"""),"CURSO")</f>
        <v>CURSO</v>
      </c>
      <c r="E309" s="6" t="str">
        <f>IFERROR(__xludf.DUMMYFUNCTION("""COMPUTED_VALUE"""),"LEAN LOGISTICS")</f>
        <v>LEAN LOGISTICS</v>
      </c>
      <c r="F309" s="7">
        <f>IFERROR(__xludf.DUMMYFUNCTION("""COMPUTED_VALUE"""),46103.0)</f>
        <v>46103</v>
      </c>
      <c r="G309" s="6"/>
      <c r="H309" s="7"/>
      <c r="I309" s="6"/>
      <c r="J309" s="7"/>
      <c r="K309" s="6"/>
      <c r="L309" s="7"/>
      <c r="M309" s="6"/>
      <c r="N309" s="7"/>
      <c r="O309" s="6"/>
      <c r="P309" s="7"/>
      <c r="Q309" s="6" t="str">
        <f>IFERROR(__xludf.DUMMYFUNCTION("""COMPUTED_VALUE"""),"Hernán Vizcardo")</f>
        <v>Hernán Vizcardo</v>
      </c>
      <c r="R309" s="5" t="str">
        <f>IFERROR(__xludf.DUMMYFUNCTION("""COMPUTED_VALUE"""),"Dom")</f>
        <v>Dom</v>
      </c>
      <c r="S309" s="6" t="str">
        <f>IFERROR(__xludf.DUMMYFUNCTION("""COMPUTED_VALUE"""),"9AM - 12PM")</f>
        <v>9AM - 12PM</v>
      </c>
      <c r="T309" s="7" t="str">
        <f>IFERROR(__xludf.DUMMYFUNCTION("""COMPUTED_VALUE"""),"Domingo 22 Marzo")</f>
        <v>Domingo 22 Marzo</v>
      </c>
      <c r="U309" s="7" t="str">
        <f>IFERROR(__xludf.DUMMYFUNCTION("""COMPUTED_VALUE"""),"Domingo 26 Abril")</f>
        <v>Domingo 26 Abril</v>
      </c>
      <c r="V309" s="8">
        <f>IFERROR(__xludf.DUMMYFUNCTION("""COMPUTED_VALUE"""),6.0)</f>
        <v>6</v>
      </c>
      <c r="W309" s="5" t="str">
        <f>IFERROR(__xludf.DUMMYFUNCTION("""COMPUTED_VALUE"""),"pdfs/BROCHURE LEAN LOGISTICS.pdf")</f>
        <v>pdfs/BROCHURE LEAN LOGISTICS.pdf</v>
      </c>
      <c r="X309" s="5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309" s="5" t="str">
        <f>IFERROR(__xludf.DUMMYFUNCTION("""COMPUTED_VALUE"""),"images/leanlogistic.jpg")</f>
        <v>images/leanlogistic.jpg</v>
      </c>
      <c r="Z309" s="5"/>
      <c r="AA309" s="5" t="str">
        <f>IFERROR(__xludf.DUMMYFUNCTION("""COMPUTED_VALUE"""),"NO")</f>
        <v>NO</v>
      </c>
      <c r="AB309" s="6">
        <f>IFERROR(__xludf.DUMMYFUNCTION("""COMPUTED_VALUE"""),820.0)</f>
        <v>820</v>
      </c>
      <c r="AC309" s="6">
        <f>IFERROR(__xludf.DUMMYFUNCTION("""COMPUTED_VALUE"""),710.0)</f>
        <v>710</v>
      </c>
      <c r="AD309" s="6">
        <f>IFERROR(__xludf.DUMMYFUNCTION("""COMPUTED_VALUE"""),410.0)</f>
        <v>410</v>
      </c>
      <c r="AE309" s="6">
        <f>IFERROR(__xludf.DUMMYFUNCTION("""COMPUTED_VALUE"""),355.0)</f>
        <v>355</v>
      </c>
      <c r="AF309" s="6">
        <f>IFERROR(__xludf.DUMMYFUNCTION("""COMPUTED_VALUE"""),150.0)</f>
        <v>150</v>
      </c>
      <c r="AG309" s="5">
        <f>IFERROR(__xludf.DUMMYFUNCTION("""COMPUTED_VALUE"""),150.0)</f>
        <v>150</v>
      </c>
      <c r="AH309" s="5"/>
      <c r="AI309" s="5">
        <f>IFERROR(__xludf.DUMMYFUNCTION("""COMPUTED_VALUE"""),319.5)</f>
        <v>319.5</v>
      </c>
      <c r="AJ309" s="5">
        <f>IFERROR(__xludf.DUMMYFUNCTION("""COMPUTED_VALUE"""),369.0)</f>
        <v>369</v>
      </c>
      <c r="AK309" s="5" t="str">
        <f>IFERROR(__xludf.DUMMYFUNCTION("""COMPUTED_VALUE"""),"La eficiencia en la cadena de suministro empieza con Lean Logistics 🔄
Aprenderás a optimizar costos, tiempos y flujos logísticos con herramientas prácticas 📦.
Aquí te comparto la info 👇🏻")</f>
        <v>La eficiencia en la cadena de suministro empieza con Lean Logistics 🔄
Aprenderás a optimizar costos, tiempos y flujos logísticos con herramientas prácticas 📦.
Aquí te comparto la info 👇🏻</v>
      </c>
      <c r="AL309" s="5" t="str">
        <f>IFERROR(__xludf.DUMMYFUNCTION("""COMPUTED_VALUE"""),"🏆 *Excelente*, actualízate con *LEAN LOGISTICS* y mantente competitivo en el mercado laboral.")</f>
        <v>🏆 *Excelente*, actualízate con *LEAN LOGISTICS* y mantente competitivo en el mercado laboral.</v>
      </c>
      <c r="AM309" s="5" t="str">
        <f>IFERROR(__xludf.DUMMYFUNCTION("""COMPUTED_VALUE"""),"📘 Buenísimo, *LEAN LOGISTICS* es de las competencias más pedidas por las empresas y aumentará tus oportunidades laborales.")</f>
        <v>📘 Buenísimo, *LEAN LOGISTICS* es de las competencias más pedidas por las empresas y aumentará tus oportunidades laborales.</v>
      </c>
      <c r="AN309" s="5" t="str">
        <f>IFERROR(__xludf.DUMMYFUNCTION("""COMPUTED_VALUE"""),"🎓 ¡Genial! Con *LEAN LOGISTICS* sumarás una habilidad poderosa que te diferenciará desde la universidad.")</f>
        <v>🎓 ¡Genial! Con *LEAN LOGISTICS* sumarás una habilidad poderosa que te diferenciará desde la universidad.</v>
      </c>
      <c r="AO309" s="5" t="str">
        <f>IFERROR(__xludf.DUMMYFUNCTION("""COMPUTED_VALUE"""),"✨ ¡Perfecto! Saber *LEAN LOGISTICS* te dará ventaja frente a otros postulantes para conseguir prácticas.")</f>
        <v>✨ ¡Perfecto! Saber *LEAN LOGISTICS* te dará ventaja frente a otros postulantes para conseguir prácticas.</v>
      </c>
      <c r="AP309" s="5" t="str">
        <f>IFERROR(__xludf.DUMMYFUNCTION("""COMPUTED_VALUE"""),"🚀 ¡Excelente! Con *LEAN LOGISTICS* podrás aplicarlo en tu negocio y tomar decisiones más inteligentes.")</f>
        <v>🚀 ¡Excelente! Con *LEAN LOGISTICS* podrás aplicarlo en tu negocio y tomar decisiones más inteligentes.</v>
      </c>
      <c r="AQ309" s="9" t="str">
        <f>IFERROR(__xludf.DUMMYFUNCTION("""COMPUTED_VALUE"""),"https://we-educacion.com/slides/lean-logistics-67")</f>
        <v>https://we-educacion.com/slides/lean-logistics-67</v>
      </c>
      <c r="AR309" s="5">
        <v>1.0</v>
      </c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</row>
    <row r="310" ht="15.75" customHeight="1">
      <c r="A310" s="5" t="s">
        <v>352</v>
      </c>
      <c r="B310" s="5" t="str">
        <f t="shared" si="1"/>
        <v>MAR. II - ED26</v>
      </c>
      <c r="C310" s="6" t="str">
        <f>IFERROR(__xludf.DUMMYFUNCTION("""COMPUTED_VALUE"""),"BI")</f>
        <v>BI</v>
      </c>
      <c r="D310" s="6" t="str">
        <f>IFERROR(__xludf.DUMMYFUNCTION("""COMPUTED_VALUE"""),"CURSO")</f>
        <v>CURSO</v>
      </c>
      <c r="E310" s="6" t="str">
        <f>IFERROR(__xludf.DUMMYFUNCTION("""COMPUTED_VALUE"""),"PYTHON. DATOS")</f>
        <v>PYTHON. DATOS</v>
      </c>
      <c r="F310" s="7">
        <f>IFERROR(__xludf.DUMMYFUNCTION("""COMPUTED_VALUE"""),46103.0)</f>
        <v>46103</v>
      </c>
      <c r="G310" s="6"/>
      <c r="H310" s="7"/>
      <c r="I310" s="6"/>
      <c r="J310" s="7"/>
      <c r="K310" s="6"/>
      <c r="L310" s="7"/>
      <c r="M310" s="6"/>
      <c r="N310" s="7"/>
      <c r="O310" s="6"/>
      <c r="P310" s="7"/>
      <c r="Q310" s="6" t="str">
        <f>IFERROR(__xludf.DUMMYFUNCTION("""COMPUTED_VALUE"""),"Brigitt Ramirez
")</f>
        <v>Brigitt Ramirez
</v>
      </c>
      <c r="R310" s="5" t="str">
        <f>IFERROR(__xludf.DUMMYFUNCTION("""COMPUTED_VALUE"""),"Dom")</f>
        <v>Dom</v>
      </c>
      <c r="S310" s="6" t="str">
        <f>IFERROR(__xludf.DUMMYFUNCTION("""COMPUTED_VALUE"""),"9AM - 12PM")</f>
        <v>9AM - 12PM</v>
      </c>
      <c r="T310" s="7" t="str">
        <f>IFERROR(__xludf.DUMMYFUNCTION("""COMPUTED_VALUE"""),"Domingo 22 Marzo")</f>
        <v>Domingo 22 Marzo</v>
      </c>
      <c r="U310" s="7" t="str">
        <f>IFERROR(__xludf.DUMMYFUNCTION("""COMPUTED_VALUE"""),"Domingo 3 Mayo")</f>
        <v>Domingo 3 Mayo</v>
      </c>
      <c r="V310" s="8">
        <f>IFERROR(__xludf.DUMMYFUNCTION("""COMPUTED_VALUE"""),6.0)</f>
        <v>6</v>
      </c>
      <c r="W310" s="5" t="str">
        <f>IFERROR(__xludf.DUMMYFUNCTION("""COMPUTED_VALUE"""),"pdfs/BROCHURE PYTHON ANALISIS DE DATOS.pdf")</f>
        <v>pdfs/BROCHURE PYTHON ANALISIS DE DATOS.pdf</v>
      </c>
      <c r="X310" s="5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10" s="5" t="str">
        <f>IFERROR(__xludf.DUMMYFUNCTION("""COMPUTED_VALUE"""),"images/python.jpg")</f>
        <v>images/python.jpg</v>
      </c>
      <c r="Z310" s="5" t="str">
        <f>IFERROR(__xludf.DUMMYFUNCTION("""COMPUTED_VALUE"""),"Avalado por IBM® Partner World")</f>
        <v>Avalado por IBM® Partner World</v>
      </c>
      <c r="AA310" s="5" t="str">
        <f>IFERROR(__xludf.DUMMYFUNCTION("""COMPUTED_VALUE"""),"SI")</f>
        <v>SI</v>
      </c>
      <c r="AB310" s="6">
        <f>IFERROR(__xludf.DUMMYFUNCTION("""COMPUTED_VALUE"""),730.0)</f>
        <v>730</v>
      </c>
      <c r="AC310" s="6">
        <f>IFERROR(__xludf.DUMMYFUNCTION("""COMPUTED_VALUE"""),650.0)</f>
        <v>650</v>
      </c>
      <c r="AD310" s="6">
        <f>IFERROR(__xludf.DUMMYFUNCTION("""COMPUTED_VALUE"""),365.0)</f>
        <v>365</v>
      </c>
      <c r="AE310" s="6">
        <f>IFERROR(__xludf.DUMMYFUNCTION("""COMPUTED_VALUE"""),325.0)</f>
        <v>325</v>
      </c>
      <c r="AF310" s="6">
        <f>IFERROR(__xludf.DUMMYFUNCTION("""COMPUTED_VALUE"""),150.0)</f>
        <v>150</v>
      </c>
      <c r="AG310" s="5">
        <f>IFERROR(__xludf.DUMMYFUNCTION("""COMPUTED_VALUE"""),150.0)</f>
        <v>150</v>
      </c>
      <c r="AH310" s="5"/>
      <c r="AI310" s="5">
        <f>IFERROR(__xludf.DUMMYFUNCTION("""COMPUTED_VALUE"""),292.5)</f>
        <v>292.5</v>
      </c>
      <c r="AJ310" s="5">
        <f>IFERROR(__xludf.DUMMYFUNCTION("""COMPUTED_VALUE"""),328.5)</f>
        <v>328.5</v>
      </c>
      <c r="AK310" s="5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310" s="5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310" s="5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310" s="5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310" s="5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310" s="5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310" s="9" t="str">
        <f>IFERROR(__xludf.DUMMYFUNCTION("""COMPUTED_VALUE"""),"https://we-educacion.com/slides/python-analisis-de-datos-259")</f>
        <v>https://we-educacion.com/slides/python-analisis-de-datos-259</v>
      </c>
      <c r="AR310" s="5">
        <v>1.0</v>
      </c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</row>
    <row r="311" ht="15.75" customHeight="1">
      <c r="A311" s="5" t="s">
        <v>353</v>
      </c>
      <c r="B311" s="5" t="str">
        <f t="shared" si="1"/>
        <v>MAR. I - ED26</v>
      </c>
      <c r="C311" s="6" t="str">
        <f>IFERROR(__xludf.DUMMYFUNCTION("""COMPUTED_VALUE"""),"BI")</f>
        <v>BI</v>
      </c>
      <c r="D311" s="5" t="str">
        <f>IFERROR(__xludf.DUMMYFUNCTION("""COMPUTED_VALUE"""),"DIPLOMADO")</f>
        <v>DIPLOMADO</v>
      </c>
      <c r="E311" s="6" t="str">
        <f>IFERROR(__xludf.DUMMYFUNCTION("""COMPUTED_VALUE"""),"DIP INTELIG. Y ANALIST. DATOS V2")</f>
        <v>DIP INTELIG. Y ANALIST. DATOS V2</v>
      </c>
      <c r="F311" s="7">
        <f>IFERROR(__xludf.DUMMYFUNCTION("""COMPUTED_VALUE"""),46107.0)</f>
        <v>46107</v>
      </c>
      <c r="G311" s="6" t="str">
        <f>IFERROR(__xludf.DUMMYFUNCTION("""COMPUTED_VALUE"""),"DATA ANALYTICS")</f>
        <v>DATA ANALYTICS</v>
      </c>
      <c r="H311" s="7">
        <f>IFERROR(__xludf.DUMMYFUNCTION("""COMPUTED_VALUE"""),46107.0)</f>
        <v>46107</v>
      </c>
      <c r="I311" s="6" t="str">
        <f>IFERROR(__xludf.DUMMYFUNCTION("""COMPUTED_VALUE"""),"SQL SERVER")</f>
        <v>SQL SERVER</v>
      </c>
      <c r="J311" s="7">
        <f>IFERROR(__xludf.DUMMYFUNCTION("""COMPUTED_VALUE"""),46135.0)</f>
        <v>46135</v>
      </c>
      <c r="K311" s="6" t="str">
        <f>IFERROR(__xludf.DUMMYFUNCTION("""COMPUTED_VALUE"""),"POWER BI")</f>
        <v>POWER BI</v>
      </c>
      <c r="L311" s="7">
        <f>IFERROR(__xludf.DUMMYFUNCTION("""COMPUTED_VALUE"""),46156.0)</f>
        <v>46156</v>
      </c>
      <c r="M311" s="6" t="str">
        <f>IFERROR(__xludf.DUMMYFUNCTION("""COMPUTED_VALUE"""),"PYTHON. DATOS")</f>
        <v>PYTHON. DATOS</v>
      </c>
      <c r="N311" s="7">
        <f>IFERROR(__xludf.DUMMYFUNCTION("""COMPUTED_VALUE"""),46177.0)</f>
        <v>46177</v>
      </c>
      <c r="O311" s="6" t="str">
        <f>IFERROR(__xludf.DUMMYFUNCTION("""COMPUTED_VALUE"""),"PYTHON AVANZ.")</f>
        <v>PYTHON AVANZ.</v>
      </c>
      <c r="P311" s="7">
        <f>IFERROR(__xludf.DUMMYFUNCTION("""COMPUTED_VALUE"""),46198.0)</f>
        <v>46198</v>
      </c>
      <c r="Q311" s="6" t="str">
        <f>IFERROR(__xludf.DUMMYFUNCTION("""COMPUTED_VALUE"""),"Ana Lucia Palacios
David Llaja
Jonathan Sanchez
Brigitt Ramirez
Briam Aguirre")</f>
        <v>Ana Lucia Palacios
David Llaja
Jonathan Sanchez
Brigitt Ramirez
Briam Aguirre</v>
      </c>
      <c r="R311" s="5" t="str">
        <f>IFERROR(__xludf.DUMMYFUNCTION("""COMPUTED_VALUE"""),"Mar-Jue")</f>
        <v>Mar-Jue</v>
      </c>
      <c r="S311" s="6" t="str">
        <f>IFERROR(__xludf.DUMMYFUNCTION("""COMPUTED_VALUE"""),"7PM - 10PM")</f>
        <v>7PM - 10PM</v>
      </c>
      <c r="T311" s="7" t="str">
        <f>IFERROR(__xludf.DUMMYFUNCTION("""COMPUTED_VALUE"""),"Jueves 26 Marzo")</f>
        <v>Jueves 26 Marzo</v>
      </c>
      <c r="U311" s="7" t="str">
        <f>IFERROR(__xludf.DUMMYFUNCTION("""COMPUTED_VALUE"""),"Martes 14 Julio")</f>
        <v>Martes 14 Julio</v>
      </c>
      <c r="V311" s="8">
        <f>IFERROR(__xludf.DUMMYFUNCTION("""COMPUTED_VALUE"""),30.0)</f>
        <v>30</v>
      </c>
      <c r="W311" s="6" t="str">
        <f>IFERROR(__xludf.DUMMYFUNCTION("""COMPUTED_VALUE"""),"pdfs/BROCHURE DIPLOMADO INTELIGENCIA Y ANALISIS DE DATOS.pdf")</f>
        <v>pdfs/BROCHURE DIPLOMADO INTELIGENCIA Y ANALISIS DE DATOS.pdf</v>
      </c>
      <c r="X311" s="5" t="str">
        <f>IFERROR(__xludf.DUMMYFUNCTION("""COMPUTED_VALUE"""),"🔵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inf"&amp;"ormación completa del programa, el TEMARIO (malla curricular) y todos los BENEFICIOS 📚")</f>
        <v>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11" s="5" t="str">
        <f>IFERROR(__xludf.DUMMYFUNCTION("""COMPUTED_VALUE"""),"images/dipdatos.jpg")</f>
        <v>images/dipdatos.jpg</v>
      </c>
      <c r="Z311" s="5"/>
      <c r="AA311" s="5" t="str">
        <f>IFERROR(__xludf.DUMMYFUNCTION("""COMPUTED_VALUE"""),"NO")</f>
        <v>NO</v>
      </c>
      <c r="AB311" s="6">
        <f>IFERROR(__xludf.DUMMYFUNCTION("""COMPUTED_VALUE"""),3990.0)</f>
        <v>3990</v>
      </c>
      <c r="AC311" s="6">
        <f>IFERROR(__xludf.DUMMYFUNCTION("""COMPUTED_VALUE"""),3595.0)</f>
        <v>3595</v>
      </c>
      <c r="AD311" s="6">
        <f>IFERROR(__xludf.DUMMYFUNCTION("""COMPUTED_VALUE"""),1995.0)</f>
        <v>1995</v>
      </c>
      <c r="AE311" s="6">
        <f>IFERROR(__xludf.DUMMYFUNCTION("""COMPUTED_VALUE"""),1797.5)</f>
        <v>1797.5</v>
      </c>
      <c r="AF311" s="6">
        <f>IFERROR(__xludf.DUMMYFUNCTION("""COMPUTED_VALUE"""),250.0)</f>
        <v>250</v>
      </c>
      <c r="AG311" s="5">
        <f>IFERROR(__xludf.DUMMYFUNCTION("""COMPUTED_VALUE"""),350.0)</f>
        <v>350</v>
      </c>
      <c r="AH311" s="5"/>
      <c r="AI311" s="5">
        <f>IFERROR(__xludf.DUMMYFUNCTION("""COMPUTED_VALUE"""),1617.75)</f>
        <v>1617.75</v>
      </c>
      <c r="AJ311" s="5">
        <f>IFERROR(__xludf.DUMMYFUNCTION("""COMPUTED_VALUE"""),1795.5)</f>
        <v>1795.5</v>
      </c>
      <c r="AK311" s="5" t="str">
        <f>IFERROR(__xludf.DUMMYFUNCTION("""COMPUTED_VALUE"""),"Los datos son el nuevo petróleo ⛽
Conviértete en especialista en inteligencia de datos y analítica avanzada para la toma de decisiones estratégicas 📊
👉🏻 Te paso la información detallada.")</f>
        <v>Los datos son el nuevo petróleo ⛽
Conviértete en especialista en inteligencia de datos y analítica avanzada para la toma de decisiones estratégicas 📊
👉🏻 Te paso la información detallada.</v>
      </c>
      <c r="AL311" s="5" t="str">
        <f>IFERROR(__xludf.DUMMYFUNCTION("""COMPUTED_VALUE"""),"📊 Excelente, con el Diplomado en Análisis de Datos aprenderás a dominar BI y Big Data.")</f>
        <v>📊 Excelente, con el Diplomado en Análisis de Datos aprenderás a dominar BI y Big Data.</v>
      </c>
      <c r="AM311" s="5" t="str">
        <f>IFERROR(__xludf.DUMMYFUNCTION("""COMPUTED_VALUE"""),"💼 Súper, este Diplomado es clave para trabajar en áreas de inteligencia empresarial.")</f>
        <v>💼 Súper, este Diplomado es clave para trabajar en áreas de inteligencia empresarial.</v>
      </c>
      <c r="AN311" s="5" t="str">
        <f>IFERROR(__xludf.DUMMYFUNCTION("""COMPUTED_VALUE"""),"📚 ¡Genial! Desde la universidad, este Diplomado en Datos te dará un perfil altamente competitivo.")</f>
        <v>📚 ¡Genial! Desde la universidad, este Diplomado en Datos te dará un perfil altamente competitivo.</v>
      </c>
      <c r="AO311" s="5" t="str">
        <f>IFERROR(__xludf.DUMMYFUNCTION("""COMPUTED_VALUE"""),"🚀 ¡Perfecto! Con el Diplomado en Análisis de Datos tendrás ventaja en prácticas de tecnología.")</f>
        <v>🚀 ¡Perfecto! Con el Diplomado en Análisis de Datos tendrás ventaja en prácticas de tecnología.</v>
      </c>
      <c r="AP311" s="5" t="str">
        <f>IFERROR(__xludf.DUMMYFUNCTION("""COMPUTED_VALUE"""),"🤖 ¡Excelente! Lo aprendido te permitirá tomar decisiones estratégicas basadas en datos.")</f>
        <v>🤖 ¡Excelente! Lo aprendido te permitirá tomar decisiones estratégicas basadas en datos.</v>
      </c>
      <c r="AQ311" s="9" t="str">
        <f>IFERROR(__xludf.DUMMYFUNCTION("""COMPUTED_VALUE"""),"https://we-educacion.com/slides/diplomado-en-inteligencia-y-analisis-de-datos-261")</f>
        <v>https://we-educacion.com/slides/diplomado-en-inteligencia-y-analisis-de-datos-261</v>
      </c>
      <c r="AR311" s="5">
        <v>1.0</v>
      </c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</row>
    <row r="312" ht="15.0" customHeight="1">
      <c r="A312" s="5" t="s">
        <v>354</v>
      </c>
      <c r="B312" s="5" t="str">
        <f t="shared" si="1"/>
        <v>MAR. I - ED26</v>
      </c>
      <c r="C312" s="6" t="str">
        <f>IFERROR(__xludf.DUMMYFUNCTION("""COMPUTED_VALUE"""),"BI")</f>
        <v>BI</v>
      </c>
      <c r="D312" s="6" t="str">
        <f>IFERROR(__xludf.DUMMYFUNCTION("""COMPUTED_VALUE"""),"CURSO")</f>
        <v>CURSO</v>
      </c>
      <c r="E312" s="6" t="str">
        <f>IFERROR(__xludf.DUMMYFUNCTION("""COMPUTED_VALUE"""),"DATA ANALYTICS")</f>
        <v>DATA ANALYTICS</v>
      </c>
      <c r="F312" s="7">
        <f>IFERROR(__xludf.DUMMYFUNCTION("""COMPUTED_VALUE"""),46107.0)</f>
        <v>46107</v>
      </c>
      <c r="G312" s="6"/>
      <c r="H312" s="7"/>
      <c r="I312" s="6"/>
      <c r="J312" s="7"/>
      <c r="K312" s="6"/>
      <c r="L312" s="7"/>
      <c r="M312" s="6"/>
      <c r="N312" s="7"/>
      <c r="O312" s="6"/>
      <c r="P312" s="7"/>
      <c r="Q312" s="6"/>
      <c r="R312" s="5" t="str">
        <f>IFERROR(__xludf.DUMMYFUNCTION("""COMPUTED_VALUE"""),"Mar-Jue")</f>
        <v>Mar-Jue</v>
      </c>
      <c r="S312" s="6" t="str">
        <f>IFERROR(__xludf.DUMMYFUNCTION("""COMPUTED_VALUE"""),"7PM - 10PM")</f>
        <v>7PM - 10PM</v>
      </c>
      <c r="T312" s="7" t="str">
        <f>IFERROR(__xludf.DUMMYFUNCTION("""COMPUTED_VALUE"""),"Jueves 26 Marzo")</f>
        <v>Jueves 26 Marzo</v>
      </c>
      <c r="U312" s="7" t="str">
        <f>IFERROR(__xludf.DUMMYFUNCTION("""COMPUTED_VALUE"""),"Jueves 16 Abril")</f>
        <v>Jueves 16 Abril</v>
      </c>
      <c r="V312" s="8">
        <f>IFERROR(__xludf.DUMMYFUNCTION("""COMPUTED_VALUE"""),6.0)</f>
        <v>6</v>
      </c>
      <c r="W312" s="5" t="str">
        <f>IFERROR(__xludf.DUMMYFUNCTION("""COMPUTED_VALUE"""),"pdfs/BROCHURE Data Analytics.pdf")</f>
        <v>pdfs/BROCHURE Data Analytics.pdf</v>
      </c>
      <c r="X312" s="5" t="str">
        <f>IFERROR(__xludf.DUMMYFUNCTION("""COMPUTED_VALUE"""),"🔵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programa"&amp;", el TEMARIO (malla curricular) y todos los BENEFICIOS 📚")</f>
        <v>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12" s="5" t="str">
        <f>IFERROR(__xludf.DUMMYFUNCTION("""COMPUTED_VALUE"""),"images/data.jpg")</f>
        <v>images/data.jpg</v>
      </c>
      <c r="Z312" s="5"/>
      <c r="AA312" s="5" t="str">
        <f>IFERROR(__xludf.DUMMYFUNCTION("""COMPUTED_VALUE"""),"NO")</f>
        <v>NO</v>
      </c>
      <c r="AB312" s="6">
        <f>IFERROR(__xludf.DUMMYFUNCTION("""COMPUTED_VALUE"""),820.0)</f>
        <v>820</v>
      </c>
      <c r="AC312" s="6">
        <f>IFERROR(__xludf.DUMMYFUNCTION("""COMPUTED_VALUE"""),760.0)</f>
        <v>760</v>
      </c>
      <c r="AD312" s="6">
        <f>IFERROR(__xludf.DUMMYFUNCTION("""COMPUTED_VALUE"""),410.0)</f>
        <v>410</v>
      </c>
      <c r="AE312" s="6">
        <f>IFERROR(__xludf.DUMMYFUNCTION("""COMPUTED_VALUE"""),380.0)</f>
        <v>380</v>
      </c>
      <c r="AF312" s="6">
        <f>IFERROR(__xludf.DUMMYFUNCTION("""COMPUTED_VALUE"""),150.0)</f>
        <v>150</v>
      </c>
      <c r="AG312" s="5">
        <f>IFERROR(__xludf.DUMMYFUNCTION("""COMPUTED_VALUE"""),150.0)</f>
        <v>150</v>
      </c>
      <c r="AH312" s="5"/>
      <c r="AI312" s="5">
        <f>IFERROR(__xludf.DUMMYFUNCTION("""COMPUTED_VALUE"""),342.0)</f>
        <v>342</v>
      </c>
      <c r="AJ312" s="5">
        <f>IFERROR(__xludf.DUMMYFUNCTION("""COMPUTED_VALUE"""),369.0)</f>
        <v>369</v>
      </c>
      <c r="AK312" s="5" t="str">
        <f>IFERROR(__xludf.DUMMYFUNCTION("""COMPUTED_VALUE"""),"📊 *Los datos son el nuevo motor de las empresas* 🚀
En pocas semanas aprenderás a analizar, interpretar y visualizar información con herramientas prácticas de Data Analytics, transformando datos en decisiones estratégicas 💡📈
Ahora te comparto la inform"&amp;"ación a detalle 👇🏻")</f>
        <v>📊 *Los datos son el nuevo motor de las empresas* 🚀
En pocas semanas aprenderás a analizar, interpretar y visualizar información con herramientas prácticas de Data Analytics, transformando datos en decisiones estratégicas 💡📈
Ahora te comparto la información a detalle 👇🏻</v>
      </c>
      <c r="AL312" s="5" t="str">
        <f>IFERROR(__xludf.DUMMYFUNCTION("""COMPUTED_VALUE"""),"🔑 *Excelente*, actualízate con *DATA ANALYTICS* y mantente competitivo en el mercado laboral.")</f>
        <v>🔑 *Excelente*, actualízate con *DATA ANALYTICS* y mantente competitivo en el mercado laboral.</v>
      </c>
      <c r="AM312" s="5" t="str">
        <f>IFERROR(__xludf.DUMMYFUNCTION("""COMPUTED_VALUE"""),"🛠️ Buenísimo, *DATA ANALYTICS* es de las competencias más pedidas por las empresas y aumentará tus oportunidades laborales.")</f>
        <v>🛠️ Buenísimo, *DATA ANALYTICS* es de las competencias más pedidas por las empresas y aumentará tus oportunidades laborales.</v>
      </c>
      <c r="AN312" s="5" t="str">
        <f>IFERROR(__xludf.DUMMYFUNCTION("""COMPUTED_VALUE"""),"📈 ¡Genial! Con *DATA ANALYTICS* sumarás una habilidad poderosa que te diferenciará desde la universidad.")</f>
        <v>📈 ¡Genial! Con *DATA ANALYTICS* sumarás una habilidad poderosa que te diferenciará desde la universidad.</v>
      </c>
      <c r="AO312" s="5" t="str">
        <f>IFERROR(__xludf.DUMMYFUNCTION("""COMPUTED_VALUE"""),"🌍 ¡Perfecto! Saber *DATA ANALYTICS* te dará ventaja frente a otros postulantes para conseguir prácticas.")</f>
        <v>🌍 ¡Perfecto! Saber *DATA ANALYTICS* te dará ventaja frente a otros postulantes para conseguir prácticas.</v>
      </c>
      <c r="AP312" s="5" t="str">
        <f>IFERROR(__xludf.DUMMYFUNCTION("""COMPUTED_VALUE"""),"🎓 ¡Excelente! Con *DATA ANALYTICS* podrás aplicarlo en tu negocio y tomar decisiones más inteligentes.")</f>
        <v>🎓 ¡Excelente! Con *DATA ANALYTICS* podrás aplicarlo en tu negocio y tomar decisiones más inteligentes.</v>
      </c>
      <c r="AQ312" s="9" t="str">
        <f>IFERROR(__xludf.DUMMYFUNCTION("""COMPUTED_VALUE"""),"https://we-educacion.com/slides/data-analytics-262")</f>
        <v>https://we-educacion.com/slides/data-analytics-262</v>
      </c>
      <c r="AR312" s="5">
        <v>1.0</v>
      </c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</row>
    <row r="313" ht="15.75" customHeight="1">
      <c r="A313" s="5" t="s">
        <v>355</v>
      </c>
      <c r="B313" s="5" t="str">
        <f t="shared" si="1"/>
        <v>MAR. I - ED26</v>
      </c>
      <c r="C313" s="6" t="str">
        <f>IFERROR(__xludf.DUMMYFUNCTION("""COMPUTED_VALUE"""),"SAP")</f>
        <v>SAP</v>
      </c>
      <c r="D313" s="5" t="str">
        <f>IFERROR(__xludf.DUMMYFUNCTION("""COMPUTED_VALUE"""),"ESP.")</f>
        <v>ESP.</v>
      </c>
      <c r="E313" s="6" t="str">
        <f>IFERROR(__xludf.DUMMYFUNCTION("""COMPUTED_VALUE"""),"ESPEC. SAP LOG. INTEGRAL")</f>
        <v>ESPEC. SAP LOG. INTEGRAL</v>
      </c>
      <c r="F313" s="7">
        <f>IFERROR(__xludf.DUMMYFUNCTION("""COMPUTED_VALUE"""),46107.0)</f>
        <v>46107</v>
      </c>
      <c r="G313" s="6" t="str">
        <f>IFERROR(__xludf.DUMMYFUNCTION("""COMPUTED_VALUE"""),"SAP HANA MM")</f>
        <v>SAP HANA MM</v>
      </c>
      <c r="H313" s="7">
        <f>IFERROR(__xludf.DUMMYFUNCTION("""COMPUTED_VALUE"""),46107.0)</f>
        <v>46107</v>
      </c>
      <c r="I313" s="6" t="str">
        <f>IFERROR(__xludf.DUMMYFUNCTION("""COMPUTED_VALUE"""),"SAP HANA EWM")</f>
        <v>SAP HANA EWM</v>
      </c>
      <c r="J313" s="7">
        <f>IFERROR(__xludf.DUMMYFUNCTION("""COMPUTED_VALUE"""),46135.0)</f>
        <v>46135</v>
      </c>
      <c r="K313" s="6" t="str">
        <f>IFERROR(__xludf.DUMMYFUNCTION("""COMPUTED_VALUE"""),"SAP HANA SD")</f>
        <v>SAP HANA SD</v>
      </c>
      <c r="L313" s="7">
        <f>IFERROR(__xludf.DUMMYFUNCTION("""COMPUTED_VALUE"""),46156.0)</f>
        <v>46156</v>
      </c>
      <c r="M313" s="6"/>
      <c r="N313" s="7"/>
      <c r="O313" s="6"/>
      <c r="P313" s="7"/>
      <c r="Q313" s="6" t="str">
        <f>IFERROR(__xludf.DUMMYFUNCTION("""COMPUTED_VALUE"""),"Roller Rubio
Diego Purizaca
Kevin Riquelme")</f>
        <v>Roller Rubio
Diego Purizaca
Kevin Riquelme</v>
      </c>
      <c r="R313" s="5" t="str">
        <f>IFERROR(__xludf.DUMMYFUNCTION("""COMPUTED_VALUE"""),"Mar-Jue")</f>
        <v>Mar-Jue</v>
      </c>
      <c r="S313" s="6" t="str">
        <f>IFERROR(__xludf.DUMMYFUNCTION("""COMPUTED_VALUE"""),"7PM - 10PM")</f>
        <v>7PM - 10PM</v>
      </c>
      <c r="T313" s="7" t="str">
        <f>IFERROR(__xludf.DUMMYFUNCTION("""COMPUTED_VALUE"""),"Jueves 26 Marzo")</f>
        <v>Jueves 26 Marzo</v>
      </c>
      <c r="U313" s="7" t="str">
        <f>IFERROR(__xludf.DUMMYFUNCTION("""COMPUTED_VALUE"""),"Martes 2 Junio")</f>
        <v>Martes 2 Junio</v>
      </c>
      <c r="V313" s="8">
        <f>IFERROR(__xludf.DUMMYFUNCTION("""COMPUTED_VALUE"""),18.0)</f>
        <v>18</v>
      </c>
      <c r="W313" s="5" t="str">
        <f>IFERROR(__xludf.DUMMYFUNCTION("""COMPUTED_VALUE"""),"pdfs/BROCHURE ESPECIALIZACION DE SAP HANA LOGISTICA INTEGRAL.pdf")</f>
        <v>pdfs/BROCHURE ESPECIALIZACION DE SAP HANA LOGISTICA INTEGRAL.pdf</v>
      </c>
      <c r="X313" s="5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Y313" s="5"/>
      <c r="Z313" s="5" t="str">
        <f>IFERROR(__xludf.DUMMYFUNCTION("""COMPUTED_VALUE"""),"Avalado por SAP Partner Open")</f>
        <v>Avalado por SAP Partner Open</v>
      </c>
      <c r="AA313" s="5" t="str">
        <f>IFERROR(__xludf.DUMMYFUNCTION("""COMPUTED_VALUE"""),"NO")</f>
        <v>NO</v>
      </c>
      <c r="AB313" s="6">
        <f>IFERROR(__xludf.DUMMYFUNCTION("""COMPUTED_VALUE"""),1900.0)</f>
        <v>1900</v>
      </c>
      <c r="AC313" s="6">
        <f>IFERROR(__xludf.DUMMYFUNCTION("""COMPUTED_VALUE"""),1750.0)</f>
        <v>1750</v>
      </c>
      <c r="AD313" s="6">
        <f>IFERROR(__xludf.DUMMYFUNCTION("""COMPUTED_VALUE"""),950.0)</f>
        <v>950</v>
      </c>
      <c r="AE313" s="6">
        <f>IFERROR(__xludf.DUMMYFUNCTION("""COMPUTED_VALUE"""),875.0)</f>
        <v>875</v>
      </c>
      <c r="AF313" s="6">
        <f>IFERROR(__xludf.DUMMYFUNCTION("""COMPUTED_VALUE"""),250.0)</f>
        <v>250</v>
      </c>
      <c r="AG313" s="5">
        <f>IFERROR(__xludf.DUMMYFUNCTION("""COMPUTED_VALUE"""),350.0)</f>
        <v>350</v>
      </c>
      <c r="AH313" s="5"/>
      <c r="AI313" s="5">
        <f>IFERROR(__xludf.DUMMYFUNCTION("""COMPUTED_VALUE"""),787.5)</f>
        <v>787.5</v>
      </c>
      <c r="AJ313" s="5">
        <f>IFERROR(__xludf.DUMMYFUNCTION("""COMPUTED_VALUE"""),855.0)</f>
        <v>855</v>
      </c>
      <c r="AK313" s="5" t="str">
        <f>IFERROR(__xludf.DUMMYFUNCTION("""COMPUTED_VALUE"""),"La logística eficiente mueve los negocios 📦
Domina la gestión integral en SAP y destaca en supply chain y operaciones 🚛
👉🏻 Te envío el detalle.")</f>
        <v>La logística eficiente mueve los negocios 📦
Domina la gestión integral en SAP y destaca en supply chain y operaciones 🚛
👉🏻 Te envío el detalle.</v>
      </c>
      <c r="AL313" s="5" t="str">
        <f>IFERROR(__xludf.DUMMYFUNCTION("""COMPUTED_VALUE"""),"📦 Excelente, actualízate en SAP Logística Integral y controla toda la cadena de suministro.")</f>
        <v>📦 Excelente, actualízate en SAP Logística Integral y controla toda la cadena de suministro.</v>
      </c>
      <c r="AM313" s="5" t="str">
        <f>IFERROR(__xludf.DUMMYFUNCTION("""COMPUTED_VALUE"""),"💼 Buenísimo, muy solicitado en empresas que requieren gestión logística con SAP.")</f>
        <v>💼 Buenísimo, muy solicitado en empresas que requieren gestión logística con SAP.</v>
      </c>
      <c r="AN313" s="5" t="str">
        <f>IFERROR(__xludf.DUMMYFUNCTION("""COMPUTED_VALUE"""),"📈 Genial, tendrás ventaja en procesos integrados de distribución y abastecimiento.")</f>
        <v>📈 Genial, tendrás ventaja en procesos integrados de distribución y abastecimiento.</v>
      </c>
      <c r="AO313" s="5" t="str">
        <f>IFERROR(__xludf.DUMMYFUNCTION("""COMPUTED_VALUE"""),"🚀 Perfecto, SAP Logística será tu plus en prácticas de supply chain.")</f>
        <v>🚀 Perfecto, SAP Logística será tu plus en prácticas de supply chain.</v>
      </c>
      <c r="AP313" s="5" t="str">
        <f>IFERROR(__xludf.DUMMYFUNCTION("""COMPUTED_VALUE"""),"🔑 Excelente, podrás gestionar inventarios y operaciones de tu propio negocio.")</f>
        <v>🔑 Excelente, podrás gestionar inventarios y operaciones de tu propio negocio.</v>
      </c>
      <c r="AQ313" s="9" t="str">
        <f>IFERROR(__xludf.DUMMYFUNCTION("""COMPUTED_VALUE"""),"https://we-educacion.com/slides/especializacion-en-sap-s-4-hana-logistica-integral-108")</f>
        <v>https://we-educacion.com/slides/especializacion-en-sap-s-4-hana-logistica-integral-108</v>
      </c>
      <c r="AR313" s="5">
        <v>1.0</v>
      </c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</row>
    <row r="314" ht="15.75" customHeight="1">
      <c r="A314" s="5" t="s">
        <v>356</v>
      </c>
      <c r="B314" s="5" t="str">
        <f t="shared" si="1"/>
        <v>MAR. I - ED26</v>
      </c>
      <c r="C314" s="6" t="str">
        <f>IFERROR(__xludf.DUMMYFUNCTION("""COMPUTED_VALUE"""),"SAP")</f>
        <v>SAP</v>
      </c>
      <c r="D314" s="6" t="str">
        <f>IFERROR(__xludf.DUMMYFUNCTION("""COMPUTED_VALUE"""),"ESP.")</f>
        <v>ESP.</v>
      </c>
      <c r="E314" s="6" t="str">
        <f>IFERROR(__xludf.DUMMYFUNCTION("""COMPUTED_VALUE"""),"ESPEC.SAP HANA COMP. Y ALM.")</f>
        <v>ESPEC.SAP HANA COMP. Y ALM.</v>
      </c>
      <c r="F314" s="7">
        <f>IFERROR(__xludf.DUMMYFUNCTION("""COMPUTED_VALUE"""),46107.0)</f>
        <v>46107</v>
      </c>
      <c r="G314" s="6" t="str">
        <f>IFERROR(__xludf.DUMMYFUNCTION("""COMPUTED_VALUE"""),"SAP HANA MM")</f>
        <v>SAP HANA MM</v>
      </c>
      <c r="H314" s="7">
        <f>IFERROR(__xludf.DUMMYFUNCTION("""COMPUTED_VALUE"""),46107.0)</f>
        <v>46107</v>
      </c>
      <c r="I314" s="6" t="str">
        <f>IFERROR(__xludf.DUMMYFUNCTION("""COMPUTED_VALUE"""),"SAP HANA EWM")</f>
        <v>SAP HANA EWM</v>
      </c>
      <c r="J314" s="7">
        <f>IFERROR(__xludf.DUMMYFUNCTION("""COMPUTED_VALUE"""),46135.0)</f>
        <v>46135</v>
      </c>
      <c r="K314" s="6"/>
      <c r="L314" s="7"/>
      <c r="M314" s="6"/>
      <c r="N314" s="7"/>
      <c r="O314" s="6"/>
      <c r="P314" s="7"/>
      <c r="Q314" s="6" t="str">
        <f>IFERROR(__xludf.DUMMYFUNCTION("""COMPUTED_VALUE"""),"Roller Rubio
Diego Purizaca")</f>
        <v>Roller Rubio
Diego Purizaca</v>
      </c>
      <c r="R314" s="5" t="str">
        <f>IFERROR(__xludf.DUMMYFUNCTION("""COMPUTED_VALUE"""),"Mar-Jue")</f>
        <v>Mar-Jue</v>
      </c>
      <c r="S314" s="6" t="str">
        <f>IFERROR(__xludf.DUMMYFUNCTION("""COMPUTED_VALUE"""),"7PM - 10PM")</f>
        <v>7PM - 10PM</v>
      </c>
      <c r="T314" s="7" t="str">
        <f>IFERROR(__xludf.DUMMYFUNCTION("""COMPUTED_VALUE"""),"Jueves 26 Marzo")</f>
        <v>Jueves 26 Marzo</v>
      </c>
      <c r="U314" s="7" t="str">
        <f>IFERROR(__xludf.DUMMYFUNCTION("""COMPUTED_VALUE"""),"Jueves 16 Abril")</f>
        <v>Jueves 16 Abril</v>
      </c>
      <c r="V314" s="8">
        <f>IFERROR(__xludf.DUMMYFUNCTION("""COMPUTED_VALUE"""),12.0)</f>
        <v>12</v>
      </c>
      <c r="W314" s="5" t="str">
        <f>IFERROR(__xludf.DUMMYFUNCTION("""COMPUTED_VALUE"""),"pdfs/BROCHURE ESPECIALIZACION SAP HANA COMPRAS Y ALMACENES.pdf")</f>
        <v>pdfs/BROCHURE ESPECIALIZACION SAP HANA COMPRAS Y ALMACENES.pdf</v>
      </c>
      <c r="X314" s="5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Y314" s="5"/>
      <c r="Z314" s="5" t="str">
        <f>IFERROR(__xludf.DUMMYFUNCTION("""COMPUTED_VALUE"""),"Avalado por SAP Partner Open")</f>
        <v>Avalado por SAP Partner Open</v>
      </c>
      <c r="AA314" s="5" t="str">
        <f>IFERROR(__xludf.DUMMYFUNCTION("""COMPUTED_VALUE"""),"NO")</f>
        <v>NO</v>
      </c>
      <c r="AB314" s="6">
        <f>IFERROR(__xludf.DUMMYFUNCTION("""COMPUTED_VALUE"""),1350.0)</f>
        <v>1350</v>
      </c>
      <c r="AC314" s="6">
        <f>IFERROR(__xludf.DUMMYFUNCTION("""COMPUTED_VALUE"""),1250.0)</f>
        <v>1250</v>
      </c>
      <c r="AD314" s="6">
        <f>IFERROR(__xludf.DUMMYFUNCTION("""COMPUTED_VALUE"""),675.0)</f>
        <v>675</v>
      </c>
      <c r="AE314" s="6">
        <f>IFERROR(__xludf.DUMMYFUNCTION("""COMPUTED_VALUE"""),625.0)</f>
        <v>625</v>
      </c>
      <c r="AF314" s="6">
        <f>IFERROR(__xludf.DUMMYFUNCTION("""COMPUTED_VALUE"""),250.0)</f>
        <v>250</v>
      </c>
      <c r="AG314" s="5">
        <f>IFERROR(__xludf.DUMMYFUNCTION("""COMPUTED_VALUE"""),350.0)</f>
        <v>350</v>
      </c>
      <c r="AH314" s="5"/>
      <c r="AI314" s="5">
        <f>IFERROR(__xludf.DUMMYFUNCTION("""COMPUTED_VALUE"""),562.5)</f>
        <v>562.5</v>
      </c>
      <c r="AJ314" s="5">
        <f>IFERROR(__xludf.DUMMYFUNCTION("""COMPUTED_VALUE"""),607.5)</f>
        <v>607.5</v>
      </c>
      <c r="AK314" s="5" t="str">
        <f>IFERROR(__xludf.DUMMYFUNCTION("""COMPUTED_VALUE"""),"Las compras y almacén son el corazón de la operación 🏭
Especialízate en SAP HANA Compras y Almacén y optimiza la gestión de inventarios 📊
👉🏻 Te paso la información completa.")</f>
        <v>Las compras y almacén son el corazón de la operación 🏭
Especialízate en SAP HANA Compras y Almacén y optimiza la gestión de inventarios 📊
👉🏻 Te paso la información completa.</v>
      </c>
      <c r="AL314" s="5" t="str">
        <f>IFERROR(__xludf.DUMMYFUNCTION("""COMPUTED_VALUE"""),"📦 Excelente, actualízate en SAP HANA Compras y Almacén y domina procesos clave.")</f>
        <v>📦 Excelente, actualízate en SAP HANA Compras y Almacén y domina procesos clave.</v>
      </c>
      <c r="AM314" s="5" t="str">
        <f>IFERROR(__xludf.DUMMYFUNCTION("""COMPUTED_VALUE"""),"🏭 Buenísimo, las empresas valoran expertos en gestión de compras e inventarios.")</f>
        <v>🏭 Buenísimo, las empresas valoran expertos en gestión de compras e inventarios.</v>
      </c>
      <c r="AN314" s="5" t="str">
        <f>IFERROR(__xludf.DUMMYFUNCTION("""COMPUTED_VALUE"""),"📊 Genial, te dará ventaja en procesos de almacén y abastecimiento.")</f>
        <v>📊 Genial, te dará ventaja en procesos de almacén y abastecimiento.</v>
      </c>
      <c r="AO314" s="5" t="str">
        <f>IFERROR(__xludf.DUMMYFUNCTION("""COMPUTED_VALUE"""),"🚀 Perfecto, SAP HANA en logística será tu diferencial en prácticas de supply chain.")</f>
        <v>🚀 Perfecto, SAP HANA en logística será tu diferencial en prácticas de supply chain.</v>
      </c>
      <c r="AP314" s="5" t="str">
        <f>IFERROR(__xludf.DUMMYFUNCTION("""COMPUTED_VALUE"""),"🔑 Excelente, podrás controlar stock y compras en tu propio negocio.")</f>
        <v>🔑 Excelente, podrás controlar stock y compras en tu propio negocio.</v>
      </c>
      <c r="AQ314" s="9" t="str">
        <f>IFERROR(__xludf.DUMMYFUNCTION("""COMPUTED_VALUE"""),"https://we-educacion.com/slides/especializacion-en-sap-s-4-hana-compras-y-almacenes-358")</f>
        <v>https://we-educacion.com/slides/especializacion-en-sap-s-4-hana-compras-y-almacenes-358</v>
      </c>
      <c r="AR314" s="5">
        <v>1.0</v>
      </c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</row>
    <row r="315" ht="15.75" customHeight="1">
      <c r="A315" s="5" t="s">
        <v>357</v>
      </c>
      <c r="B315" s="5" t="str">
        <f t="shared" si="1"/>
        <v>MAR. I - ED26</v>
      </c>
      <c r="C315" s="6" t="str">
        <f>IFERROR(__xludf.DUMMYFUNCTION("""COMPUTED_VALUE"""),"SAP")</f>
        <v>SAP</v>
      </c>
      <c r="D315" s="6" t="str">
        <f>IFERROR(__xludf.DUMMYFUNCTION("""COMPUTED_VALUE"""),"ESP.")</f>
        <v>ESP.</v>
      </c>
      <c r="E315" s="6" t="str">
        <f>IFERROR(__xludf.DUMMYFUNCTION("""COMPUTED_VALUE"""),"ESPEC.SAP HANA GEST. FIN.")</f>
        <v>ESPEC.SAP HANA GEST. FIN.</v>
      </c>
      <c r="F315" s="7">
        <f>IFERROR(__xludf.DUMMYFUNCTION("""COMPUTED_VALUE"""),46107.0)</f>
        <v>46107</v>
      </c>
      <c r="G315" s="6" t="str">
        <f>IFERROR(__xludf.DUMMYFUNCTION("""COMPUTED_VALUE"""),"SAP HANA MM")</f>
        <v>SAP HANA MM</v>
      </c>
      <c r="H315" s="7">
        <f>IFERROR(__xludf.DUMMYFUNCTION("""COMPUTED_VALUE"""),46107.0)</f>
        <v>46107</v>
      </c>
      <c r="I315" s="6" t="str">
        <f>IFERROR(__xludf.DUMMYFUNCTION("""COMPUTED_VALUE"""),"SAP HANA FI")</f>
        <v>SAP HANA FI</v>
      </c>
      <c r="J315" s="7">
        <f>IFERROR(__xludf.DUMMYFUNCTION("""COMPUTED_VALUE"""),46135.0)</f>
        <v>46135</v>
      </c>
      <c r="K315" s="6"/>
      <c r="L315" s="7"/>
      <c r="M315" s="6"/>
      <c r="N315" s="7"/>
      <c r="O315" s="6"/>
      <c r="P315" s="7"/>
      <c r="Q315" s="6" t="str">
        <f>IFERROR(__xludf.DUMMYFUNCTION("""COMPUTED_VALUE"""),"Christian Falcón
Indira Carhuas")</f>
        <v>Christian Falcón
Indira Carhuas</v>
      </c>
      <c r="R315" s="5" t="str">
        <f>IFERROR(__xludf.DUMMYFUNCTION("""COMPUTED_VALUE"""),"Mar-Jue")</f>
        <v>Mar-Jue</v>
      </c>
      <c r="S315" s="6" t="str">
        <f>IFERROR(__xludf.DUMMYFUNCTION("""COMPUTED_VALUE"""),"7PM - 10PM")</f>
        <v>7PM - 10PM</v>
      </c>
      <c r="T315" s="7" t="str">
        <f>IFERROR(__xludf.DUMMYFUNCTION("""COMPUTED_VALUE"""),"Jueves 26 Marzo")</f>
        <v>Jueves 26 Marzo</v>
      </c>
      <c r="U315" s="7" t="str">
        <f>IFERROR(__xludf.DUMMYFUNCTION("""COMPUTED_VALUE"""),"Martes 12 Mayo")</f>
        <v>Martes 12 Mayo</v>
      </c>
      <c r="V315" s="8">
        <f>IFERROR(__xludf.DUMMYFUNCTION("""COMPUTED_VALUE"""),12.0)</f>
        <v>12</v>
      </c>
      <c r="W315" s="5" t="str">
        <f>IFERROR(__xludf.DUMMYFUNCTION("""COMPUTED_VALUE"""),"pdfs/BROCHURE ESPECIALIZACION SAP HANA GESTIÓN FINANCIERA.pdf")</f>
        <v>pdfs/BROCHURE ESPECIALIZACION SAP HANA GESTIÓN FINANCIERA.pdf</v>
      </c>
      <c r="X315" s="5"/>
      <c r="Y315" s="5"/>
      <c r="Z315" s="5" t="str">
        <f>IFERROR(__xludf.DUMMYFUNCTION("""COMPUTED_VALUE"""),"Avalado por SAP Partner Open")</f>
        <v>Avalado por SAP Partner Open</v>
      </c>
      <c r="AA315" s="5" t="str">
        <f>IFERROR(__xludf.DUMMYFUNCTION("""COMPUTED_VALUE"""),"NO")</f>
        <v>NO</v>
      </c>
      <c r="AB315" s="6">
        <f>IFERROR(__xludf.DUMMYFUNCTION("""COMPUTED_VALUE"""),1350.0)</f>
        <v>1350</v>
      </c>
      <c r="AC315" s="6">
        <f>IFERROR(__xludf.DUMMYFUNCTION("""COMPUTED_VALUE"""),1250.0)</f>
        <v>1250</v>
      </c>
      <c r="AD315" s="6">
        <f>IFERROR(__xludf.DUMMYFUNCTION("""COMPUTED_VALUE"""),675.0)</f>
        <v>675</v>
      </c>
      <c r="AE315" s="6">
        <f>IFERROR(__xludf.DUMMYFUNCTION("""COMPUTED_VALUE"""),625.0)</f>
        <v>625</v>
      </c>
      <c r="AF315" s="6">
        <f>IFERROR(__xludf.DUMMYFUNCTION("""COMPUTED_VALUE"""),250.0)</f>
        <v>250</v>
      </c>
      <c r="AG315" s="5">
        <f>IFERROR(__xludf.DUMMYFUNCTION("""COMPUTED_VALUE"""),350.0)</f>
        <v>350</v>
      </c>
      <c r="AH315" s="5"/>
      <c r="AI315" s="5">
        <f>IFERROR(__xludf.DUMMYFUNCTION("""COMPUTED_VALUE"""),562.5)</f>
        <v>562.5</v>
      </c>
      <c r="AJ315" s="5">
        <f>IFERROR(__xludf.DUMMYFUNCTION("""COMPUTED_VALUE"""),607.5)</f>
        <v>607.5</v>
      </c>
      <c r="AK315" s="5" t="str">
        <f>IFERROR(__xludf.DUMMYFUNCTION("""COMPUTED_VALUE"""),"La gestión financiera necesita tecnología 💰
Domina SAP HANA Finanzas y fortalece tu perfil en control y análisis contable 📈
👉🏻 Aquí está el detalle.")</f>
        <v>La gestión financiera necesita tecnología 💰
Domina SAP HANA Finanzas y fortalece tu perfil en control y análisis contable 📈
👉🏻 Aquí está el detalle.</v>
      </c>
      <c r="AL315" s="5" t="str">
        <f>IFERROR(__xludf.DUMMYFUNCTION("""COMPUTED_VALUE"""),"💰 Excelente, actualízate en SAP HANA Finanzas y lidera la gestión financiera.")</f>
        <v>💰 Excelente, actualízate en SAP HANA Finanzas y lidera la gestión financiera.</v>
      </c>
      <c r="AM315" s="5" t="str">
        <f>IFERROR(__xludf.DUMMYFUNCTION("""COMPUTED_VALUE"""),"🏦 Buenísimo, empresas buscan perfiles con control financiero y contable en SAP.")</f>
        <v>🏦 Buenísimo, empresas buscan perfiles con control financiero y contable en SAP.</v>
      </c>
      <c r="AN315" s="5" t="str">
        <f>IFERROR(__xludf.DUMMYFUNCTION("""COMPUTED_VALUE"""),"📊 Genial, tendrás un diferencial en análisis y reporting financiero.")</f>
        <v>📊 Genial, tendrás un diferencial en análisis y reporting financiero.</v>
      </c>
      <c r="AO315" s="5" t="str">
        <f>IFERROR(__xludf.DUMMYFUNCTION("""COMPUTED_VALUE"""),"🚀 Perfecto, SAP Finanzas será clave en prácticas de administración.")</f>
        <v>🚀 Perfecto, SAP Finanzas será clave en prácticas de administración.</v>
      </c>
      <c r="AP315" s="5" t="str">
        <f>IFERROR(__xludf.DUMMYFUNCTION("""COMPUTED_VALUE"""),"📈 Excelente, podrás gestionar tus finanzas estratégicamente como independiente.")</f>
        <v>📈 Excelente, podrás gestionar tus finanzas estratégicamente como independiente.</v>
      </c>
      <c r="AQ315" s="9" t="str">
        <f>IFERROR(__xludf.DUMMYFUNCTION("""COMPUTED_VALUE"""),"https://we-educacion.com/slides/especializacion-en-sap-s-4-hana-gestion-financiera-466")</f>
        <v>https://we-educacion.com/slides/especializacion-en-sap-s-4-hana-gestion-financiera-466</v>
      </c>
      <c r="AR315" s="5">
        <v>1.0</v>
      </c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</row>
    <row r="316" ht="15.75" customHeight="1">
      <c r="A316" s="5" t="s">
        <v>358</v>
      </c>
      <c r="B316" s="5" t="str">
        <f t="shared" si="1"/>
        <v>MAR. I - ED26</v>
      </c>
      <c r="C316" s="6" t="str">
        <f>IFERROR(__xludf.DUMMYFUNCTION("""COMPUTED_VALUE"""),"SAP")</f>
        <v>SAP</v>
      </c>
      <c r="D316" s="6" t="str">
        <f>IFERROR(__xludf.DUMMYFUNCTION("""COMPUTED_VALUE"""),"CURSO")</f>
        <v>CURSO</v>
      </c>
      <c r="E316" s="6" t="str">
        <f>IFERROR(__xludf.DUMMYFUNCTION("""COMPUTED_VALUE"""),"SAP HANA MM")</f>
        <v>SAP HANA MM</v>
      </c>
      <c r="F316" s="7">
        <f>IFERROR(__xludf.DUMMYFUNCTION("""COMPUTED_VALUE"""),46107.0)</f>
        <v>46107</v>
      </c>
      <c r="G316" s="6"/>
      <c r="H316" s="7"/>
      <c r="I316" s="6"/>
      <c r="J316" s="7"/>
      <c r="K316" s="6"/>
      <c r="L316" s="7"/>
      <c r="M316" s="6"/>
      <c r="N316" s="7"/>
      <c r="O316" s="6"/>
      <c r="P316" s="7"/>
      <c r="Q316" s="6" t="str">
        <f>IFERROR(__xludf.DUMMYFUNCTION("""COMPUTED_VALUE"""),"Roller Rubio")</f>
        <v>Roller Rubio</v>
      </c>
      <c r="R316" s="5" t="str">
        <f>IFERROR(__xludf.DUMMYFUNCTION("""COMPUTED_VALUE"""),"Mar-Jue")</f>
        <v>Mar-Jue</v>
      </c>
      <c r="S316" s="6" t="str">
        <f>IFERROR(__xludf.DUMMYFUNCTION("""COMPUTED_VALUE"""),"7PM - 10PM")</f>
        <v>7PM - 10PM</v>
      </c>
      <c r="T316" s="7" t="str">
        <f>IFERROR(__xludf.DUMMYFUNCTION("""COMPUTED_VALUE"""),"Jueves 26 Marzo")</f>
        <v>Jueves 26 Marzo</v>
      </c>
      <c r="U316" s="7" t="str">
        <f>IFERROR(__xludf.DUMMYFUNCTION("""COMPUTED_VALUE"""),"Jueves 16 Abril")</f>
        <v>Jueves 16 Abril</v>
      </c>
      <c r="V316" s="8">
        <f>IFERROR(__xludf.DUMMYFUNCTION("""COMPUTED_VALUE"""),6.0)</f>
        <v>6</v>
      </c>
      <c r="W316" s="5" t="str">
        <f>IFERROR(__xludf.DUMMYFUNCTION("""COMPUTED_VALUE"""),"pdfs/BROCHURE SAP HANA MM MODULO LOGISTICO.pdf")</f>
        <v>pdfs/BROCHURE SAP HANA MM MODULO LOGISTICO.pdf</v>
      </c>
      <c r="X316" s="5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316" s="5" t="str">
        <f>IFERROR(__xludf.DUMMYFUNCTION("""COMPUTED_VALUE"""),"images/sapmm.jpg")</f>
        <v>images/sapmm.jpg</v>
      </c>
      <c r="Z316" s="5" t="str">
        <f>IFERROR(__xludf.DUMMYFUNCTION("""COMPUTED_VALUE"""),"Avalado por SAP Partner Open")</f>
        <v>Avalado por SAP Partner Open</v>
      </c>
      <c r="AA316" s="5" t="str">
        <f>IFERROR(__xludf.DUMMYFUNCTION("""COMPUTED_VALUE"""),"NO")</f>
        <v>NO</v>
      </c>
      <c r="AB316" s="6">
        <f>IFERROR(__xludf.DUMMYFUNCTION("""COMPUTED_VALUE"""),950.0)</f>
        <v>950</v>
      </c>
      <c r="AC316" s="6">
        <f>IFERROR(__xludf.DUMMYFUNCTION("""COMPUTED_VALUE"""),820.0)</f>
        <v>820</v>
      </c>
      <c r="AD316" s="6">
        <f>IFERROR(__xludf.DUMMYFUNCTION("""COMPUTED_VALUE"""),475.0)</f>
        <v>475</v>
      </c>
      <c r="AE316" s="6">
        <f>IFERROR(__xludf.DUMMYFUNCTION("""COMPUTED_VALUE"""),410.0)</f>
        <v>410</v>
      </c>
      <c r="AF316" s="6">
        <f>IFERROR(__xludf.DUMMYFUNCTION("""COMPUTED_VALUE"""),150.0)</f>
        <v>150</v>
      </c>
      <c r="AG316" s="5">
        <f>IFERROR(__xludf.DUMMYFUNCTION("""COMPUTED_VALUE"""),150.0)</f>
        <v>150</v>
      </c>
      <c r="AH316" s="5"/>
      <c r="AI316" s="5">
        <f>IFERROR(__xludf.DUMMYFUNCTION("""COMPUTED_VALUE"""),369.0)</f>
        <v>369</v>
      </c>
      <c r="AJ316" s="5">
        <f>IFERROR(__xludf.DUMMYFUNCTION("""COMPUTED_VALUE"""),427.5)</f>
        <v>427.5</v>
      </c>
      <c r="AK316" s="5" t="str">
        <f>IFERROR(__xludf.DUMMYFUNCTION("""COMPUTED_VALUE"""),"La gestión de materiales evoluciona con SAP HANA MM 🌐
Domina procesos de compras, inventarios y logística con un enfoque práctico y aplicable al día a día empresarial.
Aquí encuentras la info completa 👇🏻")</f>
        <v>La gestión de materiales evoluciona con SAP HANA MM 🌐
Domina procesos de compras, inventarios y logística con un enfoque práctico y aplicable al día a día empresarial.
Aquí encuentras la info completa 👇🏻</v>
      </c>
      <c r="AL316" s="5" t="str">
        <f>IFERROR(__xludf.DUMMYFUNCTION("""COMPUTED_VALUE"""),"Excelente 🙌, actualizarte con SAP HANA MM te dará un plus competitivo en gestión de materiales 📦 y compras.")</f>
        <v>Excelente 🙌, actualizarte con SAP HANA MM te dará un plus competitivo en gestión de materiales 📦 y compras.</v>
      </c>
      <c r="AM316" s="5" t="str">
        <f>IFERROR(__xludf.DUMMYFUNCTION("""COMPUTED_VALUE"""),"Buenísimo 💼, SAP es altamente valorado en empresas grandes 🌐. Dominar HANA MM abrirá más oportunidades 🚀.")</f>
        <v>Buenísimo 💼, SAP es altamente valorado en empresas grandes 🌐. Dominar HANA MM abrirá más oportunidades 🚀.</v>
      </c>
      <c r="AN316" s="5" t="str">
        <f>IFERROR(__xludf.DUMMYFUNCTION("""COMPUTED_VALUE"""),"¡Excelente! 🎓 Con SAP HANA MM aprenderás sobre procesos logísticos 🔄 que te diferenciarán desde la universidad.")</f>
        <v>¡Excelente! 🎓 Con SAP HANA MM aprenderás sobre procesos logísticos 🔄 que te diferenciarán desde la universidad.</v>
      </c>
      <c r="AO316" s="5" t="str">
        <f>IFERROR(__xludf.DUMMYFUNCTION("""COMPUTED_VALUE"""),"¡Perfecto! 🔑 Conocer SAP te dará ventaja frente a otros postulantes y será clave para prácticas en logística 📝.")</f>
        <v>¡Perfecto! 🔑 Conocer SAP te dará ventaja frente a otros postulantes y será clave para prácticas en logística 📝.</v>
      </c>
      <c r="AP316" s="5" t="str">
        <f>IFERROR(__xludf.DUMMYFUNCTION("""COMPUTED_VALUE"""),"¡Excelente! 💡 Con SAP HANA MM podrás optimizar inventarios 📦 y procesos en tu propio negocio.")</f>
        <v>¡Excelente! 💡 Con SAP HANA MM podrás optimizar inventarios 📦 y procesos en tu propio negocio.</v>
      </c>
      <c r="AQ316" s="9" t="str">
        <f>IFERROR(__xludf.DUMMYFUNCTION("""COMPUTED_VALUE"""),"https://we-educacion.com/slides/sap-s-4-hana-mm-45")</f>
        <v>https://we-educacion.com/slides/sap-s-4-hana-mm-45</v>
      </c>
      <c r="AR316" s="5">
        <v>1.0</v>
      </c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</row>
    <row r="317" ht="15.75" customHeight="1">
      <c r="A317" s="5" t="s">
        <v>359</v>
      </c>
      <c r="B317" s="5" t="str">
        <f t="shared" si="1"/>
        <v>MAR. II - ED26</v>
      </c>
      <c r="C317" s="6" t="str">
        <f>IFERROR(__xludf.DUMMYFUNCTION("""COMPUTED_VALUE"""),"LOGÍSTICA")</f>
        <v>LOGÍSTICA</v>
      </c>
      <c r="D317" s="5" t="str">
        <f>IFERROR(__xludf.DUMMYFUNCTION("""COMPUTED_VALUE"""),"CURSO")</f>
        <v>CURSO</v>
      </c>
      <c r="E317" s="6" t="str">
        <f>IFERROR(__xludf.DUMMYFUNCTION("""COMPUTED_VALUE"""),"GER. CENTRO DISTRIB.")</f>
        <v>GER. CENTRO DISTRIB.</v>
      </c>
      <c r="F317" s="7">
        <f>IFERROR(__xludf.DUMMYFUNCTION("""COMPUTED_VALUE"""),46107.0)</f>
        <v>46107</v>
      </c>
      <c r="G317" s="6"/>
      <c r="H317" s="7"/>
      <c r="I317" s="6"/>
      <c r="J317" s="7"/>
      <c r="K317" s="6"/>
      <c r="L317" s="7"/>
      <c r="M317" s="6"/>
      <c r="N317" s="7"/>
      <c r="O317" s="6"/>
      <c r="P317" s="7"/>
      <c r="Q317" s="6" t="str">
        <f>IFERROR(__xludf.DUMMYFUNCTION("""COMPUTED_VALUE"""),"Hugo Vasquez")</f>
        <v>Hugo Vasquez</v>
      </c>
      <c r="R317" s="5" t="str">
        <f>IFERROR(__xludf.DUMMYFUNCTION("""COMPUTED_VALUE"""),"Mar-Jue")</f>
        <v>Mar-Jue</v>
      </c>
      <c r="S317" s="6" t="str">
        <f>IFERROR(__xludf.DUMMYFUNCTION("""COMPUTED_VALUE"""),"7PM - 10PM")</f>
        <v>7PM - 10PM</v>
      </c>
      <c r="T317" s="7" t="str">
        <f>IFERROR(__xludf.DUMMYFUNCTION("""COMPUTED_VALUE"""),"Jueves 26 Marzo")</f>
        <v>Jueves 26 Marzo</v>
      </c>
      <c r="U317" s="7" t="str">
        <f>IFERROR(__xludf.DUMMYFUNCTION("""COMPUTED_VALUE"""),"Jueves 16 Abril")</f>
        <v>Jueves 16 Abril</v>
      </c>
      <c r="V317" s="8">
        <f>IFERROR(__xludf.DUMMYFUNCTION("""COMPUTED_VALUE"""),5.0)</f>
        <v>5</v>
      </c>
      <c r="W317" s="5" t="str">
        <f>IFERROR(__xludf.DUMMYFUNCTION("""COMPUTED_VALUE"""),"pdfs/BROCHURE DISTRIBUCION Y ALMACENES.pdf")</f>
        <v>pdfs/BROCHURE DISTRIBUCION Y ALMACENES.pdf</v>
      </c>
      <c r="X317" s="5" t="str">
        <f>IFERROR(__xludf.DUMMYFUNCTION("""COMPUTED_VALUE"""),"🔵 *Conoce TODOS los BENEFICIOS a los que accedes*
🔹 Acceso a *Campus Virtual* WE 👩🏻‍🏫
🔹 Material digital y grabación de clases 
🔹 Certificado digital incluido
🔹 *05 Cursos Online de regalo* con acceso ilimitado 📚
🔹 Desarrollo y seguimiento de t"&amp;"u proyecto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*05 Cursos Online de regalo*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317" s="5" t="str">
        <f>IFERROR(__xludf.DUMMYFUNCTION("""COMPUTED_VALUE"""),"images/gercentro.jpg")</f>
        <v>images/gercentro.jpg</v>
      </c>
      <c r="Z317" s="5"/>
      <c r="AA317" s="5" t="str">
        <f>IFERROR(__xludf.DUMMYFUNCTION("""COMPUTED_VALUE"""),"NO")</f>
        <v>NO</v>
      </c>
      <c r="AB317" s="6">
        <f>IFERROR(__xludf.DUMMYFUNCTION("""COMPUTED_VALUE"""),830.0)</f>
        <v>830</v>
      </c>
      <c r="AC317" s="6">
        <f>IFERROR(__xludf.DUMMYFUNCTION("""COMPUTED_VALUE"""),770.0)</f>
        <v>770</v>
      </c>
      <c r="AD317" s="6">
        <f>IFERROR(__xludf.DUMMYFUNCTION("""COMPUTED_VALUE"""),415.0)</f>
        <v>415</v>
      </c>
      <c r="AE317" s="6">
        <f>IFERROR(__xludf.DUMMYFUNCTION("""COMPUTED_VALUE"""),385.0)</f>
        <v>385</v>
      </c>
      <c r="AF317" s="6">
        <f>IFERROR(__xludf.DUMMYFUNCTION("""COMPUTED_VALUE"""),150.0)</f>
        <v>150</v>
      </c>
      <c r="AG317" s="5">
        <f>IFERROR(__xludf.DUMMYFUNCTION("""COMPUTED_VALUE"""),150.0)</f>
        <v>150</v>
      </c>
      <c r="AH317" s="5"/>
      <c r="AI317" s="5">
        <f>IFERROR(__xludf.DUMMYFUNCTION("""COMPUTED_VALUE"""),346.5)</f>
        <v>346.5</v>
      </c>
      <c r="AJ317" s="5">
        <f>IFERROR(__xludf.DUMMYFUNCTION("""COMPUTED_VALUE"""),373.5)</f>
        <v>373.5</v>
      </c>
      <c r="AK317" s="5" t="str">
        <f>IFERROR(__xludf.DUMMYFUNCTION("""COMPUTED_VALUE"""),"La clave de la logística moderna es la gestión eficiente de centros de distribución 📦
Con este programa aprenderás a optimizar operaciones, inventarios y flujos reales de negocio 💼.
Aquí te comparto la información 👇🏻")</f>
        <v>La clave de la logística moderna es la gestión eficiente de centros de distribución 📦
Con este programa aprenderás a optimizar operaciones, inventarios y flujos reales de negocio 💼.
Aquí te comparto la información 👇🏻</v>
      </c>
      <c r="AL317" s="5" t="str">
        <f>IFERROR(__xludf.DUMMYFUNCTION("""COMPUTED_VALUE"""),"📈 *Excelente*, actualízate con *GER. CENTRO DISTRIB.* y mantente competitivo en el mercado laboral.")</f>
        <v>📈 *Excelente*, actualízate con *GER. CENTRO DISTRIB.* y mantente competitivo en el mercado laboral.</v>
      </c>
      <c r="AM317" s="5" t="str">
        <f>IFERROR(__xludf.DUMMYFUNCTION("""COMPUTED_VALUE"""),"📈 Buenísimo, *GER. CENTRO DISTRIB.* es de las competencias más pedidas por las empresas y aumentará tus oportunidades laborales.")</f>
        <v>📈 Buenísimo, *GER. CENTRO DISTRIB.* es de las competencias más pedidas por las empresas y aumentará tus oportunidades laborales.</v>
      </c>
      <c r="AN317" s="5" t="str">
        <f>IFERROR(__xludf.DUMMYFUNCTION("""COMPUTED_VALUE"""),"🌍 ¡Genial! Con *GER. CENTRO DISTRIB.* sumarás una habilidad poderosa que te diferenciará desde la universidad.")</f>
        <v>🌍 ¡Genial! Con *GER. CENTRO DISTRIB.* sumarás una habilidad poderosa que te diferenciará desde la universidad.</v>
      </c>
      <c r="AO317" s="5" t="str">
        <f>IFERROR(__xludf.DUMMYFUNCTION("""COMPUTED_VALUE"""),"🏆 ¡Perfecto! Saber *GER. CENTRO DISTRIB.* te dará ventaja frente a otros postulantes para conseguir prácticas.")</f>
        <v>🏆 ¡Perfecto! Saber *GER. CENTRO DISTRIB.* te dará ventaja frente a otros postulantes para conseguir prácticas.</v>
      </c>
      <c r="AP317" s="5" t="str">
        <f>IFERROR(__xludf.DUMMYFUNCTION("""COMPUTED_VALUE"""),"📊 ¡Excelente! Con *GER. CENTRO DISTRIB.* podrás aplicarlo en tu negocio y tomar decisiones más inteligentes.")</f>
        <v>📊 ¡Excelente! Con *GER. CENTRO DISTRIB.* podrás aplicarlo en tu negocio y tomar decisiones más inteligentes.</v>
      </c>
      <c r="AQ317" s="9" t="str">
        <f>IFERROR(__xludf.DUMMYFUNCTION("""COMPUTED_VALUE"""),"https://we-educacion.com/slides/distribucion-y-almacenes-68")</f>
        <v>https://we-educacion.com/slides/distribucion-y-almacenes-68</v>
      </c>
      <c r="AR317" s="5">
        <v>1.0</v>
      </c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</row>
    <row r="318" ht="15.75" customHeight="1">
      <c r="A318" s="5" t="s">
        <v>360</v>
      </c>
      <c r="B318" s="5" t="str">
        <f t="shared" si="1"/>
        <v>MAR. I - ED26</v>
      </c>
      <c r="C318" s="6" t="str">
        <f>IFERROR(__xludf.DUMMYFUNCTION("""COMPUTED_VALUE"""),"BI")</f>
        <v>BI</v>
      </c>
      <c r="D318" s="6" t="str">
        <f>IFERROR(__xludf.DUMMYFUNCTION("""COMPUTED_VALUE"""),"CURSO")</f>
        <v>CURSO</v>
      </c>
      <c r="E318" s="6" t="str">
        <f>IFERROR(__xludf.DUMMYFUNCTION("""COMPUTED_VALUE"""),"PYTHON AVANZ.")</f>
        <v>PYTHON AVANZ.</v>
      </c>
      <c r="F318" s="7">
        <f>IFERROR(__xludf.DUMMYFUNCTION("""COMPUTED_VALUE"""),46109.0)</f>
        <v>46109</v>
      </c>
      <c r="G318" s="6"/>
      <c r="H318" s="7"/>
      <c r="I318" s="6"/>
      <c r="J318" s="7"/>
      <c r="K318" s="6"/>
      <c r="L318" s="7"/>
      <c r="M318" s="6"/>
      <c r="N318" s="7"/>
      <c r="O318" s="6"/>
      <c r="P318" s="7"/>
      <c r="Q318" s="6" t="str">
        <f>IFERROR(__xludf.DUMMYFUNCTION("""COMPUTED_VALUE"""),"Cesar Valencia")</f>
        <v>Cesar Valencia</v>
      </c>
      <c r="R318" s="5" t="str">
        <f>IFERROR(__xludf.DUMMYFUNCTION("""COMPUTED_VALUE"""),"Sáb")</f>
        <v>Sáb</v>
      </c>
      <c r="S318" s="6" t="str">
        <f>IFERROR(__xludf.DUMMYFUNCTION("""COMPUTED_VALUE"""),"3PM - 6PM")</f>
        <v>3PM - 6PM</v>
      </c>
      <c r="T318" s="7" t="str">
        <f>IFERROR(__xludf.DUMMYFUNCTION("""COMPUTED_VALUE"""),"Sábado 28 Marzo")</f>
        <v>Sábado 28 Marzo</v>
      </c>
      <c r="U318" s="7" t="str">
        <f>IFERROR(__xludf.DUMMYFUNCTION("""COMPUTED_VALUE"""),"Sábado 9 Mayo")</f>
        <v>Sábado 9 Mayo</v>
      </c>
      <c r="V318" s="8">
        <f>IFERROR(__xludf.DUMMYFUNCTION("""COMPUTED_VALUE"""),6.0)</f>
        <v>6</v>
      </c>
      <c r="W318" s="5" t="str">
        <f>IFERROR(__xludf.DUMMYFUNCTION("""COMPUTED_VALUE"""),"pdfs/BROCHURE PYTHON AVANZADO MACHINE LEARNING.pdf")</f>
        <v>pdfs/BROCHURE PYTHON AVANZADO MACHINE LEARNING.pdf</v>
      </c>
      <c r="X318" s="5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18" s="5" t="str">
        <f>IFERROR(__xludf.DUMMYFUNCTION("""COMPUTED_VALUE"""),"images/pythonavanz.jpg")</f>
        <v>images/pythonavanz.jpg</v>
      </c>
      <c r="Z318" s="5" t="str">
        <f>IFERROR(__xludf.DUMMYFUNCTION("""COMPUTED_VALUE"""),"Avalado por IBM® Partner World")</f>
        <v>Avalado por IBM® Partner World</v>
      </c>
      <c r="AA318" s="5" t="str">
        <f>IFERROR(__xludf.DUMMYFUNCTION("""COMPUTED_VALUE"""),"NO")</f>
        <v>NO</v>
      </c>
      <c r="AB318" s="6">
        <f>IFERROR(__xludf.DUMMYFUNCTION("""COMPUTED_VALUE"""),830.0)</f>
        <v>830</v>
      </c>
      <c r="AC318" s="6">
        <f>IFERROR(__xludf.DUMMYFUNCTION("""COMPUTED_VALUE"""),755.0)</f>
        <v>755</v>
      </c>
      <c r="AD318" s="6">
        <f>IFERROR(__xludf.DUMMYFUNCTION("""COMPUTED_VALUE"""),415.0)</f>
        <v>415</v>
      </c>
      <c r="AE318" s="6">
        <f>IFERROR(__xludf.DUMMYFUNCTION("""COMPUTED_VALUE"""),377.5)</f>
        <v>377.5</v>
      </c>
      <c r="AF318" s="6">
        <f>IFERROR(__xludf.DUMMYFUNCTION("""COMPUTED_VALUE"""),150.0)</f>
        <v>150</v>
      </c>
      <c r="AG318" s="5">
        <f>IFERROR(__xludf.DUMMYFUNCTION("""COMPUTED_VALUE"""),150.0)</f>
        <v>150</v>
      </c>
      <c r="AH318" s="5"/>
      <c r="AI318" s="5">
        <f>IFERROR(__xludf.DUMMYFUNCTION("""COMPUTED_VALUE"""),339.75)</f>
        <v>339.75</v>
      </c>
      <c r="AJ318" s="5">
        <f>IFERROR(__xludf.DUMMYFUNCTION("""COMPUTED_VALUE"""),373.5)</f>
        <v>373.5</v>
      </c>
      <c r="AK318" s="5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318" s="5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318" s="5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318" s="5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318" s="5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318" s="5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318" s="9" t="str">
        <f>IFERROR(__xludf.DUMMYFUNCTION("""COMPUTED_VALUE"""),"https://we-educacion.com/slides/python-avanzado-machine-learning-275")</f>
        <v>https://we-educacion.com/slides/python-avanzado-machine-learning-275</v>
      </c>
      <c r="AR318" s="5">
        <v>1.0</v>
      </c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</row>
    <row r="319" ht="15.75" customHeight="1">
      <c r="A319" s="5" t="s">
        <v>361</v>
      </c>
      <c r="B319" s="5" t="str">
        <f t="shared" si="1"/>
        <v>MAR. II - ED26</v>
      </c>
      <c r="C319" s="6" t="str">
        <f>IFERROR(__xludf.DUMMYFUNCTION("""COMPUTED_VALUE"""),"PROCESOS")</f>
        <v>PROCESOS</v>
      </c>
      <c r="D319" s="6" t="str">
        <f>IFERROR(__xludf.DUMMYFUNCTION("""COMPUTED_VALUE"""),"ESP.")</f>
        <v>ESP.</v>
      </c>
      <c r="E319" s="6" t="str">
        <f>IFERROR(__xludf.DUMMYFUNCTION("""COMPUTED_VALUE"""),"ESP. POWER APPS Y AUT.")</f>
        <v>ESP. POWER APPS Y AUT.</v>
      </c>
      <c r="F319" s="7">
        <f>IFERROR(__xludf.DUMMYFUNCTION("""COMPUTED_VALUE"""),46109.0)</f>
        <v>46109</v>
      </c>
      <c r="G319" s="6" t="str">
        <f>IFERROR(__xludf.DUMMYFUNCTION("""COMPUTED_VALUE"""),"POWER APPS Y AUT.")</f>
        <v>POWER APPS Y AUT.</v>
      </c>
      <c r="H319" s="7">
        <f>IFERROR(__xludf.DUMMYFUNCTION("""COMPUTED_VALUE"""),46109.0)</f>
        <v>46109</v>
      </c>
      <c r="I319" s="6" t="str">
        <f>IFERROR(__xludf.DUMMYFUNCTION("""COMPUTED_VALUE"""),"POWER APPS AVANZ")</f>
        <v>POWER APPS AVANZ</v>
      </c>
      <c r="J319" s="7">
        <f>IFERROR(__xludf.DUMMYFUNCTION("""COMPUTED_VALUE"""),46158.0)</f>
        <v>46158</v>
      </c>
      <c r="K319" s="6"/>
      <c r="L319" s="7"/>
      <c r="M319" s="6"/>
      <c r="N319" s="7"/>
      <c r="O319" s="6"/>
      <c r="P319" s="7"/>
      <c r="Q319" s="6"/>
      <c r="R319" s="5" t="str">
        <f>IFERROR(__xludf.DUMMYFUNCTION("""COMPUTED_VALUE"""),"Sáb")</f>
        <v>Sáb</v>
      </c>
      <c r="S319" s="6" t="str">
        <f>IFERROR(__xludf.DUMMYFUNCTION("""COMPUTED_VALUE"""),"3PM - 6PM")</f>
        <v>3PM - 6PM</v>
      </c>
      <c r="T319" s="7" t="str">
        <f>IFERROR(__xludf.DUMMYFUNCTION("""COMPUTED_VALUE"""),"Sábado 28 Marzo")</f>
        <v>Sábado 28 Marzo</v>
      </c>
      <c r="U319" s="7" t="str">
        <f>IFERROR(__xludf.DUMMYFUNCTION("""COMPUTED_VALUE"""),"Sábado 20 Junio")</f>
        <v>Sábado 20 Junio</v>
      </c>
      <c r="V319" s="8">
        <f>IFERROR(__xludf.DUMMYFUNCTION("""COMPUTED_VALUE"""),12.0)</f>
        <v>12</v>
      </c>
      <c r="W319" s="5" t="str">
        <f>IFERROR(__xludf.DUMMYFUNCTION("""COMPUTED_VALUE"""),"pdfs/BROCHURE ESPECIALIZACION DE POWER APSS Y POWER AUTOMATE")</f>
        <v>pdfs/BROCHURE ESPECIALIZACION DE POWER APSS Y POWER AUTOMATE</v>
      </c>
      <c r="X319" s="5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319" s="5" t="str">
        <f>IFERROR(__xludf.DUMMYFUNCTION("""COMPUTED_VALUE"""),"images/esppowerapp.jpg")</f>
        <v>images/esppowerapp.jpg</v>
      </c>
      <c r="Z319" s="5" t="str">
        <f>IFERROR(__xludf.DUMMYFUNCTION("""COMPUTED_VALUE"""),"Avalado por Microsoft Partner Network")</f>
        <v>Avalado por Microsoft Partner Network</v>
      </c>
      <c r="AA319" s="5" t="str">
        <f>IFERROR(__xludf.DUMMYFUNCTION("""COMPUTED_VALUE"""),"NO")</f>
        <v>NO</v>
      </c>
      <c r="AB319" s="6">
        <f>IFERROR(__xludf.DUMMYFUNCTION("""COMPUTED_VALUE"""),1300.0)</f>
        <v>1300</v>
      </c>
      <c r="AC319" s="6">
        <f>IFERROR(__xludf.DUMMYFUNCTION("""COMPUTED_VALUE"""),1140.0)</f>
        <v>1140</v>
      </c>
      <c r="AD319" s="6">
        <f>IFERROR(__xludf.DUMMYFUNCTION("""COMPUTED_VALUE"""),650.0)</f>
        <v>650</v>
      </c>
      <c r="AE319" s="6">
        <f>IFERROR(__xludf.DUMMYFUNCTION("""COMPUTED_VALUE"""),570.0)</f>
        <v>570</v>
      </c>
      <c r="AF319" s="6">
        <f>IFERROR(__xludf.DUMMYFUNCTION("""COMPUTED_VALUE"""),250.0)</f>
        <v>250</v>
      </c>
      <c r="AG319" s="5">
        <f>IFERROR(__xludf.DUMMYFUNCTION("""COMPUTED_VALUE"""),350.0)</f>
        <v>350</v>
      </c>
      <c r="AH319" s="5"/>
      <c r="AI319" s="5">
        <f>IFERROR(__xludf.DUMMYFUNCTION("""COMPUTED_VALUE"""),513.0)</f>
        <v>513</v>
      </c>
      <c r="AJ319" s="5">
        <f>IFERROR(__xludf.DUMMYFUNCTION("""COMPUTED_VALUE"""),585.0)</f>
        <v>585</v>
      </c>
      <c r="AK319" s="5" t="str">
        <f>IFERROR(__xludf.DUMMYFUNCTION("""COMPUTED_VALUE"""),"La transformación digital está en tus manos 📲
Domina Power Apps y Power Automate para crear soluciones ágiles sin necesidad de programar 🤖
👉🏻 Te paso la información.")</f>
        <v>La transformación digital está en tus manos 📲
Domina Power Apps y Power Automate para crear soluciones ágiles sin necesidad de programar 🤖
👉🏻 Te paso la información.</v>
      </c>
      <c r="AL319" s="5" t="str">
        <f>IFERROR(__xludf.DUMMYFUNCTION("""COMPUTED_VALUE"""),"⚡ Excelente, actualízate en Power Apps y Automatización y crea soluciones innovadoras.")</f>
        <v>⚡ Excelente, actualízate en Power Apps y Automatización y crea soluciones innovadoras.</v>
      </c>
      <c r="AM319" s="5" t="str">
        <f>IFERROR(__xludf.DUMMYFUNCTION("""COMPUTED_VALUE"""),"🚀 Buenísimo, empresas buscan expertos en digitalización de procesos.")</f>
        <v>🚀 Buenísimo, empresas buscan expertos en digitalización de procesos.</v>
      </c>
      <c r="AN319" s="5" t="str">
        <f>IFERROR(__xludf.DUMMYFUNCTION("""COMPUTED_VALUE"""),"💡 Genial, estas herramientas harán tu perfil altamente competitivo.")</f>
        <v>💡 Genial, estas herramientas harán tu perfil altamente competitivo.</v>
      </c>
      <c r="AO319" s="5" t="str">
        <f>IFERROR(__xludf.DUMMYFUNCTION("""COMPUTED_VALUE"""),"📋 Perfecto, tendrás ventaja inmediata en prácticas de automatización.")</f>
        <v>📋 Perfecto, tendrás ventaja inmediata en prácticas de automatización.</v>
      </c>
      <c r="AP319" s="5" t="str">
        <f>IFERROR(__xludf.DUMMYFUNCTION("""COMPUTED_VALUE"""),"📊 Excelente, podrás crear apps propias y automatizar tu negocio.")</f>
        <v>📊 Excelente, podrás crear apps propias y automatizar tu negocio.</v>
      </c>
      <c r="AQ319" s="9" t="str">
        <f>IFERROR(__xludf.DUMMYFUNCTION("""COMPUTED_VALUE"""),"https://we-educacion.com/slides/especializacion-en-power-apps-automate-1113")</f>
        <v>https://we-educacion.com/slides/especializacion-en-power-apps-automate-1113</v>
      </c>
      <c r="AR319" s="5">
        <v>1.0</v>
      </c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</row>
    <row r="320" ht="15.75" customHeight="1">
      <c r="A320" s="5" t="s">
        <v>362</v>
      </c>
      <c r="B320" s="5" t="str">
        <f t="shared" si="1"/>
        <v>MAR. II - ED26</v>
      </c>
      <c r="C320" s="6" t="str">
        <f>IFERROR(__xludf.DUMMYFUNCTION("""COMPUTED_VALUE"""),"PROCESOS")</f>
        <v>PROCESOS</v>
      </c>
      <c r="D320" s="5" t="str">
        <f>IFERROR(__xludf.DUMMYFUNCTION("""COMPUTED_VALUE"""),"CURSO")</f>
        <v>CURSO</v>
      </c>
      <c r="E320" s="6" t="str">
        <f>IFERROR(__xludf.DUMMYFUNCTION("""COMPUTED_VALUE"""),"POWER APPS Y AUT.")</f>
        <v>POWER APPS Y AUT.</v>
      </c>
      <c r="F320" s="7">
        <f>IFERROR(__xludf.DUMMYFUNCTION("""COMPUTED_VALUE"""),46109.0)</f>
        <v>46109</v>
      </c>
      <c r="G320" s="6"/>
      <c r="H320" s="7"/>
      <c r="I320" s="6"/>
      <c r="J320" s="7"/>
      <c r="K320" s="6"/>
      <c r="L320" s="7"/>
      <c r="M320" s="6"/>
      <c r="N320" s="7"/>
      <c r="O320" s="6"/>
      <c r="P320" s="7"/>
      <c r="Q320" s="6"/>
      <c r="R320" s="5" t="str">
        <f>IFERROR(__xludf.DUMMYFUNCTION("""COMPUTED_VALUE"""),"Sáb")</f>
        <v>Sáb</v>
      </c>
      <c r="S320" s="6" t="str">
        <f>IFERROR(__xludf.DUMMYFUNCTION("""COMPUTED_VALUE"""),"3PM - 6PM")</f>
        <v>3PM - 6PM</v>
      </c>
      <c r="T320" s="7" t="str">
        <f>IFERROR(__xludf.DUMMYFUNCTION("""COMPUTED_VALUE"""),"Sábado 28 Marzo")</f>
        <v>Sábado 28 Marzo</v>
      </c>
      <c r="U320" s="7" t="str">
        <f>IFERROR(__xludf.DUMMYFUNCTION("""COMPUTED_VALUE"""),"Sábado 9 Mayo")</f>
        <v>Sábado 9 Mayo</v>
      </c>
      <c r="V320" s="8">
        <f>IFERROR(__xludf.DUMMYFUNCTION("""COMPUTED_VALUE"""),6.0)</f>
        <v>6</v>
      </c>
      <c r="W320" s="5" t="str">
        <f>IFERROR(__xludf.DUMMYFUNCTION("""COMPUTED_VALUE"""),"pdfs/BROCHURE POWER APPS &amp; AUTOMATE.pdf")</f>
        <v>pdfs/BROCHURE POWER APPS &amp; AUTOMATE.pdf</v>
      </c>
      <c r="X320" s="5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320" s="5" t="str">
        <f>IFERROR(__xludf.DUMMYFUNCTION("""COMPUTED_VALUE"""),"images/powerapp.jpg")</f>
        <v>images/powerapp.jpg</v>
      </c>
      <c r="Z320" s="5" t="str">
        <f>IFERROR(__xludf.DUMMYFUNCTION("""COMPUTED_VALUE"""),"Avalado por Microsoft Partner Network")</f>
        <v>Avalado por Microsoft Partner Network</v>
      </c>
      <c r="AA320" s="5" t="str">
        <f>IFERROR(__xludf.DUMMYFUNCTION("""COMPUTED_VALUE"""),"NO")</f>
        <v>NO</v>
      </c>
      <c r="AB320" s="6">
        <f>IFERROR(__xludf.DUMMYFUNCTION("""COMPUTED_VALUE"""),650.0)</f>
        <v>650</v>
      </c>
      <c r="AC320" s="6">
        <f>IFERROR(__xludf.DUMMYFUNCTION("""COMPUTED_VALUE"""),570.0)</f>
        <v>570</v>
      </c>
      <c r="AD320" s="6">
        <f>IFERROR(__xludf.DUMMYFUNCTION("""COMPUTED_VALUE"""),325.0)</f>
        <v>325</v>
      </c>
      <c r="AE320" s="6">
        <f>IFERROR(__xludf.DUMMYFUNCTION("""COMPUTED_VALUE"""),285.0)</f>
        <v>285</v>
      </c>
      <c r="AF320" s="6">
        <f>IFERROR(__xludf.DUMMYFUNCTION("""COMPUTED_VALUE"""),150.0)</f>
        <v>150</v>
      </c>
      <c r="AG320" s="5">
        <f>IFERROR(__xludf.DUMMYFUNCTION("""COMPUTED_VALUE"""),150.0)</f>
        <v>150</v>
      </c>
      <c r="AH320" s="5"/>
      <c r="AI320" s="5">
        <f>IFERROR(__xludf.DUMMYFUNCTION("""COMPUTED_VALUE"""),256.5)</f>
        <v>256.5</v>
      </c>
      <c r="AJ320" s="5">
        <f>IFERROR(__xludf.DUMMYFUNCTION("""COMPUTED_VALUE"""),292.5)</f>
        <v>292.5</v>
      </c>
      <c r="AK320" s="5" t="str">
        <f>IFERROR(__xludf.DUMMYFUNCTION("""COMPUTED_VALUE"""),"Los líderes modernos impulsan la eficiencia con automatización inteligente 🤖
Con este programa dominarás Power Apps y Power Automate para transformar procesos empresariales 🚀.
Aquí la info completa 👇🏻")</f>
        <v>Los líderes modernos impulsan la eficiencia con automatización inteligente 🤖
Con este programa dominarás Power Apps y Power Automate para transformar procesos empresariales 🚀.
Aquí la info completa 👇🏻</v>
      </c>
      <c r="AL320" s="5" t="str">
        <f>IFERROR(__xludf.DUMMYFUNCTION("""COMPUTED_VALUE"""),"⚡ Excelente, actualízate con Power Apps y Automatización, la clave para transformar procesos digitales.")</f>
        <v>⚡ Excelente, actualízate con Power Apps y Automatización, la clave para transformar procesos digitales.</v>
      </c>
      <c r="AM320" s="5" t="str">
        <f>IFERROR(__xludf.DUMMYFUNCTION("""COMPUTED_VALUE"""),"💼 Buenísimo, Power Apps y Automatización es muy demandado en empresas que buscan eficiencia.")</f>
        <v>💼 Buenísimo, Power Apps y Automatización es muy demandado en empresas que buscan eficiencia.</v>
      </c>
      <c r="AN320" s="5" t="str">
        <f>IFERROR(__xludf.DUMMYFUNCTION("""COMPUTED_VALUE"""),"🎓 ¡Genial! Aprender automatización desde la universidad te dará una gran ventaja en el futuro.")</f>
        <v>🎓 ¡Genial! Aprender automatización desde la universidad te dará una gran ventaja en el futuro.</v>
      </c>
      <c r="AO320" s="5" t="str">
        <f>IFERROR(__xludf.DUMMYFUNCTION("""COMPUTED_VALUE"""),"🚀 ¡Perfecto! Con Power Apps y Automatización destacarás en prácticas en áreas de innovación.")</f>
        <v>🚀 ¡Perfecto! Con Power Apps y Automatización destacarás en prácticas en áreas de innovación.</v>
      </c>
      <c r="AP320" s="5" t="str">
        <f>IFERROR(__xludf.DUMMYFUNCTION("""COMPUTED_VALUE"""),"📊 ¡Excelente! Podrás crear soluciones automáticas para tu negocio y optimizar tu tiempo.")</f>
        <v>📊 ¡Excelente! Podrás crear soluciones automáticas para tu negocio y optimizar tu tiempo.</v>
      </c>
      <c r="AQ320" s="9" t="str">
        <f>IFERROR(__xludf.DUMMYFUNCTION("""COMPUTED_VALUE"""),"https://we-educacion.com/slides/power-apps-automate-1073")</f>
        <v>https://we-educacion.com/slides/power-apps-automate-1073</v>
      </c>
      <c r="AR320" s="5">
        <v>1.0</v>
      </c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</row>
    <row r="321" ht="15.75" customHeight="1">
      <c r="A321" s="5" t="s">
        <v>363</v>
      </c>
      <c r="B321" s="5" t="str">
        <f t="shared" si="1"/>
        <v>MAR. I - ED26</v>
      </c>
      <c r="C321" s="6" t="str">
        <f>IFERROR(__xludf.DUMMYFUNCTION("""COMPUTED_VALUE"""),"WEB")</f>
        <v>WEB</v>
      </c>
      <c r="D321" s="6" t="str">
        <f>IFERROR(__xludf.DUMMYFUNCTION("""COMPUTED_VALUE"""),"CURSO")</f>
        <v>CURSO</v>
      </c>
      <c r="E321" s="6" t="str">
        <f>IFERROR(__xludf.DUMMYFUNCTION("""COMPUTED_VALUE"""),"PROG. JAVA")</f>
        <v>PROG. JAVA</v>
      </c>
      <c r="F321" s="7">
        <f>IFERROR(__xludf.DUMMYFUNCTION("""COMPUTED_VALUE"""),46109.0)</f>
        <v>46109</v>
      </c>
      <c r="G321" s="6"/>
      <c r="H321" s="7"/>
      <c r="I321" s="6"/>
      <c r="J321" s="7"/>
      <c r="K321" s="6"/>
      <c r="L321" s="7"/>
      <c r="M321" s="6"/>
      <c r="N321" s="7"/>
      <c r="O321" s="6"/>
      <c r="P321" s="7"/>
      <c r="Q321" s="6" t="str">
        <f>IFERROR(__xludf.DUMMYFUNCTION("""COMPUTED_VALUE"""),"Raged Huaman")</f>
        <v>Raged Huaman</v>
      </c>
      <c r="R321" s="5" t="str">
        <f>IFERROR(__xludf.DUMMYFUNCTION("""COMPUTED_VALUE"""),"Sáb")</f>
        <v>Sáb</v>
      </c>
      <c r="S321" s="6" t="str">
        <f>IFERROR(__xludf.DUMMYFUNCTION("""COMPUTED_VALUE"""),"3PM - 6PM")</f>
        <v>3PM - 6PM</v>
      </c>
      <c r="T321" s="7" t="str">
        <f>IFERROR(__xludf.DUMMYFUNCTION("""COMPUTED_VALUE"""),"Sábado 28 Marzo")</f>
        <v>Sábado 28 Marzo</v>
      </c>
      <c r="U321" s="7" t="str">
        <f>IFERROR(__xludf.DUMMYFUNCTION("""COMPUTED_VALUE"""),"Sábado 9 Mayo")</f>
        <v>Sábado 9 Mayo</v>
      </c>
      <c r="V321" s="8">
        <f>IFERROR(__xludf.DUMMYFUNCTION("""COMPUTED_VALUE"""),6.0)</f>
        <v>6</v>
      </c>
      <c r="W321" s="5" t="str">
        <f>IFERROR(__xludf.DUMMYFUNCTION("""COMPUTED_VALUE"""),"pdfs/BROCHURE PROGRAMACIÓN JAVASCRIPT WEB.pdf")</f>
        <v>pdfs/BROCHURE PROGRAMACIÓN JAVASCRIPT WEB.pdf</v>
      </c>
      <c r="X321" s="5"/>
      <c r="Y321" s="5"/>
      <c r="Z321" s="5"/>
      <c r="AA321" s="5" t="str">
        <f>IFERROR(__xludf.DUMMYFUNCTION("""COMPUTED_VALUE"""),"NO")</f>
        <v>NO</v>
      </c>
      <c r="AB321" s="6">
        <f>IFERROR(__xludf.DUMMYFUNCTION("""COMPUTED_VALUE"""),640.0)</f>
        <v>640</v>
      </c>
      <c r="AC321" s="6">
        <f>IFERROR(__xludf.DUMMYFUNCTION("""COMPUTED_VALUE"""),600.0)</f>
        <v>600</v>
      </c>
      <c r="AD321" s="6">
        <f>IFERROR(__xludf.DUMMYFUNCTION("""COMPUTED_VALUE"""),320.0)</f>
        <v>320</v>
      </c>
      <c r="AE321" s="6">
        <f>IFERROR(__xludf.DUMMYFUNCTION("""COMPUTED_VALUE"""),300.0)</f>
        <v>300</v>
      </c>
      <c r="AF321" s="6">
        <f>IFERROR(__xludf.DUMMYFUNCTION("""COMPUTED_VALUE"""),150.0)</f>
        <v>150</v>
      </c>
      <c r="AG321" s="5">
        <f>IFERROR(__xludf.DUMMYFUNCTION("""COMPUTED_VALUE"""),150.0)</f>
        <v>150</v>
      </c>
      <c r="AH321" s="5"/>
      <c r="AI321" s="5">
        <f>IFERROR(__xludf.DUMMYFUNCTION("""COMPUTED_VALUE"""),270.0)</f>
        <v>270</v>
      </c>
      <c r="AJ321" s="5">
        <f>IFERROR(__xludf.DUMMYFUNCTION("""COMPUTED_VALUE"""),288.0)</f>
        <v>288</v>
      </c>
      <c r="AK321" s="5" t="str">
        <f>IFERROR(__xludf.DUMMYFUNCTION("""COMPUTED_VALUE"""),"El lenguaje que mueve el mundo es Java 💻
Con Programación en Java aprenderás a crear aplicaciones robustas y aplicables en entornos reales 🚀.
Aquí la información completa 👇🏻")</f>
        <v>El lenguaje que mueve el mundo es Java 💻
Con Programación en Java aprenderás a crear aplicaciones robustas y aplicables en entornos reales 🚀.
Aquí la información completa 👇🏻</v>
      </c>
      <c r="AL321" s="5" t="str">
        <f>IFERROR(__xludf.DUMMYFUNCTION("""COMPUTED_VALUE"""),"💻 Excelente, actualízate con Java, el lenguaje más usado en desarrollo empresarial.")</f>
        <v>💻 Excelente, actualízate con Java, el lenguaje más usado en desarrollo empresarial.</v>
      </c>
      <c r="AM321" s="5" t="str">
        <f>IFERROR(__xludf.DUMMYFUNCTION("""COMPUTED_VALUE"""),"💼 Buenísimo, Java es requerido por muchas empresas tecnológicas y de software.")</f>
        <v>💼 Buenísimo, Java es requerido por muchas empresas tecnológicas y de software.</v>
      </c>
      <c r="AN321" s="5" t="str">
        <f>IFERROR(__xludf.DUMMYFUNCTION("""COMPUTED_VALUE"""),"🎓 ¡Genial! Con Java aprenderás programación sólida desde la universidad.")</f>
        <v>🎓 ¡Genial! Con Java aprenderás programación sólida desde la universidad.</v>
      </c>
      <c r="AO321" s="5" t="str">
        <f>IFERROR(__xludf.DUMMYFUNCTION("""COMPUTED_VALUE"""),"🚀 ¡Perfecto! Saber Java te abrirá puertas para conseguir prácticas en desarrollo.")</f>
        <v>🚀 ¡Perfecto! Saber Java te abrirá puertas para conseguir prácticas en desarrollo.</v>
      </c>
      <c r="AP321" s="5" t="str">
        <f>IFERROR(__xludf.DUMMYFUNCTION("""COMPUTED_VALUE"""),"📊 ¡Excelente! Con Java podrás crear aplicaciones que impulsen tu negocio.")</f>
        <v>📊 ¡Excelente! Con Java podrás crear aplicaciones que impulsen tu negocio.</v>
      </c>
      <c r="AQ321" s="9" t="str">
        <f>IFERROR(__xludf.DUMMYFUNCTION("""COMPUTED_VALUE"""),"https://we-educacion.com/slides/programacion-javascript-web-1106")</f>
        <v>https://we-educacion.com/slides/programacion-javascript-web-1106</v>
      </c>
      <c r="AR321" s="5">
        <v>1.0</v>
      </c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</row>
    <row r="322" ht="15.75" customHeight="1">
      <c r="A322" s="5" t="s">
        <v>364</v>
      </c>
      <c r="B322" s="5" t="str">
        <f t="shared" si="1"/>
        <v>MAR. I - ED26</v>
      </c>
      <c r="C322" s="6" t="str">
        <f>IFERROR(__xludf.DUMMYFUNCTION("""COMPUTED_VALUE"""),"AGRONOMÍA")</f>
        <v>AGRONOMÍA</v>
      </c>
      <c r="D322" s="6" t="str">
        <f>IFERROR(__xludf.DUMMYFUNCTION("""COMPUTED_VALUE"""),"CURSO")</f>
        <v>CURSO</v>
      </c>
      <c r="E322" s="6" t="str">
        <f>IFERROR(__xludf.DUMMYFUNCTION("""COMPUTED_VALUE"""),"DIRECCIÓN ESTRATÉGICA DE AGRONEGOCIOS")</f>
        <v>DIRECCIÓN ESTRATÉGICA DE AGRONEGOCIOS</v>
      </c>
      <c r="F322" s="7">
        <f>IFERROR(__xludf.DUMMYFUNCTION("""COMPUTED_VALUE"""),46109.0)</f>
        <v>46109</v>
      </c>
      <c r="G322" s="6"/>
      <c r="H322" s="7"/>
      <c r="I322" s="6"/>
      <c r="J322" s="7"/>
      <c r="K322" s="6"/>
      <c r="L322" s="7"/>
      <c r="M322" s="6"/>
      <c r="N322" s="7"/>
      <c r="O322" s="6"/>
      <c r="P322" s="7"/>
      <c r="Q322" s="6"/>
      <c r="R322" s="5" t="str">
        <f>IFERROR(__xludf.DUMMYFUNCTION("""COMPUTED_VALUE"""),"Mar-Jue")</f>
        <v>Mar-Jue</v>
      </c>
      <c r="S322" s="6" t="str">
        <f>IFERROR(__xludf.DUMMYFUNCTION("""COMPUTED_VALUE"""),"7PM - 10PM")</f>
        <v>7PM - 10PM</v>
      </c>
      <c r="T322" s="7" t="str">
        <f>IFERROR(__xludf.DUMMYFUNCTION("""COMPUTED_VALUE"""),"Sábado 28 Marzo")</f>
        <v>Sábado 28 Marzo</v>
      </c>
      <c r="U322" s="7" t="str">
        <f>IFERROR(__xludf.DUMMYFUNCTION("""COMPUTED_VALUE"""),"Martes 31 Marzo")</f>
        <v>Martes 31 Marzo</v>
      </c>
      <c r="V322" s="8">
        <f>IFERROR(__xludf.DUMMYFUNCTION("""COMPUTED_VALUE"""),6.0)</f>
        <v>6</v>
      </c>
      <c r="W322" s="5"/>
      <c r="X322" s="5"/>
      <c r="Y322" s="5"/>
      <c r="Z322" s="5"/>
      <c r="AA322" s="5"/>
      <c r="AB322" s="6"/>
      <c r="AC322" s="6"/>
      <c r="AD322" s="6"/>
      <c r="AE322" s="6"/>
      <c r="AF322" s="6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 t="str">
        <f>IFERROR(__xludf.DUMMYFUNCTION("""COMPUTED_VALUE"""),"#N/A")</f>
        <v>#N/A</v>
      </c>
      <c r="AR322" s="5">
        <v>1.0</v>
      </c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</row>
    <row r="323" ht="15.75" customHeight="1">
      <c r="A323" s="5" t="s">
        <v>365</v>
      </c>
      <c r="B323" s="5" t="str">
        <f t="shared" si="1"/>
        <v>MAR. I - ED26</v>
      </c>
      <c r="C323" s="6" t="str">
        <f>IFERROR(__xludf.DUMMYFUNCTION("""COMPUTED_VALUE"""),"PROCESOS")</f>
        <v>PROCESOS</v>
      </c>
      <c r="D323" s="6" t="str">
        <f>IFERROR(__xludf.DUMMYFUNCTION("""COMPUTED_VALUE"""),"DIPLOMADO")</f>
        <v>DIPLOMADO</v>
      </c>
      <c r="E323" s="6" t="str">
        <f>IFERROR(__xludf.DUMMYFUNCTION("""COMPUTED_VALUE"""),"DIP PROC Y MEJORA V3")</f>
        <v>DIP PROC Y MEJORA V3</v>
      </c>
      <c r="F323" s="7">
        <f>IFERROR(__xludf.DUMMYFUNCTION("""COMPUTED_VALUE"""),46110.0)</f>
        <v>46110</v>
      </c>
      <c r="G323" s="6" t="str">
        <f>IFERROR(__xludf.DUMMYFUNCTION("""COMPUTED_VALUE"""),"GEST PROCESOS")</f>
        <v>GEST PROCESOS</v>
      </c>
      <c r="H323" s="7">
        <f>IFERROR(__xludf.DUMMYFUNCTION("""COMPUTED_VALUE"""),46103.0)</f>
        <v>46103</v>
      </c>
      <c r="I323" s="6" t="str">
        <f>IFERROR(__xludf.DUMMYFUNCTION("""COMPUTED_VALUE"""),"MODEL BIZ.")</f>
        <v>MODEL BIZ.</v>
      </c>
      <c r="J323" s="7">
        <f>IFERROR(__xludf.DUMMYFUNCTION("""COMPUTED_VALUE"""),46159.0)</f>
        <v>46159</v>
      </c>
      <c r="K323" s="6" t="str">
        <f>IFERROR(__xludf.DUMMYFUNCTION("""COMPUTED_VALUE"""),"LEAN SIX SIGMA YELLOW")</f>
        <v>LEAN SIX SIGMA YELLOW</v>
      </c>
      <c r="L323" s="7">
        <f>IFERROR(__xludf.DUMMYFUNCTION("""COMPUTED_VALUE"""),46201.0)</f>
        <v>46201</v>
      </c>
      <c r="M323" s="6" t="str">
        <f>IFERROR(__xludf.DUMMYFUNCTION("""COMPUTED_VALUE"""),"KPIS Y OKRS")</f>
        <v>KPIS Y OKRS</v>
      </c>
      <c r="N323" s="7">
        <f>IFERROR(__xludf.DUMMYFUNCTION("""COMPUTED_VALUE"""),46243.0)</f>
        <v>46243</v>
      </c>
      <c r="O323" s="6" t="str">
        <f>IFERROR(__xludf.DUMMYFUNCTION("""COMPUTED_VALUE"""),"ROBOTIZ.  UIPATH")</f>
        <v>ROBOTIZ.  UIPATH</v>
      </c>
      <c r="P323" s="7">
        <f>IFERROR(__xludf.DUMMYFUNCTION("""COMPUTED_VALUE"""),46285.0)</f>
        <v>46285</v>
      </c>
      <c r="Q323" s="6"/>
      <c r="R323" s="5" t="str">
        <f>IFERROR(__xludf.DUMMYFUNCTION("""COMPUTED_VALUE"""),"Dom")</f>
        <v>Dom</v>
      </c>
      <c r="S323" s="6" t="str">
        <f>IFERROR(__xludf.DUMMYFUNCTION("""COMPUTED_VALUE"""),"9AM - 12PM")</f>
        <v>9AM - 12PM</v>
      </c>
      <c r="T323" s="7" t="str">
        <f>IFERROR(__xludf.DUMMYFUNCTION("""COMPUTED_VALUE"""),"Domingo 29 Marzo")</f>
        <v>Domingo 29 Marzo</v>
      </c>
      <c r="U323" s="7" t="str">
        <f>IFERROR(__xludf.DUMMYFUNCTION("""COMPUTED_VALUE"""),"Domingo 25 Octubre")</f>
        <v>Domingo 25 Octubre</v>
      </c>
      <c r="V323" s="8">
        <f>IFERROR(__xludf.DUMMYFUNCTION("""COMPUTED_VALUE"""),29.0)</f>
        <v>29</v>
      </c>
      <c r="W323" s="5" t="str">
        <f>IFERROR(__xludf.DUMMYFUNCTION("""COMPUTED_VALUE"""),"pdfs/BROCHURE DIPLOMADO PROCESOS Y MEJORA CONTINUA.pdf")</f>
        <v>pdfs/BROCHURE DIPLOMADO PROCESOS Y MEJORA CONTINUA.pdf</v>
      </c>
      <c r="X323" s="5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23" s="5" t="str">
        <f>IFERROR(__xludf.DUMMYFUNCTION("""COMPUTED_VALUE"""),"images/dipproc.jpg")</f>
        <v>images/dipproc.jpg</v>
      </c>
      <c r="Z323" s="5"/>
      <c r="AA323" s="5" t="str">
        <f>IFERROR(__xludf.DUMMYFUNCTION("""COMPUTED_VALUE"""),"NO")</f>
        <v>NO</v>
      </c>
      <c r="AB323" s="6">
        <f>IFERROR(__xludf.DUMMYFUNCTION("""COMPUTED_VALUE"""),3740.0)</f>
        <v>3740</v>
      </c>
      <c r="AC323" s="6">
        <f>IFERROR(__xludf.DUMMYFUNCTION("""COMPUTED_VALUE"""),3346.0)</f>
        <v>3346</v>
      </c>
      <c r="AD323" s="6">
        <f>IFERROR(__xludf.DUMMYFUNCTION("""COMPUTED_VALUE"""),1870.0)</f>
        <v>1870</v>
      </c>
      <c r="AE323" s="6">
        <f>IFERROR(__xludf.DUMMYFUNCTION("""COMPUTED_VALUE"""),1673.0)</f>
        <v>1673</v>
      </c>
      <c r="AF323" s="6">
        <f>IFERROR(__xludf.DUMMYFUNCTION("""COMPUTED_VALUE"""),250.0)</f>
        <v>250</v>
      </c>
      <c r="AG323" s="5">
        <f>IFERROR(__xludf.DUMMYFUNCTION("""COMPUTED_VALUE"""),350.0)</f>
        <v>350</v>
      </c>
      <c r="AH323" s="5"/>
      <c r="AI323" s="5">
        <f>IFERROR(__xludf.DUMMYFUNCTION("""COMPUTED_VALUE"""),1505.7)</f>
        <v>1505.7</v>
      </c>
      <c r="AJ323" s="5">
        <f>IFERROR(__xludf.DUMMYFUNCTION("""COMPUTED_VALUE"""),1683.0)</f>
        <v>1683</v>
      </c>
      <c r="AK323" s="5" t="str">
        <f>IFERROR(__xludf.DUMMYFUNCTION("""COMPUTED_VALUE"""),"Mejorar procesos es sinónimo de crecer 🔄
Aprende a optimizar la eficiencia operativa con herramientas de gestión y mejora continua 🏭
👉🏻 Aquí está la información a detalle.")</f>
        <v>Mejorar procesos es sinónimo de crecer 🔄
Aprende a optimizar la eficiencia operativa con herramientas de gestión y mejora continua 🏭
👉🏻 Aquí está la información a detalle.</v>
      </c>
      <c r="AL323" s="5" t="str">
        <f>IFERROR(__xludf.DUMMYFUNCTION("""COMPUTED_VALUE"""),"⚙️ Excelente, el Diplomado en Procesos y Mejora Continua te convierte en experto en Lean &amp; Six Sigma.")</f>
        <v>⚙️ Excelente, el Diplomado en Procesos y Mejora Continua te convierte en experto en Lean &amp; Six Sigma.</v>
      </c>
      <c r="AM323" s="5" t="str">
        <f>IFERROR(__xludf.DUMMYFUNCTION("""COMPUTED_VALUE"""),"💼 Muy bien, este Diplomado es requerido en empresas que priorizan la eficiencia operativa.")</f>
        <v>💼 Muy bien, este Diplomado es requerido en empresas que priorizan la eficiencia operativa.</v>
      </c>
      <c r="AN323" s="5" t="str">
        <f>IFERROR(__xludf.DUMMYFUNCTION("""COMPUTED_VALUE"""),"📚 ¡Genial! Desde la universidad podrás aplicar conceptos de mejora continua a tus proyectos.")</f>
        <v>📚 ¡Genial! Desde la universidad podrás aplicar conceptos de mejora continua a tus proyectos.</v>
      </c>
      <c r="AO323" s="5" t="str">
        <f>IFERROR(__xludf.DUMMYFUNCTION("""COMPUTED_VALUE"""),"🚀 ¡Perfecto! Con este Diplomado destacarás en prácticas en áreas de calidad y optimización.")</f>
        <v>🚀 ¡Perfecto! Con este Diplomado destacarás en prácticas en áreas de calidad y optimización.</v>
      </c>
      <c r="AP323" s="5" t="str">
        <f>IFERROR(__xludf.DUMMYFUNCTION("""COMPUTED_VALUE"""),"📊 ¡Excelente! Podrás aplicar mejoras de procesos directamente en tu negocio.")</f>
        <v>📊 ¡Excelente! Podrás aplicar mejoras de procesos directamente en tu negocio.</v>
      </c>
      <c r="AQ323" s="9" t="str">
        <f>IFERROR(__xludf.DUMMYFUNCTION("""COMPUTED_VALUE"""),"https://we-educacion.com/slides/diplomado-de-procesos-y-mejora-continua-205")</f>
        <v>https://we-educacion.com/slides/diplomado-de-procesos-y-mejora-continua-205</v>
      </c>
      <c r="AR323" s="5">
        <v>1.0</v>
      </c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</row>
    <row r="324" ht="15.75" customHeight="1">
      <c r="A324" s="5" t="s">
        <v>366</v>
      </c>
      <c r="B324" s="5" t="str">
        <f t="shared" si="1"/>
        <v>MAR. I - ED26</v>
      </c>
      <c r="C324" s="6" t="str">
        <f>IFERROR(__xludf.DUMMYFUNCTION("""COMPUTED_VALUE"""),"PROCESOS")</f>
        <v>PROCESOS</v>
      </c>
      <c r="D324" s="5" t="str">
        <f>IFERROR(__xludf.DUMMYFUNCTION("""COMPUTED_VALUE"""),"PEE")</f>
        <v>PEE</v>
      </c>
      <c r="E324" s="6" t="str">
        <f>IFERROR(__xludf.DUMMYFUNCTION("""COMPUTED_VALUE"""),"PEE ANALIST PROC")</f>
        <v>PEE ANALIST PROC</v>
      </c>
      <c r="F324" s="7">
        <f>IFERROR(__xludf.DUMMYFUNCTION("""COMPUTED_VALUE"""),46110.0)</f>
        <v>46110</v>
      </c>
      <c r="G324" s="6" t="str">
        <f>IFERROR(__xludf.DUMMYFUNCTION("""COMPUTED_VALUE"""),"GEST PROCESOS")</f>
        <v>GEST PROCESOS</v>
      </c>
      <c r="H324" s="7">
        <f>IFERROR(__xludf.DUMMYFUNCTION("""COMPUTED_VALUE"""),46103.0)</f>
        <v>46103</v>
      </c>
      <c r="I324" s="6" t="str">
        <f>IFERROR(__xludf.DUMMYFUNCTION("""COMPUTED_VALUE"""),"MODEL BIZ.")</f>
        <v>MODEL BIZ.</v>
      </c>
      <c r="J324" s="7">
        <f>IFERROR(__xludf.DUMMYFUNCTION("""COMPUTED_VALUE"""),46159.0)</f>
        <v>46159</v>
      </c>
      <c r="K324" s="6" t="str">
        <f>IFERROR(__xludf.DUMMYFUNCTION("""COMPUTED_VALUE"""),"LEAN SIX SIGMA YELLOW")</f>
        <v>LEAN SIX SIGMA YELLOW</v>
      </c>
      <c r="L324" s="7">
        <f>IFERROR(__xludf.DUMMYFUNCTION("""COMPUTED_VALUE"""),46201.0)</f>
        <v>46201</v>
      </c>
      <c r="M324" s="6"/>
      <c r="N324" s="7"/>
      <c r="O324" s="6"/>
      <c r="P324" s="7"/>
      <c r="Q324" s="6"/>
      <c r="R324" s="5" t="str">
        <f>IFERROR(__xludf.DUMMYFUNCTION("""COMPUTED_VALUE"""),"Dom")</f>
        <v>Dom</v>
      </c>
      <c r="S324" s="6" t="str">
        <f>IFERROR(__xludf.DUMMYFUNCTION("""COMPUTED_VALUE"""),"9AM - 12PM")</f>
        <v>9AM - 12PM</v>
      </c>
      <c r="T324" s="7" t="str">
        <f>IFERROR(__xludf.DUMMYFUNCTION("""COMPUTED_VALUE"""),"Domingo 29 Marzo")</f>
        <v>Domingo 29 Marzo</v>
      </c>
      <c r="U324" s="7" t="str">
        <f>IFERROR(__xludf.DUMMYFUNCTION("""COMPUTED_VALUE"""),"Domingo 2 Agosto")</f>
        <v>Domingo 2 Agosto</v>
      </c>
      <c r="V324" s="8">
        <f>IFERROR(__xludf.DUMMYFUNCTION("""COMPUTED_VALUE"""),18.0)</f>
        <v>18</v>
      </c>
      <c r="W324" s="5" t="str">
        <f>IFERROR(__xludf.DUMMYFUNCTION("""COMPUTED_VALUE"""),"pdfs/BROCHURE PEE ANALISTA DE PROCESOS.pdf")</f>
        <v>pdfs/BROCHURE PEE ANALISTA DE PROCESOS.pdf</v>
      </c>
      <c r="X324" s="5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24" s="5" t="str">
        <f>IFERROR(__xludf.DUMMYFUNCTION("""COMPUTED_VALUE"""),"images/peeprocesos.jpg")</f>
        <v>images/peeprocesos.jpg</v>
      </c>
      <c r="Z324" s="6"/>
      <c r="AA324" s="6" t="str">
        <f>IFERROR(__xludf.DUMMYFUNCTION("""COMPUTED_VALUE"""),"NO")</f>
        <v>NO</v>
      </c>
      <c r="AB324" s="6">
        <f>IFERROR(__xludf.DUMMYFUNCTION("""COMPUTED_VALUE"""),2280.0)</f>
        <v>2280</v>
      </c>
      <c r="AC324" s="6">
        <f>IFERROR(__xludf.DUMMYFUNCTION("""COMPUTED_VALUE"""),2040.0)</f>
        <v>2040</v>
      </c>
      <c r="AD324" s="6">
        <f>IFERROR(__xludf.DUMMYFUNCTION("""COMPUTED_VALUE"""),1140.0)</f>
        <v>1140</v>
      </c>
      <c r="AE324" s="6">
        <f>IFERROR(__xludf.DUMMYFUNCTION("""COMPUTED_VALUE"""),1020.0)</f>
        <v>1020</v>
      </c>
      <c r="AF324" s="6">
        <f>IFERROR(__xludf.DUMMYFUNCTION("""COMPUTED_VALUE"""),250.0)</f>
        <v>250</v>
      </c>
      <c r="AG324" s="5">
        <f>IFERROR(__xludf.DUMMYFUNCTION("""COMPUTED_VALUE"""),350.0)</f>
        <v>350</v>
      </c>
      <c r="AH324" s="5"/>
      <c r="AI324" s="5">
        <f>IFERROR(__xludf.DUMMYFUNCTION("""COMPUTED_VALUE"""),918.0)</f>
        <v>918</v>
      </c>
      <c r="AJ324" s="5">
        <f>IFERROR(__xludf.DUMMYFUNCTION("""COMPUTED_VALUE"""),1026.0)</f>
        <v>1026</v>
      </c>
      <c r="AK324" s="5" t="str">
        <f>IFERROR(__xludf.DUMMYFUNCTION("""COMPUTED_VALUE"""),"La mejora de procesos es el camino a la eficiencia 🔄
Especialízate en análisis y gestión de procesos para optimizar el rendimiento de las organizaciones 🏭
👉🏻 Te paso el detalle.")</f>
        <v>La mejora de procesos es el camino a la eficiencia 🔄
Especialízate en análisis y gestión de procesos para optimizar el rendimiento de las organizaciones 🏭
👉🏻 Te paso el detalle.</v>
      </c>
      <c r="AL324" s="5" t="str">
        <f>IFERROR(__xludf.DUMMYFUNCTION("""COMPUTED_VALUE"""),"⚡ Excelente, el PEE Analista de Procesos te formará en gestión y mejora de operaciones.")</f>
        <v>⚡ Excelente, el PEE Analista de Procesos te formará en gestión y mejora de operaciones.</v>
      </c>
      <c r="AM324" s="5" t="str">
        <f>IFERROR(__xludf.DUMMYFUNCTION("""COMPUTED_VALUE"""),"💼 Buenísimo, este perfil es clave en empresas que buscan optimizar tiempos y costos.")</f>
        <v>💼 Buenísimo, este perfil es clave en empresas que buscan optimizar tiempos y costos.</v>
      </c>
      <c r="AN324" s="5" t="str">
        <f>IFERROR(__xludf.DUMMYFUNCTION("""COMPUTED_VALUE"""),"📚 ¡Genial! Desde la universidad aprenderás mapa de procesos y metodologías de mejora.")</f>
        <v>📚 ¡Genial! Desde la universidad aprenderás mapa de procesos y metodologías de mejora.</v>
      </c>
      <c r="AO324" s="5" t="str">
        <f>IFERROR(__xludf.DUMMYFUNCTION("""COMPUTED_VALUE"""),"🚀 ¡Perfecto! Este PEE es ideal para destacar en la gestión de eficiencia.")</f>
        <v>🚀 ¡Perfecto! Este PEE es ideal para destacar en la gestión de eficiencia.</v>
      </c>
      <c r="AP324" s="5" t="str">
        <f>IFERROR(__xludf.DUMMYFUNCTION("""COMPUTED_VALUE"""),"📊 ¡Excelente! Podrás rediseñar procesos para hacer más rentable tu negocio.")</f>
        <v>📊 ¡Excelente! Podrás rediseñar procesos para hacer más rentable tu negocio.</v>
      </c>
      <c r="AQ324" s="9" t="str">
        <f>IFERROR(__xludf.DUMMYFUNCTION("""COMPUTED_VALUE"""),"https://we-educacion.com/slides/pee-analista-de-procesos-187")</f>
        <v>https://we-educacion.com/slides/pee-analista-de-procesos-187</v>
      </c>
      <c r="AR324" s="5">
        <v>1.0</v>
      </c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</row>
    <row r="325" ht="15.75" customHeight="1">
      <c r="A325" s="5" t="s">
        <v>367</v>
      </c>
      <c r="B325" s="5" t="str">
        <f t="shared" si="1"/>
        <v>MAR. I - ED26</v>
      </c>
      <c r="C325" s="6" t="str">
        <f>IFERROR(__xludf.DUMMYFUNCTION("""COMPUTED_VALUE"""),"PROCESOS")</f>
        <v>PROCESOS</v>
      </c>
      <c r="D325" s="5" t="str">
        <f>IFERROR(__xludf.DUMMYFUNCTION("""COMPUTED_VALUE"""),"CURSO")</f>
        <v>CURSO</v>
      </c>
      <c r="E325" s="6" t="str">
        <f>IFERROR(__xludf.DUMMYFUNCTION("""COMPUTED_VALUE"""),"GEST PROCESOS")</f>
        <v>GEST PROCESOS</v>
      </c>
      <c r="F325" s="7">
        <f>IFERROR(__xludf.DUMMYFUNCTION("""COMPUTED_VALUE"""),46110.0)</f>
        <v>46110</v>
      </c>
      <c r="G325" s="6"/>
      <c r="H325" s="7"/>
      <c r="I325" s="6"/>
      <c r="J325" s="7"/>
      <c r="K325" s="6"/>
      <c r="L325" s="7"/>
      <c r="M325" s="6"/>
      <c r="N325" s="7"/>
      <c r="O325" s="6"/>
      <c r="P325" s="7"/>
      <c r="Q325" s="6"/>
      <c r="R325" s="5" t="str">
        <f>IFERROR(__xludf.DUMMYFUNCTION("""COMPUTED_VALUE"""),"Dom")</f>
        <v>Dom</v>
      </c>
      <c r="S325" s="6" t="str">
        <f>IFERROR(__xludf.DUMMYFUNCTION("""COMPUTED_VALUE"""),"9AM - 12PM")</f>
        <v>9AM - 12PM</v>
      </c>
      <c r="T325" s="7" t="str">
        <f>IFERROR(__xludf.DUMMYFUNCTION("""COMPUTED_VALUE"""),"Domingo 29 Marzo")</f>
        <v>Domingo 29 Marzo</v>
      </c>
      <c r="U325" s="7" t="str">
        <f>IFERROR(__xludf.DUMMYFUNCTION("""COMPUTED_VALUE"""),"Domingo 10 Mayo")</f>
        <v>Domingo 10 Mayo</v>
      </c>
      <c r="V325" s="8">
        <f>IFERROR(__xludf.DUMMYFUNCTION("""COMPUTED_VALUE"""),6.0)</f>
        <v>6</v>
      </c>
      <c r="W325" s="5" t="str">
        <f>IFERROR(__xludf.DUMMYFUNCTION("""COMPUTED_VALUE"""),"pdfs/BROCHURE GESTION DE PROCESOS.pdf")</f>
        <v>pdfs/BROCHURE GESTION DE PROCESOS.pdf</v>
      </c>
      <c r="X325" s="5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25" s="5" t="str">
        <f>IFERROR(__xludf.DUMMYFUNCTION("""COMPUTED_VALUE"""),"images/gestprocesos.jpg")</f>
        <v>images/gestprocesos.jpg</v>
      </c>
      <c r="Z325" s="5"/>
      <c r="AA325" s="5" t="str">
        <f>IFERROR(__xludf.DUMMYFUNCTION("""COMPUTED_VALUE"""),"NO")</f>
        <v>NO</v>
      </c>
      <c r="AB325" s="6">
        <f>IFERROR(__xludf.DUMMYFUNCTION("""COMPUTED_VALUE"""),880.0)</f>
        <v>880</v>
      </c>
      <c r="AC325" s="6">
        <f>IFERROR(__xludf.DUMMYFUNCTION("""COMPUTED_VALUE"""),770.0)</f>
        <v>770</v>
      </c>
      <c r="AD325" s="6">
        <f>IFERROR(__xludf.DUMMYFUNCTION("""COMPUTED_VALUE"""),440.0)</f>
        <v>440</v>
      </c>
      <c r="AE325" s="6">
        <f>IFERROR(__xludf.DUMMYFUNCTION("""COMPUTED_VALUE"""),385.0)</f>
        <v>385</v>
      </c>
      <c r="AF325" s="6">
        <f>IFERROR(__xludf.DUMMYFUNCTION("""COMPUTED_VALUE"""),150.0)</f>
        <v>150</v>
      </c>
      <c r="AG325" s="5">
        <f>IFERROR(__xludf.DUMMYFUNCTION("""COMPUTED_VALUE"""),150.0)</f>
        <v>150</v>
      </c>
      <c r="AH325" s="5"/>
      <c r="AI325" s="5">
        <f>IFERROR(__xludf.DUMMYFUNCTION("""COMPUTED_VALUE"""),346.5)</f>
        <v>346.5</v>
      </c>
      <c r="AJ325" s="5">
        <f>IFERROR(__xludf.DUMMYFUNCTION("""COMPUTED_VALUE"""),396.0)</f>
        <v>396</v>
      </c>
      <c r="AK325" s="5" t="str">
        <f>IFERROR(__xludf.DUMMYFUNCTION("""COMPUTED_VALUE"""),"El lenguaje de los líderes de hoy es la eficiencia operativa ⚙️
Con Gestión de Procesos aprenderás a optimizar y rediseñar flujos de trabajo aplicados a casos reales 💼.
Aquí te comparto la información 👇🏻")</f>
        <v>El lenguaje de los líderes de hoy es la eficiencia operativa ⚙️
Con Gestión de Procesos aprenderás a optimizar y rediseñar flujos de trabajo aplicados a casos reales 💼.
Aquí te comparto la información 👇🏻</v>
      </c>
      <c r="AL325" s="5" t="str">
        <f>IFERROR(__xludf.DUMMYFUNCTION("""COMPUTED_VALUE"""),"⚡ *Excelente*, actualízate con *GEST PROCESOS* y mantente competitivo en el mercado laboral.")</f>
        <v>⚡ *Excelente*, actualízate con *GEST PROCESOS* y mantente competitivo en el mercado laboral.</v>
      </c>
      <c r="AM325" s="5" t="str">
        <f>IFERROR(__xludf.DUMMYFUNCTION("""COMPUTED_VALUE"""),"✨ Buenísimo, *GEST PROCESOS* es de las competencias más pedidas por las empresas y aumentará tus oportunidades laborales.")</f>
        <v>✨ Buenísimo, *GEST PROCESOS* es de las competencias más pedidas por las empresas y aumentará tus oportunidades laborales.</v>
      </c>
      <c r="AN325" s="5" t="str">
        <f>IFERROR(__xludf.DUMMYFUNCTION("""COMPUTED_VALUE"""),"🌍 ¡Genial! Con *GEST PROCESOS* sumarás una habilidad poderosa que te diferenciará desde la universidad.")</f>
        <v>🌍 ¡Genial! Con *GEST PROCESOS* sumarás una habilidad poderosa que te diferenciará desde la universidad.</v>
      </c>
      <c r="AO325" s="5" t="str">
        <f>IFERROR(__xludf.DUMMYFUNCTION("""COMPUTED_VALUE"""),"🔑 ¡Perfecto! Saber *GEST PROCESOS* te dará ventaja frente a otros postulantes para conseguir prácticas.")</f>
        <v>🔑 ¡Perfecto! Saber *GEST PROCESOS* te dará ventaja frente a otros postulantes para conseguir prácticas.</v>
      </c>
      <c r="AP325" s="5" t="str">
        <f>IFERROR(__xludf.DUMMYFUNCTION("""COMPUTED_VALUE"""),"📈 ¡Excelente! Con *GEST PROCESOS* podrás aplicarlo en tu negocio y tomar decisiones más inteligentes.")</f>
        <v>📈 ¡Excelente! Con *GEST PROCESOS* podrás aplicarlo en tu negocio y tomar decisiones más inteligentes.</v>
      </c>
      <c r="AQ325" s="9" t="str">
        <f>IFERROR(__xludf.DUMMYFUNCTION("""COMPUTED_VALUE"""),"https://we-educacion.com/slides/gestion-de-procesos-188")</f>
        <v>https://we-educacion.com/slides/gestion-de-procesos-188</v>
      </c>
      <c r="AR325" s="5">
        <v>1.0</v>
      </c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</row>
    <row r="326" ht="15.75" customHeight="1">
      <c r="A326" s="5" t="s">
        <v>368</v>
      </c>
      <c r="B326" s="5" t="str">
        <f t="shared" si="1"/>
        <v>MAR. I - ED26</v>
      </c>
      <c r="C326" s="6" t="str">
        <f>IFERROR(__xludf.DUMMYFUNCTION("""COMPUTED_VALUE"""),"BI")</f>
        <v>BI</v>
      </c>
      <c r="D326" s="6" t="str">
        <f>IFERROR(__xludf.DUMMYFUNCTION("""COMPUTED_VALUE"""),"CURSO")</f>
        <v>CURSO</v>
      </c>
      <c r="E326" s="6" t="str">
        <f>IFERROR(__xludf.DUMMYFUNCTION("""COMPUTED_VALUE"""),"IA &amp; DEEP LEARNING V2")</f>
        <v>IA &amp; DEEP LEARNING V2</v>
      </c>
      <c r="F326" s="7">
        <f>IFERROR(__xludf.DUMMYFUNCTION("""COMPUTED_VALUE"""),46110.0)</f>
        <v>46110</v>
      </c>
      <c r="G326" s="6"/>
      <c r="H326" s="7"/>
      <c r="I326" s="6"/>
      <c r="J326" s="7"/>
      <c r="K326" s="6"/>
      <c r="L326" s="7"/>
      <c r="M326" s="6"/>
      <c r="N326" s="7"/>
      <c r="O326" s="6"/>
      <c r="P326" s="7"/>
      <c r="Q326" s="6" t="str">
        <f>IFERROR(__xludf.DUMMYFUNCTION("""COMPUTED_VALUE"""),"Bryan Guerra")</f>
        <v>Bryan Guerra</v>
      </c>
      <c r="R326" s="5" t="str">
        <f>IFERROR(__xludf.DUMMYFUNCTION("""COMPUTED_VALUE"""),"Dom")</f>
        <v>Dom</v>
      </c>
      <c r="S326" s="6" t="str">
        <f>IFERROR(__xludf.DUMMYFUNCTION("""COMPUTED_VALUE"""),"9AM - 12PM")</f>
        <v>9AM - 12PM</v>
      </c>
      <c r="T326" s="7" t="str">
        <f>IFERROR(__xludf.DUMMYFUNCTION("""COMPUTED_VALUE"""),"Domingo 29 Marzo")</f>
        <v>Domingo 29 Marzo</v>
      </c>
      <c r="U326" s="7" t="str">
        <f>IFERROR(__xludf.DUMMYFUNCTION("""COMPUTED_VALUE"""),"Domingo 10 Mayo")</f>
        <v>Domingo 10 Mayo</v>
      </c>
      <c r="V326" s="8">
        <f>IFERROR(__xludf.DUMMYFUNCTION("""COMPUTED_VALUE"""),6.0)</f>
        <v>6</v>
      </c>
      <c r="W326" s="5" t="str">
        <f>IFERROR(__xludf.DUMMYFUNCTION("""COMPUTED_VALUE"""),"pdfs/BROCHURE IA &amp; DEEP LEARNING.pdf")</f>
        <v>pdfs/BROCHURE IA &amp; DEEP LEARNING.pdf</v>
      </c>
      <c r="X326" s="5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02 Cursos Online de regalo con acceso ilimitado 📚
🔹 Desarro"&amp;"llo y seguimiento de tu proyecto *(Evaluado)*
🔹 Garantía de Aprendizaje 100% 
🔹 *Necesitas tener conocimientos en PYTHON* 👩🏻‍💻
👉🏼 ¡Te regalamos el Curso Online Certificado!
👉🏼 Incluye tutorial y manual de instalación
*¡Certificado Adicio"&amp;"nal!* ⭐
👉🏻 Certificado *Artificial Intelligence Professional* tiene la inversión de *$50* ~(Normal $150)~
_Incluye material de práctica y 2 intentos del examen_
🚨 *Revisa el BROCHURE* 👇🏻")</f>
        <v>🔵 *Conoce TODOS los BENEFICIOS a los que accedes*
🔹 Acceso a *Campus Virtual* WE 👩🏻‍🏫
🔹 Material digital y grabación de clases 
🔹 Certificado digital con respaldo *IBM Partner*
🔹 02 Cursos Online de regalo con acceso ilimitado 📚
🔹 Desarrollo y seguimiento de tu proyecto *(Evaluado)*
🔹 Garantía de Aprendizaje 100% 
🔹 *Necesitas tener conocimientos en PYTHON* 👩🏻‍💻
👉🏼 ¡Te regalamos el Curso Online Certificado!
👉🏼 Incluye tutorial y manual de instalación
*¡Certificado Adicional!* ⭐
👉🏻 Certificado *Artificial Intelligence Professional* tiene la inversión de *$50* ~(Normal $150)~
_Incluye material de práctica y 2 intentos del examen_
🚨 *Revisa el BROCHURE* 👇🏻</v>
      </c>
      <c r="Y326" s="5" t="str">
        <f>IFERROR(__xludf.DUMMYFUNCTION("""COMPUTED_VALUE"""),"images/iadeep.jpg")</f>
        <v>images/iadeep.jpg</v>
      </c>
      <c r="Z326" s="5" t="str">
        <f>IFERROR(__xludf.DUMMYFUNCTION("""COMPUTED_VALUE"""),"Avalado por IBM® Partner World")</f>
        <v>Avalado por IBM® Partner World</v>
      </c>
      <c r="AA326" s="5" t="str">
        <f>IFERROR(__xludf.DUMMYFUNCTION("""COMPUTED_VALUE"""),"SI")</f>
        <v>SI</v>
      </c>
      <c r="AB326" s="6">
        <f>IFERROR(__xludf.DUMMYFUNCTION("""COMPUTED_VALUE"""),690.0)</f>
        <v>690</v>
      </c>
      <c r="AC326" s="6">
        <f>IFERROR(__xludf.DUMMYFUNCTION("""COMPUTED_VALUE"""),640.0)</f>
        <v>640</v>
      </c>
      <c r="AD326" s="6">
        <f>IFERROR(__xludf.DUMMYFUNCTION("""COMPUTED_VALUE"""),345.0)</f>
        <v>345</v>
      </c>
      <c r="AE326" s="6">
        <f>IFERROR(__xludf.DUMMYFUNCTION("""COMPUTED_VALUE"""),320.0)</f>
        <v>320</v>
      </c>
      <c r="AF326" s="6">
        <f>IFERROR(__xludf.DUMMYFUNCTION("""COMPUTED_VALUE"""),150.0)</f>
        <v>150</v>
      </c>
      <c r="AG326" s="5">
        <f>IFERROR(__xludf.DUMMYFUNCTION("""COMPUTED_VALUE"""),150.0)</f>
        <v>150</v>
      </c>
      <c r="AH326" s="5"/>
      <c r="AI326" s="5">
        <f>IFERROR(__xludf.DUMMYFUNCTION("""COMPUTED_VALUE"""),288.0)</f>
        <v>288</v>
      </c>
      <c r="AJ326" s="5">
        <f>IFERROR(__xludf.DUMMYFUNCTION("""COMPUTED_VALUE"""),310.5)</f>
        <v>310.5</v>
      </c>
      <c r="AK326" s="5" t="str">
        <f>IFERROR(__xludf.DUMMYFUNCTION("""COMPUTED_VALUE"""),"El futuro se diseña con Inteligencia Artificial 🚀
Con IA &amp; Deep Learning V2 aprenderás a crear modelos avanzados de predicción y análisis aplicados en proyectos reales 💻.
Aquí tienes la información 👇🏻")</f>
        <v>El futuro se diseña con Inteligencia Artificial 🚀
Con IA &amp; Deep Learning V2 aprenderás a crear modelos avanzados de predicción y análisis aplicados en proyectos reales 💻.
Aquí tienes la información 👇🏻</v>
      </c>
      <c r="AL326" s="5" t="str">
        <f>IFERROR(__xludf.DUMMYFUNCTION("""COMPUTED_VALUE"""),"🔑 *Excelente*, actualízate con *IA &amp; DEEP LEARNING V2* y mantente competitivo en el mercado laboral.")</f>
        <v>🔑 *Excelente*, actualízate con *IA &amp; DEEP LEARNING V2* y mantente competitivo en el mercado laboral.</v>
      </c>
      <c r="AM326" s="5" t="str">
        <f>IFERROR(__xludf.DUMMYFUNCTION("""COMPUTED_VALUE"""),"⚡ Buenísimo, *IA &amp; DEEP LEARNING V2* es de las competencias más pedidas por las empresas y aumentará tus oportunidades laborales.")</f>
        <v>⚡ Buenísimo, *IA &amp; DEEP LEARNING V2* es de las competencias más pedidas por las empresas y aumentará tus oportunidades laborales.</v>
      </c>
      <c r="AN326" s="5" t="str">
        <f>IFERROR(__xludf.DUMMYFUNCTION("""COMPUTED_VALUE"""),"⚡ ¡Genial! Con *IA &amp; DEEP LEARNING V2* sumarás una habilidad poderosa que te diferenciará desde la universidad.")</f>
        <v>⚡ ¡Genial! Con *IA &amp; DEEP LEARNING V2* sumarás una habilidad poderosa que te diferenciará desde la universidad.</v>
      </c>
      <c r="AO326" s="5" t="str">
        <f>IFERROR(__xludf.DUMMYFUNCTION("""COMPUTED_VALUE"""),"🛠️ ¡Perfecto! Saber *IA &amp; DEEP LEARNING V2* te dará ventaja frente a otros postulantes para conseguir prácticas.")</f>
        <v>🛠️ ¡Perfecto! Saber *IA &amp; DEEP LEARNING V2* te dará ventaja frente a otros postulantes para conseguir prácticas.</v>
      </c>
      <c r="AP326" s="5" t="str">
        <f>IFERROR(__xludf.DUMMYFUNCTION("""COMPUTED_VALUE"""),"🌍 ¡Excelente! Con *IA &amp; DEEP LEARNING V2* podrás aplicarlo en tu negocio y tomar decisiones más inteligentes.")</f>
        <v>🌍 ¡Excelente! Con *IA &amp; DEEP LEARNING V2* podrás aplicarlo en tu negocio y tomar decisiones más inteligentes.</v>
      </c>
      <c r="AQ326" s="9" t="str">
        <f>IFERROR(__xludf.DUMMYFUNCTION("""COMPUTED_VALUE"""),"https://we-educacion.com/slides/ia-deep-learning-1071#")</f>
        <v>https://we-educacion.com/slides/ia-deep-learning-1071#</v>
      </c>
      <c r="AR326" s="5">
        <v>1.0</v>
      </c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</row>
    <row r="327" ht="15.75" customHeight="1">
      <c r="A327" s="5" t="s">
        <v>369</v>
      </c>
      <c r="B327" s="5" t="str">
        <f t="shared" si="1"/>
        <v>MAR. I - ED26</v>
      </c>
      <c r="C327" s="6" t="str">
        <f>IFERROR(__xludf.DUMMYFUNCTION("""COMPUTED_VALUE"""),"BI")</f>
        <v>BI</v>
      </c>
      <c r="D327" s="6" t="str">
        <f>IFERROR(__xludf.DUMMYFUNCTION("""COMPUTED_VALUE"""),"CURSO")</f>
        <v>CURSO</v>
      </c>
      <c r="E327" s="6" t="str">
        <f>IFERROR(__xludf.DUMMYFUNCTION("""COMPUTED_VALUE"""),"POWER BI PRESENCIAL")</f>
        <v>POWER BI PRESENCIAL</v>
      </c>
      <c r="F327" s="7">
        <f>IFERROR(__xludf.DUMMYFUNCTION("""COMPUTED_VALUE"""),46110.0)</f>
        <v>46110</v>
      </c>
      <c r="G327" s="6"/>
      <c r="H327" s="7"/>
      <c r="I327" s="6"/>
      <c r="J327" s="7"/>
      <c r="K327" s="6"/>
      <c r="L327" s="7"/>
      <c r="M327" s="6"/>
      <c r="N327" s="7"/>
      <c r="O327" s="6"/>
      <c r="P327" s="7"/>
      <c r="Q327" s="6" t="str">
        <f>IFERROR(__xludf.DUMMYFUNCTION("""COMPUTED_VALUE"""),"Ricardo Crispin")</f>
        <v>Ricardo Crispin</v>
      </c>
      <c r="R327" s="5" t="str">
        <f>IFERROR(__xludf.DUMMYFUNCTION("""COMPUTED_VALUE"""),"Dom")</f>
        <v>Dom</v>
      </c>
      <c r="S327" s="6" t="str">
        <f>IFERROR(__xludf.DUMMYFUNCTION("""COMPUTED_VALUE"""),"9AM - 1PM")</f>
        <v>9AM - 1PM</v>
      </c>
      <c r="T327" s="7" t="str">
        <f>IFERROR(__xludf.DUMMYFUNCTION("""COMPUTED_VALUE"""),"Domingo 29 Marzo")</f>
        <v>Domingo 29 Marzo</v>
      </c>
      <c r="U327" s="7" t="str">
        <f>IFERROR(__xludf.DUMMYFUNCTION("""COMPUTED_VALUE"""),"Domingo 3 Mayo")</f>
        <v>Domingo 3 Mayo</v>
      </c>
      <c r="V327" s="8">
        <f>IFERROR(__xludf.DUMMYFUNCTION("""COMPUTED_VALUE"""),5.0)</f>
        <v>5</v>
      </c>
      <c r="W327" s="5" t="str">
        <f>IFERROR(__xludf.DUMMYFUNCTION("""COMPUTED_VALUE"""),"pdfs/BROCHURE POWER BI PRESENCIAL.pdf")</f>
        <v>pdfs/BROCHURE POWER BI PRESENCIAL.pdf</v>
      </c>
      <c r="X327" s="5" t="str">
        <f>IFERROR(__xludf.DUMMYFUNCTION("""COMPUTED_VALUE"""),"🔹 Recuerda que si traes tu Propia Laptop a todas las sesiones, te descontamos S/50 en tu inscripción
🚨 Por favor, revisa el BROCHURE 👇🏻
Aqui encontrarás la información completa del programa: Temario (malla curricular) y todos los BENEFICIOS 📚
👉🏼 "&amp;"Te comparto un Modelo de Certificado que elevará tu perfil profesional ")</f>
        <v>🔹 Recuerda que si traes tu Propia Laptop a todas las sesiones, te descontamos S/50 en tu inscripción
🚨 Por favor, revisa el BROCHURE 👇🏻
Aqui encontrarás la información completa del programa: Temario (malla curricular) y todos los BENEFICIOS 📚
👉🏼 Te comparto un Modelo de Certificado que elevará tu perfil profesional </v>
      </c>
      <c r="Y327" s="5" t="str">
        <f>IFERROR(__xludf.DUMMYFUNCTION("""COMPUTED_VALUE"""),"images/powerbipres.jpg")</f>
        <v>images/powerbipres.jpg</v>
      </c>
      <c r="Z327" s="5" t="str">
        <f>IFERROR(__xludf.DUMMYFUNCTION("""COMPUTED_VALUE"""),"Avalado por Microsoft Partner Network")</f>
        <v>Avalado por Microsoft Partner Network</v>
      </c>
      <c r="AA327" s="5" t="str">
        <f>IFERROR(__xludf.DUMMYFUNCTION("""COMPUTED_VALUE"""),"NO")</f>
        <v>NO</v>
      </c>
      <c r="AB327" s="6">
        <f>IFERROR(__xludf.DUMMYFUNCTION("""COMPUTED_VALUE"""),940.0)</f>
        <v>940</v>
      </c>
      <c r="AC327" s="6">
        <f>IFERROR(__xludf.DUMMYFUNCTION("""COMPUTED_VALUE"""),860.0)</f>
        <v>860</v>
      </c>
      <c r="AD327" s="6">
        <f>IFERROR(__xludf.DUMMYFUNCTION("""COMPUTED_VALUE"""),470.0)</f>
        <v>470</v>
      </c>
      <c r="AE327" s="6">
        <f>IFERROR(__xludf.DUMMYFUNCTION("""COMPUTED_VALUE"""),430.0)</f>
        <v>430</v>
      </c>
      <c r="AF327" s="6">
        <f>IFERROR(__xludf.DUMMYFUNCTION("""COMPUTED_VALUE"""),150.0)</f>
        <v>150</v>
      </c>
      <c r="AG327" s="5">
        <f>IFERROR(__xludf.DUMMYFUNCTION("""COMPUTED_VALUE"""),150.0)</f>
        <v>150</v>
      </c>
      <c r="AH327" s="5"/>
      <c r="AI327" s="5">
        <f>IFERROR(__xludf.DUMMYFUNCTION("""COMPUTED_VALUE"""),387.0)</f>
        <v>387</v>
      </c>
      <c r="AJ327" s="5">
        <f>IFERROR(__xludf.DUMMYFUNCTION("""COMPUTED_VALUE"""),423.0)</f>
        <v>423</v>
      </c>
      <c r="AK327" s="5" t="str">
        <f>IFERROR(__xludf.DUMMYFUNCTION("""COMPUTED_VALUE"""),"La ventaja competitiva se gana con análisis de datos en vivo 📊
Con Power BI Presencial aprenderás a crear dashboards e informes aplicados a negocios reales 💼.
Aquí tienes la info 👇🏻")</f>
        <v>La ventaja competitiva se gana con análisis de datos en vivo 📊
Con Power BI Presencial aprenderás a crear dashboards e informes aplicados a negocios reales 💼.
Aquí tienes la info 👇🏻</v>
      </c>
      <c r="AL327" s="5" t="str">
        <f>IFERROR(__xludf.DUMMYFUNCTION("""COMPUTED_VALUE"""),"📊 Excelente, actualízate con Power BI Presencial y desarrolla tu capacidad de análisis estratégico.")</f>
        <v>📊 Excelente, actualízate con Power BI Presencial y desarrolla tu capacidad de análisis estratégico.</v>
      </c>
      <c r="AM327" s="5" t="str">
        <f>IFERROR(__xludf.DUMMYFUNCTION("""COMPUTED_VALUE"""),"💼 Buenísimo, Power BI es una de las herramientas más pedidas en el mercado laboral.")</f>
        <v>💼 Buenísimo, Power BI es una de las herramientas más pedidas en el mercado laboral.</v>
      </c>
      <c r="AN327" s="5" t="str">
        <f>IFERROR(__xludf.DUMMYFUNCTION("""COMPUTED_VALUE"""),"🎓 ¡Genial! Desde la universidad, aprender Power BI te dará un diferencial frente a tus compañeros.")</f>
        <v>🎓 ¡Genial! Desde la universidad, aprender Power BI te dará un diferencial frente a tus compañeros.</v>
      </c>
      <c r="AO327" s="5" t="str">
        <f>IFERROR(__xludf.DUMMYFUNCTION("""COMPUTED_VALUE"""),"🚀 ¡Perfecto! Dominar Power BI te permitirá acceder a prácticas en análisis de datos con ventaja.")</f>
        <v>🚀 ¡Perfecto! Dominar Power BI te permitirá acceder a prácticas en análisis de datos con ventaja.</v>
      </c>
      <c r="AP327" s="5" t="str">
        <f>IFERROR(__xludf.DUMMYFUNCTION("""COMPUTED_VALUE"""),"📈 ¡Excelente! Con Power BI Presencial mejorarás la toma de decisiones en tu negocio.")</f>
        <v>📈 ¡Excelente! Con Power BI Presencial mejorarás la toma de decisiones en tu negocio.</v>
      </c>
      <c r="AQ327" s="9" t="str">
        <f>IFERROR(__xludf.DUMMYFUNCTION("""COMPUTED_VALUE"""),"https://we-educacion.com/slides/power-bi-presencial-463")</f>
        <v>https://we-educacion.com/slides/power-bi-presencial-463</v>
      </c>
      <c r="AR327" s="5">
        <v>1.0</v>
      </c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</row>
    <row r="328" ht="15.75" customHeight="1">
      <c r="A328" s="5" t="s">
        <v>370</v>
      </c>
      <c r="B328" s="5" t="str">
        <f t="shared" si="1"/>
        <v>ABR. I - ED26</v>
      </c>
      <c r="C328" s="6" t="str">
        <f>IFERROR(__xludf.DUMMYFUNCTION("""COMPUTED_VALUE"""),"PROCESOS")</f>
        <v>PROCESOS</v>
      </c>
      <c r="D328" s="5" t="str">
        <f>IFERROR(__xludf.DUMMYFUNCTION("""COMPUTED_VALUE"""),"CURSO")</f>
        <v>CURSO</v>
      </c>
      <c r="E328" s="6" t="str">
        <f>IFERROR(__xludf.DUMMYFUNCTION("""COMPUTED_VALUE"""),"ROBOTIZ.  UIPATH")</f>
        <v>ROBOTIZ.  UIPATH</v>
      </c>
      <c r="F328" s="7">
        <f>IFERROR(__xludf.DUMMYFUNCTION("""COMPUTED_VALUE"""),46113.0)</f>
        <v>46113</v>
      </c>
      <c r="G328" s="6"/>
      <c r="H328" s="7"/>
      <c r="I328" s="6"/>
      <c r="J328" s="7"/>
      <c r="K328" s="6"/>
      <c r="L328" s="7"/>
      <c r="M328" s="6"/>
      <c r="N328" s="7"/>
      <c r="O328" s="6"/>
      <c r="P328" s="7"/>
      <c r="Q328" s="6" t="str">
        <f>IFERROR(__xludf.DUMMYFUNCTION("""COMPUTED_VALUE"""),"Christian Rojas")</f>
        <v>Christian Rojas</v>
      </c>
      <c r="R328" s="5" t="str">
        <f>IFERROR(__xludf.DUMMYFUNCTION("""COMPUTED_VALUE"""),"Mie")</f>
        <v>Mie</v>
      </c>
      <c r="S328" s="6" t="str">
        <f>IFERROR(__xludf.DUMMYFUNCTION("""COMPUTED_VALUE"""),"7PM - 10PM")</f>
        <v>7PM - 10PM</v>
      </c>
      <c r="T328" s="7" t="str">
        <f>IFERROR(__xludf.DUMMYFUNCTION("""COMPUTED_VALUE"""),"Miércoles 1 Abril")</f>
        <v>Miércoles 1 Abril</v>
      </c>
      <c r="U328" s="7" t="str">
        <f>IFERROR(__xludf.DUMMYFUNCTION("""COMPUTED_VALUE"""),"Miércoles 6 Mayo")</f>
        <v>Miércoles 6 Mayo</v>
      </c>
      <c r="V328" s="8">
        <f>IFERROR(__xludf.DUMMYFUNCTION("""COMPUTED_VALUE"""),6.0)</f>
        <v>6</v>
      </c>
      <c r="W328" s="5" t="str">
        <f>IFERROR(__xludf.DUMMYFUNCTION("""COMPUTED_VALUE"""),"pdfs/BROCHURE ROBOTIZACIÓN DE PROCESOS CON UIPATH.pdf")</f>
        <v>pdfs/BROCHURE ROBOTIZACIÓN DE PROCESOS CON UIPATH.pdf</v>
      </c>
      <c r="X328" s="5" t="str">
        <f>IFERROR(__xludf.DUMMYFUNCTION("""COMPUTED_VALUE"""),"🔵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28" s="5" t="str">
        <f>IFERROR(__xludf.DUMMYFUNCTION("""COMPUTED_VALUE"""),"images/uipath.jpg")</f>
        <v>images/uipath.jpg</v>
      </c>
      <c r="Z328" s="5"/>
      <c r="AA328" s="5" t="str">
        <f>IFERROR(__xludf.DUMMYFUNCTION("""COMPUTED_VALUE"""),"NO")</f>
        <v>NO</v>
      </c>
      <c r="AB328" s="6">
        <f>IFERROR(__xludf.DUMMYFUNCTION("""COMPUTED_VALUE"""),780.0)</f>
        <v>780</v>
      </c>
      <c r="AC328" s="6">
        <f>IFERROR(__xludf.DUMMYFUNCTION("""COMPUTED_VALUE"""),690.0)</f>
        <v>690</v>
      </c>
      <c r="AD328" s="6">
        <f>IFERROR(__xludf.DUMMYFUNCTION("""COMPUTED_VALUE"""),390.0)</f>
        <v>390</v>
      </c>
      <c r="AE328" s="6">
        <f>IFERROR(__xludf.DUMMYFUNCTION("""COMPUTED_VALUE"""),345.0)</f>
        <v>345</v>
      </c>
      <c r="AF328" s="6">
        <f>IFERROR(__xludf.DUMMYFUNCTION("""COMPUTED_VALUE"""),150.0)</f>
        <v>150</v>
      </c>
      <c r="AG328" s="5">
        <f>IFERROR(__xludf.DUMMYFUNCTION("""COMPUTED_VALUE"""),150.0)</f>
        <v>150</v>
      </c>
      <c r="AH328" s="5"/>
      <c r="AI328" s="5">
        <f>IFERROR(__xludf.DUMMYFUNCTION("""COMPUTED_VALUE"""),310.5)</f>
        <v>310.5</v>
      </c>
      <c r="AJ328" s="5">
        <f>IFERROR(__xludf.DUMMYFUNCTION("""COMPUTED_VALUE"""),351.0)</f>
        <v>351</v>
      </c>
      <c r="AK328" s="5" t="str">
        <f>IFERROR(__xludf.DUMMYFUNCTION("""COMPUTED_VALUE"""),"La eficiencia empresarial avanza con automatización robótica ⚙️
Con UiPath aprenderás a robotizar procesos repetitivos y ahorrar recursos 💼.
Aquí tienes la info 👇🏻")</f>
        <v>La eficiencia empresarial avanza con automatización robótica ⚙️
Con UiPath aprenderás a robotizar procesos repetitivos y ahorrar recursos 💼.
Aquí tienes la info 👇🏻</v>
      </c>
      <c r="AL328" s="5" t="str">
        <f>IFERROR(__xludf.DUMMYFUNCTION("""COMPUTED_VALUE"""),"🤖 Excelente, actualízate con UiPath y domina la automatización robótica de procesos.")</f>
        <v>🤖 Excelente, actualízate con UiPath y domina la automatización robótica de procesos.</v>
      </c>
      <c r="AM328" s="5" t="str">
        <f>IFERROR(__xludf.DUMMYFUNCTION("""COMPUTED_VALUE"""),"💼 Buenísimo, RPA con UiPath es muy demandado en empresas que digitalizan operaciones.")</f>
        <v>💼 Buenísimo, RPA con UiPath es muy demandado en empresas que digitalizan operaciones.</v>
      </c>
      <c r="AN328" s="5" t="str">
        <f>IFERROR(__xludf.DUMMYFUNCTION("""COMPUTED_VALUE"""),"🎓 ¡Genial! Aprender UiPath en la universidad te pondrá al nivel de la industria.")</f>
        <v>🎓 ¡Genial! Aprender UiPath en la universidad te pondrá al nivel de la industria.</v>
      </c>
      <c r="AO328" s="5" t="str">
        <f>IFERROR(__xludf.DUMMYFUNCTION("""COMPUTED_VALUE"""),"🚀 ¡Perfecto! Con UiPath destacarás en prácticas relacionadas con innovación tecnológica.")</f>
        <v>🚀 ¡Perfecto! Con UiPath destacarás en prácticas relacionadas con innovación tecnológica.</v>
      </c>
      <c r="AP328" s="5" t="str">
        <f>IFERROR(__xludf.DUMMYFUNCTION("""COMPUTED_VALUE"""),"📊 ¡Excelente! Con UiPath podrás automatizar procesos y ahorrar tiempo en tu negocio.")</f>
        <v>📊 ¡Excelente! Con UiPath podrás automatizar procesos y ahorrar tiempo en tu negocio.</v>
      </c>
      <c r="AQ328" s="9" t="str">
        <f>IFERROR(__xludf.DUMMYFUNCTION("""COMPUTED_VALUE"""),"https://we-educacion.com/slides/robotizacion-de-procesos-con-uipath-274")</f>
        <v>https://we-educacion.com/slides/robotizacion-de-procesos-con-uipath-274</v>
      </c>
      <c r="AR328" s="5">
        <v>1.0</v>
      </c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</row>
    <row r="329" ht="15.75" customHeight="1">
      <c r="A329" s="5" t="s">
        <v>371</v>
      </c>
      <c r="B329" s="5" t="str">
        <f t="shared" si="1"/>
        <v>ABR. I - ED26</v>
      </c>
      <c r="C329" s="6" t="str">
        <f>IFERROR(__xludf.DUMMYFUNCTION("""COMPUTED_VALUE"""),"EXCEL")</f>
        <v>EXCEL</v>
      </c>
      <c r="D329" s="6" t="str">
        <f>IFERROR(__xludf.DUMMYFUNCTION("""COMPUTED_VALUE"""),"CURSO")</f>
        <v>CURSO</v>
      </c>
      <c r="E329" s="6" t="str">
        <f>IFERROR(__xludf.DUMMYFUNCTION("""COMPUTED_VALUE"""),"EXCEL AVANZ")</f>
        <v>EXCEL AVANZ</v>
      </c>
      <c r="F329" s="7">
        <f>IFERROR(__xludf.DUMMYFUNCTION("""COMPUTED_VALUE"""),46113.0)</f>
        <v>46113</v>
      </c>
      <c r="G329" s="6"/>
      <c r="H329" s="7"/>
      <c r="I329" s="6"/>
      <c r="J329" s="7"/>
      <c r="K329" s="6"/>
      <c r="L329" s="7"/>
      <c r="M329" s="6"/>
      <c r="N329" s="7"/>
      <c r="O329" s="6"/>
      <c r="P329" s="7"/>
      <c r="Q329" s="6"/>
      <c r="R329" s="5" t="str">
        <f>IFERROR(__xludf.DUMMYFUNCTION("""COMPUTED_VALUE"""),"Lun-Mie")</f>
        <v>Lun-Mie</v>
      </c>
      <c r="S329" s="6" t="str">
        <f>IFERROR(__xludf.DUMMYFUNCTION("""COMPUTED_VALUE"""),"3PM - 6PM")</f>
        <v>3PM - 6PM</v>
      </c>
      <c r="T329" s="7" t="str">
        <f>IFERROR(__xludf.DUMMYFUNCTION("""COMPUTED_VALUE"""),"Miércoles 1 Abril")</f>
        <v>Miércoles 1 Abril</v>
      </c>
      <c r="U329" s="7" t="str">
        <f>IFERROR(__xludf.DUMMYFUNCTION("""COMPUTED_VALUE"""),"Lunes 20 Abril")</f>
        <v>Lunes 20 Abril</v>
      </c>
      <c r="V329" s="8">
        <f>IFERROR(__xludf.DUMMYFUNCTION("""COMPUTED_VALUE"""),6.0)</f>
        <v>6</v>
      </c>
      <c r="W329" s="5" t="str">
        <f>IFERROR(__xludf.DUMMYFUNCTION("""COMPUTED_VALUE"""),"pdfs/BROCHURE EXCEL AVANZADO.pdf")</f>
        <v>pdfs/BROCHURE EXCEL AVANZADO.pdf</v>
      </c>
      <c r="X329" s="5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329" s="5" t="str">
        <f>IFERROR(__xludf.DUMMYFUNCTION("""COMPUTED_VALUE"""),"images/excelavanz.jpg")</f>
        <v>images/excelavanz.jpg</v>
      </c>
      <c r="Z329" s="5" t="str">
        <f>IFERROR(__xludf.DUMMYFUNCTION("""COMPUTED_VALUE"""),"Avalado por Microsoft Partner Network")</f>
        <v>Avalado por Microsoft Partner Network</v>
      </c>
      <c r="AA329" s="5" t="str">
        <f>IFERROR(__xludf.DUMMYFUNCTION("""COMPUTED_VALUE"""),"NO")</f>
        <v>NO</v>
      </c>
      <c r="AB329" s="6">
        <f>IFERROR(__xludf.DUMMYFUNCTION("""COMPUTED_VALUE"""),420.0)</f>
        <v>420</v>
      </c>
      <c r="AC329" s="6">
        <f>IFERROR(__xludf.DUMMYFUNCTION("""COMPUTED_VALUE"""),400.0)</f>
        <v>400</v>
      </c>
      <c r="AD329" s="6">
        <f>IFERROR(__xludf.DUMMYFUNCTION("""COMPUTED_VALUE"""),210.0)</f>
        <v>210</v>
      </c>
      <c r="AE329" s="6">
        <f>IFERROR(__xludf.DUMMYFUNCTION("""COMPUTED_VALUE"""),200.0)</f>
        <v>200</v>
      </c>
      <c r="AF329" s="6">
        <f>IFERROR(__xludf.DUMMYFUNCTION("""COMPUTED_VALUE"""),150.0)</f>
        <v>150</v>
      </c>
      <c r="AG329" s="5">
        <f>IFERROR(__xludf.DUMMYFUNCTION("""COMPUTED_VALUE"""),150.0)</f>
        <v>150</v>
      </c>
      <c r="AH329" s="5"/>
      <c r="AI329" s="5">
        <f>IFERROR(__xludf.DUMMYFUNCTION("""COMPUTED_VALUE"""),180.0)</f>
        <v>180</v>
      </c>
      <c r="AJ329" s="5">
        <f>IFERROR(__xludf.DUMMYFUNCTION("""COMPUTED_VALUE"""),189.0)</f>
        <v>189</v>
      </c>
      <c r="AK329" s="5" t="str">
        <f>IFERROR(__xludf.DUMMYFUNCTION("""COMPUTED_VALUE"""),"El lenguaje de la eficiencia es Excel Avanzado 🔥
Aprenderás funciones complejas, tablas dinámicas y automatización aplicadas a negocios reales 💼.
Aquí tienes la info 👇🏻")</f>
        <v>El lenguaje de la eficiencia es Excel Avanzado 🔥
Aprenderás funciones complejas, tablas dinámicas y automatización aplicadas a negocios reales 💼.
Aquí tienes la info 👇🏻</v>
      </c>
      <c r="AL329" s="5" t="str">
        <f>IFERROR(__xludf.DUMMYFUNCTION("""COMPUTED_VALUE"""),"🚀 *Excelente*, actualízate con *EXCEL AVANZ* y mantente competitivo en el mercado laboral.")</f>
        <v>🚀 *Excelente*, actualízate con *EXCEL AVANZ* y mantente competitivo en el mercado laboral.</v>
      </c>
      <c r="AM329" s="5" t="str">
        <f>IFERROR(__xludf.DUMMYFUNCTION("""COMPUTED_VALUE"""),"🚀 Buenísimo, *EXCEL AVANZ* es de las competencias más pedidas por las empresas y aumentará tus oportunidades laborales.")</f>
        <v>🚀 Buenísimo, *EXCEL AVANZ* es de las competencias más pedidas por las empresas y aumentará tus oportunidades laborales.</v>
      </c>
      <c r="AN329" s="5" t="str">
        <f>IFERROR(__xludf.DUMMYFUNCTION("""COMPUTED_VALUE"""),"🔑 ¡Genial! Con *EXCEL AVANZ* sumarás una habilidad poderosa que te diferenciará desde la universidad.")</f>
        <v>🔑 ¡Genial! Con *EXCEL AVANZ* sumarás una habilidad poderosa que te diferenciará desde la universidad.</v>
      </c>
      <c r="AO329" s="5" t="str">
        <f>IFERROR(__xludf.DUMMYFUNCTION("""COMPUTED_VALUE"""),"📘 ¡Perfecto! Saber *EXCEL AVANZ* te dará ventaja frente a otros postulantes para conseguir prácticas.")</f>
        <v>📘 ¡Perfecto! Saber *EXCEL AVANZ* te dará ventaja frente a otros postulantes para conseguir prácticas.</v>
      </c>
      <c r="AP329" s="5" t="str">
        <f>IFERROR(__xludf.DUMMYFUNCTION("""COMPUTED_VALUE"""),"🌍 ¡Excelente! Con *EXCEL AVANZ* podrás aplicarlo en tu negocio y tomar decisiones más inteligentes.")</f>
        <v>🌍 ¡Excelente! Con *EXCEL AVANZ* podrás aplicarlo en tu negocio y tomar decisiones más inteligentes.</v>
      </c>
      <c r="AQ329" s="9" t="str">
        <f>IFERROR(__xludf.DUMMYFUNCTION("""COMPUTED_VALUE"""),"https://we-educacion.com/slides/microsoft-excel-avanzado-59")</f>
        <v>https://we-educacion.com/slides/microsoft-excel-avanzado-59</v>
      </c>
      <c r="AR329" s="5">
        <v>1.0</v>
      </c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</row>
    <row r="330" ht="15.75" customHeight="1">
      <c r="A330" s="5" t="s">
        <v>372</v>
      </c>
      <c r="B330" s="5" t="str">
        <f t="shared" si="1"/>
        <v>ABR. I - ED26</v>
      </c>
      <c r="C330" s="6" t="str">
        <f>IFERROR(__xludf.DUMMYFUNCTION("""COMPUTED_VALUE"""),"EXCEL")</f>
        <v>EXCEL</v>
      </c>
      <c r="D330" s="6" t="str">
        <f>IFERROR(__xludf.DUMMYFUNCTION("""COMPUTED_VALUE"""),"ESP.")</f>
        <v>ESP.</v>
      </c>
      <c r="E330" s="6" t="str">
        <f>IFERROR(__xludf.DUMMYFUNCTION("""COMPUTED_VALUE"""),"ESP. MACROS")</f>
        <v>ESP. MACROS</v>
      </c>
      <c r="F330" s="7">
        <f>IFERROR(__xludf.DUMMYFUNCTION("""COMPUTED_VALUE"""),46113.0)</f>
        <v>46113</v>
      </c>
      <c r="G330" s="6" t="str">
        <f>IFERROR(__xludf.DUMMYFUNCTION("""COMPUTED_VALUE"""),"EXCEL AVANZ")</f>
        <v>EXCEL AVANZ</v>
      </c>
      <c r="H330" s="7">
        <f>IFERROR(__xludf.DUMMYFUNCTION("""COMPUTED_VALUE"""),46144.0)</f>
        <v>46144</v>
      </c>
      <c r="I330" s="6" t="str">
        <f>IFERROR(__xludf.DUMMYFUNCTION("""COMPUTED_VALUE"""),"PROG. MACROS")</f>
        <v>PROG. MACROS</v>
      </c>
      <c r="J330" s="7">
        <f>IFERROR(__xludf.DUMMYFUNCTION("""COMPUTED_VALUE"""),46186.0)</f>
        <v>46186</v>
      </c>
      <c r="K330" s="6"/>
      <c r="L330" s="7"/>
      <c r="M330" s="6"/>
      <c r="N330" s="7"/>
      <c r="O330" s="6"/>
      <c r="P330" s="7"/>
      <c r="Q330" s="6" t="str">
        <f>IFERROR(__xludf.DUMMYFUNCTION("""COMPUTED_VALUE"""),"Jonathan Sanchez
Giancarlos Barboza")</f>
        <v>Jonathan Sanchez
Giancarlos Barboza</v>
      </c>
      <c r="R330" s="5" t="str">
        <f>IFERROR(__xludf.DUMMYFUNCTION("""COMPUTED_VALUE"""),"Sáb")</f>
        <v>Sáb</v>
      </c>
      <c r="S330" s="6" t="str">
        <f>IFERROR(__xludf.DUMMYFUNCTION("""COMPUTED_VALUE"""),"3PM - 6PM")</f>
        <v>3PM - 6PM</v>
      </c>
      <c r="T330" s="7" t="str">
        <f>IFERROR(__xludf.DUMMYFUNCTION("""COMPUTED_VALUE"""),"Miércoles 1 Abril")</f>
        <v>Miércoles 1 Abril</v>
      </c>
      <c r="U330" s="7" t="str">
        <f>IFERROR(__xludf.DUMMYFUNCTION("""COMPUTED_VALUE"""),"Sábado 18 Julio")</f>
        <v>Sábado 18 Julio</v>
      </c>
      <c r="V330" s="8">
        <f>IFERROR(__xludf.DUMMYFUNCTION("""COMPUTED_VALUE"""),12.0)</f>
        <v>12</v>
      </c>
      <c r="W330" s="5" t="str">
        <f>IFERROR(__xludf.DUMMYFUNCTION("""COMPUTED_VALUE"""),"pdfs/BROCHURE ESPECIALIZACIÓN EN AUTOMATIZACIÓN CON MACROS EN EXCEL.pdf")</f>
        <v>pdfs/BROCHURE ESPECIALIZACIÓN EN AUTOMATIZACIÓN CON MACROS EN EXCEL.pdf</v>
      </c>
      <c r="X330" s="5" t="str">
        <f>IFERROR(__xludf.DUMMYFUNCTION("""COMPUTED_VALUE"""),"🔵 *Conoce TODOS los BENEFICIOS a los que accedes*
🔹 Acceso a *Campus Virtual* WE 👩🏻‍🏫
🔹 Material digital y grabación de clases 
🔹 Certificados digitales con respaldo *Microsoft Partner*
🔹 04 Cursos Online de regalo con acceso ilimitado 📚
🔹 Desa"&amp;"rrollo y seguimiento de tu proyecto *(Evaluado)*
🔹 Contenido Integrado con Chat GPT
🔹 Garantía de Aprendizaje 100%
🔹 *Utilizarán Excel* 👩🏻‍💻
🚨 *Por favor, revisa el BROCHURE* 👇🏻
Aqui encontrarás la información completa del programa, el TEMARIO "&amp;"(malla curricular) y todos los BENEFICIOS 📚")</f>
        <v>🔵 *Conoce TODOS los BENEFICIOS a los que accedes*
🔹 Acceso a *Campus Virtual* WE 👩🏻‍🏫
🔹 Material digital y grabación de clases 
🔹 Certificados digitales con respaldo *Microsoft Partner*
🔹 04 Cursos Online de regalo con acceso ilimitado 📚
🔹 Desarrollo y seguimiento de tu proyecto *(Evaluado)*
🔹 Contenido Integrado con Chat GPT
🔹 Garantía de Aprendizaje 100%
🔹 *Utilizarán Excel* 👩🏻‍💻
🚨 *Por favor, revisa el BROCHURE* 👇🏻
Aqui encontrarás la información completa del programa, el TEMARIO (malla curricular) y todos los BENEFICIOS 📚</v>
      </c>
      <c r="Y330" s="5" t="str">
        <f>IFERROR(__xludf.DUMMYFUNCTION("""COMPUTED_VALUE"""),"images/espmacros.jpg")</f>
        <v>images/espmacros.jpg</v>
      </c>
      <c r="Z330" s="5" t="str">
        <f>IFERROR(__xludf.DUMMYFUNCTION("""COMPUTED_VALUE"""),"Avalado por Microsoft Partner Network")</f>
        <v>Avalado por Microsoft Partner Network</v>
      </c>
      <c r="AA330" s="5" t="str">
        <f>IFERROR(__xludf.DUMMYFUNCTION("""COMPUTED_VALUE"""),"NO")</f>
        <v>NO</v>
      </c>
      <c r="AB330" s="6">
        <f>IFERROR(__xludf.DUMMYFUNCTION("""COMPUTED_VALUE"""),890.0)</f>
        <v>890</v>
      </c>
      <c r="AC330" s="6">
        <f>IFERROR(__xludf.DUMMYFUNCTION("""COMPUTED_VALUE"""),840.0)</f>
        <v>840</v>
      </c>
      <c r="AD330" s="6">
        <f>IFERROR(__xludf.DUMMYFUNCTION("""COMPUTED_VALUE"""),445.0)</f>
        <v>445</v>
      </c>
      <c r="AE330" s="6">
        <f>IFERROR(__xludf.DUMMYFUNCTION("""COMPUTED_VALUE"""),420.0)</f>
        <v>420</v>
      </c>
      <c r="AF330" s="6">
        <f>IFERROR(__xludf.DUMMYFUNCTION("""COMPUTED_VALUE"""),250.0)</f>
        <v>250</v>
      </c>
      <c r="AG330" s="5">
        <f>IFERROR(__xludf.DUMMYFUNCTION("""COMPUTED_VALUE"""),350.0)</f>
        <v>350</v>
      </c>
      <c r="AH330" s="5"/>
      <c r="AI330" s="5">
        <f>IFERROR(__xludf.DUMMYFUNCTION("""COMPUTED_VALUE"""),378.0)</f>
        <v>378</v>
      </c>
      <c r="AJ330" s="5">
        <f>IFERROR(__xludf.DUMMYFUNCTION("""COMPUTED_VALUE"""),400.5)</f>
        <v>400.5</v>
      </c>
      <c r="AK330" s="5" t="str">
        <f>IFERROR(__xludf.DUMMYFUNCTION("""COMPUTED_VALUE"""),"La automatización es la nueva productividad ⚡
Aprende a crear Macros en Excel para optimizar reportes y procesos repetitivos 📑
👉🏻 Aquí tienes la información completa.")</f>
        <v>La automatización es la nueva productividad ⚡
Aprende a crear Macros en Excel para optimizar reportes y procesos repetitivos 📑
👉🏻 Aquí tienes la información completa.</v>
      </c>
      <c r="AL330" s="5" t="str">
        <f>IFERROR(__xludf.DUMMYFUNCTION("""COMPUTED_VALUE"""),"📊 Excelente, actualízate en Macros de Excel y automatiza procesos al máximo.")</f>
        <v>📊 Excelente, actualízate en Macros de Excel y automatiza procesos al máximo.</v>
      </c>
      <c r="AM330" s="5" t="str">
        <f>IFERROR(__xludf.DUMMYFUNCTION("""COMPUTED_VALUE"""),"💼 Buenísimo, muy demandado en gestión de datos y reportes.")</f>
        <v>💼 Buenísimo, muy demandado en gestión de datos y reportes.</v>
      </c>
      <c r="AN330" s="5" t="str">
        <f>IFERROR(__xludf.DUMMYFUNCTION("""COMPUTED_VALUE"""),"⚡ Genial, te dará ventaja en automatización de tareas complejas.")</f>
        <v>⚡ Genial, te dará ventaja en automatización de tareas complejas.</v>
      </c>
      <c r="AO330" s="5" t="str">
        <f>IFERROR(__xludf.DUMMYFUNCTION("""COMPUTED_VALUE"""),"🚀 Perfecto, tener macros es un plus en prácticas de oficina y análisis.")</f>
        <v>🚀 Perfecto, tener macros es un plus en prácticas de oficina y análisis.</v>
      </c>
      <c r="AP330" s="5" t="str">
        <f>IFERROR(__xludf.DUMMYFUNCTION("""COMPUTED_VALUE"""),"📈 Excelente, con macros podrás ahorrar tiempo y gestionar tu negocio mejor.")</f>
        <v>📈 Excelente, con macros podrás ahorrar tiempo y gestionar tu negocio mejor.</v>
      </c>
      <c r="AQ330" s="9" t="str">
        <f>IFERROR(__xludf.DUMMYFUNCTION("""COMPUTED_VALUE"""),"https://we-educacion.com/slides/especializacion-en-vba-macros-en-excel-160")</f>
        <v>https://we-educacion.com/slides/especializacion-en-vba-macros-en-excel-160</v>
      </c>
      <c r="AR330" s="5">
        <v>1.0</v>
      </c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</row>
    <row r="331" ht="15.75" customHeight="1">
      <c r="A331" s="5" t="s">
        <v>373</v>
      </c>
      <c r="B331" s="5" t="str">
        <f t="shared" si="1"/>
        <v>ABR. I - ED26</v>
      </c>
      <c r="C331" s="6" t="str">
        <f>IFERROR(__xludf.DUMMYFUNCTION("""COMPUTED_VALUE"""),"SAP")</f>
        <v>SAP</v>
      </c>
      <c r="D331" s="5" t="str">
        <f>IFERROR(__xludf.DUMMYFUNCTION("""COMPUTED_VALUE"""),"CURSO")</f>
        <v>CURSO</v>
      </c>
      <c r="E331" s="6" t="str">
        <f>IFERROR(__xludf.DUMMYFUNCTION("""COMPUTED_VALUE"""),"SAP HANA FI")</f>
        <v>SAP HANA FI</v>
      </c>
      <c r="F331" s="7">
        <f>IFERROR(__xludf.DUMMYFUNCTION("""COMPUTED_VALUE"""),46116.0)</f>
        <v>46116</v>
      </c>
      <c r="G331" s="6"/>
      <c r="H331" s="7"/>
      <c r="I331" s="6"/>
      <c r="J331" s="7"/>
      <c r="K331" s="6"/>
      <c r="L331" s="7"/>
      <c r="M331" s="6"/>
      <c r="N331" s="7"/>
      <c r="O331" s="6"/>
      <c r="P331" s="7"/>
      <c r="Q331" s="6" t="str">
        <f>IFERROR(__xludf.DUMMYFUNCTION("""COMPUTED_VALUE"""),"Indira Carhuas")</f>
        <v>Indira Carhuas</v>
      </c>
      <c r="R331" s="5" t="str">
        <f>IFERROR(__xludf.DUMMYFUNCTION("""COMPUTED_VALUE"""),"Sáb")</f>
        <v>Sáb</v>
      </c>
      <c r="S331" s="6" t="str">
        <f>IFERROR(__xludf.DUMMYFUNCTION("""COMPUTED_VALUE"""),"3PM - 6PM")</f>
        <v>3PM - 6PM</v>
      </c>
      <c r="T331" s="7" t="str">
        <f>IFERROR(__xludf.DUMMYFUNCTION("""COMPUTED_VALUE"""),"Sábado 4 Abril")</f>
        <v>Sábado 4 Abril</v>
      </c>
      <c r="U331" s="7" t="str">
        <f>IFERROR(__xludf.DUMMYFUNCTION("""COMPUTED_VALUE"""),"Sábado 9 Mayo")</f>
        <v>Sábado 9 Mayo</v>
      </c>
      <c r="V331" s="8">
        <f>IFERROR(__xludf.DUMMYFUNCTION("""COMPUTED_VALUE"""),6.0)</f>
        <v>6</v>
      </c>
      <c r="W331" s="5" t="str">
        <f>IFERROR(__xludf.DUMMYFUNCTION("""COMPUTED_VALUE"""),"pdfs/BROCHURE SAP HANA FI MODULO FINANZAS.pdf")</f>
        <v>pdfs/BROCHURE SAP HANA FI MODULO FINANZAS.pdf</v>
      </c>
      <c r="X331" s="5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331" s="5" t="str">
        <f>IFERROR(__xludf.DUMMYFUNCTION("""COMPUTED_VALUE"""),"images/sapfi.jpg")</f>
        <v>images/sapfi.jpg</v>
      </c>
      <c r="Z331" s="5" t="str">
        <f>IFERROR(__xludf.DUMMYFUNCTION("""COMPUTED_VALUE"""),"Avalado por SAP Partner Open")</f>
        <v>Avalado por SAP Partner Open</v>
      </c>
      <c r="AA331" s="5" t="str">
        <f>IFERROR(__xludf.DUMMYFUNCTION("""COMPUTED_VALUE"""),"NO")</f>
        <v>NO</v>
      </c>
      <c r="AB331" s="6">
        <f>IFERROR(__xludf.DUMMYFUNCTION("""COMPUTED_VALUE"""),900.0)</f>
        <v>900</v>
      </c>
      <c r="AC331" s="6">
        <f>IFERROR(__xludf.DUMMYFUNCTION("""COMPUTED_VALUE"""),750.0)</f>
        <v>750</v>
      </c>
      <c r="AD331" s="6">
        <f>IFERROR(__xludf.DUMMYFUNCTION("""COMPUTED_VALUE"""),450.0)</f>
        <v>450</v>
      </c>
      <c r="AE331" s="6">
        <f>IFERROR(__xludf.DUMMYFUNCTION("""COMPUTED_VALUE"""),375.0)</f>
        <v>375</v>
      </c>
      <c r="AF331" s="6">
        <f>IFERROR(__xludf.DUMMYFUNCTION("""COMPUTED_VALUE"""),150.0)</f>
        <v>150</v>
      </c>
      <c r="AG331" s="5">
        <f>IFERROR(__xludf.DUMMYFUNCTION("""COMPUTED_VALUE"""),150.0)</f>
        <v>150</v>
      </c>
      <c r="AH331" s="5"/>
      <c r="AI331" s="5">
        <f>IFERROR(__xludf.DUMMYFUNCTION("""COMPUTED_VALUE"""),337.5)</f>
        <v>337.5</v>
      </c>
      <c r="AJ331" s="5">
        <f>IFERROR(__xludf.DUMMYFUNCTION("""COMPUTED_VALUE"""),405.0)</f>
        <v>405</v>
      </c>
      <c r="AK331" s="5" t="str">
        <f>IFERROR(__xludf.DUMMYFUNCTION("""COMPUTED_VALUE"""),"El lenguaje financiero global se habla con SAP HANA FI 💼
Con este programa aprenderás a gestionar contabilidad y finanzas de forma práctica en SAP 🚀.
Aquí la información completa 👇🏻")</f>
        <v>El lenguaje financiero global se habla con SAP HANA FI 💼
Con este programa aprenderás a gestionar contabilidad y finanzas de forma práctica en SAP 🚀.
Aquí la información completa 👇🏻</v>
      </c>
      <c r="AL331" s="5" t="str">
        <f>IFERROR(__xludf.DUMMYFUNCTION("""COMPUTED_VALUE"""),"💰 Excelente, actualízate con SAP FI y domina la gestión financiera en SAP.")</f>
        <v>💰 Excelente, actualízate con SAP FI y domina la gestión financiera en SAP.</v>
      </c>
      <c r="AM331" s="5" t="str">
        <f>IFERROR(__xludf.DUMMYFUNCTION("""COMPUTED_VALUE"""),"💼 Buenísimo, SAP FI es clave en empresas que manejan contabilidad y finanzas.")</f>
        <v>💼 Buenísimo, SAP FI es clave en empresas que manejan contabilidad y finanzas.</v>
      </c>
      <c r="AN331" s="5" t="str">
        <f>IFERROR(__xludf.DUMMYFUNCTION("""COMPUTED_VALUE"""),"🎓 ¡Genial! Aprender SAP FI en la universidad fortalecerá tu perfil en finanzas.")</f>
        <v>🎓 ¡Genial! Aprender SAP FI en la universidad fortalecerá tu perfil en finanzas.</v>
      </c>
      <c r="AO331" s="5" t="str">
        <f>IFERROR(__xludf.DUMMYFUNCTION("""COMPUTED_VALUE"""),"🚀 ¡Perfecto! Con SAP FI tendrás ventaja en prácticas de contabilidad y finanzas.")</f>
        <v>🚀 ¡Perfecto! Con SAP FI tendrás ventaja en prácticas de contabilidad y finanzas.</v>
      </c>
      <c r="AP331" s="5" t="str">
        <f>IFERROR(__xludf.DUMMYFUNCTION("""COMPUTED_VALUE"""),"📊 ¡Excelente! Con SAP FI podrás llevar la contabilidad de tu negocio con precisión.")</f>
        <v>📊 ¡Excelente! Con SAP FI podrás llevar la contabilidad de tu negocio con precisión.</v>
      </c>
      <c r="AQ331" s="9" t="str">
        <f>IFERROR(__xludf.DUMMYFUNCTION("""COMPUTED_VALUE"""),"https://we-educacion.com/slides/sap-s-4-hana-fi-54")</f>
        <v>https://we-educacion.com/slides/sap-s-4-hana-fi-54</v>
      </c>
      <c r="AR331" s="5">
        <v>1.0</v>
      </c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</row>
    <row r="332" ht="15.75" customHeight="1">
      <c r="A332" s="5" t="s">
        <v>374</v>
      </c>
      <c r="B332" s="5" t="str">
        <f t="shared" si="1"/>
        <v>ABR. I - ED26</v>
      </c>
      <c r="C332" s="6" t="str">
        <f>IFERROR(__xludf.DUMMYFUNCTION("""COMPUTED_VALUE"""),"SAP")</f>
        <v>SAP</v>
      </c>
      <c r="D332" s="6" t="str">
        <f>IFERROR(__xludf.DUMMYFUNCTION("""COMPUTED_VALUE"""),"CURSO")</f>
        <v>CURSO</v>
      </c>
      <c r="E332" s="6" t="str">
        <f>IFERROR(__xludf.DUMMYFUNCTION("""COMPUTED_VALUE"""),"SAP HANA PM")</f>
        <v>SAP HANA PM</v>
      </c>
      <c r="F332" s="7">
        <f>IFERROR(__xludf.DUMMYFUNCTION("""COMPUTED_VALUE"""),46116.0)</f>
        <v>46116</v>
      </c>
      <c r="G332" s="6"/>
      <c r="H332" s="7"/>
      <c r="I332" s="6"/>
      <c r="J332" s="7"/>
      <c r="K332" s="6"/>
      <c r="L332" s="7"/>
      <c r="M332" s="6"/>
      <c r="N332" s="7"/>
      <c r="O332" s="6"/>
      <c r="P332" s="7"/>
      <c r="Q332" s="6" t="str">
        <f>IFERROR(__xludf.DUMMYFUNCTION("""COMPUTED_VALUE"""),"David Gonzales")</f>
        <v>David Gonzales</v>
      </c>
      <c r="R332" s="5" t="str">
        <f>IFERROR(__xludf.DUMMYFUNCTION("""COMPUTED_VALUE"""),"Sáb")</f>
        <v>Sáb</v>
      </c>
      <c r="S332" s="6" t="str">
        <f>IFERROR(__xludf.DUMMYFUNCTION("""COMPUTED_VALUE"""),"3PM - 6PM")</f>
        <v>3PM - 6PM</v>
      </c>
      <c r="T332" s="7" t="str">
        <f>IFERROR(__xludf.DUMMYFUNCTION("""COMPUTED_VALUE"""),"Sábado 4 Abril")</f>
        <v>Sábado 4 Abril</v>
      </c>
      <c r="U332" s="7" t="str">
        <f>IFERROR(__xludf.DUMMYFUNCTION("""COMPUTED_VALUE"""),"Sábado 9 Mayo")</f>
        <v>Sábado 9 Mayo</v>
      </c>
      <c r="V332" s="8">
        <f>IFERROR(__xludf.DUMMYFUNCTION("""COMPUTED_VALUE"""),6.0)</f>
        <v>6</v>
      </c>
      <c r="W332" s="5" t="str">
        <f>IFERROR(__xludf.DUMMYFUNCTION("""COMPUTED_VALUE"""),"pdfs/BROCHURE SAP S4 HANA PM.pdf")</f>
        <v>pdfs/BROCHURE SAP S4 HANA PM.pdf</v>
      </c>
      <c r="X332" s="5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332" s="5" t="str">
        <f>IFERROR(__xludf.DUMMYFUNCTION("""COMPUTED_VALUE"""),"images/sappm.jpg")</f>
        <v>images/sappm.jpg</v>
      </c>
      <c r="Z332" s="5" t="str">
        <f>IFERROR(__xludf.DUMMYFUNCTION("""COMPUTED_VALUE"""),"Avalado por SAP Partner Open")</f>
        <v>Avalado por SAP Partner Open</v>
      </c>
      <c r="AA332" s="5" t="str">
        <f>IFERROR(__xludf.DUMMYFUNCTION("""COMPUTED_VALUE"""),"NO")</f>
        <v>NO</v>
      </c>
      <c r="AB332" s="6">
        <f>IFERROR(__xludf.DUMMYFUNCTION("""COMPUTED_VALUE"""),900.0)</f>
        <v>900</v>
      </c>
      <c r="AC332" s="6">
        <f>IFERROR(__xludf.DUMMYFUNCTION("""COMPUTED_VALUE"""),750.0)</f>
        <v>750</v>
      </c>
      <c r="AD332" s="6">
        <f>IFERROR(__xludf.DUMMYFUNCTION("""COMPUTED_VALUE"""),450.0)</f>
        <v>450</v>
      </c>
      <c r="AE332" s="6">
        <f>IFERROR(__xludf.DUMMYFUNCTION("""COMPUTED_VALUE"""),375.0)</f>
        <v>375</v>
      </c>
      <c r="AF332" s="6">
        <f>IFERROR(__xludf.DUMMYFUNCTION("""COMPUTED_VALUE"""),150.0)</f>
        <v>150</v>
      </c>
      <c r="AG332" s="6">
        <f>IFERROR(__xludf.DUMMYFUNCTION("""COMPUTED_VALUE"""),150.0)</f>
        <v>150</v>
      </c>
      <c r="AH332" s="6"/>
      <c r="AI332" s="5">
        <f>IFERROR(__xludf.DUMMYFUNCTION("""COMPUTED_VALUE"""),337.5)</f>
        <v>337.5</v>
      </c>
      <c r="AJ332" s="5">
        <f>IFERROR(__xludf.DUMMYFUNCTION("""COMPUTED_VALUE"""),405.0)</f>
        <v>405</v>
      </c>
      <c r="AK332" s="5" t="str">
        <f>IFERROR(__xludf.DUMMYFUNCTION("""COMPUTED_VALUE"""),"El lenguaje del mantenimiento eficiente es SAP HANA PM ⚙️
Aprenderás a planificar, controlar y optimizar la gestión de mantenimiento en empresas reales 🚀.
Aquí tienes la información 👇🏻")</f>
        <v>El lenguaje del mantenimiento eficiente es SAP HANA PM ⚙️
Aprenderás a planificar, controlar y optimizar la gestión de mantenimiento en empresas reales 🚀.
Aquí tienes la información 👇🏻</v>
      </c>
      <c r="AL332" s="5" t="str">
        <f>IFERROR(__xludf.DUMMYFUNCTION("""COMPUTED_VALUE"""),"🛠️ Excelente, actualízate con SAP PM y domina el mantenimiento de planta y equipos.")</f>
        <v>🛠️ Excelente, actualízate con SAP PM y domina el mantenimiento de planta y equipos.</v>
      </c>
      <c r="AM332" s="5" t="str">
        <f>IFERROR(__xludf.DUMMYFUNCTION("""COMPUTED_VALUE"""),"💼 Buenísimo, SAP PM es clave en empresas de manufactura y energía.")</f>
        <v>💼 Buenísimo, SAP PM es clave en empresas de manufactura y energía.</v>
      </c>
      <c r="AN332" s="5" t="str">
        <f>IFERROR(__xludf.DUMMYFUNCTION("""COMPUTED_VALUE"""),"🎓 ¡Genial! Con SAP PM aprenderás mantenimiento productivo desde la universidad.")</f>
        <v>🎓 ¡Genial! Con SAP PM aprenderás mantenimiento productivo desde la universidad.</v>
      </c>
      <c r="AO332" s="5" t="str">
        <f>IFERROR(__xludf.DUMMYFUNCTION("""COMPUTED_VALUE"""),"🚀 ¡Perfecto! Saber SAP PM te dará ventaja en prácticas en gestión de operaciones.")</f>
        <v>🚀 ¡Perfecto! Saber SAP PM te dará ventaja en prácticas en gestión de operaciones.</v>
      </c>
      <c r="AP332" s="5" t="str">
        <f>IFERROR(__xludf.DUMMYFUNCTION("""COMPUTED_VALUE"""),"📊 ¡Excelente! Con SAP PM podrás planificar y optimizar el mantenimiento en tu negocio.")</f>
        <v>📊 ¡Excelente! Con SAP PM podrás planificar y optimizar el mantenimiento en tu negocio.</v>
      </c>
      <c r="AQ332" s="9" t="str">
        <f>IFERROR(__xludf.DUMMYFUNCTION("""COMPUTED_VALUE"""),"https://we-educacion.com/slides/sap-s-4-hana-pm-1127")</f>
        <v>https://we-educacion.com/slides/sap-s-4-hana-pm-1127</v>
      </c>
      <c r="AR332" s="5">
        <v>1.0</v>
      </c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</row>
    <row r="333" ht="15.75" customHeight="1">
      <c r="A333" s="5" t="s">
        <v>375</v>
      </c>
      <c r="B333" s="5" t="str">
        <f t="shared" si="1"/>
        <v>ABR. I - ED26</v>
      </c>
      <c r="C333" s="6" t="str">
        <f>IFERROR(__xludf.DUMMYFUNCTION("""COMPUTED_VALUE"""),"PROYECTOS")</f>
        <v>PROYECTOS</v>
      </c>
      <c r="D333" s="6" t="str">
        <f>IFERROR(__xludf.DUMMYFUNCTION("""COMPUTED_VALUE"""),"CURSO")</f>
        <v>CURSO</v>
      </c>
      <c r="E333" s="6" t="str">
        <f>IFERROR(__xludf.DUMMYFUNCTION("""COMPUTED_VALUE"""),"GEST FINANC. PROYECT")</f>
        <v>GEST FINANC. PROYECT</v>
      </c>
      <c r="F333" s="7">
        <f>IFERROR(__xludf.DUMMYFUNCTION("""COMPUTED_VALUE"""),46119.0)</f>
        <v>46119</v>
      </c>
      <c r="G333" s="6"/>
      <c r="H333" s="7"/>
      <c r="I333" s="6"/>
      <c r="J333" s="7"/>
      <c r="K333" s="6"/>
      <c r="L333" s="7"/>
      <c r="M333" s="6"/>
      <c r="N333" s="7"/>
      <c r="O333" s="6"/>
      <c r="P333" s="7"/>
      <c r="Q333" s="6" t="str">
        <f>IFERROR(__xludf.DUMMYFUNCTION("""COMPUTED_VALUE"""),"Elmer León")</f>
        <v>Elmer León</v>
      </c>
      <c r="R333" s="5" t="str">
        <f>IFERROR(__xludf.DUMMYFUNCTION("""COMPUTED_VALUE"""),"Mar-Jue")</f>
        <v>Mar-Jue</v>
      </c>
      <c r="S333" s="6" t="str">
        <f>IFERROR(__xludf.DUMMYFUNCTION("""COMPUTED_VALUE"""),"7PM - 10PM")</f>
        <v>7PM - 10PM</v>
      </c>
      <c r="T333" s="7" t="str">
        <f>IFERROR(__xludf.DUMMYFUNCTION("""COMPUTED_VALUE"""),"Martes 7 Abril")</f>
        <v>Martes 7 Abril</v>
      </c>
      <c r="U333" s="7" t="str">
        <f>IFERROR(__xludf.DUMMYFUNCTION("""COMPUTED_VALUE"""),"Jueves 23 Abril")</f>
        <v>Jueves 23 Abril</v>
      </c>
      <c r="V333" s="8">
        <f>IFERROR(__xludf.DUMMYFUNCTION("""COMPUTED_VALUE"""),6.0)</f>
        <v>6</v>
      </c>
      <c r="W333" s="5" t="str">
        <f>IFERROR(__xludf.DUMMYFUNCTION("""COMPUTED_VALUE"""),"pdfs/BROCHURE GESTIÓN FINANCIERA DE PROYECTOS.pdf")</f>
        <v>pdfs/BROCHURE GESTIÓN FINANCIERA DE PROYECTOS.pdf</v>
      </c>
      <c r="X333" s="5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*Por favor, revisa el BROCHURE* 👇🏻
Aqui encontrarás la información completa del programa, el TEMARIO (malla curricular) y todos los BENEFICIOS 📚</v>
      </c>
      <c r="Y333" s="5" t="str">
        <f>IFERROR(__xludf.DUMMYFUNCTION("""COMPUTED_VALUE"""),"images/gestfinanc.jpg")</f>
        <v>images/gestfinanc.jpg</v>
      </c>
      <c r="Z333" s="5"/>
      <c r="AA333" s="5" t="str">
        <f>IFERROR(__xludf.DUMMYFUNCTION("""COMPUTED_VALUE"""),"NO")</f>
        <v>NO</v>
      </c>
      <c r="AB333" s="6">
        <f>IFERROR(__xludf.DUMMYFUNCTION("""COMPUTED_VALUE"""),710.0)</f>
        <v>710</v>
      </c>
      <c r="AC333" s="6">
        <f>IFERROR(__xludf.DUMMYFUNCTION("""COMPUTED_VALUE"""),610.0)</f>
        <v>610</v>
      </c>
      <c r="AD333" s="6">
        <f>IFERROR(__xludf.DUMMYFUNCTION("""COMPUTED_VALUE"""),355.0)</f>
        <v>355</v>
      </c>
      <c r="AE333" s="6">
        <f>IFERROR(__xludf.DUMMYFUNCTION("""COMPUTED_VALUE"""),305.0)</f>
        <v>305</v>
      </c>
      <c r="AF333" s="6">
        <f>IFERROR(__xludf.DUMMYFUNCTION("""COMPUTED_VALUE"""),150.0)</f>
        <v>150</v>
      </c>
      <c r="AG333" s="5">
        <f>IFERROR(__xludf.DUMMYFUNCTION("""COMPUTED_VALUE"""),150.0)</f>
        <v>150</v>
      </c>
      <c r="AH333" s="5"/>
      <c r="AI333" s="5">
        <f>IFERROR(__xludf.DUMMYFUNCTION("""COMPUTED_VALUE"""),274.5)</f>
        <v>274.5</v>
      </c>
      <c r="AJ333" s="5">
        <f>IFERROR(__xludf.DUMMYFUNCTION("""COMPUTED_VALUE"""),319.5)</f>
        <v>319.5</v>
      </c>
      <c r="AK333" s="5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333" s="5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333" s="5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333" s="5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333" s="5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333" s="5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333" s="9" t="str">
        <f>IFERROR(__xludf.DUMMYFUNCTION("""COMPUTED_VALUE"""),"https://we-educacion.com/slides/gestion-financiera-de-proyectos-637")</f>
        <v>https://we-educacion.com/slides/gestion-financiera-de-proyectos-637</v>
      </c>
      <c r="AR333" s="5">
        <v>1.0</v>
      </c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</row>
    <row r="334" ht="15.75" customHeight="1">
      <c r="A334" s="5" t="s">
        <v>376</v>
      </c>
      <c r="B334" s="5" t="str">
        <f t="shared" si="1"/>
        <v>ABR. I - ED26</v>
      </c>
      <c r="C334" s="6" t="str">
        <f>IFERROR(__xludf.DUMMYFUNCTION("""COMPUTED_VALUE"""),"PROYECTOS")</f>
        <v>PROYECTOS</v>
      </c>
      <c r="D334" s="6" t="str">
        <f>IFERROR(__xludf.DUMMYFUNCTION("""COMPUTED_VALUE"""),"CURSO")</f>
        <v>CURSO</v>
      </c>
      <c r="E334" s="6" t="str">
        <f>IFERROR(__xludf.DUMMYFUNCTION("""COMPUTED_VALUE"""),"MS PROJECT")</f>
        <v>MS PROJECT</v>
      </c>
      <c r="F334" s="7">
        <f>IFERROR(__xludf.DUMMYFUNCTION("""COMPUTED_VALUE"""),46120.0)</f>
        <v>46120</v>
      </c>
      <c r="G334" s="6"/>
      <c r="H334" s="7"/>
      <c r="I334" s="6"/>
      <c r="J334" s="7"/>
      <c r="K334" s="6"/>
      <c r="L334" s="7"/>
      <c r="M334" s="6"/>
      <c r="N334" s="7"/>
      <c r="O334" s="6"/>
      <c r="P334" s="7"/>
      <c r="Q334" s="6"/>
      <c r="R334" s="5" t="str">
        <f>IFERROR(__xludf.DUMMYFUNCTION("""COMPUTED_VALUE"""),"Lun-Mie")</f>
        <v>Lun-Mie</v>
      </c>
      <c r="S334" s="6" t="str">
        <f>IFERROR(__xludf.DUMMYFUNCTION("""COMPUTED_VALUE"""),"7PM - 10PM")</f>
        <v>7PM - 10PM</v>
      </c>
      <c r="T334" s="7" t="str">
        <f>IFERROR(__xludf.DUMMYFUNCTION("""COMPUTED_VALUE"""),"Miércoles 8 Abril")</f>
        <v>Miércoles 8 Abril</v>
      </c>
      <c r="U334" s="7" t="str">
        <f>IFERROR(__xludf.DUMMYFUNCTION("""COMPUTED_VALUE"""),"Lunes 27 Abril")</f>
        <v>Lunes 27 Abril</v>
      </c>
      <c r="V334" s="8">
        <f>IFERROR(__xludf.DUMMYFUNCTION("""COMPUTED_VALUE"""),6.0)</f>
        <v>6</v>
      </c>
      <c r="W334" s="5" t="str">
        <f>IFERROR(__xludf.DUMMYFUNCTION("""COMPUTED_VALUE"""),"pdfs/BROCHURE MS PROJECT.pdf")</f>
        <v>pdfs/BROCHURE MS PROJECT.pdf</v>
      </c>
      <c r="X334" s="5" t="str">
        <f>IFERROR(__xludf.DUMMYFUNCTION("""COMPUTED_VALUE"""),"🔵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34" s="5" t="str">
        <f>IFERROR(__xludf.DUMMYFUNCTION("""COMPUTED_VALUE"""),"images/msproject.jpg")</f>
        <v>images/msproject.jpg</v>
      </c>
      <c r="Z334" s="5" t="str">
        <f>IFERROR(__xludf.DUMMYFUNCTION("""COMPUTED_VALUE"""),"Avalado por Microsoft Partner Network")</f>
        <v>Avalado por Microsoft Partner Network</v>
      </c>
      <c r="AA334" s="5" t="str">
        <f>IFERROR(__xludf.DUMMYFUNCTION("""COMPUTED_VALUE"""),"SI")</f>
        <v>SI</v>
      </c>
      <c r="AB334" s="6">
        <f>IFERROR(__xludf.DUMMYFUNCTION("""COMPUTED_VALUE"""),610.0)</f>
        <v>610</v>
      </c>
      <c r="AC334" s="6">
        <f>IFERROR(__xludf.DUMMYFUNCTION("""COMPUTED_VALUE"""),550.0)</f>
        <v>550</v>
      </c>
      <c r="AD334" s="6">
        <f>IFERROR(__xludf.DUMMYFUNCTION("""COMPUTED_VALUE"""),305.0)</f>
        <v>305</v>
      </c>
      <c r="AE334" s="6">
        <f>IFERROR(__xludf.DUMMYFUNCTION("""COMPUTED_VALUE"""),275.0)</f>
        <v>275</v>
      </c>
      <c r="AF334" s="6">
        <f>IFERROR(__xludf.DUMMYFUNCTION("""COMPUTED_VALUE"""),150.0)</f>
        <v>150</v>
      </c>
      <c r="AG334" s="5">
        <f>IFERROR(__xludf.DUMMYFUNCTION("""COMPUTED_VALUE"""),150.0)</f>
        <v>150</v>
      </c>
      <c r="AH334" s="5"/>
      <c r="AI334" s="5">
        <f>IFERROR(__xludf.DUMMYFUNCTION("""COMPUTED_VALUE"""),247.5)</f>
        <v>247.5</v>
      </c>
      <c r="AJ334" s="5">
        <f>IFERROR(__xludf.DUMMYFUNCTION("""COMPUTED_VALUE"""),274.5)</f>
        <v>274.5</v>
      </c>
      <c r="AK334" s="5" t="str">
        <f>IFERROR(__xludf.DUMMYFUNCTION("""COMPUTED_VALUE"""),"✨ *Planificar bien es la clave para que todo proyecto tenga éxito.*
Aprende a gestionar tareas, tiempos y recursos con Microsoft Project de forma práctica y profesional 📅
Ahora te adjunto la información a detalle 👇🏻")</f>
        <v>✨ *Planificar bien es la clave para que todo proyecto tenga éxito.*
Aprende a gestionar tareas, tiempos y recursos con Microsoft Project de forma práctica y profesional 📅
Ahora te adjunto la información a detalle 👇🏻</v>
      </c>
      <c r="AL334" s="5" t="str">
        <f>IFERROR(__xludf.DUMMYFUNCTION("""COMPUTED_VALUE"""),"✨ Excelente, actualízate con MS Project y gestiona proyectos de manera más eficiente.")</f>
        <v>✨ Excelente, actualízate con MS Project y gestiona proyectos de manera más eficiente.</v>
      </c>
      <c r="AM334" s="5" t="str">
        <f>IFERROR(__xludf.DUMMYFUNCTION("""COMPUTED_VALUE"""),"💼 Buenísimo, MS Project es muy valorado por las empresas que buscan profesionales de gestión.")</f>
        <v>💼 Buenísimo, MS Project es muy valorado por las empresas que buscan profesionales de gestión.</v>
      </c>
      <c r="AN334" s="5" t="str">
        <f>IFERROR(__xludf.DUMMYFUNCTION("""COMPUTED_VALUE"""),"🎓 ¡Genial! Con MS Project aprenderás a organizar proyectos de forma práctica desde la universidad.")</f>
        <v>🎓 ¡Genial! Con MS Project aprenderás a organizar proyectos de forma práctica desde la universidad.</v>
      </c>
      <c r="AO334" s="5" t="str">
        <f>IFERROR(__xludf.DUMMYFUNCTION("""COMPUTED_VALUE"""),"🚀 ¡Perfecto! Saber MS Project te dará ventaja en prácticas relacionadas a gestión de proyectos.")</f>
        <v>🚀 ¡Perfecto! Saber MS Project te dará ventaja en prácticas relacionadas a gestión de proyectos.</v>
      </c>
      <c r="AP334" s="5" t="str">
        <f>IFERROR(__xludf.DUMMYFUNCTION("""COMPUTED_VALUE"""),"📊 ¡Excelente! Con MS Project podrás planificar y controlar tus propios proyectos de manera profesional.")</f>
        <v>📊 ¡Excelente! Con MS Project podrás planificar y controlar tus propios proyectos de manera profesional.</v>
      </c>
      <c r="AQ334" s="9" t="str">
        <f>IFERROR(__xludf.DUMMYFUNCTION("""COMPUTED_VALUE"""),"https://we-educacion.com/slides/ms-project-basico-intermedio-95")</f>
        <v>https://we-educacion.com/slides/ms-project-basico-intermedio-95</v>
      </c>
      <c r="AR334" s="5">
        <v>1.0</v>
      </c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</row>
    <row r="335" ht="15.75" customHeight="1">
      <c r="A335" s="5" t="s">
        <v>377</v>
      </c>
      <c r="B335" s="5" t="str">
        <f t="shared" si="1"/>
        <v>ABR. II - ED26</v>
      </c>
      <c r="C335" s="6" t="str">
        <f>IFERROR(__xludf.DUMMYFUNCTION("""COMPUTED_VALUE"""),"PROYECTOS")</f>
        <v>PROYECTOS</v>
      </c>
      <c r="D335" s="6" t="str">
        <f>IFERROR(__xludf.DUMMYFUNCTION("""COMPUTED_VALUE"""),"CURSO")</f>
        <v>CURSO</v>
      </c>
      <c r="E335" s="6" t="str">
        <f>IFERROR(__xludf.DUMMYFUNCTION("""COMPUTED_VALUE"""),"GEST FINANC. PROYECT")</f>
        <v>GEST FINANC. PROYECT</v>
      </c>
      <c r="F335" s="7">
        <f>IFERROR(__xludf.DUMMYFUNCTION("""COMPUTED_VALUE"""),46121.0)</f>
        <v>46121</v>
      </c>
      <c r="G335" s="6"/>
      <c r="H335" s="7"/>
      <c r="I335" s="6"/>
      <c r="J335" s="7"/>
      <c r="K335" s="6"/>
      <c r="L335" s="7"/>
      <c r="M335" s="6"/>
      <c r="N335" s="7"/>
      <c r="O335" s="6"/>
      <c r="P335" s="7"/>
      <c r="Q335" s="6" t="str">
        <f>IFERROR(__xludf.DUMMYFUNCTION("""COMPUTED_VALUE"""),"Elmer León")</f>
        <v>Elmer León</v>
      </c>
      <c r="R335" s="5" t="str">
        <f>IFERROR(__xludf.DUMMYFUNCTION("""COMPUTED_VALUE"""),"Jue")</f>
        <v>Jue</v>
      </c>
      <c r="S335" s="6" t="str">
        <f>IFERROR(__xludf.DUMMYFUNCTION("""COMPUTED_VALUE"""),"7PM - 10PM")</f>
        <v>7PM - 10PM</v>
      </c>
      <c r="T335" s="7" t="str">
        <f>IFERROR(__xludf.DUMMYFUNCTION("""COMPUTED_VALUE"""),"Jueves 9 Abril")</f>
        <v>Jueves 9 Abril</v>
      </c>
      <c r="U335" s="7" t="str">
        <f>IFERROR(__xludf.DUMMYFUNCTION("""COMPUTED_VALUE"""),"Jueves 14 Mayo")</f>
        <v>Jueves 14 Mayo</v>
      </c>
      <c r="V335" s="8">
        <f>IFERROR(__xludf.DUMMYFUNCTION("""COMPUTED_VALUE"""),6.0)</f>
        <v>6</v>
      </c>
      <c r="W335" s="5" t="str">
        <f>IFERROR(__xludf.DUMMYFUNCTION("""COMPUTED_VALUE"""),"pdfs/BROCHURE GESTIÓN FINANCIERA DE PROYECTOS.pdf")</f>
        <v>pdfs/BROCHURE GESTIÓN FINANCIERA DE PROYECTOS.pdf</v>
      </c>
      <c r="X335" s="5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*Por favor, revisa el BROCHURE* 👇🏻
Aqui encontrarás la información completa del programa, el TEMARIO (malla curricular) y todos los BENEFICIOS 📚</v>
      </c>
      <c r="Y335" s="5" t="str">
        <f>IFERROR(__xludf.DUMMYFUNCTION("""COMPUTED_VALUE"""),"images/gestfinanc.jpg")</f>
        <v>images/gestfinanc.jpg</v>
      </c>
      <c r="Z335" s="5"/>
      <c r="AA335" s="5" t="str">
        <f>IFERROR(__xludf.DUMMYFUNCTION("""COMPUTED_VALUE"""),"NO")</f>
        <v>NO</v>
      </c>
      <c r="AB335" s="6">
        <f>IFERROR(__xludf.DUMMYFUNCTION("""COMPUTED_VALUE"""),710.0)</f>
        <v>710</v>
      </c>
      <c r="AC335" s="6">
        <f>IFERROR(__xludf.DUMMYFUNCTION("""COMPUTED_VALUE"""),610.0)</f>
        <v>610</v>
      </c>
      <c r="AD335" s="6">
        <f>IFERROR(__xludf.DUMMYFUNCTION("""COMPUTED_VALUE"""),355.0)</f>
        <v>355</v>
      </c>
      <c r="AE335" s="6">
        <f>IFERROR(__xludf.DUMMYFUNCTION("""COMPUTED_VALUE"""),305.0)</f>
        <v>305</v>
      </c>
      <c r="AF335" s="6">
        <f>IFERROR(__xludf.DUMMYFUNCTION("""COMPUTED_VALUE"""),150.0)</f>
        <v>150</v>
      </c>
      <c r="AG335" s="5">
        <f>IFERROR(__xludf.DUMMYFUNCTION("""COMPUTED_VALUE"""),150.0)</f>
        <v>150</v>
      </c>
      <c r="AH335" s="5"/>
      <c r="AI335" s="5">
        <f>IFERROR(__xludf.DUMMYFUNCTION("""COMPUTED_VALUE"""),274.5)</f>
        <v>274.5</v>
      </c>
      <c r="AJ335" s="5">
        <f>IFERROR(__xludf.DUMMYFUNCTION("""COMPUTED_VALUE"""),319.5)</f>
        <v>319.5</v>
      </c>
      <c r="AK335" s="5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335" s="5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335" s="5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335" s="5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335" s="5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335" s="5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335" s="9" t="str">
        <f>IFERROR(__xludf.DUMMYFUNCTION("""COMPUTED_VALUE"""),"https://we-educacion.com/slides/gestion-financiera-de-proyectos-637")</f>
        <v>https://we-educacion.com/slides/gestion-financiera-de-proyectos-637</v>
      </c>
      <c r="AR335" s="5">
        <v>1.0</v>
      </c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</row>
    <row r="336" ht="15.75" customHeight="1">
      <c r="A336" s="5" t="s">
        <v>378</v>
      </c>
      <c r="B336" s="5" t="str">
        <f t="shared" si="1"/>
        <v>ABR. I - ED26</v>
      </c>
      <c r="C336" s="6" t="str">
        <f>IFERROR(__xludf.DUMMYFUNCTION("""COMPUTED_VALUE"""),"DISEÑO Y MODELO GRÁFICO")</f>
        <v>DISEÑO Y MODELO GRÁFICO</v>
      </c>
      <c r="D336" s="6" t="str">
        <f>IFERROR(__xludf.DUMMYFUNCTION("""COMPUTED_VALUE"""),"CURSO")</f>
        <v>CURSO</v>
      </c>
      <c r="E336" s="6" t="str">
        <f>IFERROR(__xludf.DUMMYFUNCTION("""COMPUTED_VALUE"""),"AUTOCAD")</f>
        <v>AUTOCAD</v>
      </c>
      <c r="F336" s="7">
        <f>IFERROR(__xludf.DUMMYFUNCTION("""COMPUTED_VALUE"""),46123.0)</f>
        <v>46123</v>
      </c>
      <c r="G336" s="6"/>
      <c r="H336" s="7"/>
      <c r="I336" s="6"/>
      <c r="J336" s="7"/>
      <c r="K336" s="6"/>
      <c r="L336" s="7"/>
      <c r="M336" s="6"/>
      <c r="N336" s="7"/>
      <c r="O336" s="6"/>
      <c r="P336" s="7"/>
      <c r="Q336" s="6" t="str">
        <f>IFERROR(__xludf.DUMMYFUNCTION("""COMPUTED_VALUE"""),"Alfredo Garcia")</f>
        <v>Alfredo Garcia</v>
      </c>
      <c r="R336" s="5" t="str">
        <f>IFERROR(__xludf.DUMMYFUNCTION("""COMPUTED_VALUE"""),"Sáb")</f>
        <v>Sáb</v>
      </c>
      <c r="S336" s="6" t="str">
        <f>IFERROR(__xludf.DUMMYFUNCTION("""COMPUTED_VALUE"""),"3PM - 6PM")</f>
        <v>3PM - 6PM</v>
      </c>
      <c r="T336" s="7" t="str">
        <f>IFERROR(__xludf.DUMMYFUNCTION("""COMPUTED_VALUE"""),"Sábado 11 Abril")</f>
        <v>Sábado 11 Abril</v>
      </c>
      <c r="U336" s="7" t="str">
        <f>IFERROR(__xludf.DUMMYFUNCTION("""COMPUTED_VALUE"""),"Sábado 16 Mayo")</f>
        <v>Sábado 16 Mayo</v>
      </c>
      <c r="V336" s="8">
        <f>IFERROR(__xludf.DUMMYFUNCTION("""COMPUTED_VALUE"""),6.0)</f>
        <v>6</v>
      </c>
      <c r="W336" s="5"/>
      <c r="X336" s="5"/>
      <c r="Y336" s="5"/>
      <c r="Z336" s="5"/>
      <c r="AA336" s="5"/>
      <c r="AB336" s="6"/>
      <c r="AC336" s="6"/>
      <c r="AD336" s="6"/>
      <c r="AE336" s="6"/>
      <c r="AF336" s="6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 t="str">
        <f>IFERROR(__xludf.DUMMYFUNCTION("""COMPUTED_VALUE"""),"#N/A")</f>
        <v>#N/A</v>
      </c>
      <c r="AR336" s="5">
        <v>1.0</v>
      </c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</row>
    <row r="337" ht="15.75" customHeight="1">
      <c r="A337" s="5" t="s">
        <v>379</v>
      </c>
      <c r="B337" s="5" t="str">
        <f t="shared" si="1"/>
        <v>ABR. II - ED26</v>
      </c>
      <c r="C337" s="6" t="str">
        <f>IFERROR(__xludf.DUMMYFUNCTION("""COMPUTED_VALUE"""),"PROYECTOS")</f>
        <v>PROYECTOS</v>
      </c>
      <c r="D337" s="6" t="str">
        <f>IFERROR(__xludf.DUMMYFUNCTION("""COMPUTED_VALUE"""),"CURSO")</f>
        <v>CURSO</v>
      </c>
      <c r="E337" s="6" t="str">
        <f>IFERROR(__xludf.DUMMYFUNCTION("""COMPUTED_VALUE"""),"MS PROJECT")</f>
        <v>MS PROJECT</v>
      </c>
      <c r="F337" s="7">
        <f>IFERROR(__xludf.DUMMYFUNCTION("""COMPUTED_VALUE"""),46124.0)</f>
        <v>46124</v>
      </c>
      <c r="G337" s="6"/>
      <c r="H337" s="7"/>
      <c r="I337" s="6"/>
      <c r="J337" s="7"/>
      <c r="K337" s="6"/>
      <c r="L337" s="7"/>
      <c r="M337" s="6"/>
      <c r="N337" s="7"/>
      <c r="O337" s="6"/>
      <c r="P337" s="7"/>
      <c r="Q337" s="6" t="str">
        <f>IFERROR(__xludf.DUMMYFUNCTION("""COMPUTED_VALUE"""),"Alejandro Mas")</f>
        <v>Alejandro Mas</v>
      </c>
      <c r="R337" s="5" t="str">
        <f>IFERROR(__xludf.DUMMYFUNCTION("""COMPUTED_VALUE"""),"Dom")</f>
        <v>Dom</v>
      </c>
      <c r="S337" s="6" t="str">
        <f>IFERROR(__xludf.DUMMYFUNCTION("""COMPUTED_VALUE"""),"9AM - 12PM")</f>
        <v>9AM - 12PM</v>
      </c>
      <c r="T337" s="7" t="str">
        <f>IFERROR(__xludf.DUMMYFUNCTION("""COMPUTED_VALUE"""),"Domingo 12 Abril")</f>
        <v>Domingo 12 Abril</v>
      </c>
      <c r="U337" s="7" t="str">
        <f>IFERROR(__xludf.DUMMYFUNCTION("""COMPUTED_VALUE"""),"Domingo 24 Mayo")</f>
        <v>Domingo 24 Mayo</v>
      </c>
      <c r="V337" s="8">
        <f>IFERROR(__xludf.DUMMYFUNCTION("""COMPUTED_VALUE"""),6.0)</f>
        <v>6</v>
      </c>
      <c r="W337" s="5" t="str">
        <f>IFERROR(__xludf.DUMMYFUNCTION("""COMPUTED_VALUE"""),"pdfs/BROCHURE MS PROJECT.pdf")</f>
        <v>pdfs/BROCHURE MS PROJECT.pdf</v>
      </c>
      <c r="X337" s="5" t="str">
        <f>IFERROR(__xludf.DUMMYFUNCTION("""COMPUTED_VALUE"""),"🔵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37" s="5" t="str">
        <f>IFERROR(__xludf.DUMMYFUNCTION("""COMPUTED_VALUE"""),"images/msproject.jpg")</f>
        <v>images/msproject.jpg</v>
      </c>
      <c r="Z337" s="5" t="str">
        <f>IFERROR(__xludf.DUMMYFUNCTION("""COMPUTED_VALUE"""),"Avalado por Microsoft Partner Network")</f>
        <v>Avalado por Microsoft Partner Network</v>
      </c>
      <c r="AA337" s="5" t="str">
        <f>IFERROR(__xludf.DUMMYFUNCTION("""COMPUTED_VALUE"""),"SI")</f>
        <v>SI</v>
      </c>
      <c r="AB337" s="6">
        <f>IFERROR(__xludf.DUMMYFUNCTION("""COMPUTED_VALUE"""),610.0)</f>
        <v>610</v>
      </c>
      <c r="AC337" s="6">
        <f>IFERROR(__xludf.DUMMYFUNCTION("""COMPUTED_VALUE"""),550.0)</f>
        <v>550</v>
      </c>
      <c r="AD337" s="6">
        <f>IFERROR(__xludf.DUMMYFUNCTION("""COMPUTED_VALUE"""),305.0)</f>
        <v>305</v>
      </c>
      <c r="AE337" s="6">
        <f>IFERROR(__xludf.DUMMYFUNCTION("""COMPUTED_VALUE"""),275.0)</f>
        <v>275</v>
      </c>
      <c r="AF337" s="6">
        <f>IFERROR(__xludf.DUMMYFUNCTION("""COMPUTED_VALUE"""),150.0)</f>
        <v>150</v>
      </c>
      <c r="AG337" s="5">
        <f>IFERROR(__xludf.DUMMYFUNCTION("""COMPUTED_VALUE"""),150.0)</f>
        <v>150</v>
      </c>
      <c r="AH337" s="5"/>
      <c r="AI337" s="5">
        <f>IFERROR(__xludf.DUMMYFUNCTION("""COMPUTED_VALUE"""),247.5)</f>
        <v>247.5</v>
      </c>
      <c r="AJ337" s="5">
        <f>IFERROR(__xludf.DUMMYFUNCTION("""COMPUTED_VALUE"""),274.5)</f>
        <v>274.5</v>
      </c>
      <c r="AK337" s="5" t="str">
        <f>IFERROR(__xludf.DUMMYFUNCTION("""COMPUTED_VALUE"""),"✨ *Planificar bien es la clave para que todo proyecto tenga éxito.*
Aprende a gestionar tareas, tiempos y recursos con Microsoft Project de forma práctica y profesional 📅
Ahora te adjunto la información a detalle 👇🏻")</f>
        <v>✨ *Planificar bien es la clave para que todo proyecto tenga éxito.*
Aprende a gestionar tareas, tiempos y recursos con Microsoft Project de forma práctica y profesional 📅
Ahora te adjunto la información a detalle 👇🏻</v>
      </c>
      <c r="AL337" s="5" t="str">
        <f>IFERROR(__xludf.DUMMYFUNCTION("""COMPUTED_VALUE"""),"✨ Excelente, actualízate con MS Project y gestiona proyectos de manera más eficiente.")</f>
        <v>✨ Excelente, actualízate con MS Project y gestiona proyectos de manera más eficiente.</v>
      </c>
      <c r="AM337" s="5" t="str">
        <f>IFERROR(__xludf.DUMMYFUNCTION("""COMPUTED_VALUE"""),"💼 Buenísimo, MS Project es muy valorado por las empresas que buscan profesionales de gestión.")</f>
        <v>💼 Buenísimo, MS Project es muy valorado por las empresas que buscan profesionales de gestión.</v>
      </c>
      <c r="AN337" s="5" t="str">
        <f>IFERROR(__xludf.DUMMYFUNCTION("""COMPUTED_VALUE"""),"🎓 ¡Genial! Con MS Project aprenderás a organizar proyectos de forma práctica desde la universidad.")</f>
        <v>🎓 ¡Genial! Con MS Project aprenderás a organizar proyectos de forma práctica desde la universidad.</v>
      </c>
      <c r="AO337" s="5" t="str">
        <f>IFERROR(__xludf.DUMMYFUNCTION("""COMPUTED_VALUE"""),"🚀 ¡Perfecto! Saber MS Project te dará ventaja en prácticas relacionadas a gestión de proyectos.")</f>
        <v>🚀 ¡Perfecto! Saber MS Project te dará ventaja en prácticas relacionadas a gestión de proyectos.</v>
      </c>
      <c r="AP337" s="5" t="str">
        <f>IFERROR(__xludf.DUMMYFUNCTION("""COMPUTED_VALUE"""),"📊 ¡Excelente! Con MS Project podrás planificar y controlar tus propios proyectos de manera profesional.")</f>
        <v>📊 ¡Excelente! Con MS Project podrás planificar y controlar tus propios proyectos de manera profesional.</v>
      </c>
      <c r="AQ337" s="9" t="str">
        <f>IFERROR(__xludf.DUMMYFUNCTION("""COMPUTED_VALUE"""),"https://we-educacion.com/slides/ms-project-basico-intermedio-95")</f>
        <v>https://we-educacion.com/slides/ms-project-basico-intermedio-95</v>
      </c>
      <c r="AR337" s="5">
        <v>1.0</v>
      </c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</row>
    <row r="338" ht="15.75" customHeight="1">
      <c r="A338" s="5" t="s">
        <v>380</v>
      </c>
      <c r="B338" s="5" t="str">
        <f t="shared" si="1"/>
        <v>ABR. I - ED26</v>
      </c>
      <c r="C338" s="6" t="str">
        <f>IFERROR(__xludf.DUMMYFUNCTION("""COMPUTED_VALUE"""),"BI")</f>
        <v>BI</v>
      </c>
      <c r="D338" s="6" t="str">
        <f>IFERROR(__xludf.DUMMYFUNCTION("""COMPUTED_VALUE"""),"CURSO")</f>
        <v>CURSO</v>
      </c>
      <c r="E338" s="6" t="str">
        <f>IFERROR(__xludf.DUMMYFUNCTION("""COMPUTED_VALUE"""),"SQL SERVER")</f>
        <v>SQL SERVER</v>
      </c>
      <c r="F338" s="7">
        <f>IFERROR(__xludf.DUMMYFUNCTION("""COMPUTED_VALUE"""),46124.0)</f>
        <v>46124</v>
      </c>
      <c r="G338" s="6"/>
      <c r="H338" s="7"/>
      <c r="I338" s="6"/>
      <c r="J338" s="7"/>
      <c r="K338" s="6"/>
      <c r="L338" s="7"/>
      <c r="M338" s="6"/>
      <c r="N338" s="7"/>
      <c r="O338" s="6"/>
      <c r="P338" s="7"/>
      <c r="Q338" s="6"/>
      <c r="R338" s="5" t="str">
        <f>IFERROR(__xludf.DUMMYFUNCTION("""COMPUTED_VALUE"""),"Dom")</f>
        <v>Dom</v>
      </c>
      <c r="S338" s="6" t="str">
        <f>IFERROR(__xludf.DUMMYFUNCTION("""COMPUTED_VALUE"""),"9AM - 12PM")</f>
        <v>9AM - 12PM</v>
      </c>
      <c r="T338" s="7" t="str">
        <f>IFERROR(__xludf.DUMMYFUNCTION("""COMPUTED_VALUE"""),"Domingo 12 Abril")</f>
        <v>Domingo 12 Abril</v>
      </c>
      <c r="U338" s="7" t="str">
        <f>IFERROR(__xludf.DUMMYFUNCTION("""COMPUTED_VALUE"""),"Domingo 24 Mayo")</f>
        <v>Domingo 24 Mayo</v>
      </c>
      <c r="V338" s="8">
        <f>IFERROR(__xludf.DUMMYFUNCTION("""COMPUTED_VALUE"""),6.0)</f>
        <v>6</v>
      </c>
      <c r="W338" s="5" t="str">
        <f>IFERROR(__xludf.DUMMYFUNCTION("""COMPUTED_VALUE"""),"pdfs/BROCHURE SQL SERVER.pdf")</f>
        <v>pdfs/BROCHURE SQL SERVER.pdf</v>
      </c>
      <c r="X338" s="5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38" s="5" t="str">
        <f>IFERROR(__xludf.DUMMYFUNCTION("""COMPUTED_VALUE"""),"images/sqlserver.jpg")</f>
        <v>images/sqlserver.jpg</v>
      </c>
      <c r="Z338" s="5" t="str">
        <f>IFERROR(__xludf.DUMMYFUNCTION("""COMPUTED_VALUE"""),"Avalado por Microsoft Partner Network")</f>
        <v>Avalado por Microsoft Partner Network</v>
      </c>
      <c r="AA338" s="5" t="str">
        <f>IFERROR(__xludf.DUMMYFUNCTION("""COMPUTED_VALUE"""),"NO")</f>
        <v>NO</v>
      </c>
      <c r="AB338" s="6">
        <f>IFERROR(__xludf.DUMMYFUNCTION("""COMPUTED_VALUE"""),830.0)</f>
        <v>830</v>
      </c>
      <c r="AC338" s="6">
        <f>IFERROR(__xludf.DUMMYFUNCTION("""COMPUTED_VALUE"""),740.0)</f>
        <v>740</v>
      </c>
      <c r="AD338" s="6">
        <f>IFERROR(__xludf.DUMMYFUNCTION("""COMPUTED_VALUE"""),415.0)</f>
        <v>415</v>
      </c>
      <c r="AE338" s="6">
        <f>IFERROR(__xludf.DUMMYFUNCTION("""COMPUTED_VALUE"""),370.0)</f>
        <v>370</v>
      </c>
      <c r="AF338" s="6">
        <f>IFERROR(__xludf.DUMMYFUNCTION("""COMPUTED_VALUE"""),150.0)</f>
        <v>150</v>
      </c>
      <c r="AG338" s="5">
        <f>IFERROR(__xludf.DUMMYFUNCTION("""COMPUTED_VALUE"""),150.0)</f>
        <v>150</v>
      </c>
      <c r="AH338" s="5"/>
      <c r="AI338" s="5">
        <f>IFERROR(__xludf.DUMMYFUNCTION("""COMPUTED_VALUE"""),333.0)</f>
        <v>333</v>
      </c>
      <c r="AJ338" s="5">
        <f>IFERROR(__xludf.DUMMYFUNCTION("""COMPUTED_VALUE"""),373.5)</f>
        <v>373.5</v>
      </c>
      <c r="AK338" s="5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338" s="5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338" s="5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338" s="5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338" s="5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338" s="5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338" s="9" t="str">
        <f>IFERROR(__xludf.DUMMYFUNCTION("""COMPUTED_VALUE"""),"https://we-educacion.com/slides/sql-server-for-analytics-52")</f>
        <v>https://we-educacion.com/slides/sql-server-for-analytics-52</v>
      </c>
      <c r="AR338" s="5">
        <v>1.0</v>
      </c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</row>
    <row r="339" ht="15.75" customHeight="1">
      <c r="A339" s="5" t="s">
        <v>381</v>
      </c>
      <c r="B339" s="5" t="str">
        <f t="shared" si="1"/>
        <v>ABR. I - ED26</v>
      </c>
      <c r="C339" s="6" t="str">
        <f>IFERROR(__xludf.DUMMYFUNCTION("""COMPUTED_VALUE"""),"BI")</f>
        <v>BI</v>
      </c>
      <c r="D339" s="6" t="str">
        <f>IFERROR(__xludf.DUMMYFUNCTION("""COMPUTED_VALUE"""),"ESP.")</f>
        <v>ESP.</v>
      </c>
      <c r="E339" s="6" t="str">
        <f>IFERROR(__xludf.DUMMYFUNCTION("""COMPUTED_VALUE"""),"ESP. SQL SERVER")</f>
        <v>ESP. SQL SERVER</v>
      </c>
      <c r="F339" s="7">
        <f>IFERROR(__xludf.DUMMYFUNCTION("""COMPUTED_VALUE"""),46124.0)</f>
        <v>46124</v>
      </c>
      <c r="G339" s="6" t="str">
        <f>IFERROR(__xludf.DUMMYFUNCTION("""COMPUTED_VALUE"""),"SQL SERVER")</f>
        <v>SQL SERVER</v>
      </c>
      <c r="H339" s="7">
        <f>IFERROR(__xludf.DUMMYFUNCTION("""COMPUTED_VALUE"""),46124.0)</f>
        <v>46124</v>
      </c>
      <c r="I339" s="6" t="str">
        <f>IFERROR(__xludf.DUMMYFUNCTION("""COMPUTED_VALUE"""),"SQL AVANZ")</f>
        <v>SQL AVANZ</v>
      </c>
      <c r="J339" s="7">
        <f>IFERROR(__xludf.DUMMYFUNCTION("""COMPUTED_VALUE"""),46173.0)</f>
        <v>46173</v>
      </c>
      <c r="K339" s="6"/>
      <c r="L339" s="7"/>
      <c r="M339" s="6"/>
      <c r="N339" s="7"/>
      <c r="O339" s="6"/>
      <c r="P339" s="7"/>
      <c r="Q339" s="6"/>
      <c r="R339" s="5" t="str">
        <f>IFERROR(__xludf.DUMMYFUNCTION("""COMPUTED_VALUE"""),"Dom")</f>
        <v>Dom</v>
      </c>
      <c r="S339" s="6" t="str">
        <f>IFERROR(__xludf.DUMMYFUNCTION("""COMPUTED_VALUE"""),"9AM - 12PM")</f>
        <v>9AM - 12PM</v>
      </c>
      <c r="T339" s="7" t="str">
        <f>IFERROR(__xludf.DUMMYFUNCTION("""COMPUTED_VALUE"""),"Domingo 12 Abril")</f>
        <v>Domingo 12 Abril</v>
      </c>
      <c r="U339" s="7" t="str">
        <f>IFERROR(__xludf.DUMMYFUNCTION("""COMPUTED_VALUE"""),"Domingo 12 Julio")</f>
        <v>Domingo 12 Julio</v>
      </c>
      <c r="V339" s="8">
        <f>IFERROR(__xludf.DUMMYFUNCTION("""COMPUTED_VALUE"""),12.0)</f>
        <v>12</v>
      </c>
      <c r="W339" s="5" t="str">
        <f>IFERROR(__xludf.DUMMYFUNCTION("""COMPUTED_VALUE"""),"pdfs/BROCHURE ESPECIALIZACION DE SQL.pdf")</f>
        <v>pdfs/BROCHURE ESPECIALIZACION DE SQL.pdf</v>
      </c>
      <c r="X339" s="5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39" s="5" t="str">
        <f>IFERROR(__xludf.DUMMYFUNCTION("""COMPUTED_VALUE"""),"images/espsql.jpg")</f>
        <v>images/espsql.jpg</v>
      </c>
      <c r="Z339" s="5" t="str">
        <f>IFERROR(__xludf.DUMMYFUNCTION("""COMPUTED_VALUE"""),"Avalado por Microsoft Partner Network")</f>
        <v>Avalado por Microsoft Partner Network</v>
      </c>
      <c r="AA339" s="5" t="str">
        <f>IFERROR(__xludf.DUMMYFUNCTION("""COMPUTED_VALUE"""),"NO")</f>
        <v>NO</v>
      </c>
      <c r="AB339" s="6">
        <f>IFERROR(__xludf.DUMMYFUNCTION("""COMPUTED_VALUE"""),1600.0)</f>
        <v>1600</v>
      </c>
      <c r="AC339" s="6">
        <f>IFERROR(__xludf.DUMMYFUNCTION("""COMPUTED_VALUE"""),1400.0)</f>
        <v>1400</v>
      </c>
      <c r="AD339" s="6">
        <f>IFERROR(__xludf.DUMMYFUNCTION("""COMPUTED_VALUE"""),800.0)</f>
        <v>800</v>
      </c>
      <c r="AE339" s="6">
        <f>IFERROR(__xludf.DUMMYFUNCTION("""COMPUTED_VALUE"""),700.0)</f>
        <v>700</v>
      </c>
      <c r="AF339" s="6">
        <f>IFERROR(__xludf.DUMMYFUNCTION("""COMPUTED_VALUE"""),250.0)</f>
        <v>250</v>
      </c>
      <c r="AG339" s="5">
        <f>IFERROR(__xludf.DUMMYFUNCTION("""COMPUTED_VALUE"""),350.0)</f>
        <v>350</v>
      </c>
      <c r="AH339" s="5"/>
      <c r="AI339" s="5">
        <f>IFERROR(__xludf.DUMMYFUNCTION("""COMPUTED_VALUE"""),630.0)</f>
        <v>630</v>
      </c>
      <c r="AJ339" s="5">
        <f>IFERROR(__xludf.DUMMYFUNCTION("""COMPUTED_VALUE"""),720.0)</f>
        <v>720</v>
      </c>
      <c r="AK339" s="5" t="str">
        <f>IFERROR(__xludf.DUMMYFUNCTION("""COMPUTED_VALUE"""),"Las bases de datos mueven el mundo 💾
Aprende a gestionar y optimizar información con SQL Server para un control eficiente 📊
👉🏻 Aquí está la información.")</f>
        <v>Las bases de datos mueven el mundo 💾
Aprende a gestionar y optimizar información con SQL Server para un control eficiente 📊
👉🏻 Aquí está la información.</v>
      </c>
      <c r="AL339" s="5" t="str">
        <f>IFERROR(__xludf.DUMMYFUNCTION("""COMPUTED_VALUE"""),"💾 Excelente, actualízate en SQL Server y gestiona datos con eficiencia.")</f>
        <v>💾 Excelente, actualízate en SQL Server y gestiona datos con eficiencia.</v>
      </c>
      <c r="AM339" s="5" t="str">
        <f>IFERROR(__xludf.DUMMYFUNCTION("""COMPUTED_VALUE"""),"🏢 Buenísimo, las empresas buscan expertos en bases de datos corporativas.")</f>
        <v>🏢 Buenísimo, las empresas buscan expertos en bases de datos corporativas.</v>
      </c>
      <c r="AN339" s="5" t="str">
        <f>IFERROR(__xludf.DUMMYFUNCTION("""COMPUTED_VALUE"""),"⚡ Genial, dominar SQL Server elevará tu perfil en gestión de información.")</f>
        <v>⚡ Genial, dominar SQL Server elevará tu perfil en gestión de información.</v>
      </c>
      <c r="AO339" s="5" t="str">
        <f>IFERROR(__xludf.DUMMYFUNCTION("""COMPUTED_VALUE"""),"🚀 Perfecto, SQL será tu ventaja en prácticas de análisis y TI.")</f>
        <v>🚀 Perfecto, SQL será tu ventaja en prácticas de análisis y TI.</v>
      </c>
      <c r="AP339" s="5" t="str">
        <f>IFERROR(__xludf.DUMMYFUNCTION("""COMPUTED_VALUE"""),"📊 Excelente, podrás gestionar tus datos con control y rapidez como independiente.")</f>
        <v>📊 Excelente, podrás gestionar tus datos con control y rapidez como independiente.</v>
      </c>
      <c r="AQ339" s="9" t="str">
        <f>IFERROR(__xludf.DUMMYFUNCTION("""COMPUTED_VALUE"""),"https://we-educacion.com/slides/especializacion-en-sql-server-107")</f>
        <v>https://we-educacion.com/slides/especializacion-en-sql-server-107</v>
      </c>
      <c r="AR339" s="5">
        <v>1.0</v>
      </c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</row>
    <row r="340" ht="15.75" customHeight="1">
      <c r="A340" s="5" t="s">
        <v>382</v>
      </c>
      <c r="B340" s="5" t="str">
        <f t="shared" si="1"/>
        <v>ABR. I - ED26</v>
      </c>
      <c r="C340" s="14" t="str">
        <f>IFERROR(__xludf.DUMMYFUNCTION("""COMPUTED_VALUE"""),"BI")</f>
        <v>BI</v>
      </c>
      <c r="D340" s="5" t="str">
        <f>IFERROR(__xludf.DUMMYFUNCTION("""COMPUTED_VALUE"""),"CURSO")</f>
        <v>CURSO</v>
      </c>
      <c r="E340" s="14" t="str">
        <f>IFERROR(__xludf.DUMMYFUNCTION("""COMPUTED_VALUE"""),"PYTHON AVANZ.")</f>
        <v>PYTHON AVANZ.</v>
      </c>
      <c r="F340" s="15">
        <f>IFERROR(__xludf.DUMMYFUNCTION("""COMPUTED_VALUE"""),46127.0)</f>
        <v>46127</v>
      </c>
      <c r="G340" s="14"/>
      <c r="H340" s="16"/>
      <c r="I340" s="14"/>
      <c r="J340" s="16"/>
      <c r="K340" s="14"/>
      <c r="L340" s="16"/>
      <c r="M340" s="14"/>
      <c r="N340" s="16"/>
      <c r="O340" s="14"/>
      <c r="P340" s="16"/>
      <c r="Q340" s="14" t="str">
        <f>IFERROR(__xludf.DUMMYFUNCTION("""COMPUTED_VALUE"""),"Briam Aguirre")</f>
        <v>Briam Aguirre</v>
      </c>
      <c r="R340" s="5" t="str">
        <f>IFERROR(__xludf.DUMMYFUNCTION("""COMPUTED_VALUE"""),"Lun-Mie")</f>
        <v>Lun-Mie</v>
      </c>
      <c r="S340" s="14" t="str">
        <f>IFERROR(__xludf.DUMMYFUNCTION("""COMPUTED_VALUE"""),"7PM - 10PM")</f>
        <v>7PM - 10PM</v>
      </c>
      <c r="T340" s="16" t="str">
        <f>IFERROR(__xludf.DUMMYFUNCTION("""COMPUTED_VALUE"""),"Miércoles 15 Abril")</f>
        <v>Miércoles 15 Abril</v>
      </c>
      <c r="U340" s="16" t="str">
        <f>IFERROR(__xludf.DUMMYFUNCTION("""COMPUTED_VALUE"""),"Lunes 4 Mayo")</f>
        <v>Lunes 4 Mayo</v>
      </c>
      <c r="V340" s="17">
        <f>IFERROR(__xludf.DUMMYFUNCTION("""COMPUTED_VALUE"""),6.0)</f>
        <v>6</v>
      </c>
      <c r="W340" s="5" t="str">
        <f>IFERROR(__xludf.DUMMYFUNCTION("""COMPUTED_VALUE"""),"pdfs/BROCHURE PYTHON AVANZADO MACHINE LEARNING.pdf")</f>
        <v>pdfs/BROCHURE PYTHON AVANZADO MACHINE LEARNING.pdf</v>
      </c>
      <c r="X340" s="18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40" s="14" t="str">
        <f>IFERROR(__xludf.DUMMYFUNCTION("""COMPUTED_VALUE"""),"images/pythonavanz.jpg")</f>
        <v>images/pythonavanz.jpg</v>
      </c>
      <c r="Z340" s="14" t="str">
        <f>IFERROR(__xludf.DUMMYFUNCTION("""COMPUTED_VALUE"""),"Avalado por IBM® Partner World")</f>
        <v>Avalado por IBM® Partner World</v>
      </c>
      <c r="AA340" s="14" t="str">
        <f>IFERROR(__xludf.DUMMYFUNCTION("""COMPUTED_VALUE"""),"NO")</f>
        <v>NO</v>
      </c>
      <c r="AB340" s="14">
        <f>IFERROR(__xludf.DUMMYFUNCTION("""COMPUTED_VALUE"""),830.0)</f>
        <v>830</v>
      </c>
      <c r="AC340" s="14">
        <f>IFERROR(__xludf.DUMMYFUNCTION("""COMPUTED_VALUE"""),755.0)</f>
        <v>755</v>
      </c>
      <c r="AD340" s="14">
        <f>IFERROR(__xludf.DUMMYFUNCTION("""COMPUTED_VALUE"""),415.0)</f>
        <v>415</v>
      </c>
      <c r="AE340" s="14">
        <f>IFERROR(__xludf.DUMMYFUNCTION("""COMPUTED_VALUE"""),377.5)</f>
        <v>377.5</v>
      </c>
      <c r="AF340" s="14">
        <f>IFERROR(__xludf.DUMMYFUNCTION("""COMPUTED_VALUE"""),150.0)</f>
        <v>150</v>
      </c>
      <c r="AG340" s="19">
        <f>IFERROR(__xludf.DUMMYFUNCTION("""COMPUTED_VALUE"""),150.0)</f>
        <v>150</v>
      </c>
      <c r="AH340" s="20"/>
      <c r="AI340" s="5">
        <f>IFERROR(__xludf.DUMMYFUNCTION("""COMPUTED_VALUE"""),339.75)</f>
        <v>339.75</v>
      </c>
      <c r="AJ340" s="5">
        <f>IFERROR(__xludf.DUMMYFUNCTION("""COMPUTED_VALUE"""),373.5)</f>
        <v>373.5</v>
      </c>
      <c r="AK340" s="5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340" s="5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340" s="5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340" s="5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340" s="5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340" s="5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340" s="9" t="str">
        <f>IFERROR(__xludf.DUMMYFUNCTION("""COMPUTED_VALUE"""),"https://we-educacion.com/slides/python-avanzado-machine-learning-275")</f>
        <v>https://we-educacion.com/slides/python-avanzado-machine-learning-275</v>
      </c>
      <c r="AR340" s="5">
        <v>1.0</v>
      </c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</row>
    <row r="341" ht="15.75" customHeight="1">
      <c r="A341" s="5" t="s">
        <v>383</v>
      </c>
      <c r="B341" s="5" t="str">
        <f t="shared" si="1"/>
        <v>ABR. I - ED26</v>
      </c>
      <c r="C341" s="14" t="str">
        <f>IFERROR(__xludf.DUMMYFUNCTION("""COMPUTED_VALUE"""),"LOGÍSTICA")</f>
        <v>LOGÍSTICA</v>
      </c>
      <c r="D341" s="14" t="str">
        <f>IFERROR(__xludf.DUMMYFUNCTION("""COMPUTED_VALUE"""),"CURSO")</f>
        <v>CURSO</v>
      </c>
      <c r="E341" s="14" t="str">
        <f>IFERROR(__xludf.DUMMYFUNCTION("""COMPUTED_VALUE"""),"GEST TRANSPORTES")</f>
        <v>GEST TRANSPORTES</v>
      </c>
      <c r="F341" s="15">
        <f>IFERROR(__xludf.DUMMYFUNCTION("""COMPUTED_VALUE"""),46128.0)</f>
        <v>46128</v>
      </c>
      <c r="G341" s="14"/>
      <c r="H341" s="16"/>
      <c r="I341" s="14"/>
      <c r="J341" s="16"/>
      <c r="K341" s="14"/>
      <c r="L341" s="16"/>
      <c r="M341" s="14"/>
      <c r="N341" s="16"/>
      <c r="O341" s="14"/>
      <c r="P341" s="16"/>
      <c r="Q341" s="14" t="str">
        <f>IFERROR(__xludf.DUMMYFUNCTION("""COMPUTED_VALUE"""),"Francisco Ñaupa")</f>
        <v>Francisco Ñaupa</v>
      </c>
      <c r="R341" s="5" t="str">
        <f>IFERROR(__xludf.DUMMYFUNCTION("""COMPUTED_VALUE"""),"Jue")</f>
        <v>Jue</v>
      </c>
      <c r="S341" s="14" t="str">
        <f>IFERROR(__xludf.DUMMYFUNCTION("""COMPUTED_VALUE"""),"7PM - 10PM")</f>
        <v>7PM - 10PM</v>
      </c>
      <c r="T341" s="16" t="str">
        <f>IFERROR(__xludf.DUMMYFUNCTION("""COMPUTED_VALUE"""),"Jueves 16 Abril")</f>
        <v>Jueves 16 Abril</v>
      </c>
      <c r="U341" s="16" t="str">
        <f>IFERROR(__xludf.DUMMYFUNCTION("""COMPUTED_VALUE"""),"Jueves 14 Mayo")</f>
        <v>Jueves 14 Mayo</v>
      </c>
      <c r="V341" s="17">
        <f>IFERROR(__xludf.DUMMYFUNCTION("""COMPUTED_VALUE"""),5.0)</f>
        <v>5</v>
      </c>
      <c r="W341" s="5" t="str">
        <f>IFERROR(__xludf.DUMMYFUNCTION("""COMPUTED_VALUE"""),"pdfs/BROCHURE GESTION DE TRANSPORTE Y CANALES DE DISTRIBUCIÓN.pdf")</f>
        <v>pdfs/BROCHURE GESTION DE TRANSPORTE Y CANALES DE DISTRIBUCIÓN.pdf</v>
      </c>
      <c r="X341" s="18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*Utilizarán Excel* 👩🏻‍💻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*Por favor, revisa el BROCHURE* 👇🏻
Aqui encontrarás la información completa del programa, el TEMARIO (malla curricular) y todos los BENEFICIOS 📚</v>
      </c>
      <c r="Y341" s="14" t="str">
        <f>IFERROR(__xludf.DUMMYFUNCTION("""COMPUTED_VALUE"""),"images/transpo.jpg")</f>
        <v>images/transpo.jpg</v>
      </c>
      <c r="Z341" s="14"/>
      <c r="AA341" s="14" t="str">
        <f>IFERROR(__xludf.DUMMYFUNCTION("""COMPUTED_VALUE"""),"NO")</f>
        <v>NO</v>
      </c>
      <c r="AB341" s="14">
        <f>IFERROR(__xludf.DUMMYFUNCTION("""COMPUTED_VALUE"""),830.0)</f>
        <v>830</v>
      </c>
      <c r="AC341" s="14">
        <f>IFERROR(__xludf.DUMMYFUNCTION("""COMPUTED_VALUE"""),770.0)</f>
        <v>770</v>
      </c>
      <c r="AD341" s="14">
        <f>IFERROR(__xludf.DUMMYFUNCTION("""COMPUTED_VALUE"""),415.0)</f>
        <v>415</v>
      </c>
      <c r="AE341" s="14">
        <f>IFERROR(__xludf.DUMMYFUNCTION("""COMPUTED_VALUE"""),385.0)</f>
        <v>385</v>
      </c>
      <c r="AF341" s="14">
        <f>IFERROR(__xludf.DUMMYFUNCTION("""COMPUTED_VALUE"""),150.0)</f>
        <v>150</v>
      </c>
      <c r="AG341" s="19">
        <f>IFERROR(__xludf.DUMMYFUNCTION("""COMPUTED_VALUE"""),150.0)</f>
        <v>150</v>
      </c>
      <c r="AH341" s="20"/>
      <c r="AI341" s="5">
        <f>IFERROR(__xludf.DUMMYFUNCTION("""COMPUTED_VALUE"""),346.5)</f>
        <v>346.5</v>
      </c>
      <c r="AJ341" s="5">
        <f>IFERROR(__xludf.DUMMYFUNCTION("""COMPUTED_VALUE"""),373.5)</f>
        <v>373.5</v>
      </c>
      <c r="AK341" s="5" t="str">
        <f>IFERROR(__xludf.DUMMYFUNCTION("""COMPUTED_VALUE"""),"La competitividad empresarial depende de una logística eficiente 📦
Con Gestión de Transportes aprenderás a planificar, coordinar y optimizar rutas y costos en casos reales 🚛.
Aquí te comparto la información 👇🏻")</f>
        <v>La competitividad empresarial depende de una logística eficiente 📦
Con Gestión de Transportes aprenderás a planificar, coordinar y optimizar rutas y costos en casos reales 🚛.
Aquí te comparto la información 👇🏻</v>
      </c>
      <c r="AL341" s="5" t="str">
        <f>IFERROR(__xludf.DUMMYFUNCTION("""COMPUTED_VALUE"""),"🌍 *Excelente*, actualízate con *GEST TRANSPORTES* y mantente competitivo en el mercado laboral.")</f>
        <v>🌍 *Excelente*, actualízate con *GEST TRANSPORTES* y mantente competitivo en el mercado laboral.</v>
      </c>
      <c r="AM341" s="5" t="str">
        <f>IFERROR(__xludf.DUMMYFUNCTION("""COMPUTED_VALUE"""),"📘 Buenísimo, *GEST TRANSPORTES* es de las competencias más pedidas por las empresas y aumentará tus oportunidades laborales.")</f>
        <v>📘 Buenísimo, *GEST TRANSPORTES* es de las competencias más pedidas por las empresas y aumentará tus oportunidades laborales.</v>
      </c>
      <c r="AN341" s="5" t="str">
        <f>IFERROR(__xludf.DUMMYFUNCTION("""COMPUTED_VALUE"""),"💼 ¡Genial! Con *GEST TRANSPORTES* sumarás una habilidad poderosa que te diferenciará desde la universidad.")</f>
        <v>💼 ¡Genial! Con *GEST TRANSPORTES* sumarás una habilidad poderosa que te diferenciará desde la universidad.</v>
      </c>
      <c r="AO341" s="5" t="str">
        <f>IFERROR(__xludf.DUMMYFUNCTION("""COMPUTED_VALUE"""),"📊 ¡Perfecto! Saber *GEST TRANSPORTES* te dará ventaja frente a otros postulantes para conseguir prácticas.")</f>
        <v>📊 ¡Perfecto! Saber *GEST TRANSPORTES* te dará ventaja frente a otros postulantes para conseguir prácticas.</v>
      </c>
      <c r="AP341" s="5" t="str">
        <f>IFERROR(__xludf.DUMMYFUNCTION("""COMPUTED_VALUE"""),"💼 ¡Excelente! Con *GEST TRANSPORTES* podrás aplicarlo en tu negocio y tomar decisiones más inteligentes.")</f>
        <v>💼 ¡Excelente! Con *GEST TRANSPORTES* podrás aplicarlo en tu negocio y tomar decisiones más inteligentes.</v>
      </c>
      <c r="AQ341" s="9" t="str">
        <f>IFERROR(__xludf.DUMMYFUNCTION("""COMPUTED_VALUE"""),"https://we-educacion.com/slides/gestion-de-transportes-73")</f>
        <v>https://we-educacion.com/slides/gestion-de-transportes-73</v>
      </c>
      <c r="AR341" s="5">
        <v>1.0</v>
      </c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</row>
    <row r="342" ht="15.75" customHeight="1">
      <c r="A342" s="5" t="s">
        <v>384</v>
      </c>
      <c r="B342" s="5" t="str">
        <f t="shared" si="1"/>
        <v>ABR. I - ED26</v>
      </c>
      <c r="C342" s="14" t="str">
        <f>IFERROR(__xludf.DUMMYFUNCTION("""COMPUTED_VALUE"""),"PROCESOS")</f>
        <v>PROCESOS</v>
      </c>
      <c r="D342" s="14" t="str">
        <f>IFERROR(__xludf.DUMMYFUNCTION("""COMPUTED_VALUE"""),"CURSO")</f>
        <v>CURSO</v>
      </c>
      <c r="E342" s="14" t="str">
        <f>IFERROR(__xludf.DUMMYFUNCTION("""COMPUTED_VALUE"""),"MODEL BIZ.")</f>
        <v>MODEL BIZ.</v>
      </c>
      <c r="F342" s="15">
        <f>IFERROR(__xludf.DUMMYFUNCTION("""COMPUTED_VALUE"""),46128.0)</f>
        <v>46128</v>
      </c>
      <c r="G342" s="14"/>
      <c r="H342" s="16"/>
      <c r="I342" s="14"/>
      <c r="J342" s="16"/>
      <c r="K342" s="14"/>
      <c r="L342" s="16"/>
      <c r="M342" s="14"/>
      <c r="N342" s="16"/>
      <c r="O342" s="14"/>
      <c r="P342" s="16"/>
      <c r="Q342" s="14" t="str">
        <f>IFERROR(__xludf.DUMMYFUNCTION("""COMPUTED_VALUE"""),"Julio Dávila")</f>
        <v>Julio Dávila</v>
      </c>
      <c r="R342" s="5" t="str">
        <f>IFERROR(__xludf.DUMMYFUNCTION("""COMPUTED_VALUE"""),"Jue")</f>
        <v>Jue</v>
      </c>
      <c r="S342" s="14" t="str">
        <f>IFERROR(__xludf.DUMMYFUNCTION("""COMPUTED_VALUE"""),"7PM - 10PM")</f>
        <v>7PM - 10PM</v>
      </c>
      <c r="T342" s="16" t="str">
        <f>IFERROR(__xludf.DUMMYFUNCTION("""COMPUTED_VALUE"""),"Jueves 16 Abril")</f>
        <v>Jueves 16 Abril</v>
      </c>
      <c r="U342" s="16" t="str">
        <f>IFERROR(__xludf.DUMMYFUNCTION("""COMPUTED_VALUE"""),"Jueves 21 Mayo")</f>
        <v>Jueves 21 Mayo</v>
      </c>
      <c r="V342" s="17">
        <f>IFERROR(__xludf.DUMMYFUNCTION("""COMPUTED_VALUE"""),6.0)</f>
        <v>6</v>
      </c>
      <c r="W342" s="5" t="str">
        <f>IFERROR(__xludf.DUMMYFUNCTION("""COMPUTED_VALUE"""),"pdfs/BROCHURE MODELAMIENTO DE PROCESOS CON BIZAGI.pdf")</f>
        <v>pdfs/BROCHURE MODELAMIENTO DE PROCESOS CON BIZAGI.pdf</v>
      </c>
      <c r="X342" s="18" t="str">
        <f>IFERROR(__xludf.DUMMYFUNCTION("""COMPUTED_VALUE"""),"🔵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programa"&amp;", el TEMARIO (malla curricular) y todos los BENEFICIOS 📚")</f>
        <v>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programa, el TEMARIO (malla curricular) y todos los BENEFICIOS 📚</v>
      </c>
      <c r="Y342" s="14" t="str">
        <f>IFERROR(__xludf.DUMMYFUNCTION("""COMPUTED_VALUE"""),"images/bizagi.jpg")</f>
        <v>images/bizagi.jpg</v>
      </c>
      <c r="Z342" s="14"/>
      <c r="AA342" s="14" t="str">
        <f>IFERROR(__xludf.DUMMYFUNCTION("""COMPUTED_VALUE"""),"NO")</f>
        <v>NO</v>
      </c>
      <c r="AB342" s="14">
        <f>IFERROR(__xludf.DUMMYFUNCTION("""COMPUTED_VALUE"""),610.0)</f>
        <v>610</v>
      </c>
      <c r="AC342" s="14">
        <f>IFERROR(__xludf.DUMMYFUNCTION("""COMPUTED_VALUE"""),550.0)</f>
        <v>550</v>
      </c>
      <c r="AD342" s="14">
        <f>IFERROR(__xludf.DUMMYFUNCTION("""COMPUTED_VALUE"""),305.0)</f>
        <v>305</v>
      </c>
      <c r="AE342" s="14">
        <f>IFERROR(__xludf.DUMMYFUNCTION("""COMPUTED_VALUE"""),275.0)</f>
        <v>275</v>
      </c>
      <c r="AF342" s="14">
        <f>IFERROR(__xludf.DUMMYFUNCTION("""COMPUTED_VALUE"""),150.0)</f>
        <v>150</v>
      </c>
      <c r="AG342" s="19">
        <f>IFERROR(__xludf.DUMMYFUNCTION("""COMPUTED_VALUE"""),150.0)</f>
        <v>150</v>
      </c>
      <c r="AH342" s="20"/>
      <c r="AI342" s="5">
        <f>IFERROR(__xludf.DUMMYFUNCTION("""COMPUTED_VALUE"""),247.5)</f>
        <v>247.5</v>
      </c>
      <c r="AJ342" s="5">
        <f>IFERROR(__xludf.DUMMYFUNCTION("""COMPUTED_VALUE"""),274.5)</f>
        <v>274.5</v>
      </c>
      <c r="AK342" s="5" t="str">
        <f>IFERROR(__xludf.DUMMYFUNCTION("""COMPUTED_VALUE"""),"*Entender el proceso es clave para cualquier proyecto* 🚀 
Aprende a diseñar, optimizar y automatizar procesos con Bizagi de forma práctica ⚙️
Ahora te adjunto la información a detalle 👇🏻")</f>
        <v>*Entender el proceso es clave para cualquier proyecto* 🚀 
Aprende a diseñar, optimizar y automatizar procesos con Bizagi de forma práctica ⚙️
Ahora te adjunto la información a detalle 👇🏻</v>
      </c>
      <c r="AL342" s="5" t="str">
        <f>IFERROR(__xludf.DUMMYFUNCTION("""COMPUTED_VALUE"""),"📈 Excelente, actualízate con Model Biz. y potencia tu visión estratégica en los negocios.")</f>
        <v>📈 Excelente, actualízate con Model Biz. y potencia tu visión estratégica en los negocios.</v>
      </c>
      <c r="AM342" s="5" t="str">
        <f>IFERROR(__xludf.DUMMYFUNCTION("""COMPUTED_VALUE"""),"💼 Buenísimo, dominar Model Biz. te dará más oportunidades en empresas que buscan perfiles analíticos.")</f>
        <v>💼 Buenísimo, dominar Model Biz. te dará más oportunidades en empresas que buscan perfiles analíticos.</v>
      </c>
      <c r="AN342" s="5" t="str">
        <f>IFERROR(__xludf.DUMMYFUNCTION("""COMPUTED_VALUE"""),"🎓 ¡Genial! Con Model Biz. sumarás una habilidad clave que te diferenciará desde la universidad.")</f>
        <v>🎓 ¡Genial! Con Model Biz. sumarás una habilidad clave que te diferenciará desde la universidad.</v>
      </c>
      <c r="AO342" s="5" t="str">
        <f>IFERROR(__xludf.DUMMYFUNCTION("""COMPUTED_VALUE"""),"🚀 ¡Perfecto! Conocer Model Biz. será un plus para destacar en prácticas profesionales.")</f>
        <v>🚀 ¡Perfecto! Conocer Model Biz. será un plus para destacar en prácticas profesionales.</v>
      </c>
      <c r="AP342" s="5" t="str">
        <f>IFERROR(__xludf.DUMMYFUNCTION("""COMPUTED_VALUE"""),"📊 ¡Excelente! Con Model Biz. podrás optimizar tu propio negocio y tomar decisiones más inteligentes.")</f>
        <v>📊 ¡Excelente! Con Model Biz. podrás optimizar tu propio negocio y tomar decisiones más inteligentes.</v>
      </c>
      <c r="AQ342" s="9" t="str">
        <f>IFERROR(__xludf.DUMMYFUNCTION("""COMPUTED_VALUE"""),"https://we-educacion.com/slides/modelamiento-de-procesos-con-bizagi-118")</f>
        <v>https://we-educacion.com/slides/modelamiento-de-procesos-con-bizagi-118</v>
      </c>
      <c r="AR342" s="5">
        <v>1.0</v>
      </c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</row>
    <row r="343" ht="15.75" customHeight="1">
      <c r="A343" s="5" t="s">
        <v>385</v>
      </c>
      <c r="B343" s="5" t="str">
        <f t="shared" si="1"/>
        <v>ABR. I - ED26</v>
      </c>
      <c r="C343" s="14" t="str">
        <f>IFERROR(__xludf.DUMMYFUNCTION("""COMPUTED_VALUE"""),"EXCEL")</f>
        <v>EXCEL</v>
      </c>
      <c r="D343" s="5" t="str">
        <f>IFERROR(__xludf.DUMMYFUNCTION("""COMPUTED_VALUE"""),"ESP.")</f>
        <v>ESP.</v>
      </c>
      <c r="E343" s="14" t="str">
        <f>IFERROR(__xludf.DUMMYFUNCTION("""COMPUTED_VALUE"""),"ESP. EXCEL EXP")</f>
        <v>ESP. EXCEL EXP</v>
      </c>
      <c r="F343" s="15">
        <f>IFERROR(__xludf.DUMMYFUNCTION("""COMPUTED_VALUE"""),46128.0)</f>
        <v>46128</v>
      </c>
      <c r="G343" s="14" t="str">
        <f>IFERROR(__xludf.DUMMYFUNCTION("""COMPUTED_VALUE"""),"EXCEL BÁSICO")</f>
        <v>EXCEL BÁSICO</v>
      </c>
      <c r="H343" s="16">
        <f>IFERROR(__xludf.DUMMYFUNCTION("""COMPUTED_VALUE"""),46128.0)</f>
        <v>46128</v>
      </c>
      <c r="I343" s="14" t="str">
        <f>IFERROR(__xludf.DUMMYFUNCTION("""COMPUTED_VALUE"""),"EXCEL INTERM")</f>
        <v>EXCEL INTERM</v>
      </c>
      <c r="J343" s="16">
        <f>IFERROR(__xludf.DUMMYFUNCTION("""COMPUTED_VALUE"""),46149.0)</f>
        <v>46149</v>
      </c>
      <c r="K343" s="14" t="str">
        <f>IFERROR(__xludf.DUMMYFUNCTION("""COMPUTED_VALUE"""),"EXCEL AVANZ")</f>
        <v>EXCEL AVANZ</v>
      </c>
      <c r="L343" s="16">
        <f>IFERROR(__xludf.DUMMYFUNCTION("""COMPUTED_VALUE"""),46170.0)</f>
        <v>46170</v>
      </c>
      <c r="M343" s="14" t="str">
        <f>IFERROR(__xludf.DUMMYFUNCTION("""COMPUTED_VALUE"""),"PROG. MACROS")</f>
        <v>PROG. MACROS</v>
      </c>
      <c r="N343" s="16">
        <f>IFERROR(__xludf.DUMMYFUNCTION("""COMPUTED_VALUE"""),46191.0)</f>
        <v>46191</v>
      </c>
      <c r="O343" s="14"/>
      <c r="P343" s="16"/>
      <c r="Q343" s="14"/>
      <c r="R343" s="5" t="str">
        <f>IFERROR(__xludf.DUMMYFUNCTION("""COMPUTED_VALUE"""),"Mar-Jue")</f>
        <v>Mar-Jue</v>
      </c>
      <c r="S343" s="14" t="str">
        <f>IFERROR(__xludf.DUMMYFUNCTION("""COMPUTED_VALUE"""),"7PM - 10PM")</f>
        <v>7PM - 10PM</v>
      </c>
      <c r="T343" s="16" t="str">
        <f>IFERROR(__xludf.DUMMYFUNCTION("""COMPUTED_VALUE"""),"Jueves 16 Abril")</f>
        <v>Jueves 16 Abril</v>
      </c>
      <c r="U343" s="16" t="str">
        <f>IFERROR(__xludf.DUMMYFUNCTION("""COMPUTED_VALUE"""),"Martes 7 Julio")</f>
        <v>Martes 7 Julio</v>
      </c>
      <c r="V343" s="17">
        <f>IFERROR(__xludf.DUMMYFUNCTION("""COMPUTED_VALUE"""),23.0)</f>
        <v>23</v>
      </c>
      <c r="W343" s="5" t="str">
        <f>IFERROR(__xludf.DUMMYFUNCTION("""COMPUTED_VALUE"""),"pdfs/BROCHURE ESPECIALIZACION DE EXCEL EXPERT.pdf")</f>
        <v>pdfs/BROCHURE ESPECIALIZACION DE EXCEL EXPERT.pdf</v>
      </c>
      <c r="X343" s="18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MOS*
🔹 "&amp;"05 Cursos Online de regalo con acceso ilimitado 📚
🔹 Desarrollo y seguimiento de tu proyecto *(Evaluado)*
🔹 Contenido Integrado con Chat GPT
🔹 Garantía de Aprendizaje 100%
🚨 *Por favor, revisa el BROCHURE* 👇🏻
Aqui encontrarás la información complet"&amp;"a del programa, el TEMARIO (malla curricular) y todos los BENEFICIOS 📚")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343" s="14" t="str">
        <f>IFERROR(__xludf.DUMMYFUNCTION("""COMPUTED_VALUE"""),"images/excelexp.jpg")</f>
        <v>images/excelexp.jpg</v>
      </c>
      <c r="Z343" s="14" t="str">
        <f>IFERROR(__xludf.DUMMYFUNCTION("""COMPUTED_VALUE"""),"Avalado por Microsoft Partner Network")</f>
        <v>Avalado por Microsoft Partner Network</v>
      </c>
      <c r="AA343" s="14" t="str">
        <f>IFERROR(__xludf.DUMMYFUNCTION("""COMPUTED_VALUE"""),"NO")</f>
        <v>NO</v>
      </c>
      <c r="AB343" s="14">
        <f>IFERROR(__xludf.DUMMYFUNCTION("""COMPUTED_VALUE"""),1600.0)</f>
        <v>1600</v>
      </c>
      <c r="AC343" s="14">
        <f>IFERROR(__xludf.DUMMYFUNCTION("""COMPUTED_VALUE"""),1520.0)</f>
        <v>1520</v>
      </c>
      <c r="AD343" s="14">
        <f>IFERROR(__xludf.DUMMYFUNCTION("""COMPUTED_VALUE"""),800.0)</f>
        <v>800</v>
      </c>
      <c r="AE343" s="14">
        <f>IFERROR(__xludf.DUMMYFUNCTION("""COMPUTED_VALUE"""),760.0)</f>
        <v>760</v>
      </c>
      <c r="AF343" s="14">
        <f>IFERROR(__xludf.DUMMYFUNCTION("""COMPUTED_VALUE"""),250.0)</f>
        <v>250</v>
      </c>
      <c r="AG343" s="19">
        <f>IFERROR(__xludf.DUMMYFUNCTION("""COMPUTED_VALUE"""),350.0)</f>
        <v>350</v>
      </c>
      <c r="AH343" s="20"/>
      <c r="AI343" s="5">
        <f>IFERROR(__xludf.DUMMYFUNCTION("""COMPUTED_VALUE"""),684.0)</f>
        <v>684</v>
      </c>
      <c r="AJ343" s="5">
        <f>IFERROR(__xludf.DUMMYFUNCTION("""COMPUTED_VALUE"""),720.0)</f>
        <v>720</v>
      </c>
      <c r="AK343" s="5" t="str">
        <f>IFERROR(__xludf.DUMMYFUNCTION("""COMPUTED_VALUE"""),"El lenguaje de los profesionales competitivos es Excel Experto 🔥
En pocas semanas dominarás funciones avanzadas y automatización aplicada a casos reales de negocio.
Ahora te comparto la información completa 👇🏻")</f>
        <v>El lenguaje de los profesionales competitivos es Excel Experto 🔥
En pocas semanas dominarás funciones avanzadas y automatización aplicada a casos reales de negocio.
Ahora te comparto la información completa 👇🏻</v>
      </c>
      <c r="AL343" s="5" t="str">
        <f>IFERROR(__xludf.DUMMYFUNCTION("""COMPUTED_VALUE"""),"Excelente 🙌, con Excel Experto actualizarás tus habilidades en funciones avanzadas y automatización ⚡, manteniéndote competitivo.")</f>
        <v>Excelente 🙌, con Excel Experto actualizarás tus habilidades en funciones avanzadas y automatización ⚡, manteniéndote competitivo.</v>
      </c>
      <c r="AM343" s="5" t="str">
        <f>IFERROR(__xludf.DUMMYFUNCTION("""COMPUTED_VALUE"""),"Buenísimo 💼, Excel es de las competencias más pedidas 📊. Dominarlo abrirá más oportunidades laborales 🚀.")</f>
        <v>Buenísimo 💼, Excel es de las competencias más pedidas 📊. Dominarlo abrirá más oportunidades laborales 🚀.</v>
      </c>
      <c r="AN343" s="5" t="str">
        <f>IFERROR(__xludf.DUMMYFUNCTION("""COMPUTED_VALUE"""),"¡Excelente! 🎓 Con Excel Experto sumarás una ventaja práctica desde la universidad y destacarás en tus proyectos 📘.")</f>
        <v>¡Excelente! 🎓 Con Excel Experto sumarás una ventaja práctica desde la universidad y destacarás en tus proyectos 📘.</v>
      </c>
      <c r="AO343" s="5" t="str">
        <f>IFERROR(__xludf.DUMMYFUNCTION("""COMPUTED_VALUE"""),"¡Perfecto! 🔑 Saber Excel Experto te dará ventaja frente a otros postulantes, clave para conseguir prácticas 📝.")</f>
        <v>¡Perfecto! 🔑 Saber Excel Experto te dará ventaja frente a otros postulantes, clave para conseguir prácticas 📝.</v>
      </c>
      <c r="AP343" s="5" t="str">
        <f>IFERROR(__xludf.DUMMYFUNCTION("""COMPUTED_VALUE"""),"¡Excelente! 💡 Con Excel Experto podrás manejar y analizar la información de tu negocio 📈 de forma más profesional.")</f>
        <v>¡Excelente! 💡 Con Excel Experto podrás manejar y analizar la información de tu negocio 📈 de forma más profesional.</v>
      </c>
      <c r="AQ343" s="9" t="str">
        <f>IFERROR(__xludf.DUMMYFUNCTION("""COMPUTED_VALUE"""),"https://we-educacion.com/slides/especializacion-en-microsoft-excel-expert-272")</f>
        <v>https://we-educacion.com/slides/especializacion-en-microsoft-excel-expert-272</v>
      </c>
      <c r="AR343" s="5">
        <v>1.0</v>
      </c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</row>
    <row r="344" ht="15.75" customHeight="1">
      <c r="A344" s="5" t="s">
        <v>386</v>
      </c>
      <c r="B344" s="5" t="str">
        <f t="shared" si="1"/>
        <v>ABR. I - ED26</v>
      </c>
      <c r="C344" s="14" t="str">
        <f>IFERROR(__xludf.DUMMYFUNCTION("""COMPUTED_VALUE"""),"EXCEL")</f>
        <v>EXCEL</v>
      </c>
      <c r="D344" s="20" t="str">
        <f>IFERROR(__xludf.DUMMYFUNCTION("""COMPUTED_VALUE"""),"ESP.")</f>
        <v>ESP.</v>
      </c>
      <c r="E344" s="14" t="str">
        <f>IFERROR(__xludf.DUMMYFUNCTION("""COMPUTED_VALUE"""),"ESPEC. EXCEL")</f>
        <v>ESPEC. EXCEL</v>
      </c>
      <c r="F344" s="15">
        <f>IFERROR(__xludf.DUMMYFUNCTION("""COMPUTED_VALUE"""),46128.0)</f>
        <v>46128</v>
      </c>
      <c r="G344" s="14" t="str">
        <f>IFERROR(__xludf.DUMMYFUNCTION("""COMPUTED_VALUE"""),"EXCEL BÁSICO")</f>
        <v>EXCEL BÁSICO</v>
      </c>
      <c r="H344" s="16">
        <f>IFERROR(__xludf.DUMMYFUNCTION("""COMPUTED_VALUE"""),46128.0)</f>
        <v>46128</v>
      </c>
      <c r="I344" s="14" t="str">
        <f>IFERROR(__xludf.DUMMYFUNCTION("""COMPUTED_VALUE"""),"EXCEL INTERM")</f>
        <v>EXCEL INTERM</v>
      </c>
      <c r="J344" s="16">
        <f>IFERROR(__xludf.DUMMYFUNCTION("""COMPUTED_VALUE"""),46149.0)</f>
        <v>46149</v>
      </c>
      <c r="K344" s="14" t="str">
        <f>IFERROR(__xludf.DUMMYFUNCTION("""COMPUTED_VALUE"""),"EXCEL AVANZ")</f>
        <v>EXCEL AVANZ</v>
      </c>
      <c r="L344" s="16">
        <f>IFERROR(__xludf.DUMMYFUNCTION("""COMPUTED_VALUE"""),46170.0)</f>
        <v>46170</v>
      </c>
      <c r="M344" s="14"/>
      <c r="N344" s="16"/>
      <c r="O344" s="14"/>
      <c r="P344" s="16"/>
      <c r="Q344" s="14"/>
      <c r="R344" s="5" t="str">
        <f>IFERROR(__xludf.DUMMYFUNCTION("""COMPUTED_VALUE"""),"Mar-Jue")</f>
        <v>Mar-Jue</v>
      </c>
      <c r="S344" s="14" t="str">
        <f>IFERROR(__xludf.DUMMYFUNCTION("""COMPUTED_VALUE"""),"7PM - 10PM")</f>
        <v>7PM - 10PM</v>
      </c>
      <c r="T344" s="16" t="str">
        <f>IFERROR(__xludf.DUMMYFUNCTION("""COMPUTED_VALUE"""),"Jueves 16 Abril")</f>
        <v>Jueves 16 Abril</v>
      </c>
      <c r="U344" s="16" t="str">
        <f>IFERROR(__xludf.DUMMYFUNCTION("""COMPUTED_VALUE"""),"Martes 16 Junio")</f>
        <v>Martes 16 Junio</v>
      </c>
      <c r="V344" s="17">
        <f>IFERROR(__xludf.DUMMYFUNCTION("""COMPUTED_VALUE"""),17.0)</f>
        <v>17</v>
      </c>
      <c r="W344" s="5" t="str">
        <f>IFERROR(__xludf.DUMMYFUNCTION("""COMPUTED_VALUE"""),"pdfs/BROCHURE ESPECIALIZACION DE EXCEL.pdf")</f>
        <v>pdfs/BROCHURE ESPECIALIZACION DE EXCEL.pdf</v>
      </c>
      <c r="X344" s="18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*Por favor, revisa el BROCHURE* 👇🏻
Aqui encontrarás la información completa del programa, el TEMARIO (malla curricular) y todos los BE"&amp;"NEFICIOS 📚")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344" s="14" t="str">
        <f>IFERROR(__xludf.DUMMYFUNCTION("""COMPUTED_VALUE"""),"images/espexcel.jpg")</f>
        <v>images/espexcel.jpg</v>
      </c>
      <c r="Z344" s="14" t="str">
        <f>IFERROR(__xludf.DUMMYFUNCTION("""COMPUTED_VALUE"""),"Avalado por Microsoft Partner Network")</f>
        <v>Avalado por Microsoft Partner Network</v>
      </c>
      <c r="AA344" s="14" t="str">
        <f>IFERROR(__xludf.DUMMYFUNCTION("""COMPUTED_VALUE"""),"NO")</f>
        <v>NO</v>
      </c>
      <c r="AB344" s="14">
        <f>IFERROR(__xludf.DUMMYFUNCTION("""COMPUTED_VALUE"""),1200.0)</f>
        <v>1200</v>
      </c>
      <c r="AC344" s="14">
        <f>IFERROR(__xludf.DUMMYFUNCTION("""COMPUTED_VALUE"""),1140.0)</f>
        <v>1140</v>
      </c>
      <c r="AD344" s="14">
        <f>IFERROR(__xludf.DUMMYFUNCTION("""COMPUTED_VALUE"""),600.0)</f>
        <v>600</v>
      </c>
      <c r="AE344" s="14">
        <f>IFERROR(__xludf.DUMMYFUNCTION("""COMPUTED_VALUE"""),570.0)</f>
        <v>570</v>
      </c>
      <c r="AF344" s="14">
        <f>IFERROR(__xludf.DUMMYFUNCTION("""COMPUTED_VALUE"""),250.0)</f>
        <v>250</v>
      </c>
      <c r="AG344" s="19">
        <f>IFERROR(__xludf.DUMMYFUNCTION("""COMPUTED_VALUE"""),350.0)</f>
        <v>350</v>
      </c>
      <c r="AH344" s="20"/>
      <c r="AI344" s="5">
        <f>IFERROR(__xludf.DUMMYFUNCTION("""COMPUTED_VALUE"""),513.0)</f>
        <v>513</v>
      </c>
      <c r="AJ344" s="5">
        <f>IFERROR(__xludf.DUMMYFUNCTION("""COMPUTED_VALUE"""),540.0)</f>
        <v>540</v>
      </c>
      <c r="AK344" s="5" t="str">
        <f>IFERROR(__xludf.DUMMYFUNCTION("""COMPUTED_VALUE"""),"Hoy el dominio de datos se traduce en oportunidades 🚀
Con la Especialización en Excel aprenderás a manejar información con agilidad y a tomar decisiones estratégicas con base en datos 💼.
Aquí tienes la info a detalle 👇🏻")</f>
        <v>Hoy el dominio de datos se traduce en oportunidades 🚀
Con la Especialización en Excel aprenderás a manejar información con agilidad y a tomar decisiones estratégicas con base en datos 💼.
Aquí tienes la info a detalle 👇🏻</v>
      </c>
      <c r="AL344" s="5" t="str">
        <f>IFERROR(__xludf.DUMMYFUNCTION("""COMPUTED_VALUE"""),"Excelente 🙌, actualízate con la Especialización en Excel y mantén al día tus competencias más demandadas 🔥.")</f>
        <v>Excelente 🙌, actualízate con la Especialización en Excel y mantén al día tus competencias más demandadas 🔥.</v>
      </c>
      <c r="AM344" s="5" t="str">
        <f>IFERROR(__xludf.DUMMYFUNCTION("""COMPUTED_VALUE"""),"Buenísimo 💼, las empresas valoran muchísimo el dominio de Excel. Con esta especialización, aumentarás tus opciones de empleo 🚀")</f>
        <v>Buenísimo 💼, las empresas valoran muchísimo el dominio de Excel. Con esta especialización, aumentarás tus opciones de empleo 🚀</v>
      </c>
      <c r="AN344" s="5" t="str">
        <f>IFERROR(__xludf.DUMMYFUNCTION("""COMPUTED_VALUE"""),"¡Excelente! 🎓 Con Excel aprenderás a manejar datos y reportes 📊, diferenciándote en la universidad.")</f>
        <v>¡Excelente! 🎓 Con Excel aprenderás a manejar datos y reportes 📊, diferenciándote en la universidad.</v>
      </c>
      <c r="AO344" s="5" t="str">
        <f>IFERROR(__xludf.DUMMYFUNCTION("""COMPUTED_VALUE"""),"¡Perfecto! ✅ Saber Excel es un plus muy valorado para acceder a prácticas 👩🏻‍💻👨🏻‍💻.")</f>
        <v>¡Perfecto! ✅ Saber Excel es un plus muy valorado para acceder a prácticas 👩🏻‍💻👨🏻‍💻.</v>
      </c>
      <c r="AP344" s="5" t="str">
        <f>IFERROR(__xludf.DUMMYFUNCTION("""COMPUTED_VALUE"""),"¡Excelente! 💡 Con Excel gestionarás tu negocio con reportes claros 📑 y decisiones inteligentes.")</f>
        <v>¡Excelente! 💡 Con Excel gestionarás tu negocio con reportes claros 📑 y decisiones inteligentes.</v>
      </c>
      <c r="AQ344" s="9" t="str">
        <f>IFERROR(__xludf.DUMMYFUNCTION("""COMPUTED_VALUE"""),"https://we-educacion.com/slides/especializacion-en-microsoft-excel-77")</f>
        <v>https://we-educacion.com/slides/especializacion-en-microsoft-excel-77</v>
      </c>
      <c r="AR344" s="5">
        <v>1.0</v>
      </c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</row>
    <row r="345" ht="15.75" customHeight="1">
      <c r="A345" s="5" t="s">
        <v>387</v>
      </c>
      <c r="B345" s="5" t="str">
        <f t="shared" si="1"/>
        <v>ABR. I - ED26</v>
      </c>
      <c r="C345" s="14" t="str">
        <f>IFERROR(__xludf.DUMMYFUNCTION("""COMPUTED_VALUE"""),"EXCEL")</f>
        <v>EXCEL</v>
      </c>
      <c r="D345" s="14" t="str">
        <f>IFERROR(__xludf.DUMMYFUNCTION("""COMPUTED_VALUE"""),"CURSO")</f>
        <v>CURSO</v>
      </c>
      <c r="E345" s="14" t="str">
        <f>IFERROR(__xludf.DUMMYFUNCTION("""COMPUTED_VALUE"""),"EXCEL BÁSICO")</f>
        <v>EXCEL BÁSICO</v>
      </c>
      <c r="F345" s="15">
        <f>IFERROR(__xludf.DUMMYFUNCTION("""COMPUTED_VALUE"""),46128.0)</f>
        <v>46128</v>
      </c>
      <c r="G345" s="14"/>
      <c r="H345" s="16"/>
      <c r="I345" s="14"/>
      <c r="J345" s="16"/>
      <c r="K345" s="14"/>
      <c r="L345" s="16"/>
      <c r="M345" s="14"/>
      <c r="N345" s="16"/>
      <c r="O345" s="14"/>
      <c r="P345" s="16"/>
      <c r="Q345" s="14"/>
      <c r="R345" s="5" t="str">
        <f>IFERROR(__xludf.DUMMYFUNCTION("""COMPUTED_VALUE"""),"Mar-Jue")</f>
        <v>Mar-Jue</v>
      </c>
      <c r="S345" s="14" t="str">
        <f>IFERROR(__xludf.DUMMYFUNCTION("""COMPUTED_VALUE"""),"7PM - 10PM")</f>
        <v>7PM - 10PM</v>
      </c>
      <c r="T345" s="16" t="str">
        <f>IFERROR(__xludf.DUMMYFUNCTION("""COMPUTED_VALUE"""),"Jueves 16 Abril")</f>
        <v>Jueves 16 Abril</v>
      </c>
      <c r="U345" s="16" t="str">
        <f>IFERROR(__xludf.DUMMYFUNCTION("""COMPUTED_VALUE"""),"Jueves 30 Abril")</f>
        <v>Jueves 30 Abril</v>
      </c>
      <c r="V345" s="17">
        <f>IFERROR(__xludf.DUMMYFUNCTION("""COMPUTED_VALUE"""),5.0)</f>
        <v>5</v>
      </c>
      <c r="W345" s="5" t="str">
        <f>IFERROR(__xludf.DUMMYFUNCTION("""COMPUTED_VALUE"""),"pdfs/BROCHURE EXCEL BÁSICO.pdf")</f>
        <v>pdfs/BROCHURE EXCEL BÁSICO.pdf</v>
      </c>
      <c r="X345" s="18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345" s="14" t="str">
        <f>IFERROR(__xludf.DUMMYFUNCTION("""COMPUTED_VALUE"""),"images/excelbasico.jpg")</f>
        <v>images/excelbasico.jpg</v>
      </c>
      <c r="Z345" s="14" t="str">
        <f>IFERROR(__xludf.DUMMYFUNCTION("""COMPUTED_VALUE"""),"Avalado por Microsoft Partner Network")</f>
        <v>Avalado por Microsoft Partner Network</v>
      </c>
      <c r="AA345" s="14" t="str">
        <f>IFERROR(__xludf.DUMMYFUNCTION("""COMPUTED_VALUE"""),"NO")</f>
        <v>NO</v>
      </c>
      <c r="AB345" s="14">
        <f>IFERROR(__xludf.DUMMYFUNCTION("""COMPUTED_VALUE"""),400.0)</f>
        <v>400</v>
      </c>
      <c r="AC345" s="14">
        <f>IFERROR(__xludf.DUMMYFUNCTION("""COMPUTED_VALUE"""),380.0)</f>
        <v>380</v>
      </c>
      <c r="AD345" s="14">
        <f>IFERROR(__xludf.DUMMYFUNCTION("""COMPUTED_VALUE"""),200.0)</f>
        <v>200</v>
      </c>
      <c r="AE345" s="14">
        <f>IFERROR(__xludf.DUMMYFUNCTION("""COMPUTED_VALUE"""),190.0)</f>
        <v>190</v>
      </c>
      <c r="AF345" s="14">
        <f>IFERROR(__xludf.DUMMYFUNCTION("""COMPUTED_VALUE"""),150.0)</f>
        <v>150</v>
      </c>
      <c r="AG345" s="19">
        <f>IFERROR(__xludf.DUMMYFUNCTION("""COMPUTED_VALUE"""),150.0)</f>
        <v>150</v>
      </c>
      <c r="AH345" s="20"/>
      <c r="AI345" s="5">
        <f>IFERROR(__xludf.DUMMYFUNCTION("""COMPUTED_VALUE"""),171.0)</f>
        <v>171</v>
      </c>
      <c r="AJ345" s="5">
        <f>IFERROR(__xludf.DUMMYFUNCTION("""COMPUTED_VALUE"""),180.0)</f>
        <v>180</v>
      </c>
      <c r="AK345" s="5" t="str">
        <f>IFERROR(__xludf.DUMMYFUNCTION("""COMPUTED_VALUE"""),"Todo gran profesional empieza dominando Excel Básico 📝
En pocas semanas aprenderás a manejar hojas de cálculo y análisis de datos de forma práctica 💼.
Aquí la información completa 👇🏻")</f>
        <v>Todo gran profesional empieza dominando Excel Básico 📝
En pocas semanas aprenderás a manejar hojas de cálculo y análisis de datos de forma práctica 💼.
Aquí la información completa 👇🏻</v>
      </c>
      <c r="AL345" s="5" t="str">
        <f>IFERROR(__xludf.DUMMYFUNCTION("""COMPUTED_VALUE"""),"🔑 *Excelente*, actualízate con *EXCEL BÁSICO* y mantente competitivo en el mercado laboral.")</f>
        <v>🔑 *Excelente*, actualízate con *EXCEL BÁSICO* y mantente competitivo en el mercado laboral.</v>
      </c>
      <c r="AM345" s="5" t="str">
        <f>IFERROR(__xludf.DUMMYFUNCTION("""COMPUTED_VALUE"""),"💼 Buenísimo, *EXCEL BÁSICO* es de las competencias más pedidas por las empresas y aumentará tus oportunidades laborales.")</f>
        <v>💼 Buenísimo, *EXCEL BÁSICO* es de las competencias más pedidas por las empresas y aumentará tus oportunidades laborales.</v>
      </c>
      <c r="AN345" s="5" t="str">
        <f>IFERROR(__xludf.DUMMYFUNCTION("""COMPUTED_VALUE"""),"⚡ ¡Genial! Con *EXCEL BÁSICO* sumarás una habilidad poderosa que te diferenciará desde la universidad.")</f>
        <v>⚡ ¡Genial! Con *EXCEL BÁSICO* sumarás una habilidad poderosa que te diferenciará desde la universidad.</v>
      </c>
      <c r="AO345" s="5" t="str">
        <f>IFERROR(__xludf.DUMMYFUNCTION("""COMPUTED_VALUE"""),"🎓 ¡Perfecto! Saber *EXCEL BÁSICO* te dará ventaja frente a otros postulantes para conseguir prácticas.")</f>
        <v>🎓 ¡Perfecto! Saber *EXCEL BÁSICO* te dará ventaja frente a otros postulantes para conseguir prácticas.</v>
      </c>
      <c r="AP345" s="5" t="str">
        <f>IFERROR(__xludf.DUMMYFUNCTION("""COMPUTED_VALUE"""),"🏆 ¡Excelente! Con *EXCEL BÁSICO* podrás aplicarlo en tu negocio y tomar decisiones más inteligentes.")</f>
        <v>🏆 ¡Excelente! Con *EXCEL BÁSICO* podrás aplicarlo en tu negocio y tomar decisiones más inteligentes.</v>
      </c>
      <c r="AQ345" s="9" t="str">
        <f>IFERROR(__xludf.DUMMYFUNCTION("""COMPUTED_VALUE"""),"https://we-educacion.com/slides/microsoft-excel-basico-221")</f>
        <v>https://we-educacion.com/slides/microsoft-excel-basico-221</v>
      </c>
      <c r="AR345" s="5">
        <v>1.0</v>
      </c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</row>
    <row r="346" ht="15.75" customHeight="1">
      <c r="A346" s="5" t="s">
        <v>388</v>
      </c>
      <c r="B346" s="5" t="str">
        <f t="shared" si="1"/>
        <v>ABR. I - ED26</v>
      </c>
      <c r="C346" s="14" t="str">
        <f>IFERROR(__xludf.DUMMYFUNCTION("""COMPUTED_VALUE"""),"BI")</f>
        <v>BI</v>
      </c>
      <c r="D346" s="14" t="str">
        <f>IFERROR(__xludf.DUMMYFUNCTION("""COMPUTED_VALUE"""),"CURSO")</f>
        <v>CURSO</v>
      </c>
      <c r="E346" s="14" t="str">
        <f>IFERROR(__xludf.DUMMYFUNCTION("""COMPUTED_VALUE"""),"SQL AVANZ")</f>
        <v>SQL AVANZ</v>
      </c>
      <c r="F346" s="15">
        <f>IFERROR(__xludf.DUMMYFUNCTION("""COMPUTED_VALUE"""),46130.0)</f>
        <v>46130</v>
      </c>
      <c r="G346" s="14"/>
      <c r="H346" s="16"/>
      <c r="I346" s="14"/>
      <c r="J346" s="16"/>
      <c r="K346" s="14"/>
      <c r="L346" s="16"/>
      <c r="M346" s="14"/>
      <c r="N346" s="16"/>
      <c r="O346" s="14"/>
      <c r="P346" s="16"/>
      <c r="Q346" s="14" t="str">
        <f>IFERROR(__xludf.DUMMYFUNCTION("""COMPUTED_VALUE"""),"Oscar Moreno")</f>
        <v>Oscar Moreno</v>
      </c>
      <c r="R346" s="5" t="str">
        <f>IFERROR(__xludf.DUMMYFUNCTION("""COMPUTED_VALUE"""),"Sáb")</f>
        <v>Sáb</v>
      </c>
      <c r="S346" s="14" t="str">
        <f>IFERROR(__xludf.DUMMYFUNCTION("""COMPUTED_VALUE"""),"3PM - 6PM")</f>
        <v>3PM - 6PM</v>
      </c>
      <c r="T346" s="16" t="str">
        <f>IFERROR(__xludf.DUMMYFUNCTION("""COMPUTED_VALUE"""),"Sábado 18 Abril")</f>
        <v>Sábado 18 Abril</v>
      </c>
      <c r="U346" s="16" t="str">
        <f>IFERROR(__xludf.DUMMYFUNCTION("""COMPUTED_VALUE"""),"Sábado 23 Mayo")</f>
        <v>Sábado 23 Mayo</v>
      </c>
      <c r="V346" s="17">
        <f>IFERROR(__xludf.DUMMYFUNCTION("""COMPUTED_VALUE"""),6.0)</f>
        <v>6</v>
      </c>
      <c r="W346" s="5" t="str">
        <f>IFERROR(__xludf.DUMMYFUNCTION("""COMPUTED_VALUE"""),"pdfs/BROCHURE SQL SERVER AVANZADO.pdf")</f>
        <v>pdfs/BROCHURE SQL SERVER AVANZADO.pdf</v>
      </c>
      <c r="X346" s="18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46" s="14" t="str">
        <f>IFERROR(__xludf.DUMMYFUNCTION("""COMPUTED_VALUE"""),"images/sqlavanz.jpg")</f>
        <v>images/sqlavanz.jpg</v>
      </c>
      <c r="Z346" s="14" t="str">
        <f>IFERROR(__xludf.DUMMYFUNCTION("""COMPUTED_VALUE"""),"Avalado por Microsoft Partner Network")</f>
        <v>Avalado por Microsoft Partner Network</v>
      </c>
      <c r="AA346" s="14" t="str">
        <f>IFERROR(__xludf.DUMMYFUNCTION("""COMPUTED_VALUE"""),"NO")</f>
        <v>NO</v>
      </c>
      <c r="AB346" s="14">
        <f>IFERROR(__xludf.DUMMYFUNCTION("""COMPUTED_VALUE"""),830.0)</f>
        <v>830</v>
      </c>
      <c r="AC346" s="14">
        <f>IFERROR(__xludf.DUMMYFUNCTION("""COMPUTED_VALUE"""),740.0)</f>
        <v>740</v>
      </c>
      <c r="AD346" s="14">
        <f>IFERROR(__xludf.DUMMYFUNCTION("""COMPUTED_VALUE"""),415.0)</f>
        <v>415</v>
      </c>
      <c r="AE346" s="14">
        <f>IFERROR(__xludf.DUMMYFUNCTION("""COMPUTED_VALUE"""),370.0)</f>
        <v>370</v>
      </c>
      <c r="AF346" s="14">
        <f>IFERROR(__xludf.DUMMYFUNCTION("""COMPUTED_VALUE"""),150.0)</f>
        <v>150</v>
      </c>
      <c r="AG346" s="19">
        <f>IFERROR(__xludf.DUMMYFUNCTION("""COMPUTED_VALUE"""),150.0)</f>
        <v>150</v>
      </c>
      <c r="AH346" s="20"/>
      <c r="AI346" s="5">
        <f>IFERROR(__xludf.DUMMYFUNCTION("""COMPUTED_VALUE"""),333.0)</f>
        <v>333</v>
      </c>
      <c r="AJ346" s="5">
        <f>IFERROR(__xludf.DUMMYFUNCTION("""COMPUTED_VALUE"""),373.5)</f>
        <v>373.5</v>
      </c>
      <c r="AK346" s="5" t="str">
        <f>IFERROR(__xludf.DUMMYFUNCTION("""COMPUTED_VALUE"""),"El poder de los datos se libera con SQL Avanzado 🔎
Aprenderás consultas complejas y análisis de bases de datos aplicables a proyectos reales 💻.
Aquí tienes la info completa 👇🏻")</f>
        <v>El poder de los datos se libera con SQL Avanzado 🔎
Aprenderás consultas complejas y análisis de bases de datos aplicables a proyectos reales 💻.
Aquí tienes la info completa 👇🏻</v>
      </c>
      <c r="AL346" s="5" t="str">
        <f>IFERROR(__xludf.DUMMYFUNCTION("""COMPUTED_VALUE"""),"💻 Excelente, actualízate con SQL Avanzado y domina la gestión de bases de datos.")</f>
        <v>💻 Excelente, actualízate con SQL Avanzado y domina la gestión de bases de datos.</v>
      </c>
      <c r="AM346" s="5" t="str">
        <f>IFERROR(__xludf.DUMMYFUNCTION("""COMPUTED_VALUE"""),"💼 Buenísimo, SQL es muy demandado en empresas que manejan grandes volúmenes de datos.")</f>
        <v>💼 Buenísimo, SQL es muy demandado en empresas que manejan grandes volúmenes de datos.</v>
      </c>
      <c r="AN346" s="5" t="str">
        <f>IFERROR(__xludf.DUMMYFUNCTION("""COMPUTED_VALUE"""),"🎓 ¡Genial! Con SQL Avanzado aprenderás análisis de datos desde la universidad.")</f>
        <v>🎓 ¡Genial! Con SQL Avanzado aprenderás análisis de datos desde la universidad.</v>
      </c>
      <c r="AO346" s="5" t="str">
        <f>IFERROR(__xludf.DUMMYFUNCTION("""COMPUTED_VALUE"""),"🚀 ¡Perfecto! Saber SQL te dará ventaja en prácticas de análisis e inteligencia de negocios.")</f>
        <v>🚀 ¡Perfecto! Saber SQL te dará ventaja en prácticas de análisis e inteligencia de negocios.</v>
      </c>
      <c r="AP346" s="5" t="str">
        <f>IFERROR(__xludf.DUMMYFUNCTION("""COMPUTED_VALUE"""),"📊 ¡Excelente! Con SQL Avanzado podrás manejar la información de tu negocio con precisión.")</f>
        <v>📊 ¡Excelente! Con SQL Avanzado podrás manejar la información de tu negocio con precisión.</v>
      </c>
      <c r="AQ346" s="9" t="str">
        <f>IFERROR(__xludf.DUMMYFUNCTION("""COMPUTED_VALUE"""),"https://we-educacion.com/slides/sql-server-avanzado-93")</f>
        <v>https://we-educacion.com/slides/sql-server-avanzado-93</v>
      </c>
      <c r="AR346" s="5">
        <v>1.0</v>
      </c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</row>
    <row r="347" ht="15.75" customHeight="1">
      <c r="A347" s="5" t="s">
        <v>389</v>
      </c>
      <c r="B347" s="5" t="str">
        <f t="shared" si="1"/>
        <v>ABR. I - ED26</v>
      </c>
      <c r="C347" s="14" t="str">
        <f>IFERROR(__xludf.DUMMYFUNCTION("""COMPUTED_VALUE"""),"SAP")</f>
        <v>SAP</v>
      </c>
      <c r="D347" s="5" t="str">
        <f>IFERROR(__xludf.DUMMYFUNCTION("""COMPUTED_VALUE"""),"CURSO")</f>
        <v>CURSO</v>
      </c>
      <c r="E347" s="14" t="str">
        <f>IFERROR(__xludf.DUMMYFUNCTION("""COMPUTED_VALUE"""),"SAP HANA PP")</f>
        <v>SAP HANA PP</v>
      </c>
      <c r="F347" s="15">
        <f>IFERROR(__xludf.DUMMYFUNCTION("""COMPUTED_VALUE"""),46130.0)</f>
        <v>46130</v>
      </c>
      <c r="G347" s="14"/>
      <c r="H347" s="16"/>
      <c r="I347" s="14"/>
      <c r="J347" s="16"/>
      <c r="K347" s="14"/>
      <c r="L347" s="16"/>
      <c r="M347" s="14"/>
      <c r="N347" s="16"/>
      <c r="O347" s="14"/>
      <c r="P347" s="16"/>
      <c r="Q347" s="14"/>
      <c r="R347" s="5" t="str">
        <f>IFERROR(__xludf.DUMMYFUNCTION("""COMPUTED_VALUE"""),"Sáb")</f>
        <v>Sáb</v>
      </c>
      <c r="S347" s="14" t="str">
        <f>IFERROR(__xludf.DUMMYFUNCTION("""COMPUTED_VALUE"""),"3PM - 6PM")</f>
        <v>3PM - 6PM</v>
      </c>
      <c r="T347" s="16" t="str">
        <f>IFERROR(__xludf.DUMMYFUNCTION("""COMPUTED_VALUE"""),"Sábado 18 Abril")</f>
        <v>Sábado 18 Abril</v>
      </c>
      <c r="U347" s="16" t="str">
        <f>IFERROR(__xludf.DUMMYFUNCTION("""COMPUTED_VALUE"""),"Sábado 23 Mayo")</f>
        <v>Sábado 23 Mayo</v>
      </c>
      <c r="V347" s="17">
        <f>IFERROR(__xludf.DUMMYFUNCTION("""COMPUTED_VALUE"""),6.0)</f>
        <v>6</v>
      </c>
      <c r="W347" s="5" t="str">
        <f>IFERROR(__xludf.DUMMYFUNCTION("""COMPUTED_VALUE"""),"pdfs/BROCHURE SAP HANA PP MODULO PRODUCCION.pdf")</f>
        <v>pdfs/BROCHURE SAP HANA PP MODULO PRODUCCION.pdf</v>
      </c>
      <c r="X347" s="18" t="str">
        <f>IFERROR(__xludf.DUMMYFUNCTION("""COMPUTED_VALUE"""),"🔵 *Conoce TODOS los BENEFICIOS a los que accedes*
🔹 Acceso a *Campus Virtual* WE 👩🏻‍🏫
🔹 Material digital y grabación de clases 
🔹 Certificado digital con respaldo *SAP Partner*
🔹 04 Cursos Online de regalo con acceso ilimitado 📚
🔹 Acceso "&amp;"a *Curso SAP R3 con certificación* incluida
🔹 Taller de Automatización SAP con RPA
🔹 Garantía de Aprendizaje 100% 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347" s="14" t="str">
        <f>IFERROR(__xludf.DUMMYFUNCTION("""COMPUTED_VALUE"""),"images/sappp.jpg")</f>
        <v>images/sappp.jpg</v>
      </c>
      <c r="Z347" s="14" t="str">
        <f>IFERROR(__xludf.DUMMYFUNCTION("""COMPUTED_VALUE"""),"Avalado por SAP Partner Open")</f>
        <v>Avalado por SAP Partner Open</v>
      </c>
      <c r="AA347" s="14" t="str">
        <f>IFERROR(__xludf.DUMMYFUNCTION("""COMPUTED_VALUE"""),"NO")</f>
        <v>NO</v>
      </c>
      <c r="AB347" s="14">
        <f>IFERROR(__xludf.DUMMYFUNCTION("""COMPUTED_VALUE"""),900.0)</f>
        <v>900</v>
      </c>
      <c r="AC347" s="14">
        <f>IFERROR(__xludf.DUMMYFUNCTION("""COMPUTED_VALUE"""),750.0)</f>
        <v>750</v>
      </c>
      <c r="AD347" s="14">
        <f>IFERROR(__xludf.DUMMYFUNCTION("""COMPUTED_VALUE"""),450.0)</f>
        <v>450</v>
      </c>
      <c r="AE347" s="14">
        <f>IFERROR(__xludf.DUMMYFUNCTION("""COMPUTED_VALUE"""),375.0)</f>
        <v>375</v>
      </c>
      <c r="AF347" s="14">
        <f>IFERROR(__xludf.DUMMYFUNCTION("""COMPUTED_VALUE"""),150.0)</f>
        <v>150</v>
      </c>
      <c r="AG347" s="19">
        <f>IFERROR(__xludf.DUMMYFUNCTION("""COMPUTED_VALUE"""),150.0)</f>
        <v>150</v>
      </c>
      <c r="AH347" s="20"/>
      <c r="AI347" s="5">
        <f>IFERROR(__xludf.DUMMYFUNCTION("""COMPUTED_VALUE"""),337.5)</f>
        <v>337.5</v>
      </c>
      <c r="AJ347" s="5">
        <f>IFERROR(__xludf.DUMMYFUNCTION("""COMPUTED_VALUE"""),405.0)</f>
        <v>405</v>
      </c>
      <c r="AK347" s="5" t="str">
        <f>IFERROR(__xludf.DUMMYFUNCTION("""COMPUTED_VALUE"""),"La producción inteligente se gestiona con SAP HANA PP 📈
Con este programa aprenderás a planificar y ejecutar procesos productivos con casos aplicados 💼.
Aquí la info completa 👇🏻")</f>
        <v>La producción inteligente se gestiona con SAP HANA PP 📈
Con este programa aprenderás a planificar y ejecutar procesos productivos con casos aplicados 💼.
Aquí la info completa 👇🏻</v>
      </c>
      <c r="AL347" s="5" t="str">
        <f>IFERROR(__xludf.DUMMYFUNCTION("""COMPUTED_VALUE"""),"🏭 Excelente, actualízate con SAP PP y domina la planificación de la producción.")</f>
        <v>🏭 Excelente, actualízate con SAP PP y domina la planificación de la producción.</v>
      </c>
      <c r="AM347" s="5" t="str">
        <f>IFERROR(__xludf.DUMMYFUNCTION("""COMPUTED_VALUE"""),"💼 Buenísimo, SAP PP es muy requerido en empresas de manufactura y supply chain.")</f>
        <v>💼 Buenísimo, SAP PP es muy requerido en empresas de manufactura y supply chain.</v>
      </c>
      <c r="AN347" s="5" t="str">
        <f>IFERROR(__xludf.DUMMYFUNCTION("""COMPUTED_VALUE"""),"🎓 ¡Genial! Con SAP PP aprenderás planificación productiva desde la universidad.")</f>
        <v>🎓 ¡Genial! Con SAP PP aprenderás planificación productiva desde la universidad.</v>
      </c>
      <c r="AO347" s="5" t="str">
        <f>IFERROR(__xludf.DUMMYFUNCTION("""COMPUTED_VALUE"""),"🚀 ¡Perfecto! Con SAP PP tendrás ventaja en prácticas de operaciones y producción.")</f>
        <v>🚀 ¡Perfecto! Con SAP PP tendrás ventaja en prácticas de operaciones y producción.</v>
      </c>
      <c r="AP347" s="5" t="str">
        <f>IFERROR(__xludf.DUMMYFUNCTION("""COMPUTED_VALUE"""),"📊 ¡Excelente! Con SAP PP podrás organizar y optimizar procesos productivos en tu negocio.")</f>
        <v>📊 ¡Excelente! Con SAP PP podrás organizar y optimizar procesos productivos en tu negocio.</v>
      </c>
      <c r="AQ347" s="9" t="str">
        <f>IFERROR(__xludf.DUMMYFUNCTION("""COMPUTED_VALUE"""),"https://we-educacion.com/slides/sap-s-4-hana-pp-66")</f>
        <v>https://we-educacion.com/slides/sap-s-4-hana-pp-66</v>
      </c>
      <c r="AR347" s="5">
        <v>1.0</v>
      </c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</row>
    <row r="348" ht="15.75" customHeight="1">
      <c r="A348" s="5" t="s">
        <v>390</v>
      </c>
      <c r="B348" s="5" t="str">
        <f t="shared" si="1"/>
        <v>ABR. I - ED26</v>
      </c>
      <c r="C348" s="14" t="str">
        <f>IFERROR(__xludf.DUMMYFUNCTION("""COMPUTED_VALUE"""),"EXCEL")</f>
        <v>EXCEL</v>
      </c>
      <c r="D348" s="5" t="str">
        <f>IFERROR(__xludf.DUMMYFUNCTION("""COMPUTED_VALUE"""),"CURSO")</f>
        <v>CURSO</v>
      </c>
      <c r="E348" s="14" t="str">
        <f>IFERROR(__xludf.DUMMYFUNCTION("""COMPUTED_VALUE"""),"EXCEL INTERM")</f>
        <v>EXCEL INTERM</v>
      </c>
      <c r="F348" s="15">
        <f>IFERROR(__xludf.DUMMYFUNCTION("""COMPUTED_VALUE"""),46130.0)</f>
        <v>46130</v>
      </c>
      <c r="G348" s="14"/>
      <c r="H348" s="16"/>
      <c r="I348" s="14"/>
      <c r="J348" s="16"/>
      <c r="K348" s="14"/>
      <c r="L348" s="16"/>
      <c r="M348" s="14"/>
      <c r="N348" s="16"/>
      <c r="O348" s="14"/>
      <c r="P348" s="16"/>
      <c r="Q348" s="14"/>
      <c r="R348" s="5" t="str">
        <f>IFERROR(__xludf.DUMMYFUNCTION("""COMPUTED_VALUE"""),"Sáb")</f>
        <v>Sáb</v>
      </c>
      <c r="S348" s="14" t="str">
        <f>IFERROR(__xludf.DUMMYFUNCTION("""COMPUTED_VALUE"""),"3PM - 6PM")</f>
        <v>3PM - 6PM</v>
      </c>
      <c r="T348" s="16" t="str">
        <f>IFERROR(__xludf.DUMMYFUNCTION("""COMPUTED_VALUE"""),"Sábado 18 Abril")</f>
        <v>Sábado 18 Abril</v>
      </c>
      <c r="U348" s="16" t="str">
        <f>IFERROR(__xludf.DUMMYFUNCTION("""COMPUTED_VALUE"""),"Sábado 23 Mayo")</f>
        <v>Sábado 23 Mayo</v>
      </c>
      <c r="V348" s="17">
        <f>IFERROR(__xludf.DUMMYFUNCTION("""COMPUTED_VALUE"""),6.0)</f>
        <v>6</v>
      </c>
      <c r="W348" s="5" t="str">
        <f>IFERROR(__xludf.DUMMYFUNCTION("""COMPUTED_VALUE"""),"pdfs/BROCHURE EXCEL INTERMEDIO.pdf")</f>
        <v>pdfs/BROCHURE EXCEL INTERMEDIO.pdf</v>
      </c>
      <c r="X348" s="18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348" s="14" t="str">
        <f>IFERROR(__xludf.DUMMYFUNCTION("""COMPUTED_VALUE"""),"images/excelinterm.jpg")</f>
        <v>images/excelinterm.jpg</v>
      </c>
      <c r="Z348" s="14" t="str">
        <f>IFERROR(__xludf.DUMMYFUNCTION("""COMPUTED_VALUE"""),"Avalado por Microsoft Partner Network")</f>
        <v>Avalado por Microsoft Partner Network</v>
      </c>
      <c r="AA348" s="14" t="str">
        <f>IFERROR(__xludf.DUMMYFUNCTION("""COMPUTED_VALUE"""),"NO")</f>
        <v>NO</v>
      </c>
      <c r="AB348" s="14">
        <f>IFERROR(__xludf.DUMMYFUNCTION("""COMPUTED_VALUE"""),420.0)</f>
        <v>420</v>
      </c>
      <c r="AC348" s="14">
        <f>IFERROR(__xludf.DUMMYFUNCTION("""COMPUTED_VALUE"""),400.0)</f>
        <v>400</v>
      </c>
      <c r="AD348" s="14">
        <f>IFERROR(__xludf.DUMMYFUNCTION("""COMPUTED_VALUE"""),210.0)</f>
        <v>210</v>
      </c>
      <c r="AE348" s="14">
        <f>IFERROR(__xludf.DUMMYFUNCTION("""COMPUTED_VALUE"""),200.0)</f>
        <v>200</v>
      </c>
      <c r="AF348" s="14">
        <f>IFERROR(__xludf.DUMMYFUNCTION("""COMPUTED_VALUE"""),150.0)</f>
        <v>150</v>
      </c>
      <c r="AG348" s="19">
        <f>IFERROR(__xludf.DUMMYFUNCTION("""COMPUTED_VALUE"""),150.0)</f>
        <v>150</v>
      </c>
      <c r="AH348" s="20"/>
      <c r="AI348" s="5">
        <f>IFERROR(__xludf.DUMMYFUNCTION("""COMPUTED_VALUE"""),180.0)</f>
        <v>180</v>
      </c>
      <c r="AJ348" s="5">
        <f>IFERROR(__xludf.DUMMYFUNCTION("""COMPUTED_VALUE"""),189.0)</f>
        <v>189</v>
      </c>
      <c r="AK348" s="5" t="str">
        <f>IFERROR(__xludf.DUMMYFUNCTION("""COMPUTED_VALUE"""),"El siguiente paso en tu crecimiento es Excel Intermedio 🚀
Consolidarás fórmulas, tablas y reportes aplicables en entornos reales de trabajo 💻.
Aquí tienes la info 👇🏻")</f>
        <v>El siguiente paso en tu crecimiento es Excel Intermedio 🚀
Consolidarás fórmulas, tablas y reportes aplicables en entornos reales de trabajo 💻.
Aquí tienes la info 👇🏻</v>
      </c>
      <c r="AL348" s="5" t="str">
        <f>IFERROR(__xludf.DUMMYFUNCTION("""COMPUTED_VALUE"""),"💼 *Excelente*, actualízate con *EXCEL INTERM* y mantente competitivo en el mercado laboral.")</f>
        <v>💼 *Excelente*, actualízate con *EXCEL INTERM* y mantente competitivo en el mercado laboral.</v>
      </c>
      <c r="AM348" s="5" t="str">
        <f>IFERROR(__xludf.DUMMYFUNCTION("""COMPUTED_VALUE"""),"📘 Buenísimo, *EXCEL INTERM* es de las competencias más pedidas por las empresas y aumentará tus oportunidades laborales.")</f>
        <v>📘 Buenísimo, *EXCEL INTERM* es de las competencias más pedidas por las empresas y aumentará tus oportunidades laborales.</v>
      </c>
      <c r="AN348" s="5" t="str">
        <f>IFERROR(__xludf.DUMMYFUNCTION("""COMPUTED_VALUE"""),"🔑 ¡Genial! Con *EXCEL INTERM* sumarás una habilidad poderosa que te diferenciará desde la universidad.")</f>
        <v>🔑 ¡Genial! Con *EXCEL INTERM* sumarás una habilidad poderosa que te diferenciará desde la universidad.</v>
      </c>
      <c r="AO348" s="5" t="str">
        <f>IFERROR(__xludf.DUMMYFUNCTION("""COMPUTED_VALUE"""),"🔑 ¡Perfecto! Saber *EXCEL INTERM* te dará ventaja frente a otros postulantes para conseguir prácticas.")</f>
        <v>🔑 ¡Perfecto! Saber *EXCEL INTERM* te dará ventaja frente a otros postulantes para conseguir prácticas.</v>
      </c>
      <c r="AP348" s="5" t="str">
        <f>IFERROR(__xludf.DUMMYFUNCTION("""COMPUTED_VALUE"""),"✨ ¡Excelente! Con *EXCEL INTERM* podrás aplicarlo en tu negocio y tomar decisiones más inteligentes.")</f>
        <v>✨ ¡Excelente! Con *EXCEL INTERM* podrás aplicarlo en tu negocio y tomar decisiones más inteligentes.</v>
      </c>
      <c r="AQ348" s="9" t="str">
        <f>IFERROR(__xludf.DUMMYFUNCTION("""COMPUTED_VALUE"""),"https://we-educacion.com/slides/microsoft-excel-intermedio-82")</f>
        <v>https://we-educacion.com/slides/microsoft-excel-intermedio-82</v>
      </c>
      <c r="AR348" s="5">
        <v>1.0</v>
      </c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</row>
    <row r="349" ht="15.75" customHeight="1">
      <c r="A349" s="5" t="s">
        <v>391</v>
      </c>
      <c r="B349" s="5" t="str">
        <f t="shared" si="1"/>
        <v>ABR. I - ED26</v>
      </c>
      <c r="C349" s="14" t="str">
        <f>IFERROR(__xludf.DUMMYFUNCTION("""COMPUTED_VALUE"""),"LOGÍSTICA")</f>
        <v>LOGÍSTICA</v>
      </c>
      <c r="D349" s="14" t="str">
        <f>IFERROR(__xludf.DUMMYFUNCTION("""COMPUTED_VALUE"""),"CURSO")</f>
        <v>CURSO</v>
      </c>
      <c r="E349" s="14" t="str">
        <f>IFERROR(__xludf.DUMMYFUNCTION("""COMPUTED_VALUE"""),"GER. CENTRO DISTRIB.")</f>
        <v>GER. CENTRO DISTRIB.</v>
      </c>
      <c r="F349" s="15">
        <f>IFERROR(__xludf.DUMMYFUNCTION("""COMPUTED_VALUE"""),46131.0)</f>
        <v>46131</v>
      </c>
      <c r="G349" s="14"/>
      <c r="H349" s="16"/>
      <c r="I349" s="14"/>
      <c r="J349" s="16"/>
      <c r="K349" s="14"/>
      <c r="L349" s="16"/>
      <c r="M349" s="14"/>
      <c r="N349" s="16"/>
      <c r="O349" s="14"/>
      <c r="P349" s="16"/>
      <c r="Q349" s="14" t="str">
        <f>IFERROR(__xludf.DUMMYFUNCTION("""COMPUTED_VALUE"""),"Stephanie La Torre")</f>
        <v>Stephanie La Torre</v>
      </c>
      <c r="R349" s="5" t="str">
        <f>IFERROR(__xludf.DUMMYFUNCTION("""COMPUTED_VALUE"""),"Dom")</f>
        <v>Dom</v>
      </c>
      <c r="S349" s="14" t="str">
        <f>IFERROR(__xludf.DUMMYFUNCTION("""COMPUTED_VALUE"""),"9AM - 12PM")</f>
        <v>9AM - 12PM</v>
      </c>
      <c r="T349" s="16" t="str">
        <f>IFERROR(__xludf.DUMMYFUNCTION("""COMPUTED_VALUE"""),"Domingo 19 Abril")</f>
        <v>Domingo 19 Abril</v>
      </c>
      <c r="U349" s="16" t="str">
        <f>IFERROR(__xludf.DUMMYFUNCTION("""COMPUTED_VALUE"""),"Domingo 17 Mayo")</f>
        <v>Domingo 17 Mayo</v>
      </c>
      <c r="V349" s="17">
        <f>IFERROR(__xludf.DUMMYFUNCTION("""COMPUTED_VALUE"""),5.0)</f>
        <v>5</v>
      </c>
      <c r="W349" s="5" t="str">
        <f>IFERROR(__xludf.DUMMYFUNCTION("""COMPUTED_VALUE"""),"pdfs/BROCHURE DISTRIBUCION Y ALMACENES.pdf")</f>
        <v>pdfs/BROCHURE DISTRIBUCION Y ALMACENES.pdf</v>
      </c>
      <c r="X349" s="18" t="str">
        <f>IFERROR(__xludf.DUMMYFUNCTION("""COMPUTED_VALUE"""),"🔵 *Conoce TODOS los BENEFICIOS a los que accedes*
🔹 Acceso a *Campus Virtual* WE 👩🏻‍🏫
🔹 Material digital y grabación de clases 
🔹 Certificado digital incluido
🔹 *05 Cursos Online de regalo* con acceso ilimitado 📚
🔹 Desarrollo y seguimiento de t"&amp;"u proyecto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*05 Cursos Online de regalo*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349" s="14" t="str">
        <f>IFERROR(__xludf.DUMMYFUNCTION("""COMPUTED_VALUE"""),"images/gercentro.jpg")</f>
        <v>images/gercentro.jpg</v>
      </c>
      <c r="Z349" s="14"/>
      <c r="AA349" s="14" t="str">
        <f>IFERROR(__xludf.DUMMYFUNCTION("""COMPUTED_VALUE"""),"NO")</f>
        <v>NO</v>
      </c>
      <c r="AB349" s="14">
        <f>IFERROR(__xludf.DUMMYFUNCTION("""COMPUTED_VALUE"""),830.0)</f>
        <v>830</v>
      </c>
      <c r="AC349" s="14">
        <f>IFERROR(__xludf.DUMMYFUNCTION("""COMPUTED_VALUE"""),770.0)</f>
        <v>770</v>
      </c>
      <c r="AD349" s="14">
        <f>IFERROR(__xludf.DUMMYFUNCTION("""COMPUTED_VALUE"""),415.0)</f>
        <v>415</v>
      </c>
      <c r="AE349" s="14">
        <f>IFERROR(__xludf.DUMMYFUNCTION("""COMPUTED_VALUE"""),385.0)</f>
        <v>385</v>
      </c>
      <c r="AF349" s="14">
        <f>IFERROR(__xludf.DUMMYFUNCTION("""COMPUTED_VALUE"""),150.0)</f>
        <v>150</v>
      </c>
      <c r="AG349" s="19">
        <f>IFERROR(__xludf.DUMMYFUNCTION("""COMPUTED_VALUE"""),150.0)</f>
        <v>150</v>
      </c>
      <c r="AH349" s="20"/>
      <c r="AI349" s="5">
        <f>IFERROR(__xludf.DUMMYFUNCTION("""COMPUTED_VALUE"""),346.5)</f>
        <v>346.5</v>
      </c>
      <c r="AJ349" s="5">
        <f>IFERROR(__xludf.DUMMYFUNCTION("""COMPUTED_VALUE"""),373.5)</f>
        <v>373.5</v>
      </c>
      <c r="AK349" s="5" t="str">
        <f>IFERROR(__xludf.DUMMYFUNCTION("""COMPUTED_VALUE"""),"La clave de la logística moderna es la gestión eficiente de centros de distribución 📦
Con este programa aprenderás a optimizar operaciones, inventarios y flujos reales de negocio 💼.
Aquí te comparto la información 👇🏻")</f>
        <v>La clave de la logística moderna es la gestión eficiente de centros de distribución 📦
Con este programa aprenderás a optimizar operaciones, inventarios y flujos reales de negocio 💼.
Aquí te comparto la información 👇🏻</v>
      </c>
      <c r="AL349" s="5" t="str">
        <f>IFERROR(__xludf.DUMMYFUNCTION("""COMPUTED_VALUE"""),"📈 *Excelente*, actualízate con *GER. CENTRO DISTRIB.* y mantente competitivo en el mercado laboral.")</f>
        <v>📈 *Excelente*, actualízate con *GER. CENTRO DISTRIB.* y mantente competitivo en el mercado laboral.</v>
      </c>
      <c r="AM349" s="5" t="str">
        <f>IFERROR(__xludf.DUMMYFUNCTION("""COMPUTED_VALUE"""),"📈 Buenísimo, *GER. CENTRO DISTRIB.* es de las competencias más pedidas por las empresas y aumentará tus oportunidades laborales.")</f>
        <v>📈 Buenísimo, *GER. CENTRO DISTRIB.* es de las competencias más pedidas por las empresas y aumentará tus oportunidades laborales.</v>
      </c>
      <c r="AN349" s="5" t="str">
        <f>IFERROR(__xludf.DUMMYFUNCTION("""COMPUTED_VALUE"""),"🌍 ¡Genial! Con *GER. CENTRO DISTRIB.* sumarás una habilidad poderosa que te diferenciará desde la universidad.")</f>
        <v>🌍 ¡Genial! Con *GER. CENTRO DISTRIB.* sumarás una habilidad poderosa que te diferenciará desde la universidad.</v>
      </c>
      <c r="AO349" s="5" t="str">
        <f>IFERROR(__xludf.DUMMYFUNCTION("""COMPUTED_VALUE"""),"🏆 ¡Perfecto! Saber *GER. CENTRO DISTRIB.* te dará ventaja frente a otros postulantes para conseguir prácticas.")</f>
        <v>🏆 ¡Perfecto! Saber *GER. CENTRO DISTRIB.* te dará ventaja frente a otros postulantes para conseguir prácticas.</v>
      </c>
      <c r="AP349" s="5" t="str">
        <f>IFERROR(__xludf.DUMMYFUNCTION("""COMPUTED_VALUE"""),"📊 ¡Excelente! Con *GER. CENTRO DISTRIB.* podrás aplicarlo en tu negocio y tomar decisiones más inteligentes.")</f>
        <v>📊 ¡Excelente! Con *GER. CENTRO DISTRIB.* podrás aplicarlo en tu negocio y tomar decisiones más inteligentes.</v>
      </c>
      <c r="AQ349" s="9" t="str">
        <f>IFERROR(__xludf.DUMMYFUNCTION("""COMPUTED_VALUE"""),"https://we-educacion.com/slides/distribucion-y-almacenes-68")</f>
        <v>https://we-educacion.com/slides/distribucion-y-almacenes-68</v>
      </c>
      <c r="AR349" s="5">
        <v>1.0</v>
      </c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</row>
    <row r="350" ht="15.75" customHeight="1">
      <c r="A350" s="5" t="s">
        <v>392</v>
      </c>
      <c r="B350" s="5" t="str">
        <f t="shared" si="1"/>
        <v>ABR. I - ED26</v>
      </c>
      <c r="C350" s="14" t="str">
        <f>IFERROR(__xludf.DUMMYFUNCTION("""COMPUTED_VALUE"""),"EXCEL")</f>
        <v>EXCEL</v>
      </c>
      <c r="D350" s="14" t="str">
        <f>IFERROR(__xludf.DUMMYFUNCTION("""COMPUTED_VALUE"""),"CURSO")</f>
        <v>CURSO</v>
      </c>
      <c r="E350" s="14" t="str">
        <f>IFERROR(__xludf.DUMMYFUNCTION("""COMPUTED_VALUE"""),"PROG. MACROS")</f>
        <v>PROG. MACROS</v>
      </c>
      <c r="F350" s="15">
        <f>IFERROR(__xludf.DUMMYFUNCTION("""COMPUTED_VALUE"""),46134.0)</f>
        <v>46134</v>
      </c>
      <c r="G350" s="14"/>
      <c r="H350" s="16"/>
      <c r="I350" s="14"/>
      <c r="J350" s="16"/>
      <c r="K350" s="14"/>
      <c r="L350" s="16"/>
      <c r="M350" s="14"/>
      <c r="N350" s="16"/>
      <c r="O350" s="14"/>
      <c r="P350" s="16"/>
      <c r="Q350" s="14"/>
      <c r="R350" s="5" t="str">
        <f>IFERROR(__xludf.DUMMYFUNCTION("""COMPUTED_VALUE"""),"Lun-Mie")</f>
        <v>Lun-Mie</v>
      </c>
      <c r="S350" s="14" t="str">
        <f>IFERROR(__xludf.DUMMYFUNCTION("""COMPUTED_VALUE"""),"7PM - 10PM")</f>
        <v>7PM - 10PM</v>
      </c>
      <c r="T350" s="16" t="str">
        <f>IFERROR(__xludf.DUMMYFUNCTION("""COMPUTED_VALUE"""),"Miércoles 22 Abril")</f>
        <v>Miércoles 22 Abril</v>
      </c>
      <c r="U350" s="16" t="str">
        <f>IFERROR(__xludf.DUMMYFUNCTION("""COMPUTED_VALUE"""),"Lunes 11 Mayo")</f>
        <v>Lunes 11 Mayo</v>
      </c>
      <c r="V350" s="17">
        <f>IFERROR(__xludf.DUMMYFUNCTION("""COMPUTED_VALUE"""),6.0)</f>
        <v>6</v>
      </c>
      <c r="W350" s="5" t="str">
        <f>IFERROR(__xludf.DUMMYFUNCTION("""COMPUTED_VALUE"""),"pdfs/BROCHURE PROGRAMACION CON VBA MACROS.pdf")</f>
        <v>pdfs/BROCHURE PROGRAMACION CON VBA MACROS.pdf</v>
      </c>
      <c r="X350" s="18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350" s="14" t="str">
        <f>IFERROR(__xludf.DUMMYFUNCTION("""COMPUTED_VALUE"""),"images/macros.jpg")</f>
        <v>images/macros.jpg</v>
      </c>
      <c r="Z350" s="14" t="str">
        <f>IFERROR(__xludf.DUMMYFUNCTION("""COMPUTED_VALUE"""),"Avalado por Microsoft Partner Network")</f>
        <v>Avalado por Microsoft Partner Network</v>
      </c>
      <c r="AA350" s="14" t="str">
        <f>IFERROR(__xludf.DUMMYFUNCTION("""COMPUTED_VALUE"""),"NO")</f>
        <v>NO</v>
      </c>
      <c r="AB350" s="14">
        <f>IFERROR(__xludf.DUMMYFUNCTION("""COMPUTED_VALUE"""),470.0)</f>
        <v>470</v>
      </c>
      <c r="AC350" s="14">
        <f>IFERROR(__xludf.DUMMYFUNCTION("""COMPUTED_VALUE"""),440.0)</f>
        <v>440</v>
      </c>
      <c r="AD350" s="14">
        <f>IFERROR(__xludf.DUMMYFUNCTION("""COMPUTED_VALUE"""),235.0)</f>
        <v>235</v>
      </c>
      <c r="AE350" s="14">
        <f>IFERROR(__xludf.DUMMYFUNCTION("""COMPUTED_VALUE"""),220.0)</f>
        <v>220</v>
      </c>
      <c r="AF350" s="14">
        <f>IFERROR(__xludf.DUMMYFUNCTION("""COMPUTED_VALUE"""),150.0)</f>
        <v>150</v>
      </c>
      <c r="AG350" s="19">
        <f>IFERROR(__xludf.DUMMYFUNCTION("""COMPUTED_VALUE"""),150.0)</f>
        <v>150</v>
      </c>
      <c r="AH350" s="20"/>
      <c r="AI350" s="5">
        <f>IFERROR(__xludf.DUMMYFUNCTION("""COMPUTED_VALUE"""),198.0)</f>
        <v>198</v>
      </c>
      <c r="AJ350" s="5">
        <f>IFERROR(__xludf.DUMMYFUNCTION("""COMPUTED_VALUE"""),211.5)</f>
        <v>211.5</v>
      </c>
      <c r="AK350" s="5" t="str">
        <f>IFERROR(__xludf.DUMMYFUNCTION("""COMPUTED_VALUE"""),"El poder está en la automatización 📊
Con Programación en Macros aprenderás a optimizar procesos en Excel y ahorrar tiempo valioso ⏱️.
Aquí tienes la info 👇🏻")</f>
        <v>El poder está en la automatización 📊
Con Programación en Macros aprenderás a optimizar procesos en Excel y ahorrar tiempo valioso ⏱️.
Aquí tienes la info 👇🏻</v>
      </c>
      <c r="AL350" s="5" t="str">
        <f>IFERROR(__xludf.DUMMYFUNCTION("""COMPUTED_VALUE"""),"⚡ Excelente, actualízate con Macros en Excel y mejora tu productividad en el trabajo.")</f>
        <v>⚡ Excelente, actualízate con Macros en Excel y mejora tu productividad en el trabajo.</v>
      </c>
      <c r="AM350" s="5" t="str">
        <f>IFERROR(__xludf.DUMMYFUNCTION("""COMPUTED_VALUE"""),"💼 Buenísimo, dominar Macros es muy valorado en empresas para automatizar reportes.")</f>
        <v>💼 Buenísimo, dominar Macros es muy valorado en empresas para automatizar reportes.</v>
      </c>
      <c r="AN350" s="5" t="str">
        <f>IFERROR(__xludf.DUMMYFUNCTION("""COMPUTED_VALUE"""),"🎓 ¡Genial! Aprender Macros desde la universidad te hará más eficiente en proyectos académicos.")</f>
        <v>🎓 ¡Genial! Aprender Macros desde la universidad te hará más eficiente en proyectos académicos.</v>
      </c>
      <c r="AO350" s="5" t="str">
        <f>IFERROR(__xludf.DUMMYFUNCTION("""COMPUTED_VALUE"""),"🚀 ¡Perfecto! Con Macros podrás sobresalir en prácticas de áreas administrativas y financieras.")</f>
        <v>🚀 ¡Perfecto! Con Macros podrás sobresalir en prácticas de áreas administrativas y financieras.</v>
      </c>
      <c r="AP350" s="5" t="str">
        <f>IFERROR(__xludf.DUMMYFUNCTION("""COMPUTED_VALUE"""),"📊 ¡Excelente! Las Macros te permitirán ahorrar tiempo y optimizar tus procesos de negocio.")</f>
        <v>📊 ¡Excelente! Las Macros te permitirán ahorrar tiempo y optimizar tus procesos de negocio.</v>
      </c>
      <c r="AQ350" s="9" t="str">
        <f>IFERROR(__xludf.DUMMYFUNCTION("""COMPUTED_VALUE"""),"https://we-educacion.com/slides/programacion-con-vba-macros-en-excel-159")</f>
        <v>https://we-educacion.com/slides/programacion-con-vba-macros-en-excel-159</v>
      </c>
      <c r="AR350" s="5">
        <v>1.0</v>
      </c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</row>
    <row r="351" ht="15.75" customHeight="1">
      <c r="A351" s="5" t="s">
        <v>393</v>
      </c>
      <c r="B351" s="5" t="str">
        <f t="shared" si="1"/>
        <v>ABR. I - ED26</v>
      </c>
      <c r="C351" s="14" t="str">
        <f>IFERROR(__xludf.DUMMYFUNCTION("""COMPUTED_VALUE"""),"PROCESOS")</f>
        <v>PROCESOS</v>
      </c>
      <c r="D351" s="14" t="str">
        <f>IFERROR(__xludf.DUMMYFUNCTION("""COMPUTED_VALUE"""),"CURSO")</f>
        <v>CURSO</v>
      </c>
      <c r="E351" s="14" t="str">
        <f>IFERROR(__xludf.DUMMYFUNCTION("""COMPUTED_VALUE"""),"KPIS Y OKRS")</f>
        <v>KPIS Y OKRS</v>
      </c>
      <c r="F351" s="15">
        <f>IFERROR(__xludf.DUMMYFUNCTION("""COMPUTED_VALUE"""),46134.0)</f>
        <v>46134</v>
      </c>
      <c r="G351" s="14"/>
      <c r="H351" s="16"/>
      <c r="I351" s="14"/>
      <c r="J351" s="16"/>
      <c r="K351" s="14"/>
      <c r="L351" s="16"/>
      <c r="M351" s="14"/>
      <c r="N351" s="16"/>
      <c r="O351" s="14"/>
      <c r="P351" s="16"/>
      <c r="Q351" s="14" t="str">
        <f>IFERROR(__xludf.DUMMYFUNCTION("""COMPUTED_VALUE"""),"Luis Euribe")</f>
        <v>Luis Euribe</v>
      </c>
      <c r="R351" s="5" t="str">
        <f>IFERROR(__xludf.DUMMYFUNCTION("""COMPUTED_VALUE"""),"Mie")</f>
        <v>Mie</v>
      </c>
      <c r="S351" s="14" t="str">
        <f>IFERROR(__xludf.DUMMYFUNCTION("""COMPUTED_VALUE"""),"7PM - 10PM")</f>
        <v>7PM - 10PM</v>
      </c>
      <c r="T351" s="16" t="str">
        <f>IFERROR(__xludf.DUMMYFUNCTION("""COMPUTED_VALUE"""),"Miércoles 22 Abril")</f>
        <v>Miércoles 22 Abril</v>
      </c>
      <c r="U351" s="16" t="str">
        <f>IFERROR(__xludf.DUMMYFUNCTION("""COMPUTED_VALUE"""),"Miércoles 27 Mayo")</f>
        <v>Miércoles 27 Mayo</v>
      </c>
      <c r="V351" s="17">
        <f>IFERROR(__xludf.DUMMYFUNCTION("""COMPUTED_VALUE"""),5.0)</f>
        <v>5</v>
      </c>
      <c r="W351" s="5" t="str">
        <f>IFERROR(__xludf.DUMMYFUNCTION("""COMPUTED_VALUE"""),"pdfs/BROCHURE KPI'S Y OKR'S.pdf")</f>
        <v>pdfs/BROCHURE KPI'S Y OKR'S.pdf</v>
      </c>
      <c r="X351" s="18" t="str">
        <f>IFERROR(__xludf.DUMMYFUNCTION("""COMPUTED_VALUE"""),"🔵*¡Certificado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for"&amp;"matos
🚨 *Por favor, revisa el BROCHURE* 👇🏻
Aqui encontrarás la información completa del programa, el TEMARIO (malla curricular) y todos los BENEFICIOS 📚")</f>
        <v>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*Por favor, revisa el BROCHURE* 👇🏻
Aqui encontrarás la información completa del programa, el TEMARIO (malla curricular) y todos los BENEFICIOS 📚</v>
      </c>
      <c r="Y351" s="14" t="str">
        <f>IFERROR(__xludf.DUMMYFUNCTION("""COMPUTED_VALUE"""),"images/kpis.jpg")</f>
        <v>images/kpis.jpg</v>
      </c>
      <c r="Z351" s="14" t="str">
        <f>IFERROR(__xludf.DUMMYFUNCTION("""COMPUTED_VALUE"""),"Avalado por Microsoft Partner Network")</f>
        <v>Avalado por Microsoft Partner Network</v>
      </c>
      <c r="AA351" s="14" t="str">
        <f>IFERROR(__xludf.DUMMYFUNCTION("""COMPUTED_VALUE"""),"NO")</f>
        <v>NO</v>
      </c>
      <c r="AB351" s="14">
        <f>IFERROR(__xludf.DUMMYFUNCTION("""COMPUTED_VALUE"""),700.0)</f>
        <v>700</v>
      </c>
      <c r="AC351" s="14">
        <f>IFERROR(__xludf.DUMMYFUNCTION("""COMPUTED_VALUE"""),636.0)</f>
        <v>636</v>
      </c>
      <c r="AD351" s="14">
        <f>IFERROR(__xludf.DUMMYFUNCTION("""COMPUTED_VALUE"""),350.0)</f>
        <v>350</v>
      </c>
      <c r="AE351" s="14">
        <f>IFERROR(__xludf.DUMMYFUNCTION("""COMPUTED_VALUE"""),318.0)</f>
        <v>318</v>
      </c>
      <c r="AF351" s="14">
        <f>IFERROR(__xludf.DUMMYFUNCTION("""COMPUTED_VALUE"""),150.0)</f>
        <v>150</v>
      </c>
      <c r="AG351" s="19">
        <f>IFERROR(__xludf.DUMMYFUNCTION("""COMPUTED_VALUE"""),150.0)</f>
        <v>150</v>
      </c>
      <c r="AH351" s="20"/>
      <c r="AI351" s="5">
        <f>IFERROR(__xludf.DUMMYFUNCTION("""COMPUTED_VALUE"""),286.2)</f>
        <v>286.2</v>
      </c>
      <c r="AJ351" s="5">
        <f>IFERROR(__xludf.DUMMYFUNCTION("""COMPUTED_VALUE"""),315.0)</f>
        <v>315</v>
      </c>
      <c r="AK351" s="5" t="str">
        <f>IFERROR(__xludf.DUMMYFUNCTION("""COMPUTED_VALUE"""),"El éxito de los líderes está en medir lo que importa 📈
Con KPIs y OKRs aprenderás a establecer indicadores y objetivos estratégicos aplicados a casos reales 💼.
Aquí la información completa 👇🏻")</f>
        <v>El éxito de los líderes está en medir lo que importa 📈
Con KPIs y OKRs aprenderás a establecer indicadores y objetivos estratégicos aplicados a casos reales 💼.
Aquí la información completa 👇🏻</v>
      </c>
      <c r="AL351" s="5" t="str">
        <f>IFERROR(__xludf.DUMMYFUNCTION("""COMPUTED_VALUE"""),"🌍 *Excelente*, actualízate con *KPIS Y OKRS* y mantente competitivo en el mercado laboral.")</f>
        <v>🌍 *Excelente*, actualízate con *KPIS Y OKRS* y mantente competitivo en el mercado laboral.</v>
      </c>
      <c r="AM351" s="5" t="str">
        <f>IFERROR(__xludf.DUMMYFUNCTION("""COMPUTED_VALUE"""),"✨ Buenísimo, *KPIS Y OKRS* es de las competencias más pedidas por las empresas y aumentará tus oportunidades laborales.")</f>
        <v>✨ Buenísimo, *KPIS Y OKRS* es de las competencias más pedidas por las empresas y aumentará tus oportunidades laborales.</v>
      </c>
      <c r="AN351" s="5" t="str">
        <f>IFERROR(__xludf.DUMMYFUNCTION("""COMPUTED_VALUE"""),"🌍 ¡Genial! Con *KPIS Y OKRS* sumarás una habilidad poderosa que te diferenciará desde la universidad.")</f>
        <v>🌍 ¡Genial! Con *KPIS Y OKRS* sumarás una habilidad poderosa que te diferenciará desde la universidad.</v>
      </c>
      <c r="AO351" s="5" t="str">
        <f>IFERROR(__xludf.DUMMYFUNCTION("""COMPUTED_VALUE"""),"🛠️ ¡Perfecto! Saber *KPIS Y OKRS* te dará ventaja frente a otros postulantes para conseguir prácticas.")</f>
        <v>🛠️ ¡Perfecto! Saber *KPIS Y OKRS* te dará ventaja frente a otros postulantes para conseguir prácticas.</v>
      </c>
      <c r="AP351" s="5" t="str">
        <f>IFERROR(__xludf.DUMMYFUNCTION("""COMPUTED_VALUE"""),"🎓 ¡Excelente! Con *KPIS Y OKRS* podrás aplicarlo en tu negocio y tomar decisiones más inteligentes.")</f>
        <v>🎓 ¡Excelente! Con *KPIS Y OKRS* podrás aplicarlo en tu negocio y tomar decisiones más inteligentes.</v>
      </c>
      <c r="AQ351" s="9" t="str">
        <f>IFERROR(__xludf.DUMMYFUNCTION("""COMPUTED_VALUE"""),"https://we-educacion.com/slides/kpi-s-y-okr-s-203")</f>
        <v>https://we-educacion.com/slides/kpi-s-y-okr-s-203</v>
      </c>
      <c r="AR351" s="5">
        <v>1.0</v>
      </c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</row>
    <row r="352" ht="15.75" customHeight="1">
      <c r="A352" s="5" t="s">
        <v>394</v>
      </c>
      <c r="B352" s="5" t="str">
        <f t="shared" si="1"/>
        <v>ABR. I - ED26</v>
      </c>
      <c r="C352" s="14" t="str">
        <f>IFERROR(__xludf.DUMMYFUNCTION("""COMPUTED_VALUE"""),"LOGÍSTICA")</f>
        <v>LOGÍSTICA</v>
      </c>
      <c r="D352" s="14" t="str">
        <f>IFERROR(__xludf.DUMMYFUNCTION("""COMPUTED_VALUE"""),"CURSO")</f>
        <v>CURSO</v>
      </c>
      <c r="E352" s="14" t="str">
        <f>IFERROR(__xludf.DUMMYFUNCTION("""COMPUTED_VALUE"""),"PLAN. Y PRONOSTICO V2")</f>
        <v>PLAN. Y PRONOSTICO V2</v>
      </c>
      <c r="F352" s="15">
        <f>IFERROR(__xludf.DUMMYFUNCTION("""COMPUTED_VALUE"""),46135.0)</f>
        <v>46135</v>
      </c>
      <c r="G352" s="14"/>
      <c r="H352" s="16"/>
      <c r="I352" s="14"/>
      <c r="J352" s="16"/>
      <c r="K352" s="14"/>
      <c r="L352" s="16"/>
      <c r="M352" s="14"/>
      <c r="N352" s="16"/>
      <c r="O352" s="14"/>
      <c r="P352" s="16"/>
      <c r="Q352" s="14" t="str">
        <f>IFERROR(__xludf.DUMMYFUNCTION("""COMPUTED_VALUE"""),"Sylvia Rodas")</f>
        <v>Sylvia Rodas</v>
      </c>
      <c r="R352" s="5" t="str">
        <f>IFERROR(__xludf.DUMMYFUNCTION("""COMPUTED_VALUE"""),"Mar-Jue")</f>
        <v>Mar-Jue</v>
      </c>
      <c r="S352" s="14" t="str">
        <f>IFERROR(__xludf.DUMMYFUNCTION("""COMPUTED_VALUE"""),"7PM - 10PM")</f>
        <v>7PM - 10PM</v>
      </c>
      <c r="T352" s="16" t="str">
        <f>IFERROR(__xludf.DUMMYFUNCTION("""COMPUTED_VALUE"""),"Jueves 23 Abril")</f>
        <v>Jueves 23 Abril</v>
      </c>
      <c r="U352" s="16" t="str">
        <f>IFERROR(__xludf.DUMMYFUNCTION("""COMPUTED_VALUE"""),"Martes 12 Mayo")</f>
        <v>Martes 12 Mayo</v>
      </c>
      <c r="V352" s="17">
        <f>IFERROR(__xludf.DUMMYFUNCTION("""COMPUTED_VALUE"""),6.0)</f>
        <v>6</v>
      </c>
      <c r="W352" s="5" t="str">
        <f>IFERROR(__xludf.DUMMYFUNCTION("""COMPUTED_VALUE"""),"pdfs/BROCHURE PLANEAMIENTO Y PRONÓSTICO DE LA DEMANDA.pdf")</f>
        <v>pdfs/BROCHURE PLANEAMIENTO Y PRONÓSTICO DE LA DEMANDA.pdf</v>
      </c>
      <c r="X352" s="18" t="str">
        <f>IFERROR(__xludf.DUMMYFUNCTION("""COMPUTED_VALUE"""),"🔵 *Utilizarán Excel* 👩🏻‍💻
👉🏼 *¡Te regalamos el Curso Excel Intermedio!*
🚨 *Por favor, revisa el BROCHURE* 👇🏻
Aqui encontrarás la información completa del programa, el TEMARIO (malla curricular) y todos los BENEFICIOS 📚")</f>
        <v>🔵 *Utilizarán Excel* 👩🏻‍💻
👉🏼 *¡Te regalamos el Curso Excel Intermedio!*
🚨 *Por favor, revisa el BROCHURE* 👇🏻
Aqui encontrarás la información completa del programa, el TEMARIO (malla curricular) y todos los BENEFICIOS 📚</v>
      </c>
      <c r="Y352" s="14" t="str">
        <f>IFERROR(__xludf.DUMMYFUNCTION("""COMPUTED_VALUE"""),"images/planypronost.jpg")</f>
        <v>images/planypronost.jpg</v>
      </c>
      <c r="Z352" s="14"/>
      <c r="AA352" s="14"/>
      <c r="AB352" s="14">
        <f>IFERROR(__xludf.DUMMYFUNCTION("""COMPUTED_VALUE"""),830.0)</f>
        <v>830</v>
      </c>
      <c r="AC352" s="14">
        <f>IFERROR(__xludf.DUMMYFUNCTION("""COMPUTED_VALUE"""),770.0)</f>
        <v>770</v>
      </c>
      <c r="AD352" s="14">
        <f>IFERROR(__xludf.DUMMYFUNCTION("""COMPUTED_VALUE"""),415.0)</f>
        <v>415</v>
      </c>
      <c r="AE352" s="14">
        <f>IFERROR(__xludf.DUMMYFUNCTION("""COMPUTED_VALUE"""),385.0)</f>
        <v>385</v>
      </c>
      <c r="AF352" s="14">
        <f>IFERROR(__xludf.DUMMYFUNCTION("""COMPUTED_VALUE"""),150.0)</f>
        <v>150</v>
      </c>
      <c r="AG352" s="19">
        <f>IFERROR(__xludf.DUMMYFUNCTION("""COMPUTED_VALUE"""),150.0)</f>
        <v>150</v>
      </c>
      <c r="AH352" s="20"/>
      <c r="AI352" s="5">
        <f>IFERROR(__xludf.DUMMYFUNCTION("""COMPUTED_VALUE"""),346.5)</f>
        <v>346.5</v>
      </c>
      <c r="AJ352" s="5">
        <f>IFERROR(__xludf.DUMMYFUNCTION("""COMPUTED_VALUE"""),373.5)</f>
        <v>373.5</v>
      </c>
      <c r="AK352" s="5" t="str">
        <f>IFERROR(__xludf.DUMMYFUNCTION("""COMPUTED_VALUE"""),"Los líderes de hoy no solo ejecutan, anticipan 💡
Con Planeamiento y Pronóstico desarrollarás habilidades para proyectar escenarios reales y tomar decisiones con visión estratégica.
Revisa la información completa aquí 👇🏻")</f>
        <v>Los líderes de hoy no solo ejecutan, anticipan 💡
Con Planeamiento y Pronóstico desarrollarás habilidades para proyectar escenarios reales y tomar decisiones con visión estratégica.
Revisa la información completa aquí 👇🏻</v>
      </c>
      <c r="AL352" s="5" t="str">
        <f>IFERROR(__xludf.DUMMYFUNCTION("""COMPUTED_VALUE"""),"Excelente 🙌, actualizarte en Planeamiento y Pronóstico te ayudará a proyectar escenarios reales 🔮 y mantenerte competitivo.")</f>
        <v>Excelente 🙌, actualizarte en Planeamiento y Pronóstico te ayudará a proyectar escenarios reales 🔮 y mantenerte competitivo.</v>
      </c>
      <c r="AM352" s="5" t="str">
        <f>IFERROR(__xludf.DUMMYFUNCTION("""COMPUTED_VALUE"""),"Buenísimo 💼, esta herramienta es clave en empresas que buscan profesionales capaces de anticipar y planear estratégicamente 🧭.")</f>
        <v>Buenísimo 💼, esta herramienta es clave en empresas que buscan profesionales capaces de anticipar y planear estratégicamente 🧭.</v>
      </c>
      <c r="AN352" s="5" t="str">
        <f>IFERROR(__xludf.DUMMYFUNCTION("""COMPUTED_VALUE"""),"¡Excelente! 🎓 Aprender Planeamiento y Pronóstico te dará visión estratégica 👀 que te diferenciará.")</f>
        <v>¡Excelente! 🎓 Aprender Planeamiento y Pronóstico te dará visión estratégica 👀 que te diferenciará.</v>
      </c>
      <c r="AO352" s="5" t="str">
        <f>IFERROR(__xludf.DUMMYFUNCTION("""COMPUTED_VALUE"""),"¡Perfecto! 🔑 Tener conocimientos en Planeamiento y Pronóstico te dará ventaja en prácticas en planeamiento o finanzas 💹.")</f>
        <v>¡Perfecto! 🔑 Tener conocimientos en Planeamiento y Pronóstico te dará ventaja en prácticas en planeamiento o finanzas 💹.</v>
      </c>
      <c r="AP352" s="5" t="str">
        <f>IFERROR(__xludf.DUMMYFUNCTION("""COMPUTED_VALUE"""),"¡Excelente! 💡 Con Planeamiento y Pronóstico podrás anticipar resultados 📈 y tomar mejores decisiones en tu negocio.")</f>
        <v>¡Excelente! 💡 Con Planeamiento y Pronóstico podrás anticipar resultados 📈 y tomar mejores decisiones en tu negocio.</v>
      </c>
      <c r="AQ352" s="9" t="str">
        <f>IFERROR(__xludf.DUMMYFUNCTION("""COMPUTED_VALUE"""),"https://we-educacion.com/slides/planeamiento-pronostico-de-la-demanda-78")</f>
        <v>https://we-educacion.com/slides/planeamiento-pronostico-de-la-demanda-78</v>
      </c>
      <c r="AR352" s="5">
        <v>1.0</v>
      </c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</row>
    <row r="353" ht="15.75" customHeight="1">
      <c r="A353" s="5" t="s">
        <v>395</v>
      </c>
      <c r="B353" s="5" t="str">
        <f t="shared" si="1"/>
        <v>ABR. I - ED26</v>
      </c>
      <c r="C353" s="14" t="str">
        <f>IFERROR(__xludf.DUMMYFUNCTION("""COMPUTED_VALUE"""),"BI")</f>
        <v>BI</v>
      </c>
      <c r="D353" s="14" t="str">
        <f>IFERROR(__xludf.DUMMYFUNCTION("""COMPUTED_VALUE"""),"CURSO")</f>
        <v>CURSO</v>
      </c>
      <c r="E353" s="14" t="str">
        <f>IFERROR(__xludf.DUMMYFUNCTION("""COMPUTED_VALUE"""),"POWER BI AVANZ")</f>
        <v>POWER BI AVANZ</v>
      </c>
      <c r="F353" s="15">
        <f>IFERROR(__xludf.DUMMYFUNCTION("""COMPUTED_VALUE"""),46135.0)</f>
        <v>46135</v>
      </c>
      <c r="G353" s="14"/>
      <c r="H353" s="16"/>
      <c r="I353" s="14"/>
      <c r="J353" s="16"/>
      <c r="K353" s="14"/>
      <c r="L353" s="16"/>
      <c r="M353" s="14"/>
      <c r="N353" s="16"/>
      <c r="O353" s="14"/>
      <c r="P353" s="16"/>
      <c r="Q353" s="14"/>
      <c r="R353" s="5" t="str">
        <f>IFERROR(__xludf.DUMMYFUNCTION("""COMPUTED_VALUE"""),"Mar-Jue")</f>
        <v>Mar-Jue</v>
      </c>
      <c r="S353" s="14" t="str">
        <f>IFERROR(__xludf.DUMMYFUNCTION("""COMPUTED_VALUE"""),"7PM - 10PM")</f>
        <v>7PM - 10PM</v>
      </c>
      <c r="T353" s="16" t="str">
        <f>IFERROR(__xludf.DUMMYFUNCTION("""COMPUTED_VALUE"""),"Jueves 23 Abril")</f>
        <v>Jueves 23 Abril</v>
      </c>
      <c r="U353" s="16" t="str">
        <f>IFERROR(__xludf.DUMMYFUNCTION("""COMPUTED_VALUE"""),"Martes 12 Mayo")</f>
        <v>Martes 12 Mayo</v>
      </c>
      <c r="V353" s="17">
        <f>IFERROR(__xludf.DUMMYFUNCTION("""COMPUTED_VALUE"""),6.0)</f>
        <v>6</v>
      </c>
      <c r="W353" s="5" t="str">
        <f>IFERROR(__xludf.DUMMYFUNCTION("""COMPUTED_VALUE"""),"pdfs/BROCHURE POWER BI AVANZADO.pdf")</f>
        <v>pdfs/BROCHURE POWER BI AVANZADO.pdf</v>
      </c>
      <c r="X353" s="18" t="str">
        <f>IFERROR(__xludf.DUMMYFUNCTION("""COMPUTED_VALUE"""),"🔵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BROCHU"&amp;"RE* 👇🏻
Aqui encontrarás la información completa del programa, el TEMARIO (malla curricular) y todos los BENEFICIOS 📚")</f>
        <v>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BROCHURE* 👇🏻
Aqui encontrarás la información completa del programa, el TEMARIO (malla curricular) y todos los BENEFICIOS 📚</v>
      </c>
      <c r="Y353" s="14" t="str">
        <f>IFERROR(__xludf.DUMMYFUNCTION("""COMPUTED_VALUE"""),"images/powerbiavanz.jpg")</f>
        <v>images/powerbiavanz.jpg</v>
      </c>
      <c r="Z353" s="14" t="str">
        <f>IFERROR(__xludf.DUMMYFUNCTION("""COMPUTED_VALUE"""),"Avalado por Microsoft Partner Network")</f>
        <v>Avalado por Microsoft Partner Network</v>
      </c>
      <c r="AA353" s="14" t="str">
        <f>IFERROR(__xludf.DUMMYFUNCTION("""COMPUTED_VALUE"""),"NO")</f>
        <v>NO</v>
      </c>
      <c r="AB353" s="14">
        <f>IFERROR(__xludf.DUMMYFUNCTION("""COMPUTED_VALUE"""),830.0)</f>
        <v>830</v>
      </c>
      <c r="AC353" s="14">
        <f>IFERROR(__xludf.DUMMYFUNCTION("""COMPUTED_VALUE"""),740.0)</f>
        <v>740</v>
      </c>
      <c r="AD353" s="14">
        <f>IFERROR(__xludf.DUMMYFUNCTION("""COMPUTED_VALUE"""),415.0)</f>
        <v>415</v>
      </c>
      <c r="AE353" s="14">
        <f>IFERROR(__xludf.DUMMYFUNCTION("""COMPUTED_VALUE"""),370.0)</f>
        <v>370</v>
      </c>
      <c r="AF353" s="14">
        <f>IFERROR(__xludf.DUMMYFUNCTION("""COMPUTED_VALUE"""),150.0)</f>
        <v>150</v>
      </c>
      <c r="AG353" s="19">
        <f>IFERROR(__xludf.DUMMYFUNCTION("""COMPUTED_VALUE"""),150.0)</f>
        <v>150</v>
      </c>
      <c r="AH353" s="20"/>
      <c r="AI353" s="5">
        <f>IFERROR(__xludf.DUMMYFUNCTION("""COMPUTED_VALUE"""),333.0)</f>
        <v>333</v>
      </c>
      <c r="AJ353" s="5">
        <f>IFERROR(__xludf.DUMMYFUNCTION("""COMPUTED_VALUE"""),373.5)</f>
        <v>373.5</v>
      </c>
      <c r="AK353" s="5" t="str">
        <f>IFERROR(__xludf.DUMMYFUNCTION("""COMPUTED_VALUE"""),"El poder está en la data, pero más en cómo la interpretas 🚀
Con Power BI Avanzado llevarás tus reportes y dashboards a un nivel profesional, con análisis que generan impacto en el negocio.
Aquí la info detallada 👇🏻")</f>
        <v>El poder está en la data, pero más en cómo la interpretas 🚀
Con Power BI Avanzado llevarás tus reportes y dashboards a un nivel profesional, con análisis que generan impacto en el negocio.
Aquí la info detallada 👇🏻</v>
      </c>
      <c r="AL353" s="5" t="str">
        <f>IFERROR(__xludf.DUMMYFUNCTION("""COMPUTED_VALUE"""),"Excelente 🙌, actualízate con Power BI Avanzado y lleva tus reportes a un nivel estratégico 🌐 que buscan las empresas.")</f>
        <v>Excelente 🙌, actualízate con Power BI Avanzado y lleva tus reportes a un nivel estratégico 🌐 que buscan las empresas.</v>
      </c>
      <c r="AM353" s="5" t="str">
        <f>IFERROR(__xludf.DUMMYFUNCTION("""COMPUTED_VALUE"""),"Buenísimo 💼, Power BI es altamente demandado 📊. Dominarlo abrirá más oportunidades laborales 🚀.")</f>
        <v>Buenísimo 💼, Power BI es altamente demandado 📊. Dominarlo abrirá más oportunidades laborales 🚀.</v>
      </c>
      <c r="AN353" s="5" t="str">
        <f>IFERROR(__xludf.DUMMYFUNCTION("""COMPUTED_VALUE"""),"¡Excelente! 🎓 Con Power BI Avanzado aprenderás a visualizar datos 📉📈 de forma profesional.")</f>
        <v>¡Excelente! 🎓 Con Power BI Avanzado aprenderás a visualizar datos 📉📈 de forma profesional.</v>
      </c>
      <c r="AO353" s="5" t="str">
        <f>IFERROR(__xludf.DUMMYFUNCTION("""COMPUTED_VALUE"""),"¡Perfecto! 🔑 Saber Power BI te dará ventaja frente a otros postulantes para prácticas en análisis de datos 💻.")</f>
        <v>¡Perfecto! 🔑 Saber Power BI te dará ventaja frente a otros postulantes para prácticas en análisis de datos 💻.</v>
      </c>
      <c r="AP353" s="5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Q353" s="9" t="str">
        <f>IFERROR(__xludf.DUMMYFUNCTION("""COMPUTED_VALUE"""),"https://we-educacion.com/slides/power-bi-avanzado-90")</f>
        <v>https://we-educacion.com/slides/power-bi-avanzado-90</v>
      </c>
      <c r="AR353" s="5">
        <v>1.0</v>
      </c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</row>
    <row r="354" ht="15.75" customHeight="1">
      <c r="A354" s="5" t="s">
        <v>396</v>
      </c>
      <c r="B354" s="5" t="str">
        <f t="shared" si="1"/>
        <v>ABR. I - ED26</v>
      </c>
      <c r="C354" s="14" t="str">
        <f>IFERROR(__xludf.DUMMYFUNCTION("""COMPUTED_VALUE"""),"BI")</f>
        <v>BI</v>
      </c>
      <c r="D354" s="20" t="str">
        <f>IFERROR(__xludf.DUMMYFUNCTION("""COMPUTED_VALUE"""),"CURSO")</f>
        <v>CURSO</v>
      </c>
      <c r="E354" s="14" t="str">
        <f>IFERROR(__xludf.DUMMYFUNCTION("""COMPUTED_VALUE"""),"PYTHON. DATOS")</f>
        <v>PYTHON. DATOS</v>
      </c>
      <c r="F354" s="15">
        <f>IFERROR(__xludf.DUMMYFUNCTION("""COMPUTED_VALUE"""),46135.0)</f>
        <v>46135</v>
      </c>
      <c r="G354" s="14"/>
      <c r="H354" s="16"/>
      <c r="I354" s="14"/>
      <c r="J354" s="16"/>
      <c r="K354" s="14"/>
      <c r="L354" s="16"/>
      <c r="M354" s="14"/>
      <c r="N354" s="16"/>
      <c r="O354" s="14"/>
      <c r="P354" s="16"/>
      <c r="Q354" s="14"/>
      <c r="R354" s="5" t="str">
        <f>IFERROR(__xludf.DUMMYFUNCTION("""COMPUTED_VALUE"""),"Mar-Jue")</f>
        <v>Mar-Jue</v>
      </c>
      <c r="S354" s="14" t="str">
        <f>IFERROR(__xludf.DUMMYFUNCTION("""COMPUTED_VALUE"""),"7PM - 10PM")</f>
        <v>7PM - 10PM</v>
      </c>
      <c r="T354" s="16" t="str">
        <f>IFERROR(__xludf.DUMMYFUNCTION("""COMPUTED_VALUE"""),"Jueves 23 Abril")</f>
        <v>Jueves 23 Abril</v>
      </c>
      <c r="U354" s="16" t="str">
        <f>IFERROR(__xludf.DUMMYFUNCTION("""COMPUTED_VALUE"""),"Martes 12 Mayo")</f>
        <v>Martes 12 Mayo</v>
      </c>
      <c r="V354" s="17">
        <f>IFERROR(__xludf.DUMMYFUNCTION("""COMPUTED_VALUE"""),6.0)</f>
        <v>6</v>
      </c>
      <c r="W354" s="5" t="str">
        <f>IFERROR(__xludf.DUMMYFUNCTION("""COMPUTED_VALUE"""),"pdfs/BROCHURE PYTHON ANALISIS DE DATOS.pdf")</f>
        <v>pdfs/BROCHURE PYTHON ANALISIS DE DATOS.pdf</v>
      </c>
      <c r="X354" s="18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54" s="14" t="str">
        <f>IFERROR(__xludf.DUMMYFUNCTION("""COMPUTED_VALUE"""),"images/python.jpg")</f>
        <v>images/python.jpg</v>
      </c>
      <c r="Z354" s="14" t="str">
        <f>IFERROR(__xludf.DUMMYFUNCTION("""COMPUTED_VALUE"""),"Avalado por IBM® Partner World")</f>
        <v>Avalado por IBM® Partner World</v>
      </c>
      <c r="AA354" s="14" t="str">
        <f>IFERROR(__xludf.DUMMYFUNCTION("""COMPUTED_VALUE"""),"SI")</f>
        <v>SI</v>
      </c>
      <c r="AB354" s="14">
        <f>IFERROR(__xludf.DUMMYFUNCTION("""COMPUTED_VALUE"""),730.0)</f>
        <v>730</v>
      </c>
      <c r="AC354" s="14">
        <f>IFERROR(__xludf.DUMMYFUNCTION("""COMPUTED_VALUE"""),650.0)</f>
        <v>650</v>
      </c>
      <c r="AD354" s="14">
        <f>IFERROR(__xludf.DUMMYFUNCTION("""COMPUTED_VALUE"""),365.0)</f>
        <v>365</v>
      </c>
      <c r="AE354" s="14">
        <f>IFERROR(__xludf.DUMMYFUNCTION("""COMPUTED_VALUE"""),325.0)</f>
        <v>325</v>
      </c>
      <c r="AF354" s="14">
        <f>IFERROR(__xludf.DUMMYFUNCTION("""COMPUTED_VALUE"""),150.0)</f>
        <v>150</v>
      </c>
      <c r="AG354" s="19">
        <f>IFERROR(__xludf.DUMMYFUNCTION("""COMPUTED_VALUE"""),150.0)</f>
        <v>150</v>
      </c>
      <c r="AH354" s="20"/>
      <c r="AI354" s="5">
        <f>IFERROR(__xludf.DUMMYFUNCTION("""COMPUTED_VALUE"""),292.5)</f>
        <v>292.5</v>
      </c>
      <c r="AJ354" s="5">
        <f>IFERROR(__xludf.DUMMYFUNCTION("""COMPUTED_VALUE"""),328.5)</f>
        <v>328.5</v>
      </c>
      <c r="AK354" s="5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354" s="5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354" s="5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354" s="5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354" s="5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354" s="5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354" s="9" t="str">
        <f>IFERROR(__xludf.DUMMYFUNCTION("""COMPUTED_VALUE"""),"https://we-educacion.com/slides/python-analisis-de-datos-259")</f>
        <v>https://we-educacion.com/slides/python-analisis-de-datos-259</v>
      </c>
      <c r="AR354" s="5">
        <v>1.0</v>
      </c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</row>
    <row r="355" ht="15.75" customHeight="1">
      <c r="A355" s="5" t="s">
        <v>397</v>
      </c>
      <c r="B355" s="5" t="str">
        <f t="shared" si="1"/>
        <v>ABR. II - ED26</v>
      </c>
      <c r="C355" s="14" t="str">
        <f>IFERROR(__xludf.DUMMYFUNCTION("""COMPUTED_VALUE"""),"LOGÍSTICA")</f>
        <v>LOGÍSTICA</v>
      </c>
      <c r="D355" s="20" t="str">
        <f>IFERROR(__xludf.DUMMYFUNCTION("""COMPUTED_VALUE"""),"CURSO")</f>
        <v>CURSO</v>
      </c>
      <c r="E355" s="14" t="str">
        <f>IFERROR(__xludf.DUMMYFUNCTION("""COMPUTED_VALUE"""),"GEST TRANSPORTES")</f>
        <v>GEST TRANSPORTES</v>
      </c>
      <c r="F355" s="15">
        <f>IFERROR(__xludf.DUMMYFUNCTION("""COMPUTED_VALUE"""),46135.0)</f>
        <v>46135</v>
      </c>
      <c r="G355" s="14"/>
      <c r="H355" s="16"/>
      <c r="I355" s="14"/>
      <c r="J355" s="16"/>
      <c r="K355" s="14"/>
      <c r="L355" s="16"/>
      <c r="M355" s="14"/>
      <c r="N355" s="16"/>
      <c r="O355" s="14"/>
      <c r="P355" s="16"/>
      <c r="Q355" s="14" t="str">
        <f>IFERROR(__xludf.DUMMYFUNCTION("""COMPUTED_VALUE"""),"Francisco Ñaupa")</f>
        <v>Francisco Ñaupa</v>
      </c>
      <c r="R355" s="5" t="str">
        <f>IFERROR(__xludf.DUMMYFUNCTION("""COMPUTED_VALUE"""),"Mar-Jue")</f>
        <v>Mar-Jue</v>
      </c>
      <c r="S355" s="14" t="str">
        <f>IFERROR(__xludf.DUMMYFUNCTION("""COMPUTED_VALUE"""),"7PM - 10PM")</f>
        <v>7PM - 10PM</v>
      </c>
      <c r="T355" s="16" t="str">
        <f>IFERROR(__xludf.DUMMYFUNCTION("""COMPUTED_VALUE"""),"Jueves 23 Abril")</f>
        <v>Jueves 23 Abril</v>
      </c>
      <c r="U355" s="16" t="str">
        <f>IFERROR(__xludf.DUMMYFUNCTION("""COMPUTED_VALUE"""),"Jueves 7 Mayo")</f>
        <v>Jueves 7 Mayo</v>
      </c>
      <c r="V355" s="17">
        <f>IFERROR(__xludf.DUMMYFUNCTION("""COMPUTED_VALUE"""),5.0)</f>
        <v>5</v>
      </c>
      <c r="W355" s="5" t="str">
        <f>IFERROR(__xludf.DUMMYFUNCTION("""COMPUTED_VALUE"""),"pdfs/BROCHURE GESTION DE TRANSPORTE Y CANALES DE DISTRIBUCIÓN.pdf")</f>
        <v>pdfs/BROCHURE GESTION DE TRANSPORTE Y CANALES DE DISTRIBUCIÓN.pdf</v>
      </c>
      <c r="X355" s="18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*Utilizarán Excel* 👩🏻‍💻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*Por favor, revisa el BROCHURE* 👇🏻
Aqui encontrarás la información completa del programa, el TEMARIO (malla curricular) y todos los BENEFICIOS 📚</v>
      </c>
      <c r="Y355" s="14" t="str">
        <f>IFERROR(__xludf.DUMMYFUNCTION("""COMPUTED_VALUE"""),"images/transpo.jpg")</f>
        <v>images/transpo.jpg</v>
      </c>
      <c r="Z355" s="14"/>
      <c r="AA355" s="14" t="str">
        <f>IFERROR(__xludf.DUMMYFUNCTION("""COMPUTED_VALUE"""),"NO")</f>
        <v>NO</v>
      </c>
      <c r="AB355" s="14">
        <f>IFERROR(__xludf.DUMMYFUNCTION("""COMPUTED_VALUE"""),830.0)</f>
        <v>830</v>
      </c>
      <c r="AC355" s="14">
        <f>IFERROR(__xludf.DUMMYFUNCTION("""COMPUTED_VALUE"""),770.0)</f>
        <v>770</v>
      </c>
      <c r="AD355" s="14">
        <f>IFERROR(__xludf.DUMMYFUNCTION("""COMPUTED_VALUE"""),415.0)</f>
        <v>415</v>
      </c>
      <c r="AE355" s="14">
        <f>IFERROR(__xludf.DUMMYFUNCTION("""COMPUTED_VALUE"""),385.0)</f>
        <v>385</v>
      </c>
      <c r="AF355" s="14">
        <f>IFERROR(__xludf.DUMMYFUNCTION("""COMPUTED_VALUE"""),150.0)</f>
        <v>150</v>
      </c>
      <c r="AG355" s="19">
        <f>IFERROR(__xludf.DUMMYFUNCTION("""COMPUTED_VALUE"""),150.0)</f>
        <v>150</v>
      </c>
      <c r="AH355" s="20"/>
      <c r="AI355" s="5">
        <f>IFERROR(__xludf.DUMMYFUNCTION("""COMPUTED_VALUE"""),346.5)</f>
        <v>346.5</v>
      </c>
      <c r="AJ355" s="5">
        <f>IFERROR(__xludf.DUMMYFUNCTION("""COMPUTED_VALUE"""),373.5)</f>
        <v>373.5</v>
      </c>
      <c r="AK355" s="5" t="str">
        <f>IFERROR(__xludf.DUMMYFUNCTION("""COMPUTED_VALUE"""),"La competitividad empresarial depende de una logística eficiente 📦
Con Gestión de Transportes aprenderás a planificar, coordinar y optimizar rutas y costos en casos reales 🚛.
Aquí te comparto la información 👇🏻")</f>
        <v>La competitividad empresarial depende de una logística eficiente 📦
Con Gestión de Transportes aprenderás a planificar, coordinar y optimizar rutas y costos en casos reales 🚛.
Aquí te comparto la información 👇🏻</v>
      </c>
      <c r="AL355" s="5" t="str">
        <f>IFERROR(__xludf.DUMMYFUNCTION("""COMPUTED_VALUE"""),"🌍 *Excelente*, actualízate con *GEST TRANSPORTES* y mantente competitivo en el mercado laboral.")</f>
        <v>🌍 *Excelente*, actualízate con *GEST TRANSPORTES* y mantente competitivo en el mercado laboral.</v>
      </c>
      <c r="AM355" s="5" t="str">
        <f>IFERROR(__xludf.DUMMYFUNCTION("""COMPUTED_VALUE"""),"📘 Buenísimo, *GEST TRANSPORTES* es de las competencias más pedidas por las empresas y aumentará tus oportunidades laborales.")</f>
        <v>📘 Buenísimo, *GEST TRANSPORTES* es de las competencias más pedidas por las empresas y aumentará tus oportunidades laborales.</v>
      </c>
      <c r="AN355" s="5" t="str">
        <f>IFERROR(__xludf.DUMMYFUNCTION("""COMPUTED_VALUE"""),"💼 ¡Genial! Con *GEST TRANSPORTES* sumarás una habilidad poderosa que te diferenciará desde la universidad.")</f>
        <v>💼 ¡Genial! Con *GEST TRANSPORTES* sumarás una habilidad poderosa que te diferenciará desde la universidad.</v>
      </c>
      <c r="AO355" s="5" t="str">
        <f>IFERROR(__xludf.DUMMYFUNCTION("""COMPUTED_VALUE"""),"📊 ¡Perfecto! Saber *GEST TRANSPORTES* te dará ventaja frente a otros postulantes para conseguir prácticas.")</f>
        <v>📊 ¡Perfecto! Saber *GEST TRANSPORTES* te dará ventaja frente a otros postulantes para conseguir prácticas.</v>
      </c>
      <c r="AP355" s="5" t="str">
        <f>IFERROR(__xludf.DUMMYFUNCTION("""COMPUTED_VALUE"""),"💼 ¡Excelente! Con *GEST TRANSPORTES* podrás aplicarlo en tu negocio y tomar decisiones más inteligentes.")</f>
        <v>💼 ¡Excelente! Con *GEST TRANSPORTES* podrás aplicarlo en tu negocio y tomar decisiones más inteligentes.</v>
      </c>
      <c r="AQ355" s="9" t="str">
        <f>IFERROR(__xludf.DUMMYFUNCTION("""COMPUTED_VALUE"""),"https://we-educacion.com/slides/gestion-de-transportes-73")</f>
        <v>https://we-educacion.com/slides/gestion-de-transportes-73</v>
      </c>
      <c r="AR355" s="5">
        <v>1.0</v>
      </c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</row>
    <row r="356" ht="15.75" customHeight="1">
      <c r="A356" s="5" t="s">
        <v>398</v>
      </c>
      <c r="B356" s="5" t="str">
        <f t="shared" si="1"/>
        <v>ABR. II - ED26</v>
      </c>
      <c r="C356" s="14" t="str">
        <f>IFERROR(__xludf.DUMMYFUNCTION("""COMPUTED_VALUE"""),"BI")</f>
        <v>BI</v>
      </c>
      <c r="D356" s="14" t="str">
        <f>IFERROR(__xludf.DUMMYFUNCTION("""COMPUTED_VALUE"""),"ESP.")</f>
        <v>ESP.</v>
      </c>
      <c r="E356" s="14" t="str">
        <f>IFERROR(__xludf.DUMMYFUNCTION("""COMPUTED_VALUE"""),"ESP. SQL SERVER")</f>
        <v>ESP. SQL SERVER</v>
      </c>
      <c r="F356" s="15">
        <f>IFERROR(__xludf.DUMMYFUNCTION("""COMPUTED_VALUE"""),46135.0)</f>
        <v>46135</v>
      </c>
      <c r="G356" s="14" t="str">
        <f>IFERROR(__xludf.DUMMYFUNCTION("""COMPUTED_VALUE"""),"SQL SERVER")</f>
        <v>SQL SERVER</v>
      </c>
      <c r="H356" s="16">
        <f>IFERROR(__xludf.DUMMYFUNCTION("""COMPUTED_VALUE"""),46135.0)</f>
        <v>46135</v>
      </c>
      <c r="I356" s="14" t="str">
        <f>IFERROR(__xludf.DUMMYFUNCTION("""COMPUTED_VALUE"""),"SQL AVANZ")</f>
        <v>SQL AVANZ</v>
      </c>
      <c r="J356" s="16">
        <f>IFERROR(__xludf.DUMMYFUNCTION("""COMPUTED_VALUE"""),46156.0)</f>
        <v>46156</v>
      </c>
      <c r="K356" s="14"/>
      <c r="L356" s="16"/>
      <c r="M356" s="14"/>
      <c r="N356" s="16"/>
      <c r="O356" s="14"/>
      <c r="P356" s="16"/>
      <c r="Q356" s="14"/>
      <c r="R356" s="5" t="str">
        <f>IFERROR(__xludf.DUMMYFUNCTION("""COMPUTED_VALUE"""),"Mar-Jue")</f>
        <v>Mar-Jue</v>
      </c>
      <c r="S356" s="14" t="str">
        <f>IFERROR(__xludf.DUMMYFUNCTION("""COMPUTED_VALUE"""),"7PM - 10PM")</f>
        <v>7PM - 10PM</v>
      </c>
      <c r="T356" s="16" t="str">
        <f>IFERROR(__xludf.DUMMYFUNCTION("""COMPUTED_VALUE"""),"Jueves 23 Abril")</f>
        <v>Jueves 23 Abril</v>
      </c>
      <c r="U356" s="16" t="str">
        <f>IFERROR(__xludf.DUMMYFUNCTION("""COMPUTED_VALUE"""),"Martes 2 Junio")</f>
        <v>Martes 2 Junio</v>
      </c>
      <c r="V356" s="17">
        <f>IFERROR(__xludf.DUMMYFUNCTION("""COMPUTED_VALUE"""),12.0)</f>
        <v>12</v>
      </c>
      <c r="W356" s="5" t="str">
        <f>IFERROR(__xludf.DUMMYFUNCTION("""COMPUTED_VALUE"""),"pdfs/BROCHURE ESPECIALIZACION DE SQL.pdf")</f>
        <v>pdfs/BROCHURE ESPECIALIZACION DE SQL.pdf</v>
      </c>
      <c r="X356" s="18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56" s="14" t="str">
        <f>IFERROR(__xludf.DUMMYFUNCTION("""COMPUTED_VALUE"""),"images/espsql.jpg")</f>
        <v>images/espsql.jpg</v>
      </c>
      <c r="Z356" s="14" t="str">
        <f>IFERROR(__xludf.DUMMYFUNCTION("""COMPUTED_VALUE"""),"Avalado por Microsoft Partner Network")</f>
        <v>Avalado por Microsoft Partner Network</v>
      </c>
      <c r="AA356" s="14" t="str">
        <f>IFERROR(__xludf.DUMMYFUNCTION("""COMPUTED_VALUE"""),"NO")</f>
        <v>NO</v>
      </c>
      <c r="AB356" s="14">
        <f>IFERROR(__xludf.DUMMYFUNCTION("""COMPUTED_VALUE"""),1600.0)</f>
        <v>1600</v>
      </c>
      <c r="AC356" s="14">
        <f>IFERROR(__xludf.DUMMYFUNCTION("""COMPUTED_VALUE"""),1400.0)</f>
        <v>1400</v>
      </c>
      <c r="AD356" s="14">
        <f>IFERROR(__xludf.DUMMYFUNCTION("""COMPUTED_VALUE"""),800.0)</f>
        <v>800</v>
      </c>
      <c r="AE356" s="14">
        <f>IFERROR(__xludf.DUMMYFUNCTION("""COMPUTED_VALUE"""),700.0)</f>
        <v>700</v>
      </c>
      <c r="AF356" s="14">
        <f>IFERROR(__xludf.DUMMYFUNCTION("""COMPUTED_VALUE"""),250.0)</f>
        <v>250</v>
      </c>
      <c r="AG356" s="19">
        <f>IFERROR(__xludf.DUMMYFUNCTION("""COMPUTED_VALUE"""),350.0)</f>
        <v>350</v>
      </c>
      <c r="AH356" s="20"/>
      <c r="AI356" s="5">
        <f>IFERROR(__xludf.DUMMYFUNCTION("""COMPUTED_VALUE"""),630.0)</f>
        <v>630</v>
      </c>
      <c r="AJ356" s="5">
        <f>IFERROR(__xludf.DUMMYFUNCTION("""COMPUTED_VALUE"""),720.0)</f>
        <v>720</v>
      </c>
      <c r="AK356" s="5" t="str">
        <f>IFERROR(__xludf.DUMMYFUNCTION("""COMPUTED_VALUE"""),"Las bases de datos mueven el mundo 💾
Aprende a gestionar y optimizar información con SQL Server para un control eficiente 📊
👉🏻 Aquí está la información.")</f>
        <v>Las bases de datos mueven el mundo 💾
Aprende a gestionar y optimizar información con SQL Server para un control eficiente 📊
👉🏻 Aquí está la información.</v>
      </c>
      <c r="AL356" s="5" t="str">
        <f>IFERROR(__xludf.DUMMYFUNCTION("""COMPUTED_VALUE"""),"💾 Excelente, actualízate en SQL Server y gestiona datos con eficiencia.")</f>
        <v>💾 Excelente, actualízate en SQL Server y gestiona datos con eficiencia.</v>
      </c>
      <c r="AM356" s="5" t="str">
        <f>IFERROR(__xludf.DUMMYFUNCTION("""COMPUTED_VALUE"""),"🏢 Buenísimo, las empresas buscan expertos en bases de datos corporativas.")</f>
        <v>🏢 Buenísimo, las empresas buscan expertos en bases de datos corporativas.</v>
      </c>
      <c r="AN356" s="5" t="str">
        <f>IFERROR(__xludf.DUMMYFUNCTION("""COMPUTED_VALUE"""),"⚡ Genial, dominar SQL Server elevará tu perfil en gestión de información.")</f>
        <v>⚡ Genial, dominar SQL Server elevará tu perfil en gestión de información.</v>
      </c>
      <c r="AO356" s="5" t="str">
        <f>IFERROR(__xludf.DUMMYFUNCTION("""COMPUTED_VALUE"""),"🚀 Perfecto, SQL será tu ventaja en prácticas de análisis y TI.")</f>
        <v>🚀 Perfecto, SQL será tu ventaja en prácticas de análisis y TI.</v>
      </c>
      <c r="AP356" s="5" t="str">
        <f>IFERROR(__xludf.DUMMYFUNCTION("""COMPUTED_VALUE"""),"📊 Excelente, podrás gestionar tus datos con control y rapidez como independiente.")</f>
        <v>📊 Excelente, podrás gestionar tus datos con control y rapidez como independiente.</v>
      </c>
      <c r="AQ356" s="9" t="str">
        <f>IFERROR(__xludf.DUMMYFUNCTION("""COMPUTED_VALUE"""),"https://we-educacion.com/slides/especializacion-en-sql-server-107")</f>
        <v>https://we-educacion.com/slides/especializacion-en-sql-server-107</v>
      </c>
      <c r="AR356" s="5">
        <v>1.0</v>
      </c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</row>
    <row r="357" ht="15.75" customHeight="1">
      <c r="A357" s="5" t="s">
        <v>399</v>
      </c>
      <c r="B357" s="5" t="str">
        <f t="shared" si="1"/>
        <v>ABR. I - ED26</v>
      </c>
      <c r="C357" s="14" t="str">
        <f>IFERROR(__xludf.DUMMYFUNCTION("""COMPUTED_VALUE"""),"SAP")</f>
        <v>SAP</v>
      </c>
      <c r="D357" s="14" t="str">
        <f>IFERROR(__xludf.DUMMYFUNCTION("""COMPUTED_VALUE"""),"CURSO")</f>
        <v>CURSO</v>
      </c>
      <c r="E357" s="14" t="str">
        <f>IFERROR(__xludf.DUMMYFUNCTION("""COMPUTED_VALUE"""),"SAP HANA EWM")</f>
        <v>SAP HANA EWM</v>
      </c>
      <c r="F357" s="15">
        <f>IFERROR(__xludf.DUMMYFUNCTION("""COMPUTED_VALUE"""),46135.0)</f>
        <v>46135</v>
      </c>
      <c r="G357" s="14"/>
      <c r="H357" s="16"/>
      <c r="I357" s="14"/>
      <c r="J357" s="16"/>
      <c r="K357" s="14"/>
      <c r="L357" s="16"/>
      <c r="M357" s="14"/>
      <c r="N357" s="16"/>
      <c r="O357" s="14"/>
      <c r="P357" s="16"/>
      <c r="Q357" s="14" t="str">
        <f>IFERROR(__xludf.DUMMYFUNCTION("""COMPUTED_VALUE"""),"Diego Purizaca")</f>
        <v>Diego Purizaca</v>
      </c>
      <c r="R357" s="5" t="str">
        <f>IFERROR(__xludf.DUMMYFUNCTION("""COMPUTED_VALUE"""),"Mar-Jue")</f>
        <v>Mar-Jue</v>
      </c>
      <c r="S357" s="14" t="str">
        <f>IFERROR(__xludf.DUMMYFUNCTION("""COMPUTED_VALUE"""),"7PM - 10PM")</f>
        <v>7PM - 10PM</v>
      </c>
      <c r="T357" s="16" t="str">
        <f>IFERROR(__xludf.DUMMYFUNCTION("""COMPUTED_VALUE"""),"Jueves 23 Abril")</f>
        <v>Jueves 23 Abril</v>
      </c>
      <c r="U357" s="16" t="str">
        <f>IFERROR(__xludf.DUMMYFUNCTION("""COMPUTED_VALUE"""),"Martes 12 Mayo")</f>
        <v>Martes 12 Mayo</v>
      </c>
      <c r="V357" s="17">
        <f>IFERROR(__xludf.DUMMYFUNCTION("""COMPUTED_VALUE"""),6.0)</f>
        <v>6</v>
      </c>
      <c r="W357" s="5" t="str">
        <f>IFERROR(__xludf.DUMMYFUNCTION("""COMPUTED_VALUE"""),"pdfs/BROCHURE SAP HANA EWM LOGISTICA Y ALMACENES.pdf")</f>
        <v>pdfs/BROCHURE SAP HANA EWM LOGISTICA Y ALMACENES.pdf</v>
      </c>
      <c r="X357" s="18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357" s="14" t="str">
        <f>IFERROR(__xludf.DUMMYFUNCTION("""COMPUTED_VALUE"""),"images/sapewm.jpg")</f>
        <v>images/sapewm.jpg</v>
      </c>
      <c r="Z357" s="14" t="str">
        <f>IFERROR(__xludf.DUMMYFUNCTION("""COMPUTED_VALUE"""),"Avalado por SAP Partner Open")</f>
        <v>Avalado por SAP Partner Open</v>
      </c>
      <c r="AA357" s="14" t="str">
        <f>IFERROR(__xludf.DUMMYFUNCTION("""COMPUTED_VALUE"""),"NO")</f>
        <v>NO</v>
      </c>
      <c r="AB357" s="14">
        <f>IFERROR(__xludf.DUMMYFUNCTION("""COMPUTED_VALUE"""),900.0)</f>
        <v>900</v>
      </c>
      <c r="AC357" s="14">
        <f>IFERROR(__xludf.DUMMYFUNCTION("""COMPUTED_VALUE"""),750.0)</f>
        <v>750</v>
      </c>
      <c r="AD357" s="14">
        <f>IFERROR(__xludf.DUMMYFUNCTION("""COMPUTED_VALUE"""),450.0)</f>
        <v>450</v>
      </c>
      <c r="AE357" s="14">
        <f>IFERROR(__xludf.DUMMYFUNCTION("""COMPUTED_VALUE"""),375.0)</f>
        <v>375</v>
      </c>
      <c r="AF357" s="14">
        <f>IFERROR(__xludf.DUMMYFUNCTION("""COMPUTED_VALUE"""),150.0)</f>
        <v>150</v>
      </c>
      <c r="AG357" s="19">
        <f>IFERROR(__xludf.DUMMYFUNCTION("""COMPUTED_VALUE"""),150.0)</f>
        <v>150</v>
      </c>
      <c r="AH357" s="20"/>
      <c r="AI357" s="5">
        <f>IFERROR(__xludf.DUMMYFUNCTION("""COMPUTED_VALUE"""),337.5)</f>
        <v>337.5</v>
      </c>
      <c r="AJ357" s="5">
        <f>IFERROR(__xludf.DUMMYFUNCTION("""COMPUTED_VALUE"""),405.0)</f>
        <v>405</v>
      </c>
      <c r="AK357" s="5" t="str">
        <f>IFERROR(__xludf.DUMMYFUNCTION("""COMPUTED_VALUE"""),"La logística moderna se gestiona con SAP HANA EWM 🚛
Aprenderás a optimizar almacenes, distribución e inventarios en entornos reales 🌐.
Aquí te comparto la info 👇🏻")</f>
        <v>La logística moderna se gestiona con SAP HANA EWM 🚛
Aprenderás a optimizar almacenes, distribución e inventarios en entornos reales 🌐.
Aquí te comparto la info 👇🏻</v>
      </c>
      <c r="AL357" s="5" t="str">
        <f>IFERROR(__xludf.DUMMYFUNCTION("""COMPUTED_VALUE"""),"📦 Excelente, actualízate con SAP HANA EWM y domina la gestión de almacenes.")</f>
        <v>📦 Excelente, actualízate con SAP HANA EWM y domina la gestión de almacenes.</v>
      </c>
      <c r="AM357" s="5" t="str">
        <f>IFERROR(__xludf.DUMMYFUNCTION("""COMPUTED_VALUE"""),"💼 Buenísimo, SAP EWM es muy valorado en empresas de logística y distribución.")</f>
        <v>💼 Buenísimo, SAP EWM es muy valorado en empresas de logística y distribución.</v>
      </c>
      <c r="AN357" s="5" t="str">
        <f>IFERROR(__xludf.DUMMYFUNCTION("""COMPUTED_VALUE"""),"🎓 ¡Genial! Con SAP EWM aprenderás gestión avanzada desde la universidad.")</f>
        <v>🎓 ¡Genial! Con SAP EWM aprenderás gestión avanzada desde la universidad.</v>
      </c>
      <c r="AO357" s="5" t="str">
        <f>IFERROR(__xludf.DUMMYFUNCTION("""COMPUTED_VALUE"""),"🚀 ¡Perfecto! Conocer SAP EWM te dará ventaja en prácticas de logística.")</f>
        <v>🚀 ¡Perfecto! Conocer SAP EWM te dará ventaja en prácticas de logística.</v>
      </c>
      <c r="AP357" s="5" t="str">
        <f>IFERROR(__xludf.DUMMYFUNCTION("""COMPUTED_VALUE"""),"📊 ¡Excelente! Con SAP EWM optimizarás la gestión de tu cadena de suministro.")</f>
        <v>📊 ¡Excelente! Con SAP EWM optimizarás la gestión de tu cadena de suministro.</v>
      </c>
      <c r="AQ357" s="9" t="str">
        <f>IFERROR(__xludf.DUMMYFUNCTION("""COMPUTED_VALUE"""),"https://we-educacion.com/slides/sap-s-4-hana-ewm-361")</f>
        <v>https://we-educacion.com/slides/sap-s-4-hana-ewm-361</v>
      </c>
      <c r="AR357" s="5">
        <v>1.0</v>
      </c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</row>
    <row r="358" ht="15.75" customHeight="1">
      <c r="A358" s="5" t="s">
        <v>400</v>
      </c>
      <c r="B358" s="5" t="str">
        <f t="shared" si="1"/>
        <v>ABR. II - ED26</v>
      </c>
      <c r="C358" s="14" t="str">
        <f>IFERROR(__xludf.DUMMYFUNCTION("""COMPUTED_VALUE"""),"SAP")</f>
        <v>SAP</v>
      </c>
      <c r="D358" s="14" t="str">
        <f>IFERROR(__xludf.DUMMYFUNCTION("""COMPUTED_VALUE"""),"CURSO")</f>
        <v>CURSO</v>
      </c>
      <c r="E358" s="14" t="str">
        <f>IFERROR(__xludf.DUMMYFUNCTION("""COMPUTED_VALUE"""),"SAP HANA FI")</f>
        <v>SAP HANA FI</v>
      </c>
      <c r="F358" s="15">
        <f>IFERROR(__xludf.DUMMYFUNCTION("""COMPUTED_VALUE"""),46135.0)</f>
        <v>46135</v>
      </c>
      <c r="G358" s="14"/>
      <c r="H358" s="16"/>
      <c r="I358" s="14"/>
      <c r="J358" s="16"/>
      <c r="K358" s="14"/>
      <c r="L358" s="16"/>
      <c r="M358" s="14"/>
      <c r="N358" s="16"/>
      <c r="O358" s="14"/>
      <c r="P358" s="16"/>
      <c r="Q358" s="14" t="str">
        <f>IFERROR(__xludf.DUMMYFUNCTION("""COMPUTED_VALUE"""),"Andy Leyton
")</f>
        <v>Andy Leyton
</v>
      </c>
      <c r="R358" s="5" t="str">
        <f>IFERROR(__xludf.DUMMYFUNCTION("""COMPUTED_VALUE"""),"Mar-Jue")</f>
        <v>Mar-Jue</v>
      </c>
      <c r="S358" s="14" t="str">
        <f>IFERROR(__xludf.DUMMYFUNCTION("""COMPUTED_VALUE"""),"7PM - 10PM")</f>
        <v>7PM - 10PM</v>
      </c>
      <c r="T358" s="16" t="str">
        <f>IFERROR(__xludf.DUMMYFUNCTION("""COMPUTED_VALUE"""),"Jueves 23 Abril")</f>
        <v>Jueves 23 Abril</v>
      </c>
      <c r="U358" s="16" t="str">
        <f>IFERROR(__xludf.DUMMYFUNCTION("""COMPUTED_VALUE"""),"Martes 12 Mayo")</f>
        <v>Martes 12 Mayo</v>
      </c>
      <c r="V358" s="17">
        <f>IFERROR(__xludf.DUMMYFUNCTION("""COMPUTED_VALUE"""),6.0)</f>
        <v>6</v>
      </c>
      <c r="W358" s="5" t="str">
        <f>IFERROR(__xludf.DUMMYFUNCTION("""COMPUTED_VALUE"""),"pdfs/BROCHURE SAP HANA FI MODULO FINANZAS.pdf")</f>
        <v>pdfs/BROCHURE SAP HANA FI MODULO FINANZAS.pdf</v>
      </c>
      <c r="X358" s="18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358" s="14" t="str">
        <f>IFERROR(__xludf.DUMMYFUNCTION("""COMPUTED_VALUE"""),"images/sapfi.jpg")</f>
        <v>images/sapfi.jpg</v>
      </c>
      <c r="Z358" s="14" t="str">
        <f>IFERROR(__xludf.DUMMYFUNCTION("""COMPUTED_VALUE"""),"Avalado por SAP Partner Open")</f>
        <v>Avalado por SAP Partner Open</v>
      </c>
      <c r="AA358" s="14" t="str">
        <f>IFERROR(__xludf.DUMMYFUNCTION("""COMPUTED_VALUE"""),"NO")</f>
        <v>NO</v>
      </c>
      <c r="AB358" s="14">
        <f>IFERROR(__xludf.DUMMYFUNCTION("""COMPUTED_VALUE"""),900.0)</f>
        <v>900</v>
      </c>
      <c r="AC358" s="14">
        <f>IFERROR(__xludf.DUMMYFUNCTION("""COMPUTED_VALUE"""),750.0)</f>
        <v>750</v>
      </c>
      <c r="AD358" s="14">
        <f>IFERROR(__xludf.DUMMYFUNCTION("""COMPUTED_VALUE"""),450.0)</f>
        <v>450</v>
      </c>
      <c r="AE358" s="14">
        <f>IFERROR(__xludf.DUMMYFUNCTION("""COMPUTED_VALUE"""),375.0)</f>
        <v>375</v>
      </c>
      <c r="AF358" s="14">
        <f>IFERROR(__xludf.DUMMYFUNCTION("""COMPUTED_VALUE"""),150.0)</f>
        <v>150</v>
      </c>
      <c r="AG358" s="19">
        <f>IFERROR(__xludf.DUMMYFUNCTION("""COMPUTED_VALUE"""),150.0)</f>
        <v>150</v>
      </c>
      <c r="AH358" s="20"/>
      <c r="AI358" s="5">
        <f>IFERROR(__xludf.DUMMYFUNCTION("""COMPUTED_VALUE"""),337.5)</f>
        <v>337.5</v>
      </c>
      <c r="AJ358" s="5">
        <f>IFERROR(__xludf.DUMMYFUNCTION("""COMPUTED_VALUE"""),405.0)</f>
        <v>405</v>
      </c>
      <c r="AK358" s="5" t="str">
        <f>IFERROR(__xludf.DUMMYFUNCTION("""COMPUTED_VALUE"""),"El lenguaje financiero global se habla con SAP HANA FI 💼
Con este programa aprenderás a gestionar contabilidad y finanzas de forma práctica en SAP 🚀.
Aquí la información completa 👇🏻")</f>
        <v>El lenguaje financiero global se habla con SAP HANA FI 💼
Con este programa aprenderás a gestionar contabilidad y finanzas de forma práctica en SAP 🚀.
Aquí la información completa 👇🏻</v>
      </c>
      <c r="AL358" s="5" t="str">
        <f>IFERROR(__xludf.DUMMYFUNCTION("""COMPUTED_VALUE"""),"💰 Excelente, actualízate con SAP FI y domina la gestión financiera en SAP.")</f>
        <v>💰 Excelente, actualízate con SAP FI y domina la gestión financiera en SAP.</v>
      </c>
      <c r="AM358" s="5" t="str">
        <f>IFERROR(__xludf.DUMMYFUNCTION("""COMPUTED_VALUE"""),"💼 Buenísimo, SAP FI es clave en empresas que manejan contabilidad y finanzas.")</f>
        <v>💼 Buenísimo, SAP FI es clave en empresas que manejan contabilidad y finanzas.</v>
      </c>
      <c r="AN358" s="5" t="str">
        <f>IFERROR(__xludf.DUMMYFUNCTION("""COMPUTED_VALUE"""),"🎓 ¡Genial! Aprender SAP FI en la universidad fortalecerá tu perfil en finanzas.")</f>
        <v>🎓 ¡Genial! Aprender SAP FI en la universidad fortalecerá tu perfil en finanzas.</v>
      </c>
      <c r="AO358" s="5" t="str">
        <f>IFERROR(__xludf.DUMMYFUNCTION("""COMPUTED_VALUE"""),"🚀 ¡Perfecto! Con SAP FI tendrás ventaja en prácticas de contabilidad y finanzas.")</f>
        <v>🚀 ¡Perfecto! Con SAP FI tendrás ventaja en prácticas de contabilidad y finanzas.</v>
      </c>
      <c r="AP358" s="5" t="str">
        <f>IFERROR(__xludf.DUMMYFUNCTION("""COMPUTED_VALUE"""),"📊 ¡Excelente! Con SAP FI podrás llevar la contabilidad de tu negocio con precisión.")</f>
        <v>📊 ¡Excelente! Con SAP FI podrás llevar la contabilidad de tu negocio con precisión.</v>
      </c>
      <c r="AQ358" s="9" t="str">
        <f>IFERROR(__xludf.DUMMYFUNCTION("""COMPUTED_VALUE"""),"https://we-educacion.com/slides/sap-s-4-hana-fi-54")</f>
        <v>https://we-educacion.com/slides/sap-s-4-hana-fi-54</v>
      </c>
      <c r="AR358" s="5">
        <v>1.0</v>
      </c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</row>
    <row r="359" ht="15.75" customHeight="1">
      <c r="A359" s="5" t="s">
        <v>401</v>
      </c>
      <c r="B359" s="5" t="str">
        <f t="shared" si="1"/>
        <v>ABR. II - ED26</v>
      </c>
      <c r="C359" s="14" t="str">
        <f>IFERROR(__xludf.DUMMYFUNCTION("""COMPUTED_VALUE"""),"BI")</f>
        <v>BI</v>
      </c>
      <c r="D359" s="20" t="str">
        <f>IFERROR(__xludf.DUMMYFUNCTION("""COMPUTED_VALUE"""),"CURSO")</f>
        <v>CURSO</v>
      </c>
      <c r="E359" s="14" t="str">
        <f>IFERROR(__xludf.DUMMYFUNCTION("""COMPUTED_VALUE"""),"SQL SERVER")</f>
        <v>SQL SERVER</v>
      </c>
      <c r="F359" s="15">
        <f>IFERROR(__xludf.DUMMYFUNCTION("""COMPUTED_VALUE"""),46135.0)</f>
        <v>46135</v>
      </c>
      <c r="G359" s="14"/>
      <c r="H359" s="16"/>
      <c r="I359" s="14"/>
      <c r="J359" s="16"/>
      <c r="K359" s="14"/>
      <c r="L359" s="16"/>
      <c r="M359" s="14"/>
      <c r="N359" s="16"/>
      <c r="O359" s="14"/>
      <c r="P359" s="16"/>
      <c r="Q359" s="14"/>
      <c r="R359" s="5" t="str">
        <f>IFERROR(__xludf.DUMMYFUNCTION("""COMPUTED_VALUE"""),"Mar-Jue")</f>
        <v>Mar-Jue</v>
      </c>
      <c r="S359" s="14" t="str">
        <f>IFERROR(__xludf.DUMMYFUNCTION("""COMPUTED_VALUE"""),"7PM - 10PM")</f>
        <v>7PM - 10PM</v>
      </c>
      <c r="T359" s="16" t="str">
        <f>IFERROR(__xludf.DUMMYFUNCTION("""COMPUTED_VALUE"""),"Jueves 23 Abril")</f>
        <v>Jueves 23 Abril</v>
      </c>
      <c r="U359" s="16" t="str">
        <f>IFERROR(__xludf.DUMMYFUNCTION("""COMPUTED_VALUE"""),"Martes 12 Mayo")</f>
        <v>Martes 12 Mayo</v>
      </c>
      <c r="V359" s="17">
        <f>IFERROR(__xludf.DUMMYFUNCTION("""COMPUTED_VALUE"""),6.0)</f>
        <v>6</v>
      </c>
      <c r="W359" s="5" t="str">
        <f>IFERROR(__xludf.DUMMYFUNCTION("""COMPUTED_VALUE"""),"pdfs/BROCHURE SQL SERVER.pdf")</f>
        <v>pdfs/BROCHURE SQL SERVER.pdf</v>
      </c>
      <c r="X359" s="18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59" s="14" t="str">
        <f>IFERROR(__xludf.DUMMYFUNCTION("""COMPUTED_VALUE"""),"images/sqlserver.jpg")</f>
        <v>images/sqlserver.jpg</v>
      </c>
      <c r="Z359" s="14" t="str">
        <f>IFERROR(__xludf.DUMMYFUNCTION("""COMPUTED_VALUE"""),"Avalado por Microsoft Partner Network")</f>
        <v>Avalado por Microsoft Partner Network</v>
      </c>
      <c r="AA359" s="14" t="str">
        <f>IFERROR(__xludf.DUMMYFUNCTION("""COMPUTED_VALUE"""),"NO")</f>
        <v>NO</v>
      </c>
      <c r="AB359" s="14">
        <f>IFERROR(__xludf.DUMMYFUNCTION("""COMPUTED_VALUE"""),830.0)</f>
        <v>830</v>
      </c>
      <c r="AC359" s="14">
        <f>IFERROR(__xludf.DUMMYFUNCTION("""COMPUTED_VALUE"""),740.0)</f>
        <v>740</v>
      </c>
      <c r="AD359" s="14">
        <f>IFERROR(__xludf.DUMMYFUNCTION("""COMPUTED_VALUE"""),415.0)</f>
        <v>415</v>
      </c>
      <c r="AE359" s="14">
        <f>IFERROR(__xludf.DUMMYFUNCTION("""COMPUTED_VALUE"""),370.0)</f>
        <v>370</v>
      </c>
      <c r="AF359" s="14">
        <f>IFERROR(__xludf.DUMMYFUNCTION("""COMPUTED_VALUE"""),150.0)</f>
        <v>150</v>
      </c>
      <c r="AG359" s="19">
        <f>IFERROR(__xludf.DUMMYFUNCTION("""COMPUTED_VALUE"""),150.0)</f>
        <v>150</v>
      </c>
      <c r="AH359" s="20"/>
      <c r="AI359" s="5">
        <f>IFERROR(__xludf.DUMMYFUNCTION("""COMPUTED_VALUE"""),333.0)</f>
        <v>333</v>
      </c>
      <c r="AJ359" s="5">
        <f>IFERROR(__xludf.DUMMYFUNCTION("""COMPUTED_VALUE"""),373.5)</f>
        <v>373.5</v>
      </c>
      <c r="AK359" s="5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359" s="5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359" s="5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359" s="5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359" s="5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359" s="5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359" s="9" t="str">
        <f>IFERROR(__xludf.DUMMYFUNCTION("""COMPUTED_VALUE"""),"https://we-educacion.com/slides/sql-server-for-analytics-52")</f>
        <v>https://we-educacion.com/slides/sql-server-for-analytics-52</v>
      </c>
      <c r="AR359" s="5">
        <v>1.0</v>
      </c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</row>
    <row r="360" ht="15.75" customHeight="1">
      <c r="A360" s="5" t="s">
        <v>402</v>
      </c>
      <c r="B360" s="5" t="str">
        <f t="shared" si="1"/>
        <v>ABR. II - ED26</v>
      </c>
      <c r="C360" s="14" t="str">
        <f>IFERROR(__xludf.DUMMYFUNCTION("""COMPUTED_VALUE"""),"EXCEL")</f>
        <v>EXCEL</v>
      </c>
      <c r="D360" s="14" t="str">
        <f>IFERROR(__xludf.DUMMYFUNCTION("""COMPUTED_VALUE"""),"CURSO")</f>
        <v>CURSO</v>
      </c>
      <c r="E360" s="14" t="str">
        <f>IFERROR(__xludf.DUMMYFUNCTION("""COMPUTED_VALUE"""),"PROG. MACROS")</f>
        <v>PROG. MACROS</v>
      </c>
      <c r="F360" s="15">
        <f>IFERROR(__xludf.DUMMYFUNCTION("""COMPUTED_VALUE"""),46138.0)</f>
        <v>46138</v>
      </c>
      <c r="G360" s="14"/>
      <c r="H360" s="16"/>
      <c r="I360" s="14"/>
      <c r="J360" s="16"/>
      <c r="K360" s="14"/>
      <c r="L360" s="16"/>
      <c r="M360" s="14"/>
      <c r="N360" s="16"/>
      <c r="O360" s="14"/>
      <c r="P360" s="16"/>
      <c r="Q360" s="14" t="str">
        <f>IFERROR(__xludf.DUMMYFUNCTION("""COMPUTED_VALUE"""),"Julio Ccari")</f>
        <v>Julio Ccari</v>
      </c>
      <c r="R360" s="5" t="str">
        <f>IFERROR(__xludf.DUMMYFUNCTION("""COMPUTED_VALUE"""),"Dom")</f>
        <v>Dom</v>
      </c>
      <c r="S360" s="14" t="str">
        <f>IFERROR(__xludf.DUMMYFUNCTION("""COMPUTED_VALUE"""),"9AM - 12PM")</f>
        <v>9AM - 12PM</v>
      </c>
      <c r="T360" s="16" t="str">
        <f>IFERROR(__xludf.DUMMYFUNCTION("""COMPUTED_VALUE"""),"Domingo 26 Abril")</f>
        <v>Domingo 26 Abril</v>
      </c>
      <c r="U360" s="16" t="str">
        <f>IFERROR(__xludf.DUMMYFUNCTION("""COMPUTED_VALUE"""),"Domingo 31 Mayo")</f>
        <v>Domingo 31 Mayo</v>
      </c>
      <c r="V360" s="17">
        <f>IFERROR(__xludf.DUMMYFUNCTION("""COMPUTED_VALUE"""),6.0)</f>
        <v>6</v>
      </c>
      <c r="W360" s="5" t="str">
        <f>IFERROR(__xludf.DUMMYFUNCTION("""COMPUTED_VALUE"""),"pdfs/BROCHURE PROGRAMACION CON VBA MACROS.pdf")</f>
        <v>pdfs/BROCHURE PROGRAMACION CON VBA MACROS.pdf</v>
      </c>
      <c r="X360" s="18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360" s="14" t="str">
        <f>IFERROR(__xludf.DUMMYFUNCTION("""COMPUTED_VALUE"""),"images/macros.jpg")</f>
        <v>images/macros.jpg</v>
      </c>
      <c r="Z360" s="14" t="str">
        <f>IFERROR(__xludf.DUMMYFUNCTION("""COMPUTED_VALUE"""),"Avalado por Microsoft Partner Network")</f>
        <v>Avalado por Microsoft Partner Network</v>
      </c>
      <c r="AA360" s="14" t="str">
        <f>IFERROR(__xludf.DUMMYFUNCTION("""COMPUTED_VALUE"""),"NO")</f>
        <v>NO</v>
      </c>
      <c r="AB360" s="14">
        <f>IFERROR(__xludf.DUMMYFUNCTION("""COMPUTED_VALUE"""),470.0)</f>
        <v>470</v>
      </c>
      <c r="AC360" s="14">
        <f>IFERROR(__xludf.DUMMYFUNCTION("""COMPUTED_VALUE"""),440.0)</f>
        <v>440</v>
      </c>
      <c r="AD360" s="14">
        <f>IFERROR(__xludf.DUMMYFUNCTION("""COMPUTED_VALUE"""),235.0)</f>
        <v>235</v>
      </c>
      <c r="AE360" s="14">
        <f>IFERROR(__xludf.DUMMYFUNCTION("""COMPUTED_VALUE"""),220.0)</f>
        <v>220</v>
      </c>
      <c r="AF360" s="14">
        <f>IFERROR(__xludf.DUMMYFUNCTION("""COMPUTED_VALUE"""),150.0)</f>
        <v>150</v>
      </c>
      <c r="AG360" s="19">
        <f>IFERROR(__xludf.DUMMYFUNCTION("""COMPUTED_VALUE"""),150.0)</f>
        <v>150</v>
      </c>
      <c r="AH360" s="20"/>
      <c r="AI360" s="5">
        <f>IFERROR(__xludf.DUMMYFUNCTION("""COMPUTED_VALUE"""),198.0)</f>
        <v>198</v>
      </c>
      <c r="AJ360" s="5">
        <f>IFERROR(__xludf.DUMMYFUNCTION("""COMPUTED_VALUE"""),211.5)</f>
        <v>211.5</v>
      </c>
      <c r="AK360" s="5" t="str">
        <f>IFERROR(__xludf.DUMMYFUNCTION("""COMPUTED_VALUE"""),"El poder está en la automatización 📊
Con Programación en Macros aprenderás a optimizar procesos en Excel y ahorrar tiempo valioso ⏱️.
Aquí tienes la info 👇🏻")</f>
        <v>El poder está en la automatización 📊
Con Programación en Macros aprenderás a optimizar procesos en Excel y ahorrar tiempo valioso ⏱️.
Aquí tienes la info 👇🏻</v>
      </c>
      <c r="AL360" s="5" t="str">
        <f>IFERROR(__xludf.DUMMYFUNCTION("""COMPUTED_VALUE"""),"⚡ Excelente, actualízate con Macros en Excel y mejora tu productividad en el trabajo.")</f>
        <v>⚡ Excelente, actualízate con Macros en Excel y mejora tu productividad en el trabajo.</v>
      </c>
      <c r="AM360" s="5" t="str">
        <f>IFERROR(__xludf.DUMMYFUNCTION("""COMPUTED_VALUE"""),"💼 Buenísimo, dominar Macros es muy valorado en empresas para automatizar reportes.")</f>
        <v>💼 Buenísimo, dominar Macros es muy valorado en empresas para automatizar reportes.</v>
      </c>
      <c r="AN360" s="5" t="str">
        <f>IFERROR(__xludf.DUMMYFUNCTION("""COMPUTED_VALUE"""),"🎓 ¡Genial! Aprender Macros desde la universidad te hará más eficiente en proyectos académicos.")</f>
        <v>🎓 ¡Genial! Aprender Macros desde la universidad te hará más eficiente en proyectos académicos.</v>
      </c>
      <c r="AO360" s="5" t="str">
        <f>IFERROR(__xludf.DUMMYFUNCTION("""COMPUTED_VALUE"""),"🚀 ¡Perfecto! Con Macros podrás sobresalir en prácticas de áreas administrativas y financieras.")</f>
        <v>🚀 ¡Perfecto! Con Macros podrás sobresalir en prácticas de áreas administrativas y financieras.</v>
      </c>
      <c r="AP360" s="5" t="str">
        <f>IFERROR(__xludf.DUMMYFUNCTION("""COMPUTED_VALUE"""),"📊 ¡Excelente! Las Macros te permitirán ahorrar tiempo y optimizar tus procesos de negocio.")</f>
        <v>📊 ¡Excelente! Las Macros te permitirán ahorrar tiempo y optimizar tus procesos de negocio.</v>
      </c>
      <c r="AQ360" s="9" t="str">
        <f>IFERROR(__xludf.DUMMYFUNCTION("""COMPUTED_VALUE"""),"https://we-educacion.com/slides/programacion-con-vba-macros-en-excel-159")</f>
        <v>https://we-educacion.com/slides/programacion-con-vba-macros-en-excel-159</v>
      </c>
      <c r="AR360" s="5">
        <v>1.0</v>
      </c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</row>
    <row r="361" ht="15.75" customHeight="1">
      <c r="A361" s="5" t="s">
        <v>403</v>
      </c>
      <c r="B361" s="5" t="str">
        <f t="shared" si="1"/>
        <v>ABR. I - ED26</v>
      </c>
      <c r="C361" s="14" t="str">
        <f>IFERROR(__xludf.DUMMYFUNCTION("""COMPUTED_VALUE"""),"PROYECTOS")</f>
        <v>PROYECTOS</v>
      </c>
      <c r="D361" s="14" t="str">
        <f>IFERROR(__xludf.DUMMYFUNCTION("""COMPUTED_VALUE"""),"CURSO")</f>
        <v>CURSO</v>
      </c>
      <c r="E361" s="14" t="str">
        <f>IFERROR(__xludf.DUMMYFUNCTION("""COMPUTED_VALUE"""),"PMO")</f>
        <v>PMO</v>
      </c>
      <c r="F361" s="15">
        <f>IFERROR(__xludf.DUMMYFUNCTION("""COMPUTED_VALUE"""),46141.0)</f>
        <v>46141</v>
      </c>
      <c r="G361" s="14"/>
      <c r="H361" s="16"/>
      <c r="I361" s="14"/>
      <c r="J361" s="16"/>
      <c r="K361" s="14"/>
      <c r="L361" s="16"/>
      <c r="M361" s="14"/>
      <c r="N361" s="16"/>
      <c r="O361" s="14"/>
      <c r="P361" s="16"/>
      <c r="Q361" s="14"/>
      <c r="R361" s="5" t="str">
        <f>IFERROR(__xludf.DUMMYFUNCTION("""COMPUTED_VALUE"""),"Lun-Mie")</f>
        <v>Lun-Mie</v>
      </c>
      <c r="S361" s="14" t="str">
        <f>IFERROR(__xludf.DUMMYFUNCTION("""COMPUTED_VALUE"""),"7PM - 10PM")</f>
        <v>7PM - 10PM</v>
      </c>
      <c r="T361" s="16" t="str">
        <f>IFERROR(__xludf.DUMMYFUNCTION("""COMPUTED_VALUE"""),"Miércoles 29 Abril")</f>
        <v>Miércoles 29 Abril</v>
      </c>
      <c r="U361" s="16" t="str">
        <f>IFERROR(__xludf.DUMMYFUNCTION("""COMPUTED_VALUE"""),"Lunes 18 Mayo")</f>
        <v>Lunes 18 Mayo</v>
      </c>
      <c r="V361" s="17">
        <f>IFERROR(__xludf.DUMMYFUNCTION("""COMPUTED_VALUE"""),6.0)</f>
        <v>6</v>
      </c>
      <c r="W361" s="5" t="str">
        <f>IFERROR(__xludf.DUMMYFUNCTION("""COMPUTED_VALUE"""),"pdfs/BROCHURE PMO GESTIÓN DE PORTAFOLIO (1).pdf")</f>
        <v>pdfs/BROCHURE PMO GESTIÓN DE PORTAFOLIO (1).pdf</v>
      </c>
      <c r="X361" s="18" t="str">
        <f>IFERROR(__xludf.DUMMYFUNCTION("""COMPUTED_VALUE"""),"🔹 Utilizarán Excel 👩🏻‍💻
🚨 Por favor, revisa el BROCHURE 👇🏻
Aqui encontrarás la información completa del programa: Temario (malla curricular) y todos los BENEFICIOS 📚
👉🏼 Te comparto un Modelo de Certificado que elevará tu perfil profesional ")</f>
        <v>🔹 Utilizarán Excel 👩🏻‍💻
🚨 Por favor, revisa el BROCHURE 👇🏻
Aqui encontrarás la información completa del programa: Temario (malla curricular) y todos los BENEFICIOS 📚
👉🏼 Te comparto un Modelo de Certificado que elevará tu perfil profesional </v>
      </c>
      <c r="Y361" s="14"/>
      <c r="Z361" s="14"/>
      <c r="AA361" s="14"/>
      <c r="AB361" s="14">
        <f>IFERROR(__xludf.DUMMYFUNCTION("""COMPUTED_VALUE"""),710.0)</f>
        <v>710</v>
      </c>
      <c r="AC361" s="14">
        <f>IFERROR(__xludf.DUMMYFUNCTION("""COMPUTED_VALUE"""),610.0)</f>
        <v>610</v>
      </c>
      <c r="AD361" s="14">
        <f>IFERROR(__xludf.DUMMYFUNCTION("""COMPUTED_VALUE"""),355.0)</f>
        <v>355</v>
      </c>
      <c r="AE361" s="14">
        <f>IFERROR(__xludf.DUMMYFUNCTION("""COMPUTED_VALUE"""),305.0)</f>
        <v>305</v>
      </c>
      <c r="AF361" s="14">
        <f>IFERROR(__xludf.DUMMYFUNCTION("""COMPUTED_VALUE"""),150.0)</f>
        <v>150</v>
      </c>
      <c r="AG361" s="19">
        <f>IFERROR(__xludf.DUMMYFUNCTION("""COMPUTED_VALUE"""),150.0)</f>
        <v>150</v>
      </c>
      <c r="AH361" s="20"/>
      <c r="AI361" s="5">
        <f>IFERROR(__xludf.DUMMYFUNCTION("""COMPUTED_VALUE"""),274.5)</f>
        <v>274.5</v>
      </c>
      <c r="AJ361" s="5">
        <f>IFERROR(__xludf.DUMMYFUNCTION("""COMPUTED_VALUE"""),319.5)</f>
        <v>319.5</v>
      </c>
      <c r="AK361" s="5" t="str">
        <f>IFERROR(__xludf.DUMMYFUNCTION("""COMPUTED_VALUE"""),"El éxito en proyectos grandes nace de una Oficina de Proyectos sólida 📌
Con PMO aprenderás a estandarizar, supervisar y optimizar la gestión de proyectos en tu organización 🚀.
Aquí tienes la info 👇🏻")</f>
        <v>El éxito en proyectos grandes nace de una Oficina de Proyectos sólida 📌
Con PMO aprenderás a estandarizar, supervisar y optimizar la gestión de proyectos en tu organización 🚀.
Aquí tienes la info 👇🏻</v>
      </c>
      <c r="AL361" s="5" t="str">
        <f>IFERROR(__xludf.DUMMYFUNCTION("""COMPUTED_VALUE"""),"📈 Excelente, actualízate con PMO y aprende a estructurar la gestión de proyectos a nivel organizacional.")</f>
        <v>📈 Excelente, actualízate con PMO y aprende a estructurar la gestión de proyectos a nivel organizacional.</v>
      </c>
      <c r="AM361" s="5" t="str">
        <f>IFERROR(__xludf.DUMMYFUNCTION("""COMPUTED_VALUE"""),"💼 Buenísimo, PMO es clave para acceder a posiciones de gestión en grandes compañías.")</f>
        <v>💼 Buenísimo, PMO es clave para acceder a posiciones de gestión en grandes compañías.</v>
      </c>
      <c r="AN361" s="5" t="str">
        <f>IFERROR(__xludf.DUMMYFUNCTION("""COMPUTED_VALUE"""),"🎓 ¡Genial! Con PMO tendrás conocimientos que te diferenciarán en la universidad.")</f>
        <v>🎓 ¡Genial! Con PMO tendrás conocimientos que te diferenciarán en la universidad.</v>
      </c>
      <c r="AO361" s="5" t="str">
        <f>IFERROR(__xludf.DUMMYFUNCTION("""COMPUTED_VALUE"""),"🚀 ¡Perfecto! Manejar PMO será un plus en postulaciones a prácticas en proyectos.")</f>
        <v>🚀 ¡Perfecto! Manejar PMO será un plus en postulaciones a prácticas en proyectos.</v>
      </c>
      <c r="AP361" s="5" t="str">
        <f>IFERROR(__xludf.DUMMYFUNCTION("""COMPUTED_VALUE"""),"📊 ¡Excelente! Con PMO podrás implementar mejores procesos de gestión en tu propio negocio.")</f>
        <v>📊 ¡Excelente! Con PMO podrás implementar mejores procesos de gestión en tu propio negocio.</v>
      </c>
      <c r="AQ361" s="9" t="str">
        <f>IFERROR(__xludf.DUMMYFUNCTION("""COMPUTED_VALUE"""),"https://we-educacion.com/slides/pmo-gestion-de-portafolio-y-oficina-de-proyectos-1213")</f>
        <v>https://we-educacion.com/slides/pmo-gestion-de-portafolio-y-oficina-de-proyectos-1213</v>
      </c>
      <c r="AR361" s="5">
        <v>1.0</v>
      </c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</row>
    <row r="362" ht="15.75" customHeight="1">
      <c r="A362" s="5" t="s">
        <v>404</v>
      </c>
      <c r="B362" s="5" t="str">
        <f t="shared" si="1"/>
        <v>MAY. I - ED26</v>
      </c>
      <c r="C362" s="14" t="str">
        <f>IFERROR(__xludf.DUMMYFUNCTION("""COMPUTED_VALUE"""),"PROCESOS")</f>
        <v>PROCESOS</v>
      </c>
      <c r="D362" s="14" t="str">
        <f>IFERROR(__xludf.DUMMYFUNCTION("""COMPUTED_VALUE"""),"CURSO")</f>
        <v>CURSO</v>
      </c>
      <c r="E362" s="14" t="str">
        <f>IFERROR(__xludf.DUMMYFUNCTION("""COMPUTED_VALUE"""),"LEAN SIX SIGMA YELLOW")</f>
        <v>LEAN SIX SIGMA YELLOW</v>
      </c>
      <c r="F362" s="15">
        <f>IFERROR(__xludf.DUMMYFUNCTION("""COMPUTED_VALUE"""),46144.0)</f>
        <v>46144</v>
      </c>
      <c r="G362" s="14"/>
      <c r="H362" s="16"/>
      <c r="I362" s="14"/>
      <c r="J362" s="16"/>
      <c r="K362" s="14"/>
      <c r="L362" s="16"/>
      <c r="M362" s="14"/>
      <c r="N362" s="16"/>
      <c r="O362" s="14"/>
      <c r="P362" s="16"/>
      <c r="Q362" s="14" t="str">
        <f>IFERROR(__xludf.DUMMYFUNCTION("""COMPUTED_VALUE"""),"Monica Olivas")</f>
        <v>Monica Olivas</v>
      </c>
      <c r="R362" s="5" t="str">
        <f>IFERROR(__xludf.DUMMYFUNCTION("""COMPUTED_VALUE"""),"Sáb")</f>
        <v>Sáb</v>
      </c>
      <c r="S362" s="14" t="str">
        <f>IFERROR(__xludf.DUMMYFUNCTION("""COMPUTED_VALUE"""),"3PM - 6PM")</f>
        <v>3PM - 6PM</v>
      </c>
      <c r="T362" s="16" t="str">
        <f>IFERROR(__xludf.DUMMYFUNCTION("""COMPUTED_VALUE"""),"Sábado 2 Mayo")</f>
        <v>Sábado 2 Mayo</v>
      </c>
      <c r="U362" s="16" t="str">
        <f>IFERROR(__xludf.DUMMYFUNCTION("""COMPUTED_VALUE"""),"Sábado 6 Junio")</f>
        <v>Sábado 6 Junio</v>
      </c>
      <c r="V362" s="17">
        <f>IFERROR(__xludf.DUMMYFUNCTION("""COMPUTED_VALUE"""),6.0)</f>
        <v>6</v>
      </c>
      <c r="W362" s="5" t="str">
        <f>IFERROR(__xludf.DUMMYFUNCTION("""COMPUTED_VALUE"""),"pdfs/BROCHURE LEAN SIX SIGMA YELLOW BELT.pdf")</f>
        <v>pdfs/BROCHURE LEAN SIX SIGMA YELLOW BELT.pdf</v>
      </c>
      <c r="X362" s="18" t="str">
        <f>IFERROR(__xludf.DUMMYFUNCTION("""COMPUTED_VALUE"""),"🔵  *Utilizarán Minitab* 👩🏻‍💻
👉🏻 Incluye tutorial y manual de instalación
💻 _*Importante*: Para la instalación se necesita una Laptop *Windows*_
🚨 *Por favor, revisa el BROCHURE* 👇🏻
Aqui encontrarás la información completa del programa, el TEMAR"&amp;"IO (malla curricular) y todos los BENEFICIOS 📚")</f>
        <v>🔵  *Utilizarán Minitab* 👩🏻‍💻
👉🏻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62" s="14" t="str">
        <f>IFERROR(__xludf.DUMMYFUNCTION("""COMPUTED_VALUE"""),"images/leansix.jpg")</f>
        <v>images/leansix.jpg</v>
      </c>
      <c r="Z362" s="14"/>
      <c r="AA362" s="14" t="str">
        <f>IFERROR(__xludf.DUMMYFUNCTION("""COMPUTED_VALUE"""),"NO")</f>
        <v>NO</v>
      </c>
      <c r="AB362" s="14">
        <f>IFERROR(__xludf.DUMMYFUNCTION("""COMPUTED_VALUE"""),820.0)</f>
        <v>820</v>
      </c>
      <c r="AC362" s="14">
        <f>IFERROR(__xludf.DUMMYFUNCTION("""COMPUTED_VALUE"""),750.0)</f>
        <v>750</v>
      </c>
      <c r="AD362" s="14">
        <f>IFERROR(__xludf.DUMMYFUNCTION("""COMPUTED_VALUE"""),410.0)</f>
        <v>410</v>
      </c>
      <c r="AE362" s="14">
        <f>IFERROR(__xludf.DUMMYFUNCTION("""COMPUTED_VALUE"""),375.0)</f>
        <v>375</v>
      </c>
      <c r="AF362" s="14">
        <f>IFERROR(__xludf.DUMMYFUNCTION("""COMPUTED_VALUE"""),150.0)</f>
        <v>150</v>
      </c>
      <c r="AG362" s="19">
        <f>IFERROR(__xludf.DUMMYFUNCTION("""COMPUTED_VALUE"""),150.0)</f>
        <v>150</v>
      </c>
      <c r="AH362" s="20"/>
      <c r="AI362" s="5">
        <f>IFERROR(__xludf.DUMMYFUNCTION("""COMPUTED_VALUE"""),337.5)</f>
        <v>337.5</v>
      </c>
      <c r="AJ362" s="5">
        <f>IFERROR(__xludf.DUMMYFUNCTION("""COMPUTED_VALUE"""),369.0)</f>
        <v>369</v>
      </c>
      <c r="AK362" s="5" t="str">
        <f>IFERROR(__xludf.DUMMYFUNCTION("""COMPUTED_VALUE"""),"El primer paso hacia la excelencia es Lean Six Sigma Yellow Belt 🚀
Dominarás las bases de mejora continua y herramientas clave para procesos más eficientes 📊.
Aquí te comparto la información 👇🏻")</f>
        <v>El primer paso hacia la excelencia es Lean Six Sigma Yellow Belt 🚀
Dominarás las bases de mejora continua y herramientas clave para procesos más eficientes 📊.
Aquí te comparto la información 👇🏻</v>
      </c>
      <c r="AL362" s="5" t="str">
        <f>IFERROR(__xludf.DUMMYFUNCTION("""COMPUTED_VALUE"""),"📘 *Excelente*, actualízate con *LEAN SIX SIGMA YELLOW* y mantente competitivo en el mercado laboral.")</f>
        <v>📘 *Excelente*, actualízate con *LEAN SIX SIGMA YELLOW* y mantente competitivo en el mercado laboral.</v>
      </c>
      <c r="AM362" s="5" t="str">
        <f>IFERROR(__xludf.DUMMYFUNCTION("""COMPUTED_VALUE"""),"📈 Buenísimo, *LEAN SIX SIGMA YELLOW* es de las competencias más pedidas por las empresas y aumentará tus oportunidades laborales.")</f>
        <v>📈 Buenísimo, *LEAN SIX SIGMA YELLOW* es de las competencias más pedidas por las empresas y aumentará tus oportunidades laborales.</v>
      </c>
      <c r="AN362" s="5" t="str">
        <f>IFERROR(__xludf.DUMMYFUNCTION("""COMPUTED_VALUE"""),"⚡ ¡Genial! Con *LEAN SIX SIGMA YELLOW* sumarás una habilidad poderosa que te diferenciará desde la universidad.")</f>
        <v>⚡ ¡Genial! Con *LEAN SIX SIGMA YELLOW* sumarás una habilidad poderosa que te diferenciará desde la universidad.</v>
      </c>
      <c r="AO362" s="5" t="str">
        <f>IFERROR(__xludf.DUMMYFUNCTION("""COMPUTED_VALUE"""),"💼 ¡Perfecto! Saber *LEAN SIX SIGMA YELLOW* te dará ventaja frente a otros postulantes para conseguir prácticas.")</f>
        <v>💼 ¡Perfecto! Saber *LEAN SIX SIGMA YELLOW* te dará ventaja frente a otros postulantes para conseguir prácticas.</v>
      </c>
      <c r="AP362" s="5" t="str">
        <f>IFERROR(__xludf.DUMMYFUNCTION("""COMPUTED_VALUE"""),"📘 ¡Excelente! Con *LEAN SIX SIGMA YELLOW* podrás aplicarlo en tu negocio y tomar decisiones más inteligentes.")</f>
        <v>📘 ¡Excelente! Con *LEAN SIX SIGMA YELLOW* podrás aplicarlo en tu negocio y tomar decisiones más inteligentes.</v>
      </c>
      <c r="AQ362" s="9" t="str">
        <f>IFERROR(__xludf.DUMMYFUNCTION("""COMPUTED_VALUE"""),"https://we-educacion.com/slides/lean-six-sigma-yellow-belt-119")</f>
        <v>https://we-educacion.com/slides/lean-six-sigma-yellow-belt-119</v>
      </c>
      <c r="AR362" s="5">
        <v>1.0</v>
      </c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</row>
    <row r="363" ht="15.75" customHeight="1">
      <c r="A363" s="5" t="s">
        <v>405</v>
      </c>
      <c r="B363" s="5" t="str">
        <f t="shared" si="1"/>
        <v>MAY. I - ED26</v>
      </c>
      <c r="C363" s="14" t="str">
        <f>IFERROR(__xludf.DUMMYFUNCTION("""COMPUTED_VALUE"""),"PROYECTOS")</f>
        <v>PROYECTOS</v>
      </c>
      <c r="D363" s="14" t="str">
        <f>IFERROR(__xludf.DUMMYFUNCTION("""COMPUTED_VALUE"""),"CURSO")</f>
        <v>CURSO</v>
      </c>
      <c r="E363" s="14" t="str">
        <f>IFERROR(__xludf.DUMMYFUNCTION("""COMPUTED_VALUE"""),"GEST FINANC. PROYECT")</f>
        <v>GEST FINANC. PROYECT</v>
      </c>
      <c r="F363" s="15">
        <f>IFERROR(__xludf.DUMMYFUNCTION("""COMPUTED_VALUE"""),46144.0)</f>
        <v>46144</v>
      </c>
      <c r="G363" s="14"/>
      <c r="H363" s="16"/>
      <c r="I363" s="14"/>
      <c r="J363" s="16"/>
      <c r="K363" s="14"/>
      <c r="L363" s="16"/>
      <c r="M363" s="14"/>
      <c r="N363" s="16"/>
      <c r="O363" s="14"/>
      <c r="P363" s="16"/>
      <c r="Q363" s="14" t="str">
        <f>IFERROR(__xludf.DUMMYFUNCTION("""COMPUTED_VALUE"""),"Elmer León")</f>
        <v>Elmer León</v>
      </c>
      <c r="R363" s="5" t="str">
        <f>IFERROR(__xludf.DUMMYFUNCTION("""COMPUTED_VALUE"""),"Sáb")</f>
        <v>Sáb</v>
      </c>
      <c r="S363" s="14" t="str">
        <f>IFERROR(__xludf.DUMMYFUNCTION("""COMPUTED_VALUE"""),"3PM - 6PM")</f>
        <v>3PM - 6PM</v>
      </c>
      <c r="T363" s="16" t="str">
        <f>IFERROR(__xludf.DUMMYFUNCTION("""COMPUTED_VALUE"""),"Sábado 2 Mayo")</f>
        <v>Sábado 2 Mayo</v>
      </c>
      <c r="U363" s="16" t="str">
        <f>IFERROR(__xludf.DUMMYFUNCTION("""COMPUTED_VALUE"""),"Sábado 6 Junio")</f>
        <v>Sábado 6 Junio</v>
      </c>
      <c r="V363" s="17">
        <f>IFERROR(__xludf.DUMMYFUNCTION("""COMPUTED_VALUE"""),6.0)</f>
        <v>6</v>
      </c>
      <c r="W363" s="5" t="str">
        <f>IFERROR(__xludf.DUMMYFUNCTION("""COMPUTED_VALUE"""),"pdfs/BROCHURE GESTIÓN FINANCIERA DE PROYECTOS.pdf")</f>
        <v>pdfs/BROCHURE GESTIÓN FINANCIERA DE PROYECTOS.pdf</v>
      </c>
      <c r="X363" s="18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*Por favor, revisa el BROCHURE* 👇🏻
Aqui encontrarás la información completa del programa, el TEMARIO (malla curricular) y todos los BENEFICIOS 📚</v>
      </c>
      <c r="Y363" s="14" t="str">
        <f>IFERROR(__xludf.DUMMYFUNCTION("""COMPUTED_VALUE"""),"images/gestfinanc.jpg")</f>
        <v>images/gestfinanc.jpg</v>
      </c>
      <c r="Z363" s="14"/>
      <c r="AA363" s="14" t="str">
        <f>IFERROR(__xludf.DUMMYFUNCTION("""COMPUTED_VALUE"""),"NO")</f>
        <v>NO</v>
      </c>
      <c r="AB363" s="14">
        <f>IFERROR(__xludf.DUMMYFUNCTION("""COMPUTED_VALUE"""),710.0)</f>
        <v>710</v>
      </c>
      <c r="AC363" s="14">
        <f>IFERROR(__xludf.DUMMYFUNCTION("""COMPUTED_VALUE"""),610.0)</f>
        <v>610</v>
      </c>
      <c r="AD363" s="14">
        <f>IFERROR(__xludf.DUMMYFUNCTION("""COMPUTED_VALUE"""),355.0)</f>
        <v>355</v>
      </c>
      <c r="AE363" s="14">
        <f>IFERROR(__xludf.DUMMYFUNCTION("""COMPUTED_VALUE"""),305.0)</f>
        <v>305</v>
      </c>
      <c r="AF363" s="14">
        <f>IFERROR(__xludf.DUMMYFUNCTION("""COMPUTED_VALUE"""),150.0)</f>
        <v>150</v>
      </c>
      <c r="AG363" s="19">
        <f>IFERROR(__xludf.DUMMYFUNCTION("""COMPUTED_VALUE"""),150.0)</f>
        <v>150</v>
      </c>
      <c r="AH363" s="20"/>
      <c r="AI363" s="5">
        <f>IFERROR(__xludf.DUMMYFUNCTION("""COMPUTED_VALUE"""),274.5)</f>
        <v>274.5</v>
      </c>
      <c r="AJ363" s="5">
        <f>IFERROR(__xludf.DUMMYFUNCTION("""COMPUTED_VALUE"""),319.5)</f>
        <v>319.5</v>
      </c>
      <c r="AK363" s="5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363" s="5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363" s="5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363" s="5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363" s="5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363" s="5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363" s="9" t="str">
        <f>IFERROR(__xludf.DUMMYFUNCTION("""COMPUTED_VALUE"""),"https://we-educacion.com/slides/gestion-financiera-de-proyectos-637")</f>
        <v>https://we-educacion.com/slides/gestion-financiera-de-proyectos-637</v>
      </c>
      <c r="AR363" s="5">
        <v>1.0</v>
      </c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</row>
    <row r="364" ht="15.75" customHeight="1">
      <c r="A364" s="5" t="s">
        <v>406</v>
      </c>
      <c r="B364" s="5" t="str">
        <f t="shared" si="1"/>
        <v>MAY. I - ED26</v>
      </c>
      <c r="C364" s="14" t="str">
        <f>IFERROR(__xludf.DUMMYFUNCTION("""COMPUTED_VALUE"""),"LOGÍSTICA")</f>
        <v>LOGÍSTICA</v>
      </c>
      <c r="D364" s="14" t="str">
        <f>IFERROR(__xludf.DUMMYFUNCTION("""COMPUTED_VALUE"""),"CURSO")</f>
        <v>CURSO</v>
      </c>
      <c r="E364" s="14" t="str">
        <f>IFERROR(__xludf.DUMMYFUNCTION("""COMPUTED_VALUE"""),"GEST. COMP. Y PROV.")</f>
        <v>GEST. COMP. Y PROV.</v>
      </c>
      <c r="F364" s="15">
        <f>IFERROR(__xludf.DUMMYFUNCTION("""COMPUTED_VALUE"""),46144.0)</f>
        <v>46144</v>
      </c>
      <c r="G364" s="14"/>
      <c r="H364" s="16"/>
      <c r="I364" s="14"/>
      <c r="J364" s="16"/>
      <c r="K364" s="14"/>
      <c r="L364" s="16"/>
      <c r="M364" s="14"/>
      <c r="N364" s="16"/>
      <c r="O364" s="14"/>
      <c r="P364" s="16"/>
      <c r="Q364" s="14"/>
      <c r="R364" s="5" t="str">
        <f>IFERROR(__xludf.DUMMYFUNCTION("""COMPUTED_VALUE"""),"Sáb")</f>
        <v>Sáb</v>
      </c>
      <c r="S364" s="14" t="str">
        <f>IFERROR(__xludf.DUMMYFUNCTION("""COMPUTED_VALUE"""),"3PM - 6PM")</f>
        <v>3PM - 6PM</v>
      </c>
      <c r="T364" s="16" t="str">
        <f>IFERROR(__xludf.DUMMYFUNCTION("""COMPUTED_VALUE"""),"Sábado 2 Mayo")</f>
        <v>Sábado 2 Mayo</v>
      </c>
      <c r="U364" s="16" t="str">
        <f>IFERROR(__xludf.DUMMYFUNCTION("""COMPUTED_VALUE"""),"Sábado 6 Junio")</f>
        <v>Sábado 6 Junio</v>
      </c>
      <c r="V364" s="17">
        <f>IFERROR(__xludf.DUMMYFUNCTION("""COMPUTED_VALUE"""),6.0)</f>
        <v>6</v>
      </c>
      <c r="W364" s="5" t="str">
        <f>IFERROR(__xludf.DUMMYFUNCTION("""COMPUTED_VALUE"""),"pdfs/BROCHURE GEST DE COMPRAS Y PROVEEDORES.pdf")</f>
        <v>pdfs/BROCHURE GEST DE COMPRAS Y PROVEEDORES.pdf</v>
      </c>
      <c r="X364" s="18" t="str">
        <f>IFERROR(__xludf.DUMMYFUNCTION("""COMPUTED_VALUE"""),"🔵 *Conoce TODOS los BENEFICIOS a los que accedes*
🔹 Acceso a Campus Virtual WE 👩🏻‍🏫
🔹 Material digital y grabación de clases 
🔹 Certificado digital 
🔹 04 Cursos Online de regalo con acceso ilimitado 📚
🔹 Desarrollo y seguimiento de tu proyecto *"&amp;"(Evaluado)*
🔹 Garantía de Aprendizaje 100%
🚨 *Revisa el BROCHURE* 👇🏻")</f>
        <v>🔵 *Conoce TODOS los BENEFICIOS a los que accedes*
🔹 Acceso a Campus Virtual WE 👩🏻‍🏫
🔹 Material digital y grabación de clases 
🔹 Certificado digital 
🔹 04 Cursos Online de regalo con acceso ilimitado 📚
🔹 Desarrollo y seguimiento de tu proyecto *(Evaluado)*
🔹 Garantía de Aprendizaje 100%
🚨 *Revisa el BROCHURE* 👇🏻</v>
      </c>
      <c r="Y364" s="14" t="str">
        <f>IFERROR(__xludf.DUMMYFUNCTION("""COMPUTED_VALUE"""),"images/gestcomp.jpg")</f>
        <v>images/gestcomp.jpg</v>
      </c>
      <c r="Z364" s="14"/>
      <c r="AA364" s="14" t="str">
        <f>IFERROR(__xludf.DUMMYFUNCTION("""COMPUTED_VALUE"""),"SI")</f>
        <v>SI</v>
      </c>
      <c r="AB364" s="14">
        <f>IFERROR(__xludf.DUMMYFUNCTION("""COMPUTED_VALUE"""),830.0)</f>
        <v>830</v>
      </c>
      <c r="AC364" s="14">
        <f>IFERROR(__xludf.DUMMYFUNCTION("""COMPUTED_VALUE"""),770.0)</f>
        <v>770</v>
      </c>
      <c r="AD364" s="14">
        <f>IFERROR(__xludf.DUMMYFUNCTION("""COMPUTED_VALUE"""),415.0)</f>
        <v>415</v>
      </c>
      <c r="AE364" s="14">
        <f>IFERROR(__xludf.DUMMYFUNCTION("""COMPUTED_VALUE"""),385.0)</f>
        <v>385</v>
      </c>
      <c r="AF364" s="14">
        <f>IFERROR(__xludf.DUMMYFUNCTION("""COMPUTED_VALUE"""),150.0)</f>
        <v>150</v>
      </c>
      <c r="AG364" s="19">
        <f>IFERROR(__xludf.DUMMYFUNCTION("""COMPUTED_VALUE"""),150.0)</f>
        <v>150</v>
      </c>
      <c r="AH364" s="20"/>
      <c r="AI364" s="5">
        <f>IFERROR(__xludf.DUMMYFUNCTION("""COMPUTED_VALUE"""),346.5)</f>
        <v>346.5</v>
      </c>
      <c r="AJ364" s="5">
        <f>IFERROR(__xludf.DUMMYFUNCTION("""COMPUTED_VALUE"""),373.5)</f>
        <v>373.5</v>
      </c>
      <c r="AK364" s="5" t="str">
        <f>IFERROR(__xludf.DUMMYFUNCTION("""COMPUTED_VALUE"""),"La clave de la rentabilidad está en una gestión estratégica de compras 💰
Con Gestión de Compras y Proveedores aprenderás a negociar, evaluar y optimizar relaciones con proveedores 💼.
Aquí te comparto la info 👇🏻")</f>
        <v>La clave de la rentabilidad está en una gestión estratégica de compras 💰
Con Gestión de Compras y Proveedores aprenderás a negociar, evaluar y optimizar relaciones con proveedores 💼.
Aquí te comparto la info 👇🏻</v>
      </c>
      <c r="AL364" s="5" t="str">
        <f>IFERROR(__xludf.DUMMYFUNCTION("""COMPUTED_VALUE"""),"🎓 *Excelente*, actualízate con *GEST. COMP. Y PROV.* y mantente competitivo en el mercado laboral.")</f>
        <v>🎓 *Excelente*, actualízate con *GEST. COMP. Y PROV.* y mantente competitivo en el mercado laboral.</v>
      </c>
      <c r="AM364" s="5" t="str">
        <f>IFERROR(__xludf.DUMMYFUNCTION("""COMPUTED_VALUE"""),"🔑 Buenísimo, *GEST. COMP. Y PROV.* es de las competencias más pedidas por las empresas y aumentará tus oportunidades laborales.")</f>
        <v>🔑 Buenísimo, *GEST. COMP. Y PROV.* es de las competencias más pedidas por las empresas y aumentará tus oportunidades laborales.</v>
      </c>
      <c r="AN364" s="5" t="str">
        <f>IFERROR(__xludf.DUMMYFUNCTION("""COMPUTED_VALUE"""),"🌍 ¡Genial! Con *GEST. COMP. Y PROV.* sumarás una habilidad poderosa que te diferenciará desde la universidad.")</f>
        <v>🌍 ¡Genial! Con *GEST. COMP. Y PROV.* sumarás una habilidad poderosa que te diferenciará desde la universidad.</v>
      </c>
      <c r="AO364" s="5" t="str">
        <f>IFERROR(__xludf.DUMMYFUNCTION("""COMPUTED_VALUE"""),"💼 ¡Perfecto! Saber *GEST. COMP. Y PROV.* te dará ventaja frente a otros postulantes para conseguir prácticas.")</f>
        <v>💼 ¡Perfecto! Saber *GEST. COMP. Y PROV.* te dará ventaja frente a otros postulantes para conseguir prácticas.</v>
      </c>
      <c r="AP364" s="5" t="str">
        <f>IFERROR(__xludf.DUMMYFUNCTION("""COMPUTED_VALUE"""),"🚀 ¡Excelente! Con *GEST. COMP. Y PROV.* podrás aplicarlo en tu negocio y tomar decisiones más inteligentes.")</f>
        <v>🚀 ¡Excelente! Con *GEST. COMP. Y PROV.* podrás aplicarlo en tu negocio y tomar decisiones más inteligentes.</v>
      </c>
      <c r="AQ364" s="9" t="str">
        <f>IFERROR(__xludf.DUMMYFUNCTION("""COMPUTED_VALUE"""),"https://we-educacion.com/slides/gestion-de-compras-y-proveedores-74")</f>
        <v>https://we-educacion.com/slides/gestion-de-compras-y-proveedores-74</v>
      </c>
      <c r="AR364" s="5">
        <v>1.0</v>
      </c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</row>
    <row r="365" ht="15.75" customHeight="1">
      <c r="A365" s="5" t="s">
        <v>407</v>
      </c>
      <c r="B365" s="5" t="str">
        <f t="shared" si="1"/>
        <v>MAY. I - ED26</v>
      </c>
      <c r="C365" s="14" t="str">
        <f>IFERROR(__xludf.DUMMYFUNCTION("""COMPUTED_VALUE"""),"EXCEL")</f>
        <v>EXCEL</v>
      </c>
      <c r="D365" s="14" t="str">
        <f>IFERROR(__xludf.DUMMYFUNCTION("""COMPUTED_VALUE"""),"CURSO")</f>
        <v>CURSO</v>
      </c>
      <c r="E365" s="14" t="str">
        <f>IFERROR(__xludf.DUMMYFUNCTION("""COMPUTED_VALUE"""),"EXCEL AVANZ")</f>
        <v>EXCEL AVANZ</v>
      </c>
      <c r="F365" s="15">
        <f>IFERROR(__xludf.DUMMYFUNCTION("""COMPUTED_VALUE"""),46144.0)</f>
        <v>46144</v>
      </c>
      <c r="G365" s="14"/>
      <c r="H365" s="16"/>
      <c r="I365" s="14"/>
      <c r="J365" s="16"/>
      <c r="K365" s="14"/>
      <c r="L365" s="16"/>
      <c r="M365" s="14"/>
      <c r="N365" s="16"/>
      <c r="O365" s="14"/>
      <c r="P365" s="16"/>
      <c r="Q365" s="14" t="str">
        <f>IFERROR(__xludf.DUMMYFUNCTION("""COMPUTED_VALUE"""),"Giancarlos Barboza
")</f>
        <v>Giancarlos Barboza
</v>
      </c>
      <c r="R365" s="5" t="str">
        <f>IFERROR(__xludf.DUMMYFUNCTION("""COMPUTED_VALUE"""),"Sáb")</f>
        <v>Sáb</v>
      </c>
      <c r="S365" s="14" t="str">
        <f>IFERROR(__xludf.DUMMYFUNCTION("""COMPUTED_VALUE"""),"3PM - 6PM")</f>
        <v>3PM - 6PM</v>
      </c>
      <c r="T365" s="16" t="str">
        <f>IFERROR(__xludf.DUMMYFUNCTION("""COMPUTED_VALUE"""),"Sábado 2 Mayo")</f>
        <v>Sábado 2 Mayo</v>
      </c>
      <c r="U365" s="16" t="str">
        <f>IFERROR(__xludf.DUMMYFUNCTION("""COMPUTED_VALUE"""),"Sábado 6 Junio")</f>
        <v>Sábado 6 Junio</v>
      </c>
      <c r="V365" s="17">
        <f>IFERROR(__xludf.DUMMYFUNCTION("""COMPUTED_VALUE"""),6.0)</f>
        <v>6</v>
      </c>
      <c r="W365" s="5" t="str">
        <f>IFERROR(__xludf.DUMMYFUNCTION("""COMPUTED_VALUE"""),"pdfs/BROCHURE EXCEL AVANZADO.pdf")</f>
        <v>pdfs/BROCHURE EXCEL AVANZADO.pdf</v>
      </c>
      <c r="X365" s="18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365" s="14" t="str">
        <f>IFERROR(__xludf.DUMMYFUNCTION("""COMPUTED_VALUE"""),"images/excelavanz.jpg")</f>
        <v>images/excelavanz.jpg</v>
      </c>
      <c r="Z365" s="14" t="str">
        <f>IFERROR(__xludf.DUMMYFUNCTION("""COMPUTED_VALUE"""),"Avalado por Microsoft Partner Network")</f>
        <v>Avalado por Microsoft Partner Network</v>
      </c>
      <c r="AA365" s="14" t="str">
        <f>IFERROR(__xludf.DUMMYFUNCTION("""COMPUTED_VALUE"""),"NO")</f>
        <v>NO</v>
      </c>
      <c r="AB365" s="14">
        <f>IFERROR(__xludf.DUMMYFUNCTION("""COMPUTED_VALUE"""),420.0)</f>
        <v>420</v>
      </c>
      <c r="AC365" s="14">
        <f>IFERROR(__xludf.DUMMYFUNCTION("""COMPUTED_VALUE"""),400.0)</f>
        <v>400</v>
      </c>
      <c r="AD365" s="14">
        <f>IFERROR(__xludf.DUMMYFUNCTION("""COMPUTED_VALUE"""),210.0)</f>
        <v>210</v>
      </c>
      <c r="AE365" s="14">
        <f>IFERROR(__xludf.DUMMYFUNCTION("""COMPUTED_VALUE"""),200.0)</f>
        <v>200</v>
      </c>
      <c r="AF365" s="14">
        <f>IFERROR(__xludf.DUMMYFUNCTION("""COMPUTED_VALUE"""),150.0)</f>
        <v>150</v>
      </c>
      <c r="AG365" s="19">
        <f>IFERROR(__xludf.DUMMYFUNCTION("""COMPUTED_VALUE"""),150.0)</f>
        <v>150</v>
      </c>
      <c r="AH365" s="20"/>
      <c r="AI365" s="5">
        <f>IFERROR(__xludf.DUMMYFUNCTION("""COMPUTED_VALUE"""),180.0)</f>
        <v>180</v>
      </c>
      <c r="AJ365" s="5">
        <f>IFERROR(__xludf.DUMMYFUNCTION("""COMPUTED_VALUE"""),189.0)</f>
        <v>189</v>
      </c>
      <c r="AK365" s="5" t="str">
        <f>IFERROR(__xludf.DUMMYFUNCTION("""COMPUTED_VALUE"""),"El lenguaje de la eficiencia es Excel Avanzado 🔥
Aprenderás funciones complejas, tablas dinámicas y automatización aplicadas a negocios reales 💼.
Aquí tienes la info 👇🏻")</f>
        <v>El lenguaje de la eficiencia es Excel Avanzado 🔥
Aprenderás funciones complejas, tablas dinámicas y automatización aplicadas a negocios reales 💼.
Aquí tienes la info 👇🏻</v>
      </c>
      <c r="AL365" s="5" t="str">
        <f>IFERROR(__xludf.DUMMYFUNCTION("""COMPUTED_VALUE"""),"🚀 *Excelente*, actualízate con *EXCEL AVANZ* y mantente competitivo en el mercado laboral.")</f>
        <v>🚀 *Excelente*, actualízate con *EXCEL AVANZ* y mantente competitivo en el mercado laboral.</v>
      </c>
      <c r="AM365" s="5" t="str">
        <f>IFERROR(__xludf.DUMMYFUNCTION("""COMPUTED_VALUE"""),"🚀 Buenísimo, *EXCEL AVANZ* es de las competencias más pedidas por las empresas y aumentará tus oportunidades laborales.")</f>
        <v>🚀 Buenísimo, *EXCEL AVANZ* es de las competencias más pedidas por las empresas y aumentará tus oportunidades laborales.</v>
      </c>
      <c r="AN365" s="5" t="str">
        <f>IFERROR(__xludf.DUMMYFUNCTION("""COMPUTED_VALUE"""),"🔑 ¡Genial! Con *EXCEL AVANZ* sumarás una habilidad poderosa que te diferenciará desde la universidad.")</f>
        <v>🔑 ¡Genial! Con *EXCEL AVANZ* sumarás una habilidad poderosa que te diferenciará desde la universidad.</v>
      </c>
      <c r="AO365" s="5" t="str">
        <f>IFERROR(__xludf.DUMMYFUNCTION("""COMPUTED_VALUE"""),"📘 ¡Perfecto! Saber *EXCEL AVANZ* te dará ventaja frente a otros postulantes para conseguir prácticas.")</f>
        <v>📘 ¡Perfecto! Saber *EXCEL AVANZ* te dará ventaja frente a otros postulantes para conseguir prácticas.</v>
      </c>
      <c r="AP365" s="5" t="str">
        <f>IFERROR(__xludf.DUMMYFUNCTION("""COMPUTED_VALUE"""),"🌍 ¡Excelente! Con *EXCEL AVANZ* podrás aplicarlo en tu negocio y tomar decisiones más inteligentes.")</f>
        <v>🌍 ¡Excelente! Con *EXCEL AVANZ* podrás aplicarlo en tu negocio y tomar decisiones más inteligentes.</v>
      </c>
      <c r="AQ365" s="9" t="str">
        <f>IFERROR(__xludf.DUMMYFUNCTION("""COMPUTED_VALUE"""),"https://we-educacion.com/slides/microsoft-excel-avanzado-59")</f>
        <v>https://we-educacion.com/slides/microsoft-excel-avanzado-59</v>
      </c>
      <c r="AR365" s="5">
        <v>1.0</v>
      </c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</row>
    <row r="366" ht="15.75" customHeight="1">
      <c r="A366" s="5" t="s">
        <v>408</v>
      </c>
      <c r="B366" s="5" t="str">
        <f t="shared" si="1"/>
        <v>MAY. I - ED26</v>
      </c>
      <c r="C366" s="14" t="str">
        <f>IFERROR(__xludf.DUMMYFUNCTION("""COMPUTED_VALUE"""),"EXCEL")</f>
        <v>EXCEL</v>
      </c>
      <c r="D366" s="20" t="str">
        <f>IFERROR(__xludf.DUMMYFUNCTION("""COMPUTED_VALUE"""),"CURSO")</f>
        <v>CURSO</v>
      </c>
      <c r="E366" s="14" t="str">
        <f>IFERROR(__xludf.DUMMYFUNCTION("""COMPUTED_VALUE"""),"EXCEL INTERM")</f>
        <v>EXCEL INTERM</v>
      </c>
      <c r="F366" s="15">
        <f>IFERROR(__xludf.DUMMYFUNCTION("""COMPUTED_VALUE"""),46149.0)</f>
        <v>46149</v>
      </c>
      <c r="G366" s="14"/>
      <c r="H366" s="16"/>
      <c r="I366" s="14"/>
      <c r="J366" s="16"/>
      <c r="K366" s="14"/>
      <c r="L366" s="16"/>
      <c r="M366" s="14"/>
      <c r="N366" s="16"/>
      <c r="O366" s="14"/>
      <c r="P366" s="16"/>
      <c r="Q366" s="14"/>
      <c r="R366" s="5" t="str">
        <f>IFERROR(__xludf.DUMMYFUNCTION("""COMPUTED_VALUE"""),"Mar-Jue")</f>
        <v>Mar-Jue</v>
      </c>
      <c r="S366" s="14" t="str">
        <f>IFERROR(__xludf.DUMMYFUNCTION("""COMPUTED_VALUE"""),"7PM - 10PM")</f>
        <v>7PM - 10PM</v>
      </c>
      <c r="T366" s="16" t="str">
        <f>IFERROR(__xludf.DUMMYFUNCTION("""COMPUTED_VALUE"""),"Jueves 7 Mayo")</f>
        <v>Jueves 7 Mayo</v>
      </c>
      <c r="U366" s="16" t="str">
        <f>IFERROR(__xludf.DUMMYFUNCTION("""COMPUTED_VALUE"""),"Martes 26 Mayo")</f>
        <v>Martes 26 Mayo</v>
      </c>
      <c r="V366" s="17">
        <f>IFERROR(__xludf.DUMMYFUNCTION("""COMPUTED_VALUE"""),6.0)</f>
        <v>6</v>
      </c>
      <c r="W366" s="5" t="str">
        <f>IFERROR(__xludf.DUMMYFUNCTION("""COMPUTED_VALUE"""),"pdfs/BROCHURE EXCEL INTERMEDIO.pdf")</f>
        <v>pdfs/BROCHURE EXCEL INTERMEDIO.pdf</v>
      </c>
      <c r="X366" s="18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366" s="14" t="str">
        <f>IFERROR(__xludf.DUMMYFUNCTION("""COMPUTED_VALUE"""),"images/excelinterm.jpg")</f>
        <v>images/excelinterm.jpg</v>
      </c>
      <c r="Z366" s="14" t="str">
        <f>IFERROR(__xludf.DUMMYFUNCTION("""COMPUTED_VALUE"""),"Avalado por Microsoft Partner Network")</f>
        <v>Avalado por Microsoft Partner Network</v>
      </c>
      <c r="AA366" s="14" t="str">
        <f>IFERROR(__xludf.DUMMYFUNCTION("""COMPUTED_VALUE"""),"NO")</f>
        <v>NO</v>
      </c>
      <c r="AB366" s="14">
        <f>IFERROR(__xludf.DUMMYFUNCTION("""COMPUTED_VALUE"""),420.0)</f>
        <v>420</v>
      </c>
      <c r="AC366" s="14">
        <f>IFERROR(__xludf.DUMMYFUNCTION("""COMPUTED_VALUE"""),400.0)</f>
        <v>400</v>
      </c>
      <c r="AD366" s="14">
        <f>IFERROR(__xludf.DUMMYFUNCTION("""COMPUTED_VALUE"""),210.0)</f>
        <v>210</v>
      </c>
      <c r="AE366" s="14">
        <f>IFERROR(__xludf.DUMMYFUNCTION("""COMPUTED_VALUE"""),200.0)</f>
        <v>200</v>
      </c>
      <c r="AF366" s="14">
        <f>IFERROR(__xludf.DUMMYFUNCTION("""COMPUTED_VALUE"""),150.0)</f>
        <v>150</v>
      </c>
      <c r="AG366" s="19">
        <f>IFERROR(__xludf.DUMMYFUNCTION("""COMPUTED_VALUE"""),150.0)</f>
        <v>150</v>
      </c>
      <c r="AH366" s="20"/>
      <c r="AI366" s="5">
        <f>IFERROR(__xludf.DUMMYFUNCTION("""COMPUTED_VALUE"""),180.0)</f>
        <v>180</v>
      </c>
      <c r="AJ366" s="5">
        <f>IFERROR(__xludf.DUMMYFUNCTION("""COMPUTED_VALUE"""),189.0)</f>
        <v>189</v>
      </c>
      <c r="AK366" s="5" t="str">
        <f>IFERROR(__xludf.DUMMYFUNCTION("""COMPUTED_VALUE"""),"El siguiente paso en tu crecimiento es Excel Intermedio 🚀
Consolidarás fórmulas, tablas y reportes aplicables en entornos reales de trabajo 💻.
Aquí tienes la info 👇🏻")</f>
        <v>El siguiente paso en tu crecimiento es Excel Intermedio 🚀
Consolidarás fórmulas, tablas y reportes aplicables en entornos reales de trabajo 💻.
Aquí tienes la info 👇🏻</v>
      </c>
      <c r="AL366" s="5" t="str">
        <f>IFERROR(__xludf.DUMMYFUNCTION("""COMPUTED_VALUE"""),"💼 *Excelente*, actualízate con *EXCEL INTERM* y mantente competitivo en el mercado laboral.")</f>
        <v>💼 *Excelente*, actualízate con *EXCEL INTERM* y mantente competitivo en el mercado laboral.</v>
      </c>
      <c r="AM366" s="5" t="str">
        <f>IFERROR(__xludf.DUMMYFUNCTION("""COMPUTED_VALUE"""),"📘 Buenísimo, *EXCEL INTERM* es de las competencias más pedidas por las empresas y aumentará tus oportunidades laborales.")</f>
        <v>📘 Buenísimo, *EXCEL INTERM* es de las competencias más pedidas por las empresas y aumentará tus oportunidades laborales.</v>
      </c>
      <c r="AN366" s="5" t="str">
        <f>IFERROR(__xludf.DUMMYFUNCTION("""COMPUTED_VALUE"""),"🔑 ¡Genial! Con *EXCEL INTERM* sumarás una habilidad poderosa que te diferenciará desde la universidad.")</f>
        <v>🔑 ¡Genial! Con *EXCEL INTERM* sumarás una habilidad poderosa que te diferenciará desde la universidad.</v>
      </c>
      <c r="AO366" s="5" t="str">
        <f>IFERROR(__xludf.DUMMYFUNCTION("""COMPUTED_VALUE"""),"🔑 ¡Perfecto! Saber *EXCEL INTERM* te dará ventaja frente a otros postulantes para conseguir prácticas.")</f>
        <v>🔑 ¡Perfecto! Saber *EXCEL INTERM* te dará ventaja frente a otros postulantes para conseguir prácticas.</v>
      </c>
      <c r="AP366" s="5" t="str">
        <f>IFERROR(__xludf.DUMMYFUNCTION("""COMPUTED_VALUE"""),"✨ ¡Excelente! Con *EXCEL INTERM* podrás aplicarlo en tu negocio y tomar decisiones más inteligentes.")</f>
        <v>✨ ¡Excelente! Con *EXCEL INTERM* podrás aplicarlo en tu negocio y tomar decisiones más inteligentes.</v>
      </c>
      <c r="AQ366" s="9" t="str">
        <f>IFERROR(__xludf.DUMMYFUNCTION("""COMPUTED_VALUE"""),"https://we-educacion.com/slides/microsoft-excel-intermedio-82")</f>
        <v>https://we-educacion.com/slides/microsoft-excel-intermedio-82</v>
      </c>
      <c r="AR366" s="5">
        <v>1.0</v>
      </c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</row>
    <row r="367" ht="15.75" customHeight="1">
      <c r="A367" s="5" t="s">
        <v>409</v>
      </c>
      <c r="B367" s="5" t="str">
        <f t="shared" si="1"/>
        <v>MAY. I - ED26</v>
      </c>
      <c r="C367" s="14" t="str">
        <f>IFERROR(__xludf.DUMMYFUNCTION("""COMPUTED_VALUE"""),"PROCESOS")</f>
        <v>PROCESOS</v>
      </c>
      <c r="D367" s="20" t="str">
        <f>IFERROR(__xludf.DUMMYFUNCTION("""COMPUTED_VALUE"""),"CURSO")</f>
        <v>CURSO</v>
      </c>
      <c r="E367" s="14" t="str">
        <f>IFERROR(__xludf.DUMMYFUNCTION("""COMPUTED_VALUE"""),"POWER APPS AVANZ")</f>
        <v>POWER APPS AVANZ</v>
      </c>
      <c r="F367" s="15">
        <f>IFERROR(__xludf.DUMMYFUNCTION("""COMPUTED_VALUE"""),46151.0)</f>
        <v>46151</v>
      </c>
      <c r="G367" s="14"/>
      <c r="H367" s="16"/>
      <c r="I367" s="14"/>
      <c r="J367" s="16"/>
      <c r="K367" s="14"/>
      <c r="L367" s="16"/>
      <c r="M367" s="14"/>
      <c r="N367" s="16"/>
      <c r="O367" s="14"/>
      <c r="P367" s="16"/>
      <c r="Q367" s="14"/>
      <c r="R367" s="5" t="str">
        <f>IFERROR(__xludf.DUMMYFUNCTION("""COMPUTED_VALUE"""),"Sáb")</f>
        <v>Sáb</v>
      </c>
      <c r="S367" s="14" t="str">
        <f>IFERROR(__xludf.DUMMYFUNCTION("""COMPUTED_VALUE"""),"3PM - 6PM")</f>
        <v>3PM - 6PM</v>
      </c>
      <c r="T367" s="16" t="str">
        <f>IFERROR(__xludf.DUMMYFUNCTION("""COMPUTED_VALUE"""),"Sábado 9 Mayo")</f>
        <v>Sábado 9 Mayo</v>
      </c>
      <c r="U367" s="16" t="str">
        <f>IFERROR(__xludf.DUMMYFUNCTION("""COMPUTED_VALUE"""),"Sábado 13 Junio")</f>
        <v>Sábado 13 Junio</v>
      </c>
      <c r="V367" s="17">
        <f>IFERROR(__xludf.DUMMYFUNCTION("""COMPUTED_VALUE"""),6.0)</f>
        <v>6</v>
      </c>
      <c r="W367" s="5" t="str">
        <f>IFERROR(__xludf.DUMMYFUNCTION("""COMPUTED_VALUE"""),"pdfs/BROCHURE POWER APPS &amp; AUTOMATE AVANZADO.pdf")</f>
        <v>pdfs/BROCHURE POWER APPS &amp; AUTOMATE AVANZADO.pdf</v>
      </c>
      <c r="X367" s="18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367" s="14" t="str">
        <f>IFERROR(__xludf.DUMMYFUNCTION("""COMPUTED_VALUE"""),"images/powerappavanz.jpg")</f>
        <v>images/powerappavanz.jpg</v>
      </c>
      <c r="Z367" s="14" t="str">
        <f>IFERROR(__xludf.DUMMYFUNCTION("""COMPUTED_VALUE"""),"Avalado por Microsoft Partner Network")</f>
        <v>Avalado por Microsoft Partner Network</v>
      </c>
      <c r="AA367" s="14" t="str">
        <f>IFERROR(__xludf.DUMMYFUNCTION("""COMPUTED_VALUE"""),"NO")</f>
        <v>NO</v>
      </c>
      <c r="AB367" s="14">
        <f>IFERROR(__xludf.DUMMYFUNCTION("""COMPUTED_VALUE"""),650.0)</f>
        <v>650</v>
      </c>
      <c r="AC367" s="14">
        <f>IFERROR(__xludf.DUMMYFUNCTION("""COMPUTED_VALUE"""),570.0)</f>
        <v>570</v>
      </c>
      <c r="AD367" s="14">
        <f>IFERROR(__xludf.DUMMYFUNCTION("""COMPUTED_VALUE"""),325.0)</f>
        <v>325</v>
      </c>
      <c r="AE367" s="14">
        <f>IFERROR(__xludf.DUMMYFUNCTION("""COMPUTED_VALUE"""),285.0)</f>
        <v>285</v>
      </c>
      <c r="AF367" s="14">
        <f>IFERROR(__xludf.DUMMYFUNCTION("""COMPUTED_VALUE"""),150.0)</f>
        <v>150</v>
      </c>
      <c r="AG367" s="19">
        <f>IFERROR(__xludf.DUMMYFUNCTION("""COMPUTED_VALUE"""),150.0)</f>
        <v>150</v>
      </c>
      <c r="AH367" s="20"/>
      <c r="AI367" s="5">
        <f>IFERROR(__xludf.DUMMYFUNCTION("""COMPUTED_VALUE"""),256.5)</f>
        <v>256.5</v>
      </c>
      <c r="AJ367" s="5">
        <f>IFERROR(__xludf.DUMMYFUNCTION("""COMPUTED_VALUE"""),292.5)</f>
        <v>292.5</v>
      </c>
      <c r="AK367" s="5" t="str">
        <f>IFERROR(__xludf.DUMMYFUNCTION("""COMPUTED_VALUE"""),"El futuro de los negocios es la automatización sin código 💡
Con Power Apps Avanzado diseñarás aplicaciones prácticas para optimizar procesos reales 📊.
Aquí te comparto la información 👇🏻")</f>
        <v>El futuro de los negocios es la automatización sin código 💡
Con Power Apps Avanzado diseñarás aplicaciones prácticas para optimizar procesos reales 📊.
Aquí te comparto la información 👇🏻</v>
      </c>
      <c r="AL367" s="5" t="str">
        <f>IFERROR(__xludf.DUMMYFUNCTION("""COMPUTED_VALUE"""),"⚡ Excelente, actualízate con Power Apps Avanzado y domina la automatización de procesos.")</f>
        <v>⚡ Excelente, actualízate con Power Apps Avanzado y domina la automatización de procesos.</v>
      </c>
      <c r="AM367" s="5" t="str">
        <f>IFERROR(__xludf.DUMMYFUNCTION("""COMPUTED_VALUE"""),"💼 Buenísimo, Power Apps Avanzado es muy buscado en empresas que digitalizan operaciones.")</f>
        <v>💼 Buenísimo, Power Apps Avanzado es muy buscado en empresas que digitalizan operaciones.</v>
      </c>
      <c r="AN367" s="5" t="str">
        <f>IFERROR(__xludf.DUMMYFUNCTION("""COMPUTED_VALUE"""),"🎓 ¡Genial! Con Power Apps Avanzado aprenderás a crear soluciones prácticas desde la universidad.")</f>
        <v>🎓 ¡Genial! Con Power Apps Avanzado aprenderás a crear soluciones prácticas desde la universidad.</v>
      </c>
      <c r="AO367" s="5" t="str">
        <f>IFERROR(__xludf.DUMMYFUNCTION("""COMPUTED_VALUE"""),"🚀 ¡Perfecto! Saber Power Apps Avanzado te dará ventaja frente a otros en prácticas de TI.")</f>
        <v>🚀 ¡Perfecto! Saber Power Apps Avanzado te dará ventaja frente a otros en prácticas de TI.</v>
      </c>
      <c r="AP367" s="5" t="str">
        <f>IFERROR(__xludf.DUMMYFUNCTION("""COMPUTED_VALUE"""),"📊 ¡Excelente! Con Power Apps Avanzado podrás optimizar tus procesos de negocio con apps propias.")</f>
        <v>📊 ¡Excelente! Con Power Apps Avanzado podrás optimizar tus procesos de negocio con apps propias.</v>
      </c>
      <c r="AQ367" s="9" t="str">
        <f>IFERROR(__xludf.DUMMYFUNCTION("""COMPUTED_VALUE"""),"https://we-educacion.com/slides/power-apps-automate-avanzado-1112")</f>
        <v>https://we-educacion.com/slides/power-apps-automate-avanzado-1112</v>
      </c>
      <c r="AR367" s="5">
        <v>1.0</v>
      </c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</row>
    <row r="368" ht="15.75" customHeight="1">
      <c r="A368" s="5" t="s">
        <v>410</v>
      </c>
      <c r="B368" s="5" t="str">
        <f t="shared" si="1"/>
        <v>MAY. I - ED26</v>
      </c>
      <c r="C368" s="14" t="str">
        <f>IFERROR(__xludf.DUMMYFUNCTION("""COMPUTED_VALUE"""),"BI")</f>
        <v>BI</v>
      </c>
      <c r="D368" s="14" t="str">
        <f>IFERROR(__xludf.DUMMYFUNCTION("""COMPUTED_VALUE"""),"CURSO")</f>
        <v>CURSO</v>
      </c>
      <c r="E368" s="14" t="str">
        <f>IFERROR(__xludf.DUMMYFUNCTION("""COMPUTED_VALUE"""),"SQL AVANZ")</f>
        <v>SQL AVANZ</v>
      </c>
      <c r="F368" s="15">
        <f>IFERROR(__xludf.DUMMYFUNCTION("""COMPUTED_VALUE"""),46151.0)</f>
        <v>46151</v>
      </c>
      <c r="G368" s="14"/>
      <c r="H368" s="16"/>
      <c r="I368" s="14"/>
      <c r="J368" s="16"/>
      <c r="K368" s="14"/>
      <c r="L368" s="16"/>
      <c r="M368" s="14"/>
      <c r="N368" s="16"/>
      <c r="O368" s="14"/>
      <c r="P368" s="16"/>
      <c r="Q368" s="14" t="str">
        <f>IFERROR(__xludf.DUMMYFUNCTION("""COMPUTED_VALUE"""),"Oscar Moreno")</f>
        <v>Oscar Moreno</v>
      </c>
      <c r="R368" s="5" t="str">
        <f>IFERROR(__xludf.DUMMYFUNCTION("""COMPUTED_VALUE"""),"Sáb")</f>
        <v>Sáb</v>
      </c>
      <c r="S368" s="14" t="str">
        <f>IFERROR(__xludf.DUMMYFUNCTION("""COMPUTED_VALUE"""),"3PM - 6PM")</f>
        <v>3PM - 6PM</v>
      </c>
      <c r="T368" s="16" t="str">
        <f>IFERROR(__xludf.DUMMYFUNCTION("""COMPUTED_VALUE"""),"Sábado 9 Mayo")</f>
        <v>Sábado 9 Mayo</v>
      </c>
      <c r="U368" s="16" t="str">
        <f>IFERROR(__xludf.DUMMYFUNCTION("""COMPUTED_VALUE"""),"Sábado 13 Junio")</f>
        <v>Sábado 13 Junio</v>
      </c>
      <c r="V368" s="17">
        <f>IFERROR(__xludf.DUMMYFUNCTION("""COMPUTED_VALUE"""),6.0)</f>
        <v>6</v>
      </c>
      <c r="W368" s="5" t="str">
        <f>IFERROR(__xludf.DUMMYFUNCTION("""COMPUTED_VALUE"""),"pdfs/BROCHURE SQL SERVER AVANZADO.pdf")</f>
        <v>pdfs/BROCHURE SQL SERVER AVANZADO.pdf</v>
      </c>
      <c r="X368" s="18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68" s="14" t="str">
        <f>IFERROR(__xludf.DUMMYFUNCTION("""COMPUTED_VALUE"""),"images/sqlavanz.jpg")</f>
        <v>images/sqlavanz.jpg</v>
      </c>
      <c r="Z368" s="14" t="str">
        <f>IFERROR(__xludf.DUMMYFUNCTION("""COMPUTED_VALUE"""),"Avalado por Microsoft Partner Network")</f>
        <v>Avalado por Microsoft Partner Network</v>
      </c>
      <c r="AA368" s="14" t="str">
        <f>IFERROR(__xludf.DUMMYFUNCTION("""COMPUTED_VALUE"""),"NO")</f>
        <v>NO</v>
      </c>
      <c r="AB368" s="14">
        <f>IFERROR(__xludf.DUMMYFUNCTION("""COMPUTED_VALUE"""),830.0)</f>
        <v>830</v>
      </c>
      <c r="AC368" s="14">
        <f>IFERROR(__xludf.DUMMYFUNCTION("""COMPUTED_VALUE"""),740.0)</f>
        <v>740</v>
      </c>
      <c r="AD368" s="14">
        <f>IFERROR(__xludf.DUMMYFUNCTION("""COMPUTED_VALUE"""),415.0)</f>
        <v>415</v>
      </c>
      <c r="AE368" s="14">
        <f>IFERROR(__xludf.DUMMYFUNCTION("""COMPUTED_VALUE"""),370.0)</f>
        <v>370</v>
      </c>
      <c r="AF368" s="14">
        <f>IFERROR(__xludf.DUMMYFUNCTION("""COMPUTED_VALUE"""),150.0)</f>
        <v>150</v>
      </c>
      <c r="AG368" s="19">
        <f>IFERROR(__xludf.DUMMYFUNCTION("""COMPUTED_VALUE"""),150.0)</f>
        <v>150</v>
      </c>
      <c r="AH368" s="20"/>
      <c r="AI368" s="5">
        <f>IFERROR(__xludf.DUMMYFUNCTION("""COMPUTED_VALUE"""),333.0)</f>
        <v>333</v>
      </c>
      <c r="AJ368" s="5">
        <f>IFERROR(__xludf.DUMMYFUNCTION("""COMPUTED_VALUE"""),373.5)</f>
        <v>373.5</v>
      </c>
      <c r="AK368" s="5" t="str">
        <f>IFERROR(__xludf.DUMMYFUNCTION("""COMPUTED_VALUE"""),"El poder de los datos se libera con SQL Avanzado 🔎
Aprenderás consultas complejas y análisis de bases de datos aplicables a proyectos reales 💻.
Aquí tienes la info completa 👇🏻")</f>
        <v>El poder de los datos se libera con SQL Avanzado 🔎
Aprenderás consultas complejas y análisis de bases de datos aplicables a proyectos reales 💻.
Aquí tienes la info completa 👇🏻</v>
      </c>
      <c r="AL368" s="5" t="str">
        <f>IFERROR(__xludf.DUMMYFUNCTION("""COMPUTED_VALUE"""),"💻 Excelente, actualízate con SQL Avanzado y domina la gestión de bases de datos.")</f>
        <v>💻 Excelente, actualízate con SQL Avanzado y domina la gestión de bases de datos.</v>
      </c>
      <c r="AM368" s="5" t="str">
        <f>IFERROR(__xludf.DUMMYFUNCTION("""COMPUTED_VALUE"""),"💼 Buenísimo, SQL es muy demandado en empresas que manejan grandes volúmenes de datos.")</f>
        <v>💼 Buenísimo, SQL es muy demandado en empresas que manejan grandes volúmenes de datos.</v>
      </c>
      <c r="AN368" s="5" t="str">
        <f>IFERROR(__xludf.DUMMYFUNCTION("""COMPUTED_VALUE"""),"🎓 ¡Genial! Con SQL Avanzado aprenderás análisis de datos desde la universidad.")</f>
        <v>🎓 ¡Genial! Con SQL Avanzado aprenderás análisis de datos desde la universidad.</v>
      </c>
      <c r="AO368" s="5" t="str">
        <f>IFERROR(__xludf.DUMMYFUNCTION("""COMPUTED_VALUE"""),"🚀 ¡Perfecto! Saber SQL te dará ventaja en prácticas de análisis e inteligencia de negocios.")</f>
        <v>🚀 ¡Perfecto! Saber SQL te dará ventaja en prácticas de análisis e inteligencia de negocios.</v>
      </c>
      <c r="AP368" s="5" t="str">
        <f>IFERROR(__xludf.DUMMYFUNCTION("""COMPUTED_VALUE"""),"📊 ¡Excelente! Con SQL Avanzado podrás manejar la información de tu negocio con precisión.")</f>
        <v>📊 ¡Excelente! Con SQL Avanzado podrás manejar la información de tu negocio con precisión.</v>
      </c>
      <c r="AQ368" s="9" t="str">
        <f>IFERROR(__xludf.DUMMYFUNCTION("""COMPUTED_VALUE"""),"https://we-educacion.com/slides/sql-server-avanzado-93")</f>
        <v>https://we-educacion.com/slides/sql-server-avanzado-93</v>
      </c>
      <c r="AR368" s="5">
        <v>1.0</v>
      </c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</row>
    <row r="369" ht="15.75" customHeight="1">
      <c r="A369" s="5" t="s">
        <v>411</v>
      </c>
      <c r="B369" s="5" t="str">
        <f t="shared" si="1"/>
        <v>MAY. I - ED26</v>
      </c>
      <c r="C369" s="14" t="str">
        <f>IFERROR(__xludf.DUMMYFUNCTION("""COMPUTED_VALUE"""),"FINANZ")</f>
        <v>FINANZ</v>
      </c>
      <c r="D369" s="5" t="str">
        <f>IFERROR(__xludf.DUMMYFUNCTION("""COMPUTED_VALUE"""),"CURSO")</f>
        <v>CURSO</v>
      </c>
      <c r="E369" s="14" t="str">
        <f>IFERROR(__xludf.DUMMYFUNCTION("""COMPUTED_VALUE"""),"COST Y PRESUP")</f>
        <v>COST Y PRESUP</v>
      </c>
      <c r="F369" s="15">
        <f>IFERROR(__xludf.DUMMYFUNCTION("""COMPUTED_VALUE"""),46151.0)</f>
        <v>46151</v>
      </c>
      <c r="G369" s="14"/>
      <c r="H369" s="16"/>
      <c r="I369" s="14"/>
      <c r="J369" s="16"/>
      <c r="K369" s="14"/>
      <c r="L369" s="16"/>
      <c r="M369" s="14"/>
      <c r="N369" s="16"/>
      <c r="O369" s="14"/>
      <c r="P369" s="16"/>
      <c r="Q369" s="14" t="str">
        <f>IFERROR(__xludf.DUMMYFUNCTION("""COMPUTED_VALUE"""),"Ralphi Jauregui")</f>
        <v>Ralphi Jauregui</v>
      </c>
      <c r="R369" s="5" t="str">
        <f>IFERROR(__xludf.DUMMYFUNCTION("""COMPUTED_VALUE"""),"Sáb")</f>
        <v>Sáb</v>
      </c>
      <c r="S369" s="14" t="str">
        <f>IFERROR(__xludf.DUMMYFUNCTION("""COMPUTED_VALUE"""),"3PM - 6PM")</f>
        <v>3PM - 6PM</v>
      </c>
      <c r="T369" s="16" t="str">
        <f>IFERROR(__xludf.DUMMYFUNCTION("""COMPUTED_VALUE"""),"Sábado 9 Mayo")</f>
        <v>Sábado 9 Mayo</v>
      </c>
      <c r="U369" s="16" t="str">
        <f>IFERROR(__xludf.DUMMYFUNCTION("""COMPUTED_VALUE"""),"Sábado 13 Junio")</f>
        <v>Sábado 13 Junio</v>
      </c>
      <c r="V369" s="17">
        <f>IFERROR(__xludf.DUMMYFUNCTION("""COMPUTED_VALUE"""),6.0)</f>
        <v>6</v>
      </c>
      <c r="W369" s="5" t="str">
        <f>IFERROR(__xludf.DUMMYFUNCTION("""COMPUTED_VALUE"""),"pdfs/BROCHURE COSTOS Y PRESUPUESTOS.pdf")</f>
        <v>pdfs/BROCHURE COSTOS Y PRESUPUESTOS.pdf</v>
      </c>
      <c r="X369" s="18" t="str">
        <f>IFERROR(__xludf.DUMMYFUNCTION("""COMPUTED_VALUE"""),"🔵 *Utilizarán Excel Financiero* 👩🏻‍💻
👉🏼 ¡Te regalamos el Curso Online!
👉🏼 Incluye plantillas y formatos
🚨 *Por favor, revisa el BROCHURE* 👇🏻
Aqui encontrarás la información completa del programa, el TEMARIO (malla curricular) y todos los BENEF"&amp;"ICIOS 📚")</f>
        <v>🔵 *Utilizarán Excel Financiero* 👩🏻‍💻
👉🏼 ¡Te regalamos el Curso Online!
👉🏼 Incluye plantillas y formatos
🚨 *Por favor, revisa el BROCHURE* 👇🏻
Aqui encontrarás la información completa del programa, el TEMARIO (malla curricular) y todos los BENEFICIOS 📚</v>
      </c>
      <c r="Y369" s="14" t="str">
        <f>IFERROR(__xludf.DUMMYFUNCTION("""COMPUTED_VALUE"""),"images/costypre.jpg")</f>
        <v>images/costypre.jpg</v>
      </c>
      <c r="Z369" s="14"/>
      <c r="AA369" s="14" t="str">
        <f>IFERROR(__xludf.DUMMYFUNCTION("""COMPUTED_VALUE"""),"NO")</f>
        <v>NO</v>
      </c>
      <c r="AB369" s="14">
        <f>IFERROR(__xludf.DUMMYFUNCTION("""COMPUTED_VALUE"""),750.0)</f>
        <v>750</v>
      </c>
      <c r="AC369" s="14">
        <f>IFERROR(__xludf.DUMMYFUNCTION("""COMPUTED_VALUE"""),700.0)</f>
        <v>700</v>
      </c>
      <c r="AD369" s="14">
        <f>IFERROR(__xludf.DUMMYFUNCTION("""COMPUTED_VALUE"""),375.0)</f>
        <v>375</v>
      </c>
      <c r="AE369" s="14">
        <f>IFERROR(__xludf.DUMMYFUNCTION("""COMPUTED_VALUE"""),350.0)</f>
        <v>350</v>
      </c>
      <c r="AF369" s="14">
        <f>IFERROR(__xludf.DUMMYFUNCTION("""COMPUTED_VALUE"""),150.0)</f>
        <v>150</v>
      </c>
      <c r="AG369" s="19">
        <f>IFERROR(__xludf.DUMMYFUNCTION("""COMPUTED_VALUE"""),150.0)</f>
        <v>150</v>
      </c>
      <c r="AH369" s="20"/>
      <c r="AI369" s="5">
        <f>IFERROR(__xludf.DUMMYFUNCTION("""COMPUTED_VALUE"""),315.0)</f>
        <v>315</v>
      </c>
      <c r="AJ369" s="5">
        <f>IFERROR(__xludf.DUMMYFUNCTION("""COMPUTED_VALUE"""),337.5)</f>
        <v>337.5</v>
      </c>
      <c r="AK369" s="5" t="str">
        <f>IFERROR(__xludf.DUMMYFUNCTION("""COMPUTED_VALUE"""),"Los líderes gestionan recursos con precisión y visión 📊
Con Costos y Presupuestos aprenderás a planificar y controlar gastos de manera práctica 💼.
Aquí te comparto la info 👇🏻")</f>
        <v>Los líderes gestionan recursos con precisión y visión 📊
Con Costos y Presupuestos aprenderás a planificar y controlar gastos de manera práctica 💼.
Aquí te comparto la info 👇🏻</v>
      </c>
      <c r="AL369" s="5" t="str">
        <f>IFERROR(__xludf.DUMMYFUNCTION("""COMPUTED_VALUE"""),"📊 *Excelente*, con *Costos y Presupuestos* te actualizarás en control financiero y gestión de proyectos.")</f>
        <v>📊 *Excelente*, con *Costos y Presupuestos* te actualizarás en control financiero y gestión de proyectos.</v>
      </c>
      <c r="AM369" s="5" t="str">
        <f>IFERROR(__xludf.DUMMYFUNCTION("""COMPUTED_VALUE"""),"💼 Buenísimo, *Costos y Presupuestos* es clave en empresas y muy requerido por empleadores.")</f>
        <v>💼 Buenísimo, *Costos y Presupuestos* es clave en empresas y muy requerido por empleadores.</v>
      </c>
      <c r="AN369" s="5" t="str">
        <f>IFERROR(__xludf.DUMMYFUNCTION("""COMPUTED_VALUE"""),"📘 ¡Perfecto! Aprender *Costos y Presupuestos* te dará una base sólida en gestión financiera.")</f>
        <v>📘 ¡Perfecto! Aprender *Costos y Presupuestos* te dará una base sólida en gestión financiera.</v>
      </c>
      <c r="AO369" s="5" t="str">
        <f>IFERROR(__xludf.DUMMYFUNCTION("""COMPUTED_VALUE"""),"🚀 ¡Genial! Conocer *Costos y Presupuestos* te dará ventaja en prácticas de áreas administrativas.")</f>
        <v>🚀 ¡Genial! Conocer *Costos y Presupuestos* te dará ventaja en prácticas de áreas administrativas.</v>
      </c>
      <c r="AP369" s="5" t="str">
        <f>IFERROR(__xludf.DUMMYFUNCTION("""COMPUTED_VALUE"""),"💰 ¡Muy bien! Como independiente, dominar *Costos y Presupuestos* te permitirá optimizar tus recursos.")</f>
        <v>💰 ¡Muy bien! Como independiente, dominar *Costos y Presupuestos* te permitirá optimizar tus recursos.</v>
      </c>
      <c r="AQ369" s="9" t="str">
        <f>IFERROR(__xludf.DUMMYFUNCTION("""COMPUTED_VALUE"""),"https://we-educacion.com/slides/costos-presupuestos-465")</f>
        <v>https://we-educacion.com/slides/costos-presupuestos-465</v>
      </c>
      <c r="AR369" s="5">
        <v>1.0</v>
      </c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</row>
    <row r="370" ht="15.75" customHeight="1">
      <c r="A370" s="5" t="s">
        <v>412</v>
      </c>
      <c r="B370" s="5" t="str">
        <f t="shared" si="1"/>
        <v>MAY. I - ED26</v>
      </c>
      <c r="C370" s="14" t="str">
        <f>IFERROR(__xludf.DUMMYFUNCTION("""COMPUTED_VALUE"""),"BI")</f>
        <v>BI</v>
      </c>
      <c r="D370" s="20" t="str">
        <f>IFERROR(__xludf.DUMMYFUNCTION("""COMPUTED_VALUE"""),"CURSO")</f>
        <v>CURSO</v>
      </c>
      <c r="E370" s="14" t="str">
        <f>IFERROR(__xludf.DUMMYFUNCTION("""COMPUTED_VALUE"""),"POWER BI")</f>
        <v>POWER BI</v>
      </c>
      <c r="F370" s="15">
        <f>IFERROR(__xludf.DUMMYFUNCTION("""COMPUTED_VALUE"""),46156.0)</f>
        <v>46156</v>
      </c>
      <c r="G370" s="14"/>
      <c r="H370" s="16"/>
      <c r="I370" s="14"/>
      <c r="J370" s="16"/>
      <c r="K370" s="14"/>
      <c r="L370" s="16"/>
      <c r="M370" s="14"/>
      <c r="N370" s="16"/>
      <c r="O370" s="14"/>
      <c r="P370" s="16"/>
      <c r="Q370" s="14"/>
      <c r="R370" s="5" t="str">
        <f>IFERROR(__xludf.DUMMYFUNCTION("""COMPUTED_VALUE"""),"Mar-Jue")</f>
        <v>Mar-Jue</v>
      </c>
      <c r="S370" s="14" t="str">
        <f>IFERROR(__xludf.DUMMYFUNCTION("""COMPUTED_VALUE"""),"7PM - 10PM")</f>
        <v>7PM - 10PM</v>
      </c>
      <c r="T370" s="16" t="str">
        <f>IFERROR(__xludf.DUMMYFUNCTION("""COMPUTED_VALUE"""),"Jueves 14 Mayo")</f>
        <v>Jueves 14 Mayo</v>
      </c>
      <c r="U370" s="16" t="str">
        <f>IFERROR(__xludf.DUMMYFUNCTION("""COMPUTED_VALUE"""),"Martes 2 Junio")</f>
        <v>Martes 2 Junio</v>
      </c>
      <c r="V370" s="17">
        <f>IFERROR(__xludf.DUMMYFUNCTION("""COMPUTED_VALUE"""),6.0)</f>
        <v>6</v>
      </c>
      <c r="W370" s="6" t="str">
        <f>IFERROR(__xludf.DUMMYFUNCTION("""COMPUTED_VALUE"""),"pdfs/BROCHURE POWER BI.pdf")</f>
        <v>pdfs/BROCHURE POWER BI.pdf</v>
      </c>
      <c r="X370" s="18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370" s="14" t="str">
        <f>IFERROR(__xludf.DUMMYFUNCTION("""COMPUTED_VALUE"""),"images/powerbi.jpg")</f>
        <v>images/powerbi.jpg</v>
      </c>
      <c r="Z370" s="14" t="str">
        <f>IFERROR(__xludf.DUMMYFUNCTION("""COMPUTED_VALUE"""),"Avalado por Microsoft Partner Network")</f>
        <v>Avalado por Microsoft Partner Network</v>
      </c>
      <c r="AA370" s="14" t="str">
        <f>IFERROR(__xludf.DUMMYFUNCTION("""COMPUTED_VALUE"""),"NO")</f>
        <v>NO</v>
      </c>
      <c r="AB370" s="14">
        <f>IFERROR(__xludf.DUMMYFUNCTION("""COMPUTED_VALUE"""),830.0)</f>
        <v>830</v>
      </c>
      <c r="AC370" s="14">
        <f>IFERROR(__xludf.DUMMYFUNCTION("""COMPUTED_VALUE"""),740.0)</f>
        <v>740</v>
      </c>
      <c r="AD370" s="14">
        <f>IFERROR(__xludf.DUMMYFUNCTION("""COMPUTED_VALUE"""),415.0)</f>
        <v>415</v>
      </c>
      <c r="AE370" s="14">
        <f>IFERROR(__xludf.DUMMYFUNCTION("""COMPUTED_VALUE"""),370.0)</f>
        <v>370</v>
      </c>
      <c r="AF370" s="14">
        <f>IFERROR(__xludf.DUMMYFUNCTION("""COMPUTED_VALUE"""),150.0)</f>
        <v>150</v>
      </c>
      <c r="AG370" s="19">
        <f>IFERROR(__xludf.DUMMYFUNCTION("""COMPUTED_VALUE"""),150.0)</f>
        <v>150</v>
      </c>
      <c r="AH370" s="20"/>
      <c r="AI370" s="5">
        <f>IFERROR(__xludf.DUMMYFUNCTION("""COMPUTED_VALUE"""),333.0)</f>
        <v>333</v>
      </c>
      <c r="AJ370" s="5">
        <f>IFERROR(__xludf.DUMMYFUNCTION("""COMPUTED_VALUE"""),373.5)</f>
        <v>373.5</v>
      </c>
      <c r="AK370" s="5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370" s="5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370" s="5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370" s="5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370" s="5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370" s="5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370" s="9" t="str">
        <f>IFERROR(__xludf.DUMMYFUNCTION("""COMPUTED_VALUE"""),"https://we-educacion.com/slides/power-bi-46")</f>
        <v>https://we-educacion.com/slides/power-bi-46</v>
      </c>
      <c r="AR370" s="5">
        <v>1.0</v>
      </c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</row>
    <row r="371" ht="15.75" customHeight="1">
      <c r="A371" s="5" t="s">
        <v>413</v>
      </c>
      <c r="B371" s="5" t="str">
        <f t="shared" si="1"/>
        <v>MAY. I - ED26</v>
      </c>
      <c r="C371" s="14" t="str">
        <f>IFERROR(__xludf.DUMMYFUNCTION("""COMPUTED_VALUE"""),"LOGÍSTICA")</f>
        <v>LOGÍSTICA</v>
      </c>
      <c r="D371" s="14" t="str">
        <f>IFERROR(__xludf.DUMMYFUNCTION("""COMPUTED_VALUE"""),"CURSO")</f>
        <v>CURSO</v>
      </c>
      <c r="E371" s="14" t="str">
        <f>IFERROR(__xludf.DUMMYFUNCTION("""COMPUTED_VALUE"""),"LEAN LOGISTICS")</f>
        <v>LEAN LOGISTICS</v>
      </c>
      <c r="F371" s="15">
        <f>IFERROR(__xludf.DUMMYFUNCTION("""COMPUTED_VALUE"""),46156.0)</f>
        <v>46156</v>
      </c>
      <c r="G371" s="14"/>
      <c r="H371" s="16"/>
      <c r="I371" s="14"/>
      <c r="J371" s="16"/>
      <c r="K371" s="14"/>
      <c r="L371" s="16"/>
      <c r="M371" s="14"/>
      <c r="N371" s="16"/>
      <c r="O371" s="14"/>
      <c r="P371" s="16"/>
      <c r="Q371" s="14" t="str">
        <f>IFERROR(__xludf.DUMMYFUNCTION("""COMPUTED_VALUE"""),"Hernán Vizcardo")</f>
        <v>Hernán Vizcardo</v>
      </c>
      <c r="R371" s="5" t="str">
        <f>IFERROR(__xludf.DUMMYFUNCTION("""COMPUTED_VALUE"""),"Mar-Jue")</f>
        <v>Mar-Jue</v>
      </c>
      <c r="S371" s="14" t="str">
        <f>IFERROR(__xludf.DUMMYFUNCTION("""COMPUTED_VALUE"""),"7PM - 10PM")</f>
        <v>7PM - 10PM</v>
      </c>
      <c r="T371" s="16" t="str">
        <f>IFERROR(__xludf.DUMMYFUNCTION("""COMPUTED_VALUE"""),"Jueves 14 Mayo")</f>
        <v>Jueves 14 Mayo</v>
      </c>
      <c r="U371" s="16" t="str">
        <f>IFERROR(__xludf.DUMMYFUNCTION("""COMPUTED_VALUE"""),"Martes 2 Junio")</f>
        <v>Martes 2 Junio</v>
      </c>
      <c r="V371" s="17">
        <f>IFERROR(__xludf.DUMMYFUNCTION("""COMPUTED_VALUE"""),6.0)</f>
        <v>6</v>
      </c>
      <c r="W371" s="5" t="str">
        <f>IFERROR(__xludf.DUMMYFUNCTION("""COMPUTED_VALUE"""),"pdfs/BROCHURE LEAN LOGISTICS.pdf")</f>
        <v>pdfs/BROCHURE LEAN LOGISTICS.pdf</v>
      </c>
      <c r="X371" s="18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371" s="14" t="str">
        <f>IFERROR(__xludf.DUMMYFUNCTION("""COMPUTED_VALUE"""),"images/leanlogistic.jpg")</f>
        <v>images/leanlogistic.jpg</v>
      </c>
      <c r="Z371" s="14"/>
      <c r="AA371" s="14" t="str">
        <f>IFERROR(__xludf.DUMMYFUNCTION("""COMPUTED_VALUE"""),"NO")</f>
        <v>NO</v>
      </c>
      <c r="AB371" s="14">
        <f>IFERROR(__xludf.DUMMYFUNCTION("""COMPUTED_VALUE"""),820.0)</f>
        <v>820</v>
      </c>
      <c r="AC371" s="14">
        <f>IFERROR(__xludf.DUMMYFUNCTION("""COMPUTED_VALUE"""),710.0)</f>
        <v>710</v>
      </c>
      <c r="AD371" s="14">
        <f>IFERROR(__xludf.DUMMYFUNCTION("""COMPUTED_VALUE"""),410.0)</f>
        <v>410</v>
      </c>
      <c r="AE371" s="14">
        <f>IFERROR(__xludf.DUMMYFUNCTION("""COMPUTED_VALUE"""),355.0)</f>
        <v>355</v>
      </c>
      <c r="AF371" s="14">
        <f>IFERROR(__xludf.DUMMYFUNCTION("""COMPUTED_VALUE"""),150.0)</f>
        <v>150</v>
      </c>
      <c r="AG371" s="19">
        <f>IFERROR(__xludf.DUMMYFUNCTION("""COMPUTED_VALUE"""),150.0)</f>
        <v>150</v>
      </c>
      <c r="AH371" s="20"/>
      <c r="AI371" s="5">
        <f>IFERROR(__xludf.DUMMYFUNCTION("""COMPUTED_VALUE"""),319.5)</f>
        <v>319.5</v>
      </c>
      <c r="AJ371" s="5">
        <f>IFERROR(__xludf.DUMMYFUNCTION("""COMPUTED_VALUE"""),369.0)</f>
        <v>369</v>
      </c>
      <c r="AK371" s="5" t="str">
        <f>IFERROR(__xludf.DUMMYFUNCTION("""COMPUTED_VALUE"""),"La eficiencia en la cadena de suministro empieza con Lean Logistics 🔄
Aprenderás a optimizar costos, tiempos y flujos logísticos con herramientas prácticas 📦.
Aquí te comparto la info 👇🏻")</f>
        <v>La eficiencia en la cadena de suministro empieza con Lean Logistics 🔄
Aprenderás a optimizar costos, tiempos y flujos logísticos con herramientas prácticas 📦.
Aquí te comparto la info 👇🏻</v>
      </c>
      <c r="AL371" s="5" t="str">
        <f>IFERROR(__xludf.DUMMYFUNCTION("""COMPUTED_VALUE"""),"🏆 *Excelente*, actualízate con *LEAN LOGISTICS* y mantente competitivo en el mercado laboral.")</f>
        <v>🏆 *Excelente*, actualízate con *LEAN LOGISTICS* y mantente competitivo en el mercado laboral.</v>
      </c>
      <c r="AM371" s="5" t="str">
        <f>IFERROR(__xludf.DUMMYFUNCTION("""COMPUTED_VALUE"""),"📘 Buenísimo, *LEAN LOGISTICS* es de las competencias más pedidas por las empresas y aumentará tus oportunidades laborales.")</f>
        <v>📘 Buenísimo, *LEAN LOGISTICS* es de las competencias más pedidas por las empresas y aumentará tus oportunidades laborales.</v>
      </c>
      <c r="AN371" s="5" t="str">
        <f>IFERROR(__xludf.DUMMYFUNCTION("""COMPUTED_VALUE"""),"🎓 ¡Genial! Con *LEAN LOGISTICS* sumarás una habilidad poderosa que te diferenciará desde la universidad.")</f>
        <v>🎓 ¡Genial! Con *LEAN LOGISTICS* sumarás una habilidad poderosa que te diferenciará desde la universidad.</v>
      </c>
      <c r="AO371" s="5" t="str">
        <f>IFERROR(__xludf.DUMMYFUNCTION("""COMPUTED_VALUE"""),"✨ ¡Perfecto! Saber *LEAN LOGISTICS* te dará ventaja frente a otros postulantes para conseguir prácticas.")</f>
        <v>✨ ¡Perfecto! Saber *LEAN LOGISTICS* te dará ventaja frente a otros postulantes para conseguir prácticas.</v>
      </c>
      <c r="AP371" s="5" t="str">
        <f>IFERROR(__xludf.DUMMYFUNCTION("""COMPUTED_VALUE"""),"🚀 ¡Excelente! Con *LEAN LOGISTICS* podrás aplicarlo en tu negocio y tomar decisiones más inteligentes.")</f>
        <v>🚀 ¡Excelente! Con *LEAN LOGISTICS* podrás aplicarlo en tu negocio y tomar decisiones más inteligentes.</v>
      </c>
      <c r="AQ371" s="9" t="str">
        <f>IFERROR(__xludf.DUMMYFUNCTION("""COMPUTED_VALUE"""),"https://we-educacion.com/slides/lean-logistics-67")</f>
        <v>https://we-educacion.com/slides/lean-logistics-67</v>
      </c>
      <c r="AR371" s="5">
        <v>1.0</v>
      </c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</row>
    <row r="372" ht="15.75" customHeight="1">
      <c r="A372" s="5" t="s">
        <v>414</v>
      </c>
      <c r="B372" s="5" t="str">
        <f t="shared" si="1"/>
        <v>MAY. II - ED26</v>
      </c>
      <c r="C372" s="14" t="str">
        <f>IFERROR(__xludf.DUMMYFUNCTION("""COMPUTED_VALUE"""),"BI")</f>
        <v>BI</v>
      </c>
      <c r="D372" s="14" t="str">
        <f>IFERROR(__xludf.DUMMYFUNCTION("""COMPUTED_VALUE"""),"CURSO")</f>
        <v>CURSO</v>
      </c>
      <c r="E372" s="14" t="str">
        <f>IFERROR(__xludf.DUMMYFUNCTION("""COMPUTED_VALUE"""),"SQL AVANZ")</f>
        <v>SQL AVANZ</v>
      </c>
      <c r="F372" s="15">
        <f>IFERROR(__xludf.DUMMYFUNCTION("""COMPUTED_VALUE"""),46156.0)</f>
        <v>46156</v>
      </c>
      <c r="G372" s="14"/>
      <c r="H372" s="16"/>
      <c r="I372" s="14"/>
      <c r="J372" s="16"/>
      <c r="K372" s="14"/>
      <c r="L372" s="16"/>
      <c r="M372" s="14"/>
      <c r="N372" s="16"/>
      <c r="O372" s="14"/>
      <c r="P372" s="16"/>
      <c r="Q372" s="14"/>
      <c r="R372" s="5" t="str">
        <f>IFERROR(__xludf.DUMMYFUNCTION("""COMPUTED_VALUE"""),"Mar-Jue")</f>
        <v>Mar-Jue</v>
      </c>
      <c r="S372" s="14" t="str">
        <f>IFERROR(__xludf.DUMMYFUNCTION("""COMPUTED_VALUE"""),"7PM - 10PM")</f>
        <v>7PM - 10PM</v>
      </c>
      <c r="T372" s="16" t="str">
        <f>IFERROR(__xludf.DUMMYFUNCTION("""COMPUTED_VALUE"""),"Jueves 14 Mayo")</f>
        <v>Jueves 14 Mayo</v>
      </c>
      <c r="U372" s="16" t="str">
        <f>IFERROR(__xludf.DUMMYFUNCTION("""COMPUTED_VALUE"""),"Martes 2 Junio")</f>
        <v>Martes 2 Junio</v>
      </c>
      <c r="V372" s="17">
        <f>IFERROR(__xludf.DUMMYFUNCTION("""COMPUTED_VALUE"""),6.0)</f>
        <v>6</v>
      </c>
      <c r="W372" s="5" t="str">
        <f>IFERROR(__xludf.DUMMYFUNCTION("""COMPUTED_VALUE"""),"pdfs/BROCHURE SQL SERVER AVANZADO.pdf")</f>
        <v>pdfs/BROCHURE SQL SERVER AVANZADO.pdf</v>
      </c>
      <c r="X372" s="18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72" s="14" t="str">
        <f>IFERROR(__xludf.DUMMYFUNCTION("""COMPUTED_VALUE"""),"images/sqlavanz.jpg")</f>
        <v>images/sqlavanz.jpg</v>
      </c>
      <c r="Z372" s="14" t="str">
        <f>IFERROR(__xludf.DUMMYFUNCTION("""COMPUTED_VALUE"""),"Avalado por Microsoft Partner Network")</f>
        <v>Avalado por Microsoft Partner Network</v>
      </c>
      <c r="AA372" s="14" t="str">
        <f>IFERROR(__xludf.DUMMYFUNCTION("""COMPUTED_VALUE"""),"NO")</f>
        <v>NO</v>
      </c>
      <c r="AB372" s="14">
        <f>IFERROR(__xludf.DUMMYFUNCTION("""COMPUTED_VALUE"""),830.0)</f>
        <v>830</v>
      </c>
      <c r="AC372" s="14">
        <f>IFERROR(__xludf.DUMMYFUNCTION("""COMPUTED_VALUE"""),740.0)</f>
        <v>740</v>
      </c>
      <c r="AD372" s="14">
        <f>IFERROR(__xludf.DUMMYFUNCTION("""COMPUTED_VALUE"""),415.0)</f>
        <v>415</v>
      </c>
      <c r="AE372" s="14">
        <f>IFERROR(__xludf.DUMMYFUNCTION("""COMPUTED_VALUE"""),370.0)</f>
        <v>370</v>
      </c>
      <c r="AF372" s="14">
        <f>IFERROR(__xludf.DUMMYFUNCTION("""COMPUTED_VALUE"""),150.0)</f>
        <v>150</v>
      </c>
      <c r="AG372" s="19">
        <f>IFERROR(__xludf.DUMMYFUNCTION("""COMPUTED_VALUE"""),150.0)</f>
        <v>150</v>
      </c>
      <c r="AH372" s="20"/>
      <c r="AI372" s="5">
        <f>IFERROR(__xludf.DUMMYFUNCTION("""COMPUTED_VALUE"""),333.0)</f>
        <v>333</v>
      </c>
      <c r="AJ372" s="5">
        <f>IFERROR(__xludf.DUMMYFUNCTION("""COMPUTED_VALUE"""),373.5)</f>
        <v>373.5</v>
      </c>
      <c r="AK372" s="5" t="str">
        <f>IFERROR(__xludf.DUMMYFUNCTION("""COMPUTED_VALUE"""),"El poder de los datos se libera con SQL Avanzado 🔎
Aprenderás consultas complejas y análisis de bases de datos aplicables a proyectos reales 💻.
Aquí tienes la info completa 👇🏻")</f>
        <v>El poder de los datos se libera con SQL Avanzado 🔎
Aprenderás consultas complejas y análisis de bases de datos aplicables a proyectos reales 💻.
Aquí tienes la info completa 👇🏻</v>
      </c>
      <c r="AL372" s="5" t="str">
        <f>IFERROR(__xludf.DUMMYFUNCTION("""COMPUTED_VALUE"""),"💻 Excelente, actualízate con SQL Avanzado y domina la gestión de bases de datos.")</f>
        <v>💻 Excelente, actualízate con SQL Avanzado y domina la gestión de bases de datos.</v>
      </c>
      <c r="AM372" s="5" t="str">
        <f>IFERROR(__xludf.DUMMYFUNCTION("""COMPUTED_VALUE"""),"💼 Buenísimo, SQL es muy demandado en empresas que manejan grandes volúmenes de datos.")</f>
        <v>💼 Buenísimo, SQL es muy demandado en empresas que manejan grandes volúmenes de datos.</v>
      </c>
      <c r="AN372" s="5" t="str">
        <f>IFERROR(__xludf.DUMMYFUNCTION("""COMPUTED_VALUE"""),"🎓 ¡Genial! Con SQL Avanzado aprenderás análisis de datos desde la universidad.")</f>
        <v>🎓 ¡Genial! Con SQL Avanzado aprenderás análisis de datos desde la universidad.</v>
      </c>
      <c r="AO372" s="5" t="str">
        <f>IFERROR(__xludf.DUMMYFUNCTION("""COMPUTED_VALUE"""),"🚀 ¡Perfecto! Saber SQL te dará ventaja en prácticas de análisis e inteligencia de negocios.")</f>
        <v>🚀 ¡Perfecto! Saber SQL te dará ventaja en prácticas de análisis e inteligencia de negocios.</v>
      </c>
      <c r="AP372" s="5" t="str">
        <f>IFERROR(__xludf.DUMMYFUNCTION("""COMPUTED_VALUE"""),"📊 ¡Excelente! Con SQL Avanzado podrás manejar la información de tu negocio con precisión.")</f>
        <v>📊 ¡Excelente! Con SQL Avanzado podrás manejar la información de tu negocio con precisión.</v>
      </c>
      <c r="AQ372" s="9" t="str">
        <f>IFERROR(__xludf.DUMMYFUNCTION("""COMPUTED_VALUE"""),"https://we-educacion.com/slides/sql-server-avanzado-93")</f>
        <v>https://we-educacion.com/slides/sql-server-avanzado-93</v>
      </c>
      <c r="AR372" s="5">
        <v>1.0</v>
      </c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</row>
    <row r="373" ht="15.75" customHeight="1">
      <c r="A373" s="5" t="s">
        <v>415</v>
      </c>
      <c r="B373" s="5" t="str">
        <f t="shared" si="1"/>
        <v>MAY. I - ED26</v>
      </c>
      <c r="C373" s="14" t="str">
        <f>IFERROR(__xludf.DUMMYFUNCTION("""COMPUTED_VALUE"""),"SAP")</f>
        <v>SAP</v>
      </c>
      <c r="D373" s="5" t="str">
        <f>IFERROR(__xludf.DUMMYFUNCTION("""COMPUTED_VALUE"""),"CURSO")</f>
        <v>CURSO</v>
      </c>
      <c r="E373" s="14" t="str">
        <f>IFERROR(__xludf.DUMMYFUNCTION("""COMPUTED_VALUE"""),"SAP HANA SD")</f>
        <v>SAP HANA SD</v>
      </c>
      <c r="F373" s="15">
        <f>IFERROR(__xludf.DUMMYFUNCTION("""COMPUTED_VALUE"""),46156.0)</f>
        <v>46156</v>
      </c>
      <c r="G373" s="14"/>
      <c r="H373" s="16"/>
      <c r="I373" s="14"/>
      <c r="J373" s="16"/>
      <c r="K373" s="14"/>
      <c r="L373" s="16"/>
      <c r="M373" s="14"/>
      <c r="N373" s="16"/>
      <c r="O373" s="14"/>
      <c r="P373" s="16"/>
      <c r="Q373" s="14" t="str">
        <f>IFERROR(__xludf.DUMMYFUNCTION("""COMPUTED_VALUE"""),"Kevin Riquelme")</f>
        <v>Kevin Riquelme</v>
      </c>
      <c r="R373" s="5" t="str">
        <f>IFERROR(__xludf.DUMMYFUNCTION("""COMPUTED_VALUE"""),"Mar-Jue")</f>
        <v>Mar-Jue</v>
      </c>
      <c r="S373" s="14" t="str">
        <f>IFERROR(__xludf.DUMMYFUNCTION("""COMPUTED_VALUE"""),"7PM - 10PM")</f>
        <v>7PM - 10PM</v>
      </c>
      <c r="T373" s="16" t="str">
        <f>IFERROR(__xludf.DUMMYFUNCTION("""COMPUTED_VALUE"""),"Jueves 14 Mayo")</f>
        <v>Jueves 14 Mayo</v>
      </c>
      <c r="U373" s="16" t="str">
        <f>IFERROR(__xludf.DUMMYFUNCTION("""COMPUTED_VALUE"""),"Martes 2 Junio")</f>
        <v>Martes 2 Junio</v>
      </c>
      <c r="V373" s="17">
        <f>IFERROR(__xludf.DUMMYFUNCTION("""COMPUTED_VALUE"""),6.0)</f>
        <v>6</v>
      </c>
      <c r="W373" s="5" t="str">
        <f>IFERROR(__xludf.DUMMYFUNCTION("""COMPUTED_VALUE"""),"pdfs/BROCHURE SAP S4 HANA SD.pdf")</f>
        <v>pdfs/BROCHURE SAP S4 HANA SD.pdf</v>
      </c>
      <c r="X373" s="18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373" s="14" t="str">
        <f>IFERROR(__xludf.DUMMYFUNCTION("""COMPUTED_VALUE"""),"images/sapsd.jpg")</f>
        <v>images/sapsd.jpg</v>
      </c>
      <c r="Z373" s="14" t="str">
        <f>IFERROR(__xludf.DUMMYFUNCTION("""COMPUTED_VALUE"""),"Avalado por SAP Partner Open")</f>
        <v>Avalado por SAP Partner Open</v>
      </c>
      <c r="AA373" s="14" t="str">
        <f>IFERROR(__xludf.DUMMYFUNCTION("""COMPUTED_VALUE"""),"NO")</f>
        <v>NO</v>
      </c>
      <c r="AB373" s="14">
        <f>IFERROR(__xludf.DUMMYFUNCTION("""COMPUTED_VALUE"""),900.0)</f>
        <v>900</v>
      </c>
      <c r="AC373" s="14">
        <f>IFERROR(__xludf.DUMMYFUNCTION("""COMPUTED_VALUE"""),750.0)</f>
        <v>750</v>
      </c>
      <c r="AD373" s="14">
        <f>IFERROR(__xludf.DUMMYFUNCTION("""COMPUTED_VALUE"""),450.0)</f>
        <v>450</v>
      </c>
      <c r="AE373" s="14">
        <f>IFERROR(__xludf.DUMMYFUNCTION("""COMPUTED_VALUE"""),375.0)</f>
        <v>375</v>
      </c>
      <c r="AF373" s="14">
        <f>IFERROR(__xludf.DUMMYFUNCTION("""COMPUTED_VALUE"""),150.0)</f>
        <v>150</v>
      </c>
      <c r="AG373" s="19">
        <f>IFERROR(__xludf.DUMMYFUNCTION("""COMPUTED_VALUE"""),150.0)</f>
        <v>150</v>
      </c>
      <c r="AH373" s="20"/>
      <c r="AI373" s="5">
        <f>IFERROR(__xludf.DUMMYFUNCTION("""COMPUTED_VALUE"""),337.5)</f>
        <v>337.5</v>
      </c>
      <c r="AJ373" s="5">
        <f>IFERROR(__xludf.DUMMYFUNCTION("""COMPUTED_VALUE"""),405.0)</f>
        <v>405</v>
      </c>
      <c r="AK373" s="5" t="str">
        <f>IFERROR(__xludf.DUMMYFUNCTION("""COMPUTED_VALUE"""),"Las ventas y distribución de clase mundial se gestionan con SAP HANA SD 🌍
Aprenderás a optimizar procesos comerciales, facturación y clientes en entornos prácticos 💼.
Aquí tienes la info 👇🏻")</f>
        <v>Las ventas y distribución de clase mundial se gestionan con SAP HANA SD 🌍
Aprenderás a optimizar procesos comerciales, facturación y clientes en entornos prácticos 💼.
Aquí tienes la info 👇🏻</v>
      </c>
      <c r="AL373" s="5" t="str">
        <f>IFERROR(__xludf.DUMMYFUNCTION("""COMPUTED_VALUE"""),"📦 Excelente, actualízate con SAP SD y domina la gestión de ventas y distribución.")</f>
        <v>📦 Excelente, actualízate con SAP SD y domina la gestión de ventas y distribución.</v>
      </c>
      <c r="AM373" s="5" t="str">
        <f>IFERROR(__xludf.DUMMYFUNCTION("""COMPUTED_VALUE"""),"💼 Buenísimo, SAP SD es muy valorado en empresas comerciales y de logística.")</f>
        <v>💼 Buenísimo, SAP SD es muy valorado en empresas comerciales y de logística.</v>
      </c>
      <c r="AN373" s="5" t="str">
        <f>IFERROR(__xludf.DUMMYFUNCTION("""COMPUTED_VALUE"""),"🎓 ¡Genial! Con SAP SD aprenderás gestión de ventas desde la universidad.")</f>
        <v>🎓 ¡Genial! Con SAP SD aprenderás gestión de ventas desde la universidad.</v>
      </c>
      <c r="AO373" s="5" t="str">
        <f>IFERROR(__xludf.DUMMYFUNCTION("""COMPUTED_VALUE"""),"🚀 ¡Perfecto! Con SAP SD destacarás en prácticas en áreas comerciales y de supply chain.")</f>
        <v>🚀 ¡Perfecto! Con SAP SD destacarás en prácticas en áreas comerciales y de supply chain.</v>
      </c>
      <c r="AP373" s="5" t="str">
        <f>IFERROR(__xludf.DUMMYFUNCTION("""COMPUTED_VALUE"""),"📊 ¡Excelente! Con SAP SD optimizarás las ventas y distribución en tu negocio.")</f>
        <v>📊 ¡Excelente! Con SAP SD optimizarás las ventas y distribución en tu negocio.</v>
      </c>
      <c r="AQ373" s="9" t="str">
        <f>IFERROR(__xludf.DUMMYFUNCTION("""COMPUTED_VALUE"""),"https://we-educacion.com/slides/sap-s-4-hana-sd-194")</f>
        <v>https://we-educacion.com/slides/sap-s-4-hana-sd-194</v>
      </c>
      <c r="AR373" s="5">
        <v>1.0</v>
      </c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</row>
    <row r="374" ht="15.75" customHeight="1">
      <c r="A374" s="5" t="s">
        <v>416</v>
      </c>
      <c r="B374" s="5" t="str">
        <f t="shared" si="1"/>
        <v>MAY. I - ED26</v>
      </c>
      <c r="C374" s="14" t="str">
        <f>IFERROR(__xludf.DUMMYFUNCTION("""COMPUTED_VALUE"""),"WEB")</f>
        <v>WEB</v>
      </c>
      <c r="D374" s="14" t="str">
        <f>IFERROR(__xludf.DUMMYFUNCTION("""COMPUTED_VALUE"""),"CURSO")</f>
        <v>CURSO</v>
      </c>
      <c r="E374" s="14" t="str">
        <f>IFERROR(__xludf.DUMMYFUNCTION("""COMPUTED_VALUE"""),"REACT JS")</f>
        <v>REACT JS</v>
      </c>
      <c r="F374" s="15">
        <f>IFERROR(__xludf.DUMMYFUNCTION("""COMPUTED_VALUE"""),46158.0)</f>
        <v>46158</v>
      </c>
      <c r="G374" s="14"/>
      <c r="H374" s="16"/>
      <c r="I374" s="14"/>
      <c r="J374" s="16"/>
      <c r="K374" s="14"/>
      <c r="L374" s="16"/>
      <c r="M374" s="14"/>
      <c r="N374" s="16"/>
      <c r="O374" s="14"/>
      <c r="P374" s="16"/>
      <c r="Q374" s="14" t="str">
        <f>IFERROR(__xludf.DUMMYFUNCTION("""COMPUTED_VALUE"""),"Diego Llashag")</f>
        <v>Diego Llashag</v>
      </c>
      <c r="R374" s="5" t="str">
        <f>IFERROR(__xludf.DUMMYFUNCTION("""COMPUTED_VALUE"""),"Sáb")</f>
        <v>Sáb</v>
      </c>
      <c r="S374" s="14" t="str">
        <f>IFERROR(__xludf.DUMMYFUNCTION("""COMPUTED_VALUE"""),"3PM - 6PM")</f>
        <v>3PM - 6PM</v>
      </c>
      <c r="T374" s="16" t="str">
        <f>IFERROR(__xludf.DUMMYFUNCTION("""COMPUTED_VALUE"""),"Sábado 16 Mayo")</f>
        <v>Sábado 16 Mayo</v>
      </c>
      <c r="U374" s="16" t="str">
        <f>IFERROR(__xludf.DUMMYFUNCTION("""COMPUTED_VALUE"""),"Sábado 20 Junio")</f>
        <v>Sábado 20 Junio</v>
      </c>
      <c r="V374" s="17">
        <f>IFERROR(__xludf.DUMMYFUNCTION("""COMPUTED_VALUE"""),6.0)</f>
        <v>6</v>
      </c>
      <c r="W374" s="5" t="str">
        <f>IFERROR(__xludf.DUMMYFUNCTION("""COMPUTED_VALUE"""),"pdfs/BROCHURE REACT JS &amp; REACT NATIVE.pdf")</f>
        <v>pdfs/BROCHURE REACT JS &amp; REACT NATIVE.pdf</v>
      </c>
      <c r="X374" s="18" t="str">
        <f>IFERROR(__xludf.DUMMYFUNCTION("""COMPUTED_VALUE"""),"🔵 *Utilizarán HTML y CSS* 👩🏻‍💻
👉🏼 Incluye tutorial y manual de instalación
🚨 *Por favor, revisa el BROCHURE* 👇🏻
Aqui encontrarás la información completa del programa, el TEMARIO (malla curricular) y todos los BENEFICIOS 📚")</f>
        <v>🔵 *Utilizarán HTML y CSS* 👩🏻‍💻
👉🏼 Incluye tutorial y manual de instalación
🚨 *Por favor, revisa el BROCHURE* 👇🏻
Aqui encontrarás la información completa del programa, el TEMARIO (malla curricular) y todos los BENEFICIOS 📚</v>
      </c>
      <c r="Y374" s="14" t="str">
        <f>IFERROR(__xludf.DUMMYFUNCTION("""COMPUTED_VALUE"""),"images/react.jpg")</f>
        <v>images/react.jpg</v>
      </c>
      <c r="Z374" s="14"/>
      <c r="AA374" s="14" t="str">
        <f>IFERROR(__xludf.DUMMYFUNCTION("""COMPUTED_VALUE"""),"NO")</f>
        <v>NO</v>
      </c>
      <c r="AB374" s="14">
        <f>IFERROR(__xludf.DUMMYFUNCTION("""COMPUTED_VALUE"""),640.0)</f>
        <v>640</v>
      </c>
      <c r="AC374" s="14">
        <f>IFERROR(__xludf.DUMMYFUNCTION("""COMPUTED_VALUE"""),600.0)</f>
        <v>600</v>
      </c>
      <c r="AD374" s="14">
        <f>IFERROR(__xludf.DUMMYFUNCTION("""COMPUTED_VALUE"""),320.0)</f>
        <v>320</v>
      </c>
      <c r="AE374" s="14">
        <f>IFERROR(__xludf.DUMMYFUNCTION("""COMPUTED_VALUE"""),300.0)</f>
        <v>300</v>
      </c>
      <c r="AF374" s="14">
        <f>IFERROR(__xludf.DUMMYFUNCTION("""COMPUTED_VALUE"""),150.0)</f>
        <v>150</v>
      </c>
      <c r="AG374" s="19">
        <f>IFERROR(__xludf.DUMMYFUNCTION("""COMPUTED_VALUE"""),150.0)</f>
        <v>150</v>
      </c>
      <c r="AH374" s="20"/>
      <c r="AI374" s="5">
        <f>IFERROR(__xludf.DUMMYFUNCTION("""COMPUTED_VALUE"""),270.0)</f>
        <v>270</v>
      </c>
      <c r="AJ374" s="5">
        <f>IFERROR(__xludf.DUMMYFUNCTION("""COMPUTED_VALUE"""),288.0)</f>
        <v>288</v>
      </c>
      <c r="AK374" s="5" t="str">
        <f>IFERROR(__xludf.DUMMYFUNCTION("""COMPUTED_VALUE"""),"Las páginas modernas hablan el lenguaje de React JS 💡
Con este programa aprenderás a crear interfaces dinámicas y profesionales, aplicadas a proyectos reales 🌐.
Aquí te comparto la información 👇🏻")</f>
        <v>Las páginas modernas hablan el lenguaje de React JS 💡
Con este programa aprenderás a crear interfaces dinámicas y profesionales, aplicadas a proyectos reales 🌐.
Aquí te comparto la información 👇🏻</v>
      </c>
      <c r="AL374" s="5" t="str">
        <f>IFERROR(__xludf.DUMMYFUNCTION("""COMPUTED_VALUE"""),"⚛️ Excelente, actualízate con React JS y domina el desarrollo frontend más innovador.")</f>
        <v>⚛️ Excelente, actualízate con React JS y domina el desarrollo frontend más innovador.</v>
      </c>
      <c r="AM374" s="5" t="str">
        <f>IFERROR(__xludf.DUMMYFUNCTION("""COMPUTED_VALUE"""),"💼 Buenísimo, React JS es altamente solicitado en empresas tecnológicas.")</f>
        <v>💼 Buenísimo, React JS es altamente solicitado en empresas tecnológicas.</v>
      </c>
      <c r="AN374" s="5" t="str">
        <f>IFERROR(__xludf.DUMMYFUNCTION("""COMPUTED_VALUE"""),"🎓 ¡Genial! Con React JS aprenderás a crear interfaces modernas desde la universidad.")</f>
        <v>🎓 ¡Genial! Con React JS aprenderás a crear interfaces modernas desde la universidad.</v>
      </c>
      <c r="AO374" s="5" t="str">
        <f>IFERROR(__xludf.DUMMYFUNCTION("""COMPUTED_VALUE"""),"🚀 ¡Perfecto! Saber React JS te dará ventaja para conseguir prácticas en desarrollo web.")</f>
        <v>🚀 ¡Perfecto! Saber React JS te dará ventaja para conseguir prácticas en desarrollo web.</v>
      </c>
      <c r="AP374" s="5" t="str">
        <f>IFERROR(__xludf.DUMMYFUNCTION("""COMPUTED_VALUE"""),"📲 ¡Excelente! Con React JS podrás crear aplicaciones interactivas para tu negocio.")</f>
        <v>📲 ¡Excelente! Con React JS podrás crear aplicaciones interactivas para tu negocio.</v>
      </c>
      <c r="AQ374" s="9" t="str">
        <f>IFERROR(__xludf.DUMMYFUNCTION("""COMPUTED_VALUE"""),"https://we-educacion.com/slides/react-js-react-native-1107")</f>
        <v>https://we-educacion.com/slides/react-js-react-native-1107</v>
      </c>
      <c r="AR374" s="5">
        <v>1.0</v>
      </c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</row>
    <row r="375" ht="15.75" customHeight="1">
      <c r="A375" s="5" t="s">
        <v>417</v>
      </c>
      <c r="B375" s="5" t="str">
        <f t="shared" si="1"/>
        <v>MAY. I - ED26</v>
      </c>
      <c r="C375" s="14" t="str">
        <f>IFERROR(__xludf.DUMMYFUNCTION("""COMPUTED_VALUE"""),"BI")</f>
        <v>BI</v>
      </c>
      <c r="D375" s="14" t="str">
        <f>IFERROR(__xludf.DUMMYFUNCTION("""COMPUTED_VALUE"""),"CURSO")</f>
        <v>CURSO</v>
      </c>
      <c r="E375" s="14" t="str">
        <f>IFERROR(__xludf.DUMMYFUNCTION("""COMPUTED_VALUE"""),"IA &amp; DEEP LEARNING V2")</f>
        <v>IA &amp; DEEP LEARNING V2</v>
      </c>
      <c r="F375" s="15">
        <f>IFERROR(__xludf.DUMMYFUNCTION("""COMPUTED_VALUE"""),46158.0)</f>
        <v>46158</v>
      </c>
      <c r="G375" s="14"/>
      <c r="H375" s="16"/>
      <c r="I375" s="14"/>
      <c r="J375" s="16"/>
      <c r="K375" s="14"/>
      <c r="L375" s="16"/>
      <c r="M375" s="14"/>
      <c r="N375" s="16"/>
      <c r="O375" s="14"/>
      <c r="P375" s="16"/>
      <c r="Q375" s="14" t="str">
        <f>IFERROR(__xludf.DUMMYFUNCTION("""COMPUTED_VALUE"""),"Paul Gabino")</f>
        <v>Paul Gabino</v>
      </c>
      <c r="R375" s="5" t="str">
        <f>IFERROR(__xludf.DUMMYFUNCTION("""COMPUTED_VALUE"""),"Sáb")</f>
        <v>Sáb</v>
      </c>
      <c r="S375" s="14" t="str">
        <f>IFERROR(__xludf.DUMMYFUNCTION("""COMPUTED_VALUE"""),"3PM - 6PM")</f>
        <v>3PM - 6PM</v>
      </c>
      <c r="T375" s="16" t="str">
        <f>IFERROR(__xludf.DUMMYFUNCTION("""COMPUTED_VALUE"""),"Sábado 16 Mayo")</f>
        <v>Sábado 16 Mayo</v>
      </c>
      <c r="U375" s="16" t="str">
        <f>IFERROR(__xludf.DUMMYFUNCTION("""COMPUTED_VALUE"""),"Sábado 20 Junio")</f>
        <v>Sábado 20 Junio</v>
      </c>
      <c r="V375" s="17">
        <f>IFERROR(__xludf.DUMMYFUNCTION("""COMPUTED_VALUE"""),6.0)</f>
        <v>6</v>
      </c>
      <c r="W375" s="5" t="str">
        <f>IFERROR(__xludf.DUMMYFUNCTION("""COMPUTED_VALUE"""),"pdfs/BROCHURE IA &amp; DEEP LEARNING.pdf")</f>
        <v>pdfs/BROCHURE IA &amp; DEEP LEARNING.pdf</v>
      </c>
      <c r="X375" s="18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02 Cursos Online de regalo con acceso ilimitado 📚
🔹 Desarro"&amp;"llo y seguimiento de tu proyecto *(Evaluado)*
🔹 Garantía de Aprendizaje 100% 
🔹 *Necesitas tener conocimientos en PYTHON* 👩🏻‍💻
👉🏼 ¡Te regalamos el Curso Online Certificado!
👉🏼 Incluye tutorial y manual de instalación
*¡Certificado Adicio"&amp;"nal!* ⭐
👉🏻 Certificado *Artificial Intelligence Professional* tiene la inversión de *$50* ~(Normal $150)~
_Incluye material de práctica y 2 intentos del examen_
🚨 *Revisa el BROCHURE* 👇🏻")</f>
        <v>🔵 *Conoce TODOS los BENEFICIOS a los que accedes*
🔹 Acceso a *Campus Virtual* WE 👩🏻‍🏫
🔹 Material digital y grabación de clases 
🔹 Certificado digital con respaldo *IBM Partner*
🔹 02 Cursos Online de regalo con acceso ilimitado 📚
🔹 Desarrollo y seguimiento de tu proyecto *(Evaluado)*
🔹 Garantía de Aprendizaje 100% 
🔹 *Necesitas tener conocimientos en PYTHON* 👩🏻‍💻
👉🏼 ¡Te regalamos el Curso Online Certificado!
👉🏼 Incluye tutorial y manual de instalación
*¡Certificado Adicional!* ⭐
👉🏻 Certificado *Artificial Intelligence Professional* tiene la inversión de *$50* ~(Normal $150)~
_Incluye material de práctica y 2 intentos del examen_
🚨 *Revisa el BROCHURE* 👇🏻</v>
      </c>
      <c r="Y375" s="14" t="str">
        <f>IFERROR(__xludf.DUMMYFUNCTION("""COMPUTED_VALUE"""),"images/iadeep.jpg")</f>
        <v>images/iadeep.jpg</v>
      </c>
      <c r="Z375" s="14" t="str">
        <f>IFERROR(__xludf.DUMMYFUNCTION("""COMPUTED_VALUE"""),"Avalado por IBM® Partner World")</f>
        <v>Avalado por IBM® Partner World</v>
      </c>
      <c r="AA375" s="14" t="str">
        <f>IFERROR(__xludf.DUMMYFUNCTION("""COMPUTED_VALUE"""),"SI")</f>
        <v>SI</v>
      </c>
      <c r="AB375" s="14">
        <f>IFERROR(__xludf.DUMMYFUNCTION("""COMPUTED_VALUE"""),690.0)</f>
        <v>690</v>
      </c>
      <c r="AC375" s="14">
        <f>IFERROR(__xludf.DUMMYFUNCTION("""COMPUTED_VALUE"""),640.0)</f>
        <v>640</v>
      </c>
      <c r="AD375" s="14">
        <f>IFERROR(__xludf.DUMMYFUNCTION("""COMPUTED_VALUE"""),345.0)</f>
        <v>345</v>
      </c>
      <c r="AE375" s="14">
        <f>IFERROR(__xludf.DUMMYFUNCTION("""COMPUTED_VALUE"""),320.0)</f>
        <v>320</v>
      </c>
      <c r="AF375" s="14">
        <f>IFERROR(__xludf.DUMMYFUNCTION("""COMPUTED_VALUE"""),150.0)</f>
        <v>150</v>
      </c>
      <c r="AG375" s="21">
        <f>IFERROR(__xludf.DUMMYFUNCTION("""COMPUTED_VALUE"""),150.0)</f>
        <v>150</v>
      </c>
      <c r="AH375" s="14"/>
      <c r="AI375" s="5">
        <f>IFERROR(__xludf.DUMMYFUNCTION("""COMPUTED_VALUE"""),288.0)</f>
        <v>288</v>
      </c>
      <c r="AJ375" s="5">
        <f>IFERROR(__xludf.DUMMYFUNCTION("""COMPUTED_VALUE"""),310.5)</f>
        <v>310.5</v>
      </c>
      <c r="AK375" s="5" t="str">
        <f>IFERROR(__xludf.DUMMYFUNCTION("""COMPUTED_VALUE"""),"El futuro se diseña con Inteligencia Artificial 🚀
Con IA &amp; Deep Learning V2 aprenderás a crear modelos avanzados de predicción y análisis aplicados en proyectos reales 💻.
Aquí tienes la información 👇🏻")</f>
        <v>El futuro se diseña con Inteligencia Artificial 🚀
Con IA &amp; Deep Learning V2 aprenderás a crear modelos avanzados de predicción y análisis aplicados en proyectos reales 💻.
Aquí tienes la información 👇🏻</v>
      </c>
      <c r="AL375" s="5" t="str">
        <f>IFERROR(__xludf.DUMMYFUNCTION("""COMPUTED_VALUE"""),"🔑 *Excelente*, actualízate con *IA &amp; DEEP LEARNING V2* y mantente competitivo en el mercado laboral.")</f>
        <v>🔑 *Excelente*, actualízate con *IA &amp; DEEP LEARNING V2* y mantente competitivo en el mercado laboral.</v>
      </c>
      <c r="AM375" s="5" t="str">
        <f>IFERROR(__xludf.DUMMYFUNCTION("""COMPUTED_VALUE"""),"⚡ Buenísimo, *IA &amp; DEEP LEARNING V2* es de las competencias más pedidas por las empresas y aumentará tus oportunidades laborales.")</f>
        <v>⚡ Buenísimo, *IA &amp; DEEP LEARNING V2* es de las competencias más pedidas por las empresas y aumentará tus oportunidades laborales.</v>
      </c>
      <c r="AN375" s="5" t="str">
        <f>IFERROR(__xludf.DUMMYFUNCTION("""COMPUTED_VALUE"""),"⚡ ¡Genial! Con *IA &amp; DEEP LEARNING V2* sumarás una habilidad poderosa que te diferenciará desde la universidad.")</f>
        <v>⚡ ¡Genial! Con *IA &amp; DEEP LEARNING V2* sumarás una habilidad poderosa que te diferenciará desde la universidad.</v>
      </c>
      <c r="AO375" s="5" t="str">
        <f>IFERROR(__xludf.DUMMYFUNCTION("""COMPUTED_VALUE"""),"🛠️ ¡Perfecto! Saber *IA &amp; DEEP LEARNING V2* te dará ventaja frente a otros postulantes para conseguir prácticas.")</f>
        <v>🛠️ ¡Perfecto! Saber *IA &amp; DEEP LEARNING V2* te dará ventaja frente a otros postulantes para conseguir prácticas.</v>
      </c>
      <c r="AP375" s="5" t="str">
        <f>IFERROR(__xludf.DUMMYFUNCTION("""COMPUTED_VALUE"""),"🌍 ¡Excelente! Con *IA &amp; DEEP LEARNING V2* podrás aplicarlo en tu negocio y tomar decisiones más inteligentes.")</f>
        <v>🌍 ¡Excelente! Con *IA &amp; DEEP LEARNING V2* podrás aplicarlo en tu negocio y tomar decisiones más inteligentes.</v>
      </c>
      <c r="AQ375" s="9" t="str">
        <f>IFERROR(__xludf.DUMMYFUNCTION("""COMPUTED_VALUE"""),"https://we-educacion.com/slides/ia-deep-learning-1071#")</f>
        <v>https://we-educacion.com/slides/ia-deep-learning-1071#</v>
      </c>
      <c r="AR375" s="5">
        <v>1.0</v>
      </c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</row>
    <row r="376" ht="15.75" customHeight="1">
      <c r="A376" s="5" t="s">
        <v>418</v>
      </c>
      <c r="B376" s="5" t="str">
        <f t="shared" si="1"/>
        <v>MAY. II - ED26</v>
      </c>
      <c r="C376" s="14" t="str">
        <f>IFERROR(__xludf.DUMMYFUNCTION("""COMPUTED_VALUE"""),"PROCESOS")</f>
        <v>PROCESOS</v>
      </c>
      <c r="D376" s="14" t="str">
        <f>IFERROR(__xludf.DUMMYFUNCTION("""COMPUTED_VALUE"""),"CURSO")</f>
        <v>CURSO</v>
      </c>
      <c r="E376" s="14" t="str">
        <f>IFERROR(__xludf.DUMMYFUNCTION("""COMPUTED_VALUE"""),"POWER APPS AVANZ")</f>
        <v>POWER APPS AVANZ</v>
      </c>
      <c r="F376" s="15">
        <f>IFERROR(__xludf.DUMMYFUNCTION("""COMPUTED_VALUE"""),46158.0)</f>
        <v>46158</v>
      </c>
      <c r="G376" s="14"/>
      <c r="H376" s="16"/>
      <c r="I376" s="14"/>
      <c r="J376" s="16"/>
      <c r="K376" s="14"/>
      <c r="L376" s="16"/>
      <c r="M376" s="14"/>
      <c r="N376" s="16"/>
      <c r="O376" s="14"/>
      <c r="P376" s="16"/>
      <c r="Q376" s="14"/>
      <c r="R376" s="5" t="str">
        <f>IFERROR(__xludf.DUMMYFUNCTION("""COMPUTED_VALUE"""),"Sáb")</f>
        <v>Sáb</v>
      </c>
      <c r="S376" s="14" t="str">
        <f>IFERROR(__xludf.DUMMYFUNCTION("""COMPUTED_VALUE"""),"3PM - 6PM")</f>
        <v>3PM - 6PM</v>
      </c>
      <c r="T376" s="16" t="str">
        <f>IFERROR(__xludf.DUMMYFUNCTION("""COMPUTED_VALUE"""),"Sábado 16 Mayo")</f>
        <v>Sábado 16 Mayo</v>
      </c>
      <c r="U376" s="16" t="str">
        <f>IFERROR(__xludf.DUMMYFUNCTION("""COMPUTED_VALUE"""),"Sábado 20 Junio")</f>
        <v>Sábado 20 Junio</v>
      </c>
      <c r="V376" s="17">
        <f>IFERROR(__xludf.DUMMYFUNCTION("""COMPUTED_VALUE"""),6.0)</f>
        <v>6</v>
      </c>
      <c r="W376" s="5" t="str">
        <f>IFERROR(__xludf.DUMMYFUNCTION("""COMPUTED_VALUE"""),"pdfs/BROCHURE POWER APPS &amp; AUTOMATE AVANZADO.pdf")</f>
        <v>pdfs/BROCHURE POWER APPS &amp; AUTOMATE AVANZADO.pdf</v>
      </c>
      <c r="X376" s="18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376" s="14" t="str">
        <f>IFERROR(__xludf.DUMMYFUNCTION("""COMPUTED_VALUE"""),"images/powerappavanz.jpg")</f>
        <v>images/powerappavanz.jpg</v>
      </c>
      <c r="Z376" s="14" t="str">
        <f>IFERROR(__xludf.DUMMYFUNCTION("""COMPUTED_VALUE"""),"Avalado por Microsoft Partner Network")</f>
        <v>Avalado por Microsoft Partner Network</v>
      </c>
      <c r="AA376" s="14" t="str">
        <f>IFERROR(__xludf.DUMMYFUNCTION("""COMPUTED_VALUE"""),"NO")</f>
        <v>NO</v>
      </c>
      <c r="AB376" s="14">
        <f>IFERROR(__xludf.DUMMYFUNCTION("""COMPUTED_VALUE"""),650.0)</f>
        <v>650</v>
      </c>
      <c r="AC376" s="14">
        <f>IFERROR(__xludf.DUMMYFUNCTION("""COMPUTED_VALUE"""),570.0)</f>
        <v>570</v>
      </c>
      <c r="AD376" s="14">
        <f>IFERROR(__xludf.DUMMYFUNCTION("""COMPUTED_VALUE"""),325.0)</f>
        <v>325</v>
      </c>
      <c r="AE376" s="14">
        <f>IFERROR(__xludf.DUMMYFUNCTION("""COMPUTED_VALUE"""),285.0)</f>
        <v>285</v>
      </c>
      <c r="AF376" s="14">
        <f>IFERROR(__xludf.DUMMYFUNCTION("""COMPUTED_VALUE"""),150.0)</f>
        <v>150</v>
      </c>
      <c r="AG376" s="19">
        <f>IFERROR(__xludf.DUMMYFUNCTION("""COMPUTED_VALUE"""),150.0)</f>
        <v>150</v>
      </c>
      <c r="AH376" s="20"/>
      <c r="AI376" s="5">
        <f>IFERROR(__xludf.DUMMYFUNCTION("""COMPUTED_VALUE"""),256.5)</f>
        <v>256.5</v>
      </c>
      <c r="AJ376" s="5">
        <f>IFERROR(__xludf.DUMMYFUNCTION("""COMPUTED_VALUE"""),292.5)</f>
        <v>292.5</v>
      </c>
      <c r="AK376" s="5" t="str">
        <f>IFERROR(__xludf.DUMMYFUNCTION("""COMPUTED_VALUE"""),"El futuro de los negocios es la automatización sin código 💡
Con Power Apps Avanzado diseñarás aplicaciones prácticas para optimizar procesos reales 📊.
Aquí te comparto la información 👇🏻")</f>
        <v>El futuro de los negocios es la automatización sin código 💡
Con Power Apps Avanzado diseñarás aplicaciones prácticas para optimizar procesos reales 📊.
Aquí te comparto la información 👇🏻</v>
      </c>
      <c r="AL376" s="5" t="str">
        <f>IFERROR(__xludf.DUMMYFUNCTION("""COMPUTED_VALUE"""),"⚡ Excelente, actualízate con Power Apps Avanzado y domina la automatización de procesos.")</f>
        <v>⚡ Excelente, actualízate con Power Apps Avanzado y domina la automatización de procesos.</v>
      </c>
      <c r="AM376" s="5" t="str">
        <f>IFERROR(__xludf.DUMMYFUNCTION("""COMPUTED_VALUE"""),"💼 Buenísimo, Power Apps Avanzado es muy buscado en empresas que digitalizan operaciones.")</f>
        <v>💼 Buenísimo, Power Apps Avanzado es muy buscado en empresas que digitalizan operaciones.</v>
      </c>
      <c r="AN376" s="5" t="str">
        <f>IFERROR(__xludf.DUMMYFUNCTION("""COMPUTED_VALUE"""),"🎓 ¡Genial! Con Power Apps Avanzado aprenderás a crear soluciones prácticas desde la universidad.")</f>
        <v>🎓 ¡Genial! Con Power Apps Avanzado aprenderás a crear soluciones prácticas desde la universidad.</v>
      </c>
      <c r="AO376" s="5" t="str">
        <f>IFERROR(__xludf.DUMMYFUNCTION("""COMPUTED_VALUE"""),"🚀 ¡Perfecto! Saber Power Apps Avanzado te dará ventaja frente a otros en prácticas de TI.")</f>
        <v>🚀 ¡Perfecto! Saber Power Apps Avanzado te dará ventaja frente a otros en prácticas de TI.</v>
      </c>
      <c r="AP376" s="5" t="str">
        <f>IFERROR(__xludf.DUMMYFUNCTION("""COMPUTED_VALUE"""),"📊 ¡Excelente! Con Power Apps Avanzado podrás optimizar tus procesos de negocio con apps propias.")</f>
        <v>📊 ¡Excelente! Con Power Apps Avanzado podrás optimizar tus procesos de negocio con apps propias.</v>
      </c>
      <c r="AQ376" s="9" t="str">
        <f>IFERROR(__xludf.DUMMYFUNCTION("""COMPUTED_VALUE"""),"https://we-educacion.com/slides/power-apps-automate-avanzado-1112")</f>
        <v>https://we-educacion.com/slides/power-apps-automate-avanzado-1112</v>
      </c>
      <c r="AR376" s="5">
        <v>1.0</v>
      </c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</row>
    <row r="377" ht="15.75" customHeight="1">
      <c r="A377" s="5" t="s">
        <v>419</v>
      </c>
      <c r="B377" s="5" t="str">
        <f t="shared" si="1"/>
        <v>MAY. I - ED26</v>
      </c>
      <c r="C377" s="14" t="str">
        <f>IFERROR(__xludf.DUMMYFUNCTION("""COMPUTED_VALUE"""),"PROCESOS")</f>
        <v>PROCESOS</v>
      </c>
      <c r="D377" s="14" t="str">
        <f>IFERROR(__xludf.DUMMYFUNCTION("""COMPUTED_VALUE"""),"CURSO")</f>
        <v>CURSO</v>
      </c>
      <c r="E377" s="14" t="str">
        <f>IFERROR(__xludf.DUMMYFUNCTION("""COMPUTED_VALUE"""),"MODEL BIZ.")</f>
        <v>MODEL BIZ.</v>
      </c>
      <c r="F377" s="15">
        <f>IFERROR(__xludf.DUMMYFUNCTION("""COMPUTED_VALUE"""),46159.0)</f>
        <v>46159</v>
      </c>
      <c r="G377" s="14"/>
      <c r="H377" s="16"/>
      <c r="I377" s="14"/>
      <c r="J377" s="16"/>
      <c r="K377" s="14"/>
      <c r="L377" s="16"/>
      <c r="M377" s="14"/>
      <c r="N377" s="16"/>
      <c r="O377" s="14"/>
      <c r="P377" s="16"/>
      <c r="Q377" s="14"/>
      <c r="R377" s="5" t="str">
        <f>IFERROR(__xludf.DUMMYFUNCTION("""COMPUTED_VALUE"""),"Dom")</f>
        <v>Dom</v>
      </c>
      <c r="S377" s="14" t="str">
        <f>IFERROR(__xludf.DUMMYFUNCTION("""COMPUTED_VALUE"""),"9AM - 12PM")</f>
        <v>9AM - 12PM</v>
      </c>
      <c r="T377" s="16" t="str">
        <f>IFERROR(__xludf.DUMMYFUNCTION("""COMPUTED_VALUE"""),"Domingo 17 Mayo")</f>
        <v>Domingo 17 Mayo</v>
      </c>
      <c r="U377" s="16" t="str">
        <f>IFERROR(__xludf.DUMMYFUNCTION("""COMPUTED_VALUE"""),"Domingo 21 Junio")</f>
        <v>Domingo 21 Junio</v>
      </c>
      <c r="V377" s="17">
        <f>IFERROR(__xludf.DUMMYFUNCTION("""COMPUTED_VALUE"""),6.0)</f>
        <v>6</v>
      </c>
      <c r="W377" s="5" t="str">
        <f>IFERROR(__xludf.DUMMYFUNCTION("""COMPUTED_VALUE"""),"pdfs/BROCHURE MODELAMIENTO DE PROCESOS CON BIZAGI.pdf")</f>
        <v>pdfs/BROCHURE MODELAMIENTO DE PROCESOS CON BIZAGI.pdf</v>
      </c>
      <c r="X377" s="18" t="str">
        <f>IFERROR(__xludf.DUMMYFUNCTION("""COMPUTED_VALUE"""),"🔵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programa"&amp;", el TEMARIO (malla curricular) y todos los BENEFICIOS 📚")</f>
        <v>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programa, el TEMARIO (malla curricular) y todos los BENEFICIOS 📚</v>
      </c>
      <c r="Y377" s="14" t="str">
        <f>IFERROR(__xludf.DUMMYFUNCTION("""COMPUTED_VALUE"""),"images/bizagi.jpg")</f>
        <v>images/bizagi.jpg</v>
      </c>
      <c r="Z377" s="14"/>
      <c r="AA377" s="14" t="str">
        <f>IFERROR(__xludf.DUMMYFUNCTION("""COMPUTED_VALUE"""),"NO")</f>
        <v>NO</v>
      </c>
      <c r="AB377" s="14">
        <f>IFERROR(__xludf.DUMMYFUNCTION("""COMPUTED_VALUE"""),610.0)</f>
        <v>610</v>
      </c>
      <c r="AC377" s="14">
        <f>IFERROR(__xludf.DUMMYFUNCTION("""COMPUTED_VALUE"""),550.0)</f>
        <v>550</v>
      </c>
      <c r="AD377" s="14">
        <f>IFERROR(__xludf.DUMMYFUNCTION("""COMPUTED_VALUE"""),305.0)</f>
        <v>305</v>
      </c>
      <c r="AE377" s="14">
        <f>IFERROR(__xludf.DUMMYFUNCTION("""COMPUTED_VALUE"""),275.0)</f>
        <v>275</v>
      </c>
      <c r="AF377" s="14">
        <f>IFERROR(__xludf.DUMMYFUNCTION("""COMPUTED_VALUE"""),150.0)</f>
        <v>150</v>
      </c>
      <c r="AG377" s="19">
        <f>IFERROR(__xludf.DUMMYFUNCTION("""COMPUTED_VALUE"""),150.0)</f>
        <v>150</v>
      </c>
      <c r="AH377" s="20"/>
      <c r="AI377" s="5">
        <f>IFERROR(__xludf.DUMMYFUNCTION("""COMPUTED_VALUE"""),247.5)</f>
        <v>247.5</v>
      </c>
      <c r="AJ377" s="5">
        <f>IFERROR(__xludf.DUMMYFUNCTION("""COMPUTED_VALUE"""),274.5)</f>
        <v>274.5</v>
      </c>
      <c r="AK377" s="5" t="str">
        <f>IFERROR(__xludf.DUMMYFUNCTION("""COMPUTED_VALUE"""),"*Entender el proceso es clave para cualquier proyecto* 🚀 
Aprende a diseñar, optimizar y automatizar procesos con Bizagi de forma práctica ⚙️
Ahora te adjunto la información a detalle 👇🏻")</f>
        <v>*Entender el proceso es clave para cualquier proyecto* 🚀 
Aprende a diseñar, optimizar y automatizar procesos con Bizagi de forma práctica ⚙️
Ahora te adjunto la información a detalle 👇🏻</v>
      </c>
      <c r="AL377" s="5" t="str">
        <f>IFERROR(__xludf.DUMMYFUNCTION("""COMPUTED_VALUE"""),"📈 Excelente, actualízate con Model Biz. y potencia tu visión estratégica en los negocios.")</f>
        <v>📈 Excelente, actualízate con Model Biz. y potencia tu visión estratégica en los negocios.</v>
      </c>
      <c r="AM377" s="5" t="str">
        <f>IFERROR(__xludf.DUMMYFUNCTION("""COMPUTED_VALUE"""),"💼 Buenísimo, dominar Model Biz. te dará más oportunidades en empresas que buscan perfiles analíticos.")</f>
        <v>💼 Buenísimo, dominar Model Biz. te dará más oportunidades en empresas que buscan perfiles analíticos.</v>
      </c>
      <c r="AN377" s="5" t="str">
        <f>IFERROR(__xludf.DUMMYFUNCTION("""COMPUTED_VALUE"""),"🎓 ¡Genial! Con Model Biz. sumarás una habilidad clave que te diferenciará desde la universidad.")</f>
        <v>🎓 ¡Genial! Con Model Biz. sumarás una habilidad clave que te diferenciará desde la universidad.</v>
      </c>
      <c r="AO377" s="5" t="str">
        <f>IFERROR(__xludf.DUMMYFUNCTION("""COMPUTED_VALUE"""),"🚀 ¡Perfecto! Conocer Model Biz. será un plus para destacar en prácticas profesionales.")</f>
        <v>🚀 ¡Perfecto! Conocer Model Biz. será un plus para destacar en prácticas profesionales.</v>
      </c>
      <c r="AP377" s="5" t="str">
        <f>IFERROR(__xludf.DUMMYFUNCTION("""COMPUTED_VALUE"""),"📊 ¡Excelente! Con Model Biz. podrás optimizar tu propio negocio y tomar decisiones más inteligentes.")</f>
        <v>📊 ¡Excelente! Con Model Biz. podrás optimizar tu propio negocio y tomar decisiones más inteligentes.</v>
      </c>
      <c r="AQ377" s="9" t="str">
        <f>IFERROR(__xludf.DUMMYFUNCTION("""COMPUTED_VALUE"""),"https://we-educacion.com/slides/modelamiento-de-procesos-con-bizagi-118")</f>
        <v>https://we-educacion.com/slides/modelamiento-de-procesos-con-bizagi-118</v>
      </c>
      <c r="AR377" s="5">
        <v>1.0</v>
      </c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</row>
    <row r="378" ht="15.75" customHeight="1">
      <c r="A378" s="5" t="s">
        <v>420</v>
      </c>
      <c r="B378" s="5" t="str">
        <f t="shared" si="1"/>
        <v>MAY. I - ED26</v>
      </c>
      <c r="C378" s="14" t="str">
        <f>IFERROR(__xludf.DUMMYFUNCTION("""COMPUTED_VALUE"""),"BI")</f>
        <v>BI</v>
      </c>
      <c r="D378" s="14" t="str">
        <f>IFERROR(__xludf.DUMMYFUNCTION("""COMPUTED_VALUE"""),"CURSO")</f>
        <v>CURSO</v>
      </c>
      <c r="E378" s="14" t="str">
        <f>IFERROR(__xludf.DUMMYFUNCTION("""COMPUTED_VALUE"""),"PYTHON AVANZ.")</f>
        <v>PYTHON AVANZ.</v>
      </c>
      <c r="F378" s="15">
        <f>IFERROR(__xludf.DUMMYFUNCTION("""COMPUTED_VALUE"""),46159.0)</f>
        <v>46159</v>
      </c>
      <c r="G378" s="14"/>
      <c r="H378" s="16"/>
      <c r="I378" s="14"/>
      <c r="J378" s="16"/>
      <c r="K378" s="14"/>
      <c r="L378" s="16"/>
      <c r="M378" s="14"/>
      <c r="N378" s="16"/>
      <c r="O378" s="14"/>
      <c r="P378" s="16"/>
      <c r="Q378" s="14" t="str">
        <f>IFERROR(__xludf.DUMMYFUNCTION("""COMPUTED_VALUE"""),"Paul Gabino")</f>
        <v>Paul Gabino</v>
      </c>
      <c r="R378" s="5" t="str">
        <f>IFERROR(__xludf.DUMMYFUNCTION("""COMPUTED_VALUE"""),"Dom")</f>
        <v>Dom</v>
      </c>
      <c r="S378" s="14" t="str">
        <f>IFERROR(__xludf.DUMMYFUNCTION("""COMPUTED_VALUE"""),"9AM - 12PM")</f>
        <v>9AM - 12PM</v>
      </c>
      <c r="T378" s="16" t="str">
        <f>IFERROR(__xludf.DUMMYFUNCTION("""COMPUTED_VALUE"""),"Domingo 17 Mayo")</f>
        <v>Domingo 17 Mayo</v>
      </c>
      <c r="U378" s="16" t="str">
        <f>IFERROR(__xludf.DUMMYFUNCTION("""COMPUTED_VALUE"""),"Domingo 28 Junio")</f>
        <v>Domingo 28 Junio</v>
      </c>
      <c r="V378" s="17">
        <f>IFERROR(__xludf.DUMMYFUNCTION("""COMPUTED_VALUE"""),6.0)</f>
        <v>6</v>
      </c>
      <c r="W378" s="5" t="str">
        <f>IFERROR(__xludf.DUMMYFUNCTION("""COMPUTED_VALUE"""),"pdfs/BROCHURE PYTHON AVANZADO MACHINE LEARNING.pdf")</f>
        <v>pdfs/BROCHURE PYTHON AVANZADO MACHINE LEARNING.pdf</v>
      </c>
      <c r="X378" s="18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78" s="14" t="str">
        <f>IFERROR(__xludf.DUMMYFUNCTION("""COMPUTED_VALUE"""),"images/pythonavanz.jpg")</f>
        <v>images/pythonavanz.jpg</v>
      </c>
      <c r="Z378" s="14" t="str">
        <f>IFERROR(__xludf.DUMMYFUNCTION("""COMPUTED_VALUE"""),"Avalado por IBM® Partner World")</f>
        <v>Avalado por IBM® Partner World</v>
      </c>
      <c r="AA378" s="14" t="str">
        <f>IFERROR(__xludf.DUMMYFUNCTION("""COMPUTED_VALUE"""),"NO")</f>
        <v>NO</v>
      </c>
      <c r="AB378" s="14">
        <f>IFERROR(__xludf.DUMMYFUNCTION("""COMPUTED_VALUE"""),830.0)</f>
        <v>830</v>
      </c>
      <c r="AC378" s="14">
        <f>IFERROR(__xludf.DUMMYFUNCTION("""COMPUTED_VALUE"""),755.0)</f>
        <v>755</v>
      </c>
      <c r="AD378" s="14">
        <f>IFERROR(__xludf.DUMMYFUNCTION("""COMPUTED_VALUE"""),415.0)</f>
        <v>415</v>
      </c>
      <c r="AE378" s="14">
        <f>IFERROR(__xludf.DUMMYFUNCTION("""COMPUTED_VALUE"""),377.5)</f>
        <v>377.5</v>
      </c>
      <c r="AF378" s="14">
        <f>IFERROR(__xludf.DUMMYFUNCTION("""COMPUTED_VALUE"""),150.0)</f>
        <v>150</v>
      </c>
      <c r="AG378" s="19">
        <f>IFERROR(__xludf.DUMMYFUNCTION("""COMPUTED_VALUE"""),150.0)</f>
        <v>150</v>
      </c>
      <c r="AH378" s="20"/>
      <c r="AI378" s="5">
        <f>IFERROR(__xludf.DUMMYFUNCTION("""COMPUTED_VALUE"""),339.75)</f>
        <v>339.75</v>
      </c>
      <c r="AJ378" s="5">
        <f>IFERROR(__xludf.DUMMYFUNCTION("""COMPUTED_VALUE"""),373.5)</f>
        <v>373.5</v>
      </c>
      <c r="AK378" s="5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378" s="5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378" s="5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378" s="5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378" s="5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378" s="5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378" s="9" t="str">
        <f>IFERROR(__xludf.DUMMYFUNCTION("""COMPUTED_VALUE"""),"https://we-educacion.com/slides/python-avanzado-machine-learning-275")</f>
        <v>https://we-educacion.com/slides/python-avanzado-machine-learning-275</v>
      </c>
      <c r="AR378" s="5">
        <v>1.0</v>
      </c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</row>
    <row r="379" ht="15.75" customHeight="1">
      <c r="A379" s="5" t="s">
        <v>421</v>
      </c>
      <c r="B379" s="5" t="str">
        <f t="shared" si="1"/>
        <v>MAY. II - ED26</v>
      </c>
      <c r="C379" s="14" t="str">
        <f>IFERROR(__xludf.DUMMYFUNCTION("""COMPUTED_VALUE"""),"PROYECTOS")</f>
        <v>PROYECTOS</v>
      </c>
      <c r="D379" s="5" t="str">
        <f>IFERROR(__xludf.DUMMYFUNCTION("""COMPUTED_VALUE"""),"CURSO")</f>
        <v>CURSO</v>
      </c>
      <c r="E379" s="14" t="str">
        <f>IFERROR(__xludf.DUMMYFUNCTION("""COMPUTED_VALUE"""),"GEST FINANC. PROYECT")</f>
        <v>GEST FINANC. PROYECT</v>
      </c>
      <c r="F379" s="15">
        <f>IFERROR(__xludf.DUMMYFUNCTION("""COMPUTED_VALUE"""),46162.0)</f>
        <v>46162</v>
      </c>
      <c r="G379" s="14"/>
      <c r="H379" s="16"/>
      <c r="I379" s="14"/>
      <c r="J379" s="16"/>
      <c r="K379" s="14"/>
      <c r="L379" s="16"/>
      <c r="M379" s="14"/>
      <c r="N379" s="16"/>
      <c r="O379" s="14"/>
      <c r="P379" s="16"/>
      <c r="Q379" s="14"/>
      <c r="R379" s="5" t="str">
        <f>IFERROR(__xludf.DUMMYFUNCTION("""COMPUTED_VALUE"""),"Lun-Mie")</f>
        <v>Lun-Mie</v>
      </c>
      <c r="S379" s="14" t="str">
        <f>IFERROR(__xludf.DUMMYFUNCTION("""COMPUTED_VALUE"""),"7PM - 10PM")</f>
        <v>7PM - 10PM</v>
      </c>
      <c r="T379" s="16" t="str">
        <f>IFERROR(__xludf.DUMMYFUNCTION("""COMPUTED_VALUE"""),"Miércoles 20 Mayo")</f>
        <v>Miércoles 20 Mayo</v>
      </c>
      <c r="U379" s="16" t="str">
        <f>IFERROR(__xludf.DUMMYFUNCTION("""COMPUTED_VALUE"""),"Lunes 8 Junio")</f>
        <v>Lunes 8 Junio</v>
      </c>
      <c r="V379" s="17">
        <f>IFERROR(__xludf.DUMMYFUNCTION("""COMPUTED_VALUE"""),6.0)</f>
        <v>6</v>
      </c>
      <c r="W379" s="5" t="str">
        <f>IFERROR(__xludf.DUMMYFUNCTION("""COMPUTED_VALUE"""),"pdfs/BROCHURE GESTIÓN FINANCIERA DE PROYECTOS.pdf")</f>
        <v>pdfs/BROCHURE GESTIÓN FINANCIERA DE PROYECTOS.pdf</v>
      </c>
      <c r="X379" s="18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*Por favor, revisa el BROCHURE* 👇🏻
Aqui encontrarás la información completa del programa, el TEMARIO (malla curricular) y todos los BENEFICIOS 📚</v>
      </c>
      <c r="Y379" s="14" t="str">
        <f>IFERROR(__xludf.DUMMYFUNCTION("""COMPUTED_VALUE"""),"images/gestfinanc.jpg")</f>
        <v>images/gestfinanc.jpg</v>
      </c>
      <c r="Z379" s="14"/>
      <c r="AA379" s="14" t="str">
        <f>IFERROR(__xludf.DUMMYFUNCTION("""COMPUTED_VALUE"""),"NO")</f>
        <v>NO</v>
      </c>
      <c r="AB379" s="14">
        <f>IFERROR(__xludf.DUMMYFUNCTION("""COMPUTED_VALUE"""),710.0)</f>
        <v>710</v>
      </c>
      <c r="AC379" s="14">
        <f>IFERROR(__xludf.DUMMYFUNCTION("""COMPUTED_VALUE"""),610.0)</f>
        <v>610</v>
      </c>
      <c r="AD379" s="14">
        <f>IFERROR(__xludf.DUMMYFUNCTION("""COMPUTED_VALUE"""),355.0)</f>
        <v>355</v>
      </c>
      <c r="AE379" s="14">
        <f>IFERROR(__xludf.DUMMYFUNCTION("""COMPUTED_VALUE"""),305.0)</f>
        <v>305</v>
      </c>
      <c r="AF379" s="14">
        <f>IFERROR(__xludf.DUMMYFUNCTION("""COMPUTED_VALUE"""),150.0)</f>
        <v>150</v>
      </c>
      <c r="AG379" s="19">
        <f>IFERROR(__xludf.DUMMYFUNCTION("""COMPUTED_VALUE"""),150.0)</f>
        <v>150</v>
      </c>
      <c r="AH379" s="20"/>
      <c r="AI379" s="5">
        <f>IFERROR(__xludf.DUMMYFUNCTION("""COMPUTED_VALUE"""),274.5)</f>
        <v>274.5</v>
      </c>
      <c r="AJ379" s="5">
        <f>IFERROR(__xludf.DUMMYFUNCTION("""COMPUTED_VALUE"""),319.5)</f>
        <v>319.5</v>
      </c>
      <c r="AK379" s="5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379" s="5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379" s="5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379" s="5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379" s="5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379" s="5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379" s="9" t="str">
        <f>IFERROR(__xludf.DUMMYFUNCTION("""COMPUTED_VALUE"""),"https://we-educacion.com/slides/gestion-financiera-de-proyectos-637")</f>
        <v>https://we-educacion.com/slides/gestion-financiera-de-proyectos-637</v>
      </c>
      <c r="AR379" s="5">
        <v>1.0</v>
      </c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</row>
    <row r="380" ht="15.75" customHeight="1">
      <c r="A380" s="5" t="s">
        <v>422</v>
      </c>
      <c r="B380" s="5" t="str">
        <f t="shared" si="1"/>
        <v>MAY. II - ED26</v>
      </c>
      <c r="C380" s="14" t="str">
        <f>IFERROR(__xludf.DUMMYFUNCTION("""COMPUTED_VALUE"""),"LOGÍSTICA")</f>
        <v>LOGÍSTICA</v>
      </c>
      <c r="D380" s="5" t="str">
        <f>IFERROR(__xludf.DUMMYFUNCTION("""COMPUTED_VALUE"""),"CURSO")</f>
        <v>CURSO</v>
      </c>
      <c r="E380" s="14" t="str">
        <f>IFERROR(__xludf.DUMMYFUNCTION("""COMPUTED_VALUE"""),"LEAN LOGISTICS")</f>
        <v>LEAN LOGISTICS</v>
      </c>
      <c r="F380" s="15">
        <f>IFERROR(__xludf.DUMMYFUNCTION("""COMPUTED_VALUE"""),46163.0)</f>
        <v>46163</v>
      </c>
      <c r="G380" s="14"/>
      <c r="H380" s="16"/>
      <c r="I380" s="14"/>
      <c r="J380" s="16"/>
      <c r="K380" s="14"/>
      <c r="L380" s="16"/>
      <c r="M380" s="14"/>
      <c r="N380" s="16"/>
      <c r="O380" s="14"/>
      <c r="P380" s="16"/>
      <c r="Q380" s="14" t="str">
        <f>IFERROR(__xludf.DUMMYFUNCTION("""COMPUTED_VALUE"""),"Hernán Vizcardo")</f>
        <v>Hernán Vizcardo</v>
      </c>
      <c r="R380" s="5" t="str">
        <f>IFERROR(__xludf.DUMMYFUNCTION("""COMPUTED_VALUE"""),"Jue")</f>
        <v>Jue</v>
      </c>
      <c r="S380" s="14" t="str">
        <f>IFERROR(__xludf.DUMMYFUNCTION("""COMPUTED_VALUE"""),"7PM - 10PM")</f>
        <v>7PM - 10PM</v>
      </c>
      <c r="T380" s="16" t="str">
        <f>IFERROR(__xludf.DUMMYFUNCTION("""COMPUTED_VALUE"""),"Jueves 21 Mayo")</f>
        <v>Jueves 21 Mayo</v>
      </c>
      <c r="U380" s="16" t="str">
        <f>IFERROR(__xludf.DUMMYFUNCTION("""COMPUTED_VALUE"""),"Jueves 25 Junio")</f>
        <v>Jueves 25 Junio</v>
      </c>
      <c r="V380" s="17">
        <f>IFERROR(__xludf.DUMMYFUNCTION("""COMPUTED_VALUE"""),6.0)</f>
        <v>6</v>
      </c>
      <c r="W380" s="5" t="str">
        <f>IFERROR(__xludf.DUMMYFUNCTION("""COMPUTED_VALUE"""),"pdfs/BROCHURE LEAN LOGISTICS.pdf")</f>
        <v>pdfs/BROCHURE LEAN LOGISTICS.pdf</v>
      </c>
      <c r="X380" s="18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380" s="14" t="str">
        <f>IFERROR(__xludf.DUMMYFUNCTION("""COMPUTED_VALUE"""),"images/leanlogistic.jpg")</f>
        <v>images/leanlogistic.jpg</v>
      </c>
      <c r="Z380" s="14"/>
      <c r="AA380" s="14" t="str">
        <f>IFERROR(__xludf.DUMMYFUNCTION("""COMPUTED_VALUE"""),"NO")</f>
        <v>NO</v>
      </c>
      <c r="AB380" s="14">
        <f>IFERROR(__xludf.DUMMYFUNCTION("""COMPUTED_VALUE"""),820.0)</f>
        <v>820</v>
      </c>
      <c r="AC380" s="14">
        <f>IFERROR(__xludf.DUMMYFUNCTION("""COMPUTED_VALUE"""),710.0)</f>
        <v>710</v>
      </c>
      <c r="AD380" s="14">
        <f>IFERROR(__xludf.DUMMYFUNCTION("""COMPUTED_VALUE"""),410.0)</f>
        <v>410</v>
      </c>
      <c r="AE380" s="14">
        <f>IFERROR(__xludf.DUMMYFUNCTION("""COMPUTED_VALUE"""),355.0)</f>
        <v>355</v>
      </c>
      <c r="AF380" s="14">
        <f>IFERROR(__xludf.DUMMYFUNCTION("""COMPUTED_VALUE"""),150.0)</f>
        <v>150</v>
      </c>
      <c r="AG380" s="19">
        <f>IFERROR(__xludf.DUMMYFUNCTION("""COMPUTED_VALUE"""),150.0)</f>
        <v>150</v>
      </c>
      <c r="AH380" s="20"/>
      <c r="AI380" s="5">
        <f>IFERROR(__xludf.DUMMYFUNCTION("""COMPUTED_VALUE"""),319.5)</f>
        <v>319.5</v>
      </c>
      <c r="AJ380" s="5">
        <f>IFERROR(__xludf.DUMMYFUNCTION("""COMPUTED_VALUE"""),369.0)</f>
        <v>369</v>
      </c>
      <c r="AK380" s="5" t="str">
        <f>IFERROR(__xludf.DUMMYFUNCTION("""COMPUTED_VALUE"""),"La eficiencia en la cadena de suministro empieza con Lean Logistics 🔄
Aprenderás a optimizar costos, tiempos y flujos logísticos con herramientas prácticas 📦.
Aquí te comparto la info 👇🏻")</f>
        <v>La eficiencia en la cadena de suministro empieza con Lean Logistics 🔄
Aprenderás a optimizar costos, tiempos y flujos logísticos con herramientas prácticas 📦.
Aquí te comparto la info 👇🏻</v>
      </c>
      <c r="AL380" s="5" t="str">
        <f>IFERROR(__xludf.DUMMYFUNCTION("""COMPUTED_VALUE"""),"🏆 *Excelente*, actualízate con *LEAN LOGISTICS* y mantente competitivo en el mercado laboral.")</f>
        <v>🏆 *Excelente*, actualízate con *LEAN LOGISTICS* y mantente competitivo en el mercado laboral.</v>
      </c>
      <c r="AM380" s="5" t="str">
        <f>IFERROR(__xludf.DUMMYFUNCTION("""COMPUTED_VALUE"""),"📘 Buenísimo, *LEAN LOGISTICS* es de las competencias más pedidas por las empresas y aumentará tus oportunidades laborales.")</f>
        <v>📘 Buenísimo, *LEAN LOGISTICS* es de las competencias más pedidas por las empresas y aumentará tus oportunidades laborales.</v>
      </c>
      <c r="AN380" s="5" t="str">
        <f>IFERROR(__xludf.DUMMYFUNCTION("""COMPUTED_VALUE"""),"🎓 ¡Genial! Con *LEAN LOGISTICS* sumarás una habilidad poderosa que te diferenciará desde la universidad.")</f>
        <v>🎓 ¡Genial! Con *LEAN LOGISTICS* sumarás una habilidad poderosa que te diferenciará desde la universidad.</v>
      </c>
      <c r="AO380" s="5" t="str">
        <f>IFERROR(__xludf.DUMMYFUNCTION("""COMPUTED_VALUE"""),"✨ ¡Perfecto! Saber *LEAN LOGISTICS* te dará ventaja frente a otros postulantes para conseguir prácticas.")</f>
        <v>✨ ¡Perfecto! Saber *LEAN LOGISTICS* te dará ventaja frente a otros postulantes para conseguir prácticas.</v>
      </c>
      <c r="AP380" s="5" t="str">
        <f>IFERROR(__xludf.DUMMYFUNCTION("""COMPUTED_VALUE"""),"🚀 ¡Excelente! Con *LEAN LOGISTICS* podrás aplicarlo en tu negocio y tomar decisiones más inteligentes.")</f>
        <v>🚀 ¡Excelente! Con *LEAN LOGISTICS* podrás aplicarlo en tu negocio y tomar decisiones más inteligentes.</v>
      </c>
      <c r="AQ380" s="9" t="str">
        <f>IFERROR(__xludf.DUMMYFUNCTION("""COMPUTED_VALUE"""),"https://we-educacion.com/slides/lean-logistics-67")</f>
        <v>https://we-educacion.com/slides/lean-logistics-67</v>
      </c>
      <c r="AR380" s="5">
        <v>1.0</v>
      </c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</row>
    <row r="381" ht="15.75" customHeight="1">
      <c r="A381" s="5" t="s">
        <v>423</v>
      </c>
      <c r="B381" s="5" t="str">
        <f t="shared" si="1"/>
        <v>MAY. II - ED26</v>
      </c>
      <c r="C381" s="14" t="str">
        <f>IFERROR(__xludf.DUMMYFUNCTION("""COMPUTED_VALUE"""),"BI")</f>
        <v>BI</v>
      </c>
      <c r="D381" s="14" t="str">
        <f>IFERROR(__xludf.DUMMYFUNCTION("""COMPUTED_VALUE"""),"CURSO")</f>
        <v>CURSO</v>
      </c>
      <c r="E381" s="14" t="str">
        <f>IFERROR(__xludf.DUMMYFUNCTION("""COMPUTED_VALUE"""),"PYTHON AVANZ.")</f>
        <v>PYTHON AVANZ.</v>
      </c>
      <c r="F381" s="15">
        <f>IFERROR(__xludf.DUMMYFUNCTION("""COMPUTED_VALUE"""),46163.0)</f>
        <v>46163</v>
      </c>
      <c r="G381" s="14"/>
      <c r="H381" s="16"/>
      <c r="I381" s="14"/>
      <c r="J381" s="16"/>
      <c r="K381" s="14"/>
      <c r="L381" s="16"/>
      <c r="M381" s="14"/>
      <c r="N381" s="16"/>
      <c r="O381" s="14"/>
      <c r="P381" s="16"/>
      <c r="Q381" s="14"/>
      <c r="R381" s="5" t="str">
        <f>IFERROR(__xludf.DUMMYFUNCTION("""COMPUTED_VALUE"""),"Mar-Jue")</f>
        <v>Mar-Jue</v>
      </c>
      <c r="S381" s="14" t="str">
        <f>IFERROR(__xludf.DUMMYFUNCTION("""COMPUTED_VALUE"""),"7PM - 10PM")</f>
        <v>7PM - 10PM</v>
      </c>
      <c r="T381" s="16" t="str">
        <f>IFERROR(__xludf.DUMMYFUNCTION("""COMPUTED_VALUE"""),"Jueves 21 Mayo")</f>
        <v>Jueves 21 Mayo</v>
      </c>
      <c r="U381" s="16" t="str">
        <f>IFERROR(__xludf.DUMMYFUNCTION("""COMPUTED_VALUE"""),"Martes 9 Junio")</f>
        <v>Martes 9 Junio</v>
      </c>
      <c r="V381" s="17">
        <f>IFERROR(__xludf.DUMMYFUNCTION("""COMPUTED_VALUE"""),6.0)</f>
        <v>6</v>
      </c>
      <c r="W381" s="5" t="str">
        <f>IFERROR(__xludf.DUMMYFUNCTION("""COMPUTED_VALUE"""),"pdfs/BROCHURE PYTHON AVANZADO MACHINE LEARNING.pdf")</f>
        <v>pdfs/BROCHURE PYTHON AVANZADO MACHINE LEARNING.pdf</v>
      </c>
      <c r="X381" s="18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81" s="14" t="str">
        <f>IFERROR(__xludf.DUMMYFUNCTION("""COMPUTED_VALUE"""),"images/pythonavanz.jpg")</f>
        <v>images/pythonavanz.jpg</v>
      </c>
      <c r="Z381" s="14" t="str">
        <f>IFERROR(__xludf.DUMMYFUNCTION("""COMPUTED_VALUE"""),"Avalado por IBM® Partner World")</f>
        <v>Avalado por IBM® Partner World</v>
      </c>
      <c r="AA381" s="14" t="str">
        <f>IFERROR(__xludf.DUMMYFUNCTION("""COMPUTED_VALUE"""),"NO")</f>
        <v>NO</v>
      </c>
      <c r="AB381" s="14">
        <f>IFERROR(__xludf.DUMMYFUNCTION("""COMPUTED_VALUE"""),830.0)</f>
        <v>830</v>
      </c>
      <c r="AC381" s="14">
        <f>IFERROR(__xludf.DUMMYFUNCTION("""COMPUTED_VALUE"""),755.0)</f>
        <v>755</v>
      </c>
      <c r="AD381" s="14">
        <f>IFERROR(__xludf.DUMMYFUNCTION("""COMPUTED_VALUE"""),415.0)</f>
        <v>415</v>
      </c>
      <c r="AE381" s="14">
        <f>IFERROR(__xludf.DUMMYFUNCTION("""COMPUTED_VALUE"""),377.5)</f>
        <v>377.5</v>
      </c>
      <c r="AF381" s="14">
        <f>IFERROR(__xludf.DUMMYFUNCTION("""COMPUTED_VALUE"""),150.0)</f>
        <v>150</v>
      </c>
      <c r="AG381" s="19">
        <f>IFERROR(__xludf.DUMMYFUNCTION("""COMPUTED_VALUE"""),150.0)</f>
        <v>150</v>
      </c>
      <c r="AH381" s="20"/>
      <c r="AI381" s="5">
        <f>IFERROR(__xludf.DUMMYFUNCTION("""COMPUTED_VALUE"""),339.75)</f>
        <v>339.75</v>
      </c>
      <c r="AJ381" s="5">
        <f>IFERROR(__xludf.DUMMYFUNCTION("""COMPUTED_VALUE"""),373.5)</f>
        <v>373.5</v>
      </c>
      <c r="AK381" s="5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381" s="5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381" s="5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381" s="5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381" s="5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381" s="5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381" s="9" t="str">
        <f>IFERROR(__xludf.DUMMYFUNCTION("""COMPUTED_VALUE"""),"https://we-educacion.com/slides/python-avanzado-machine-learning-275")</f>
        <v>https://we-educacion.com/slides/python-avanzado-machine-learning-275</v>
      </c>
      <c r="AR381" s="5">
        <v>1.0</v>
      </c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</row>
    <row r="382" ht="15.75" customHeight="1">
      <c r="A382" s="5" t="s">
        <v>424</v>
      </c>
      <c r="B382" s="5" t="str">
        <f t="shared" si="1"/>
        <v>MAY. I - ED26</v>
      </c>
      <c r="C382" s="14" t="str">
        <f>IFERROR(__xludf.DUMMYFUNCTION("""COMPUTED_VALUE"""),"LOGÍSTICA")</f>
        <v>LOGÍSTICA</v>
      </c>
      <c r="D382" s="20" t="str">
        <f>IFERROR(__xludf.DUMMYFUNCTION("""COMPUTED_VALUE"""),"CURSO")</f>
        <v>CURSO</v>
      </c>
      <c r="E382" s="14" t="str">
        <f>IFERROR(__xludf.DUMMYFUNCTION("""COMPUTED_VALUE"""),"GEST TRANSPORTES")</f>
        <v>GEST TRANSPORTES</v>
      </c>
      <c r="F382" s="15">
        <f>IFERROR(__xludf.DUMMYFUNCTION("""COMPUTED_VALUE"""),46166.0)</f>
        <v>46166</v>
      </c>
      <c r="G382" s="14"/>
      <c r="H382" s="16"/>
      <c r="I382" s="14"/>
      <c r="J382" s="16"/>
      <c r="K382" s="14"/>
      <c r="L382" s="16"/>
      <c r="M382" s="14"/>
      <c r="N382" s="16"/>
      <c r="O382" s="14"/>
      <c r="P382" s="16"/>
      <c r="Q382" s="14" t="str">
        <f>IFERROR(__xludf.DUMMYFUNCTION("""COMPUTED_VALUE"""),"Hernán Vizcardo")</f>
        <v>Hernán Vizcardo</v>
      </c>
      <c r="R382" s="5" t="str">
        <f>IFERROR(__xludf.DUMMYFUNCTION("""COMPUTED_VALUE"""),"Dom")</f>
        <v>Dom</v>
      </c>
      <c r="S382" s="14" t="str">
        <f>IFERROR(__xludf.DUMMYFUNCTION("""COMPUTED_VALUE"""),"9AM - 12PM")</f>
        <v>9AM - 12PM</v>
      </c>
      <c r="T382" s="16" t="str">
        <f>IFERROR(__xludf.DUMMYFUNCTION("""COMPUTED_VALUE"""),"Domingo 24 Mayo")</f>
        <v>Domingo 24 Mayo</v>
      </c>
      <c r="U382" s="16" t="str">
        <f>IFERROR(__xludf.DUMMYFUNCTION("""COMPUTED_VALUE"""),"Domingo 21 Junio")</f>
        <v>Domingo 21 Junio</v>
      </c>
      <c r="V382" s="17">
        <f>IFERROR(__xludf.DUMMYFUNCTION("""COMPUTED_VALUE"""),5.0)</f>
        <v>5</v>
      </c>
      <c r="W382" s="5" t="str">
        <f>IFERROR(__xludf.DUMMYFUNCTION("""COMPUTED_VALUE"""),"pdfs/BROCHURE GESTION DE TRANSPORTE Y CANALES DE DISTRIBUCIÓN.pdf")</f>
        <v>pdfs/BROCHURE GESTION DE TRANSPORTE Y CANALES DE DISTRIBUCIÓN.pdf</v>
      </c>
      <c r="X382" s="18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*Utilizarán Excel* 👩🏻‍💻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*Por favor, revisa el BROCHURE* 👇🏻
Aqui encontrarás la información completa del programa, el TEMARIO (malla curricular) y todos los BENEFICIOS 📚</v>
      </c>
      <c r="Y382" s="14" t="str">
        <f>IFERROR(__xludf.DUMMYFUNCTION("""COMPUTED_VALUE"""),"images/transpo.jpg")</f>
        <v>images/transpo.jpg</v>
      </c>
      <c r="Z382" s="14"/>
      <c r="AA382" s="14" t="str">
        <f>IFERROR(__xludf.DUMMYFUNCTION("""COMPUTED_VALUE"""),"NO")</f>
        <v>NO</v>
      </c>
      <c r="AB382" s="14">
        <f>IFERROR(__xludf.DUMMYFUNCTION("""COMPUTED_VALUE"""),830.0)</f>
        <v>830</v>
      </c>
      <c r="AC382" s="14">
        <f>IFERROR(__xludf.DUMMYFUNCTION("""COMPUTED_VALUE"""),770.0)</f>
        <v>770</v>
      </c>
      <c r="AD382" s="14">
        <f>IFERROR(__xludf.DUMMYFUNCTION("""COMPUTED_VALUE"""),415.0)</f>
        <v>415</v>
      </c>
      <c r="AE382" s="14">
        <f>IFERROR(__xludf.DUMMYFUNCTION("""COMPUTED_VALUE"""),385.0)</f>
        <v>385</v>
      </c>
      <c r="AF382" s="14">
        <f>IFERROR(__xludf.DUMMYFUNCTION("""COMPUTED_VALUE"""),150.0)</f>
        <v>150</v>
      </c>
      <c r="AG382" s="19">
        <f>IFERROR(__xludf.DUMMYFUNCTION("""COMPUTED_VALUE"""),150.0)</f>
        <v>150</v>
      </c>
      <c r="AH382" s="20"/>
      <c r="AI382" s="5">
        <f>IFERROR(__xludf.DUMMYFUNCTION("""COMPUTED_VALUE"""),346.5)</f>
        <v>346.5</v>
      </c>
      <c r="AJ382" s="5">
        <f>IFERROR(__xludf.DUMMYFUNCTION("""COMPUTED_VALUE"""),373.5)</f>
        <v>373.5</v>
      </c>
      <c r="AK382" s="5" t="str">
        <f>IFERROR(__xludf.DUMMYFUNCTION("""COMPUTED_VALUE"""),"La competitividad empresarial depende de una logística eficiente 📦
Con Gestión de Transportes aprenderás a planificar, coordinar y optimizar rutas y costos en casos reales 🚛.
Aquí te comparto la información 👇🏻")</f>
        <v>La competitividad empresarial depende de una logística eficiente 📦
Con Gestión de Transportes aprenderás a planificar, coordinar y optimizar rutas y costos en casos reales 🚛.
Aquí te comparto la información 👇🏻</v>
      </c>
      <c r="AL382" s="5" t="str">
        <f>IFERROR(__xludf.DUMMYFUNCTION("""COMPUTED_VALUE"""),"🌍 *Excelente*, actualízate con *GEST TRANSPORTES* y mantente competitivo en el mercado laboral.")</f>
        <v>🌍 *Excelente*, actualízate con *GEST TRANSPORTES* y mantente competitivo en el mercado laboral.</v>
      </c>
      <c r="AM382" s="5" t="str">
        <f>IFERROR(__xludf.DUMMYFUNCTION("""COMPUTED_VALUE"""),"📘 Buenísimo, *GEST TRANSPORTES* es de las competencias más pedidas por las empresas y aumentará tus oportunidades laborales.")</f>
        <v>📘 Buenísimo, *GEST TRANSPORTES* es de las competencias más pedidas por las empresas y aumentará tus oportunidades laborales.</v>
      </c>
      <c r="AN382" s="5" t="str">
        <f>IFERROR(__xludf.DUMMYFUNCTION("""COMPUTED_VALUE"""),"💼 ¡Genial! Con *GEST TRANSPORTES* sumarás una habilidad poderosa que te diferenciará desde la universidad.")</f>
        <v>💼 ¡Genial! Con *GEST TRANSPORTES* sumarás una habilidad poderosa que te diferenciará desde la universidad.</v>
      </c>
      <c r="AO382" s="5" t="str">
        <f>IFERROR(__xludf.DUMMYFUNCTION("""COMPUTED_VALUE"""),"📊 ¡Perfecto! Saber *GEST TRANSPORTES* te dará ventaja frente a otros postulantes para conseguir prácticas.")</f>
        <v>📊 ¡Perfecto! Saber *GEST TRANSPORTES* te dará ventaja frente a otros postulantes para conseguir prácticas.</v>
      </c>
      <c r="AP382" s="5" t="str">
        <f>IFERROR(__xludf.DUMMYFUNCTION("""COMPUTED_VALUE"""),"💼 ¡Excelente! Con *GEST TRANSPORTES* podrás aplicarlo en tu negocio y tomar decisiones más inteligentes.")</f>
        <v>💼 ¡Excelente! Con *GEST TRANSPORTES* podrás aplicarlo en tu negocio y tomar decisiones más inteligentes.</v>
      </c>
      <c r="AQ382" s="9" t="str">
        <f>IFERROR(__xludf.DUMMYFUNCTION("""COMPUTED_VALUE"""),"https://we-educacion.com/slides/gestion-de-transportes-73")</f>
        <v>https://we-educacion.com/slides/gestion-de-transportes-73</v>
      </c>
      <c r="AR382" s="5">
        <v>1.0</v>
      </c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</row>
    <row r="383" ht="15.75" customHeight="1">
      <c r="A383" s="5" t="s">
        <v>425</v>
      </c>
      <c r="B383" s="5" t="str">
        <f t="shared" si="1"/>
        <v>MAY. II - ED26</v>
      </c>
      <c r="C383" s="14" t="str">
        <f>IFERROR(__xludf.DUMMYFUNCTION("""COMPUTED_VALUE"""),"PROCESOS")</f>
        <v>PROCESOS</v>
      </c>
      <c r="D383" s="14" t="str">
        <f>IFERROR(__xludf.DUMMYFUNCTION("""COMPUTED_VALUE"""),"CURSO")</f>
        <v>CURSO</v>
      </c>
      <c r="E383" s="14" t="str">
        <f>IFERROR(__xludf.DUMMYFUNCTION("""COMPUTED_VALUE"""),"LEAN SIX SIGMA YELLOW")</f>
        <v>LEAN SIX SIGMA YELLOW</v>
      </c>
      <c r="F383" s="15">
        <f>IFERROR(__xludf.DUMMYFUNCTION("""COMPUTED_VALUE"""),46170.0)</f>
        <v>46170</v>
      </c>
      <c r="G383" s="14"/>
      <c r="H383" s="16"/>
      <c r="I383" s="14"/>
      <c r="J383" s="16"/>
      <c r="K383" s="14"/>
      <c r="L383" s="16"/>
      <c r="M383" s="14"/>
      <c r="N383" s="16"/>
      <c r="O383" s="14"/>
      <c r="P383" s="16"/>
      <c r="Q383" s="14" t="str">
        <f>IFERROR(__xludf.DUMMYFUNCTION("""COMPUTED_VALUE"""),"Monica Olivas
")</f>
        <v>Monica Olivas
</v>
      </c>
      <c r="R383" s="5" t="str">
        <f>IFERROR(__xludf.DUMMYFUNCTION("""COMPUTED_VALUE"""),"Jue")</f>
        <v>Jue</v>
      </c>
      <c r="S383" s="14" t="str">
        <f>IFERROR(__xludf.DUMMYFUNCTION("""COMPUTED_VALUE"""),"7PM - 10PM")</f>
        <v>7PM - 10PM</v>
      </c>
      <c r="T383" s="16" t="str">
        <f>IFERROR(__xludf.DUMMYFUNCTION("""COMPUTED_VALUE"""),"Jueves 28 Mayo")</f>
        <v>Jueves 28 Mayo</v>
      </c>
      <c r="U383" s="16" t="str">
        <f>IFERROR(__xludf.DUMMYFUNCTION("""COMPUTED_VALUE"""),"Jueves 2 Julio")</f>
        <v>Jueves 2 Julio</v>
      </c>
      <c r="V383" s="17">
        <f>IFERROR(__xludf.DUMMYFUNCTION("""COMPUTED_VALUE"""),6.0)</f>
        <v>6</v>
      </c>
      <c r="W383" s="5" t="str">
        <f>IFERROR(__xludf.DUMMYFUNCTION("""COMPUTED_VALUE"""),"pdfs/BROCHURE LEAN SIX SIGMA YELLOW BELT.pdf")</f>
        <v>pdfs/BROCHURE LEAN SIX SIGMA YELLOW BELT.pdf</v>
      </c>
      <c r="X383" s="18" t="str">
        <f>IFERROR(__xludf.DUMMYFUNCTION("""COMPUTED_VALUE"""),"🔵  *Utilizarán Minitab* 👩🏻‍💻
👉🏻 Incluye tutorial y manual de instalación
💻 _*Importante*: Para la instalación se necesita una Laptop *Windows*_
🚨 *Por favor, revisa el BROCHURE* 👇🏻
Aqui encontrarás la información completa del programa, el TEMAR"&amp;"IO (malla curricular) y todos los BENEFICIOS 📚")</f>
        <v>🔵  *Utilizarán Minitab* 👩🏻‍💻
👉🏻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83" s="14" t="str">
        <f>IFERROR(__xludf.DUMMYFUNCTION("""COMPUTED_VALUE"""),"images/leansix.jpg")</f>
        <v>images/leansix.jpg</v>
      </c>
      <c r="Z383" s="14"/>
      <c r="AA383" s="14" t="str">
        <f>IFERROR(__xludf.DUMMYFUNCTION("""COMPUTED_VALUE"""),"NO")</f>
        <v>NO</v>
      </c>
      <c r="AB383" s="14">
        <f>IFERROR(__xludf.DUMMYFUNCTION("""COMPUTED_VALUE"""),820.0)</f>
        <v>820</v>
      </c>
      <c r="AC383" s="14">
        <f>IFERROR(__xludf.DUMMYFUNCTION("""COMPUTED_VALUE"""),750.0)</f>
        <v>750</v>
      </c>
      <c r="AD383" s="14">
        <f>IFERROR(__xludf.DUMMYFUNCTION("""COMPUTED_VALUE"""),410.0)</f>
        <v>410</v>
      </c>
      <c r="AE383" s="14">
        <f>IFERROR(__xludf.DUMMYFUNCTION("""COMPUTED_VALUE"""),375.0)</f>
        <v>375</v>
      </c>
      <c r="AF383" s="14">
        <f>IFERROR(__xludf.DUMMYFUNCTION("""COMPUTED_VALUE"""),150.0)</f>
        <v>150</v>
      </c>
      <c r="AG383" s="19">
        <f>IFERROR(__xludf.DUMMYFUNCTION("""COMPUTED_VALUE"""),150.0)</f>
        <v>150</v>
      </c>
      <c r="AH383" s="20"/>
      <c r="AI383" s="5">
        <f>IFERROR(__xludf.DUMMYFUNCTION("""COMPUTED_VALUE"""),337.5)</f>
        <v>337.5</v>
      </c>
      <c r="AJ383" s="5">
        <f>IFERROR(__xludf.DUMMYFUNCTION("""COMPUTED_VALUE"""),369.0)</f>
        <v>369</v>
      </c>
      <c r="AK383" s="5" t="str">
        <f>IFERROR(__xludf.DUMMYFUNCTION("""COMPUTED_VALUE"""),"El primer paso hacia la excelencia es Lean Six Sigma Yellow Belt 🚀
Dominarás las bases de mejora continua y herramientas clave para procesos más eficientes 📊.
Aquí te comparto la información 👇🏻")</f>
        <v>El primer paso hacia la excelencia es Lean Six Sigma Yellow Belt 🚀
Dominarás las bases de mejora continua y herramientas clave para procesos más eficientes 📊.
Aquí te comparto la información 👇🏻</v>
      </c>
      <c r="AL383" s="5" t="str">
        <f>IFERROR(__xludf.DUMMYFUNCTION("""COMPUTED_VALUE"""),"📘 *Excelente*, actualízate con *LEAN SIX SIGMA YELLOW* y mantente competitivo en el mercado laboral.")</f>
        <v>📘 *Excelente*, actualízate con *LEAN SIX SIGMA YELLOW* y mantente competitivo en el mercado laboral.</v>
      </c>
      <c r="AM383" s="5" t="str">
        <f>IFERROR(__xludf.DUMMYFUNCTION("""COMPUTED_VALUE"""),"📈 Buenísimo, *LEAN SIX SIGMA YELLOW* es de las competencias más pedidas por las empresas y aumentará tus oportunidades laborales.")</f>
        <v>📈 Buenísimo, *LEAN SIX SIGMA YELLOW* es de las competencias más pedidas por las empresas y aumentará tus oportunidades laborales.</v>
      </c>
      <c r="AN383" s="5" t="str">
        <f>IFERROR(__xludf.DUMMYFUNCTION("""COMPUTED_VALUE"""),"⚡ ¡Genial! Con *LEAN SIX SIGMA YELLOW* sumarás una habilidad poderosa que te diferenciará desde la universidad.")</f>
        <v>⚡ ¡Genial! Con *LEAN SIX SIGMA YELLOW* sumarás una habilidad poderosa que te diferenciará desde la universidad.</v>
      </c>
      <c r="AO383" s="5" t="str">
        <f>IFERROR(__xludf.DUMMYFUNCTION("""COMPUTED_VALUE"""),"💼 ¡Perfecto! Saber *LEAN SIX SIGMA YELLOW* te dará ventaja frente a otros postulantes para conseguir prácticas.")</f>
        <v>💼 ¡Perfecto! Saber *LEAN SIX SIGMA YELLOW* te dará ventaja frente a otros postulantes para conseguir prácticas.</v>
      </c>
      <c r="AP383" s="5" t="str">
        <f>IFERROR(__xludf.DUMMYFUNCTION("""COMPUTED_VALUE"""),"📘 ¡Excelente! Con *LEAN SIX SIGMA YELLOW* podrás aplicarlo en tu negocio y tomar decisiones más inteligentes.")</f>
        <v>📘 ¡Excelente! Con *LEAN SIX SIGMA YELLOW* podrás aplicarlo en tu negocio y tomar decisiones más inteligentes.</v>
      </c>
      <c r="AQ383" s="9" t="str">
        <f>IFERROR(__xludf.DUMMYFUNCTION("""COMPUTED_VALUE"""),"https://we-educacion.com/slides/lean-six-sigma-yellow-belt-119")</f>
        <v>https://we-educacion.com/slides/lean-six-sigma-yellow-belt-119</v>
      </c>
      <c r="AR383" s="5">
        <v>1.0</v>
      </c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</row>
    <row r="384" ht="15.75" customHeight="1">
      <c r="A384" s="5" t="s">
        <v>426</v>
      </c>
      <c r="B384" s="5" t="str">
        <f t="shared" si="1"/>
        <v>MAY. II - ED26</v>
      </c>
      <c r="C384" s="14" t="str">
        <f>IFERROR(__xludf.DUMMYFUNCTION("""COMPUTED_VALUE"""),"EXCEL")</f>
        <v>EXCEL</v>
      </c>
      <c r="D384" s="5" t="str">
        <f>IFERROR(__xludf.DUMMYFUNCTION("""COMPUTED_VALUE"""),"CURSO")</f>
        <v>CURSO</v>
      </c>
      <c r="E384" s="14" t="str">
        <f>IFERROR(__xludf.DUMMYFUNCTION("""COMPUTED_VALUE"""),"EXCEL AVANZ")</f>
        <v>EXCEL AVANZ</v>
      </c>
      <c r="F384" s="15">
        <f>IFERROR(__xludf.DUMMYFUNCTION("""COMPUTED_VALUE"""),46170.0)</f>
        <v>46170</v>
      </c>
      <c r="G384" s="14"/>
      <c r="H384" s="16"/>
      <c r="I384" s="14"/>
      <c r="J384" s="16"/>
      <c r="K384" s="14"/>
      <c r="L384" s="16"/>
      <c r="M384" s="14"/>
      <c r="N384" s="16"/>
      <c r="O384" s="14"/>
      <c r="P384" s="16"/>
      <c r="Q384" s="14"/>
      <c r="R384" s="5" t="str">
        <f>IFERROR(__xludf.DUMMYFUNCTION("""COMPUTED_VALUE"""),"Mar-Jue")</f>
        <v>Mar-Jue</v>
      </c>
      <c r="S384" s="14" t="str">
        <f>IFERROR(__xludf.DUMMYFUNCTION("""COMPUTED_VALUE"""),"7PM - 10PM")</f>
        <v>7PM - 10PM</v>
      </c>
      <c r="T384" s="16" t="str">
        <f>IFERROR(__xludf.DUMMYFUNCTION("""COMPUTED_VALUE"""),"Jueves 28 Mayo")</f>
        <v>Jueves 28 Mayo</v>
      </c>
      <c r="U384" s="16" t="str">
        <f>IFERROR(__xludf.DUMMYFUNCTION("""COMPUTED_VALUE"""),"Martes 16 Junio")</f>
        <v>Martes 16 Junio</v>
      </c>
      <c r="V384" s="17">
        <f>IFERROR(__xludf.DUMMYFUNCTION("""COMPUTED_VALUE"""),6.0)</f>
        <v>6</v>
      </c>
      <c r="W384" s="5" t="str">
        <f>IFERROR(__xludf.DUMMYFUNCTION("""COMPUTED_VALUE"""),"pdfs/BROCHURE EXCEL AVANZADO.pdf")</f>
        <v>pdfs/BROCHURE EXCEL AVANZADO.pdf</v>
      </c>
      <c r="X384" s="18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384" s="14" t="str">
        <f>IFERROR(__xludf.DUMMYFUNCTION("""COMPUTED_VALUE"""),"images/excelavanz.jpg")</f>
        <v>images/excelavanz.jpg</v>
      </c>
      <c r="Z384" s="14" t="str">
        <f>IFERROR(__xludf.DUMMYFUNCTION("""COMPUTED_VALUE"""),"Avalado por Microsoft Partner Network")</f>
        <v>Avalado por Microsoft Partner Network</v>
      </c>
      <c r="AA384" s="14" t="str">
        <f>IFERROR(__xludf.DUMMYFUNCTION("""COMPUTED_VALUE"""),"NO")</f>
        <v>NO</v>
      </c>
      <c r="AB384" s="14">
        <f>IFERROR(__xludf.DUMMYFUNCTION("""COMPUTED_VALUE"""),420.0)</f>
        <v>420</v>
      </c>
      <c r="AC384" s="14">
        <f>IFERROR(__xludf.DUMMYFUNCTION("""COMPUTED_VALUE"""),400.0)</f>
        <v>400</v>
      </c>
      <c r="AD384" s="14">
        <f>IFERROR(__xludf.DUMMYFUNCTION("""COMPUTED_VALUE"""),210.0)</f>
        <v>210</v>
      </c>
      <c r="AE384" s="14">
        <f>IFERROR(__xludf.DUMMYFUNCTION("""COMPUTED_VALUE"""),200.0)</f>
        <v>200</v>
      </c>
      <c r="AF384" s="14">
        <f>IFERROR(__xludf.DUMMYFUNCTION("""COMPUTED_VALUE"""),150.0)</f>
        <v>150</v>
      </c>
      <c r="AG384" s="19">
        <f>IFERROR(__xludf.DUMMYFUNCTION("""COMPUTED_VALUE"""),150.0)</f>
        <v>150</v>
      </c>
      <c r="AH384" s="20"/>
      <c r="AI384" s="5">
        <f>IFERROR(__xludf.DUMMYFUNCTION("""COMPUTED_VALUE"""),180.0)</f>
        <v>180</v>
      </c>
      <c r="AJ384" s="5">
        <f>IFERROR(__xludf.DUMMYFUNCTION("""COMPUTED_VALUE"""),189.0)</f>
        <v>189</v>
      </c>
      <c r="AK384" s="5" t="str">
        <f>IFERROR(__xludf.DUMMYFUNCTION("""COMPUTED_VALUE"""),"El lenguaje de la eficiencia es Excel Avanzado 🔥
Aprenderás funciones complejas, tablas dinámicas y automatización aplicadas a negocios reales 💼.
Aquí tienes la info 👇🏻")</f>
        <v>El lenguaje de la eficiencia es Excel Avanzado 🔥
Aprenderás funciones complejas, tablas dinámicas y automatización aplicadas a negocios reales 💼.
Aquí tienes la info 👇🏻</v>
      </c>
      <c r="AL384" s="5" t="str">
        <f>IFERROR(__xludf.DUMMYFUNCTION("""COMPUTED_VALUE"""),"🚀 *Excelente*, actualízate con *EXCEL AVANZ* y mantente competitivo en el mercado laboral.")</f>
        <v>🚀 *Excelente*, actualízate con *EXCEL AVANZ* y mantente competitivo en el mercado laboral.</v>
      </c>
      <c r="AM384" s="5" t="str">
        <f>IFERROR(__xludf.DUMMYFUNCTION("""COMPUTED_VALUE"""),"🚀 Buenísimo, *EXCEL AVANZ* es de las competencias más pedidas por las empresas y aumentará tus oportunidades laborales.")</f>
        <v>🚀 Buenísimo, *EXCEL AVANZ* es de las competencias más pedidas por las empresas y aumentará tus oportunidades laborales.</v>
      </c>
      <c r="AN384" s="5" t="str">
        <f>IFERROR(__xludf.DUMMYFUNCTION("""COMPUTED_VALUE"""),"🔑 ¡Genial! Con *EXCEL AVANZ* sumarás una habilidad poderosa que te diferenciará desde la universidad.")</f>
        <v>🔑 ¡Genial! Con *EXCEL AVANZ* sumarás una habilidad poderosa que te diferenciará desde la universidad.</v>
      </c>
      <c r="AO384" s="5" t="str">
        <f>IFERROR(__xludf.DUMMYFUNCTION("""COMPUTED_VALUE"""),"📘 ¡Perfecto! Saber *EXCEL AVANZ* te dará ventaja frente a otros postulantes para conseguir prácticas.")</f>
        <v>📘 ¡Perfecto! Saber *EXCEL AVANZ* te dará ventaja frente a otros postulantes para conseguir prácticas.</v>
      </c>
      <c r="AP384" s="5" t="str">
        <f>IFERROR(__xludf.DUMMYFUNCTION("""COMPUTED_VALUE"""),"🌍 ¡Excelente! Con *EXCEL AVANZ* podrás aplicarlo en tu negocio y tomar decisiones más inteligentes.")</f>
        <v>🌍 ¡Excelente! Con *EXCEL AVANZ* podrás aplicarlo en tu negocio y tomar decisiones más inteligentes.</v>
      </c>
      <c r="AQ384" s="9" t="str">
        <f>IFERROR(__xludf.DUMMYFUNCTION("""COMPUTED_VALUE"""),"https://we-educacion.com/slides/microsoft-excel-avanzado-59")</f>
        <v>https://we-educacion.com/slides/microsoft-excel-avanzado-59</v>
      </c>
      <c r="AR384" s="5">
        <v>1.0</v>
      </c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</row>
    <row r="385" ht="15.75" customHeight="1">
      <c r="A385" s="5" t="s">
        <v>427</v>
      </c>
      <c r="B385" s="5" t="str">
        <f t="shared" si="1"/>
        <v>MAY. I - ED26</v>
      </c>
      <c r="C385" s="14" t="str">
        <f>IFERROR(__xludf.DUMMYFUNCTION("""COMPUTED_VALUE"""),"SAP")</f>
        <v>SAP</v>
      </c>
      <c r="D385" s="14" t="str">
        <f>IFERROR(__xludf.DUMMYFUNCTION("""COMPUTED_VALUE"""),"CURSO")</f>
        <v>CURSO</v>
      </c>
      <c r="E385" s="14" t="str">
        <f>IFERROR(__xludf.DUMMYFUNCTION("""COMPUTED_VALUE"""),"SAP HANA FI")</f>
        <v>SAP HANA FI</v>
      </c>
      <c r="F385" s="15">
        <f>IFERROR(__xludf.DUMMYFUNCTION("""COMPUTED_VALUE"""),46172.0)</f>
        <v>46172</v>
      </c>
      <c r="G385" s="14"/>
      <c r="H385" s="16"/>
      <c r="I385" s="14"/>
      <c r="J385" s="16"/>
      <c r="K385" s="14"/>
      <c r="L385" s="16"/>
      <c r="M385" s="14"/>
      <c r="N385" s="16"/>
      <c r="O385" s="14"/>
      <c r="P385" s="16"/>
      <c r="Q385" s="14"/>
      <c r="R385" s="5" t="str">
        <f>IFERROR(__xludf.DUMMYFUNCTION("""COMPUTED_VALUE"""),"Sáb")</f>
        <v>Sáb</v>
      </c>
      <c r="S385" s="14" t="str">
        <f>IFERROR(__xludf.DUMMYFUNCTION("""COMPUTED_VALUE"""),"3PM - 6PM")</f>
        <v>3PM - 6PM</v>
      </c>
      <c r="T385" s="16" t="str">
        <f>IFERROR(__xludf.DUMMYFUNCTION("""COMPUTED_VALUE"""),"Sábado 30 Mayo")</f>
        <v>Sábado 30 Mayo</v>
      </c>
      <c r="U385" s="16" t="str">
        <f>IFERROR(__xludf.DUMMYFUNCTION("""COMPUTED_VALUE"""),"Sábado 4 Julio")</f>
        <v>Sábado 4 Julio</v>
      </c>
      <c r="V385" s="17">
        <f>IFERROR(__xludf.DUMMYFUNCTION("""COMPUTED_VALUE"""),6.0)</f>
        <v>6</v>
      </c>
      <c r="W385" s="5" t="str">
        <f>IFERROR(__xludf.DUMMYFUNCTION("""COMPUTED_VALUE"""),"pdfs/BROCHURE SAP HANA FI MODULO FINANZAS.pdf")</f>
        <v>pdfs/BROCHURE SAP HANA FI MODULO FINANZAS.pdf</v>
      </c>
      <c r="X385" s="18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385" s="14" t="str">
        <f>IFERROR(__xludf.DUMMYFUNCTION("""COMPUTED_VALUE"""),"images/sapfi.jpg")</f>
        <v>images/sapfi.jpg</v>
      </c>
      <c r="Z385" s="14" t="str">
        <f>IFERROR(__xludf.DUMMYFUNCTION("""COMPUTED_VALUE"""),"Avalado por SAP Partner Open")</f>
        <v>Avalado por SAP Partner Open</v>
      </c>
      <c r="AA385" s="14" t="str">
        <f>IFERROR(__xludf.DUMMYFUNCTION("""COMPUTED_VALUE"""),"NO")</f>
        <v>NO</v>
      </c>
      <c r="AB385" s="14">
        <f>IFERROR(__xludf.DUMMYFUNCTION("""COMPUTED_VALUE"""),900.0)</f>
        <v>900</v>
      </c>
      <c r="AC385" s="14">
        <f>IFERROR(__xludf.DUMMYFUNCTION("""COMPUTED_VALUE"""),750.0)</f>
        <v>750</v>
      </c>
      <c r="AD385" s="14">
        <f>IFERROR(__xludf.DUMMYFUNCTION("""COMPUTED_VALUE"""),450.0)</f>
        <v>450</v>
      </c>
      <c r="AE385" s="14">
        <f>IFERROR(__xludf.DUMMYFUNCTION("""COMPUTED_VALUE"""),375.0)</f>
        <v>375</v>
      </c>
      <c r="AF385" s="14">
        <f>IFERROR(__xludf.DUMMYFUNCTION("""COMPUTED_VALUE"""),150.0)</f>
        <v>150</v>
      </c>
      <c r="AG385" s="19">
        <f>IFERROR(__xludf.DUMMYFUNCTION("""COMPUTED_VALUE"""),150.0)</f>
        <v>150</v>
      </c>
      <c r="AH385" s="20"/>
      <c r="AI385" s="5">
        <f>IFERROR(__xludf.DUMMYFUNCTION("""COMPUTED_VALUE"""),337.5)</f>
        <v>337.5</v>
      </c>
      <c r="AJ385" s="5">
        <f>IFERROR(__xludf.DUMMYFUNCTION("""COMPUTED_VALUE"""),405.0)</f>
        <v>405</v>
      </c>
      <c r="AK385" s="5" t="str">
        <f>IFERROR(__xludf.DUMMYFUNCTION("""COMPUTED_VALUE"""),"El lenguaje financiero global se habla con SAP HANA FI 💼
Con este programa aprenderás a gestionar contabilidad y finanzas de forma práctica en SAP 🚀.
Aquí la información completa 👇🏻")</f>
        <v>El lenguaje financiero global se habla con SAP HANA FI 💼
Con este programa aprenderás a gestionar contabilidad y finanzas de forma práctica en SAP 🚀.
Aquí la información completa 👇🏻</v>
      </c>
      <c r="AL385" s="5" t="str">
        <f>IFERROR(__xludf.DUMMYFUNCTION("""COMPUTED_VALUE"""),"💰 Excelente, actualízate con SAP FI y domina la gestión financiera en SAP.")</f>
        <v>💰 Excelente, actualízate con SAP FI y domina la gestión financiera en SAP.</v>
      </c>
      <c r="AM385" s="5" t="str">
        <f>IFERROR(__xludf.DUMMYFUNCTION("""COMPUTED_VALUE"""),"💼 Buenísimo, SAP FI es clave en empresas que manejan contabilidad y finanzas.")</f>
        <v>💼 Buenísimo, SAP FI es clave en empresas que manejan contabilidad y finanzas.</v>
      </c>
      <c r="AN385" s="5" t="str">
        <f>IFERROR(__xludf.DUMMYFUNCTION("""COMPUTED_VALUE"""),"🎓 ¡Genial! Aprender SAP FI en la universidad fortalecerá tu perfil en finanzas.")</f>
        <v>🎓 ¡Genial! Aprender SAP FI en la universidad fortalecerá tu perfil en finanzas.</v>
      </c>
      <c r="AO385" s="5" t="str">
        <f>IFERROR(__xludf.DUMMYFUNCTION("""COMPUTED_VALUE"""),"🚀 ¡Perfecto! Con SAP FI tendrás ventaja en prácticas de contabilidad y finanzas.")</f>
        <v>🚀 ¡Perfecto! Con SAP FI tendrás ventaja en prácticas de contabilidad y finanzas.</v>
      </c>
      <c r="AP385" s="5" t="str">
        <f>IFERROR(__xludf.DUMMYFUNCTION("""COMPUTED_VALUE"""),"📊 ¡Excelente! Con SAP FI podrás llevar la contabilidad de tu negocio con precisión.")</f>
        <v>📊 ¡Excelente! Con SAP FI podrás llevar la contabilidad de tu negocio con precisión.</v>
      </c>
      <c r="AQ385" s="9" t="str">
        <f>IFERROR(__xludf.DUMMYFUNCTION("""COMPUTED_VALUE"""),"https://we-educacion.com/slides/sap-s-4-hana-fi-54")</f>
        <v>https://we-educacion.com/slides/sap-s-4-hana-fi-54</v>
      </c>
      <c r="AR385" s="5">
        <v>1.0</v>
      </c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</row>
    <row r="386" ht="15.75" customHeight="1">
      <c r="A386" s="5" t="s">
        <v>428</v>
      </c>
      <c r="B386" s="5" t="str">
        <f t="shared" si="1"/>
        <v>MAY. I - ED26</v>
      </c>
      <c r="C386" s="14" t="str">
        <f>IFERROR(__xludf.DUMMYFUNCTION("""COMPUTED_VALUE"""),"SAP")</f>
        <v>SAP</v>
      </c>
      <c r="D386" s="20" t="str">
        <f>IFERROR(__xludf.DUMMYFUNCTION("""COMPUTED_VALUE"""),"CURSO")</f>
        <v>CURSO</v>
      </c>
      <c r="E386" s="14" t="str">
        <f>IFERROR(__xludf.DUMMYFUNCTION("""COMPUTED_VALUE"""),"SAP HANA PM")</f>
        <v>SAP HANA PM</v>
      </c>
      <c r="F386" s="15">
        <f>IFERROR(__xludf.DUMMYFUNCTION("""COMPUTED_VALUE"""),46172.0)</f>
        <v>46172</v>
      </c>
      <c r="G386" s="14"/>
      <c r="H386" s="16"/>
      <c r="I386" s="14"/>
      <c r="J386" s="16"/>
      <c r="K386" s="14"/>
      <c r="L386" s="16"/>
      <c r="M386" s="14"/>
      <c r="N386" s="16"/>
      <c r="O386" s="14"/>
      <c r="P386" s="16"/>
      <c r="Q386" s="14"/>
      <c r="R386" s="5" t="str">
        <f>IFERROR(__xludf.DUMMYFUNCTION("""COMPUTED_VALUE"""),"Sáb")</f>
        <v>Sáb</v>
      </c>
      <c r="S386" s="14" t="str">
        <f>IFERROR(__xludf.DUMMYFUNCTION("""COMPUTED_VALUE"""),"3PM - 6PM")</f>
        <v>3PM - 6PM</v>
      </c>
      <c r="T386" s="16" t="str">
        <f>IFERROR(__xludf.DUMMYFUNCTION("""COMPUTED_VALUE"""),"Sábado 30 Mayo")</f>
        <v>Sábado 30 Mayo</v>
      </c>
      <c r="U386" s="16" t="str">
        <f>IFERROR(__xludf.DUMMYFUNCTION("""COMPUTED_VALUE"""),"Sábado 4 Julio")</f>
        <v>Sábado 4 Julio</v>
      </c>
      <c r="V386" s="17">
        <f>IFERROR(__xludf.DUMMYFUNCTION("""COMPUTED_VALUE"""),6.0)</f>
        <v>6</v>
      </c>
      <c r="W386" s="5" t="str">
        <f>IFERROR(__xludf.DUMMYFUNCTION("""COMPUTED_VALUE"""),"pdfs/BROCHURE SAP S4 HANA PM.pdf")</f>
        <v>pdfs/BROCHURE SAP S4 HANA PM.pdf</v>
      </c>
      <c r="X386" s="18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386" s="14" t="str">
        <f>IFERROR(__xludf.DUMMYFUNCTION("""COMPUTED_VALUE"""),"images/sappm.jpg")</f>
        <v>images/sappm.jpg</v>
      </c>
      <c r="Z386" s="14" t="str">
        <f>IFERROR(__xludf.DUMMYFUNCTION("""COMPUTED_VALUE"""),"Avalado por SAP Partner Open")</f>
        <v>Avalado por SAP Partner Open</v>
      </c>
      <c r="AA386" s="14" t="str">
        <f>IFERROR(__xludf.DUMMYFUNCTION("""COMPUTED_VALUE"""),"NO")</f>
        <v>NO</v>
      </c>
      <c r="AB386" s="14">
        <f>IFERROR(__xludf.DUMMYFUNCTION("""COMPUTED_VALUE"""),900.0)</f>
        <v>900</v>
      </c>
      <c r="AC386" s="14">
        <f>IFERROR(__xludf.DUMMYFUNCTION("""COMPUTED_VALUE"""),750.0)</f>
        <v>750</v>
      </c>
      <c r="AD386" s="14">
        <f>IFERROR(__xludf.DUMMYFUNCTION("""COMPUTED_VALUE"""),450.0)</f>
        <v>450</v>
      </c>
      <c r="AE386" s="14">
        <f>IFERROR(__xludf.DUMMYFUNCTION("""COMPUTED_VALUE"""),375.0)</f>
        <v>375</v>
      </c>
      <c r="AF386" s="14">
        <f>IFERROR(__xludf.DUMMYFUNCTION("""COMPUTED_VALUE"""),150.0)</f>
        <v>150</v>
      </c>
      <c r="AG386" s="19">
        <f>IFERROR(__xludf.DUMMYFUNCTION("""COMPUTED_VALUE"""),150.0)</f>
        <v>150</v>
      </c>
      <c r="AH386" s="20"/>
      <c r="AI386" s="5">
        <f>IFERROR(__xludf.DUMMYFUNCTION("""COMPUTED_VALUE"""),337.5)</f>
        <v>337.5</v>
      </c>
      <c r="AJ386" s="5">
        <f>IFERROR(__xludf.DUMMYFUNCTION("""COMPUTED_VALUE"""),405.0)</f>
        <v>405</v>
      </c>
      <c r="AK386" s="5" t="str">
        <f>IFERROR(__xludf.DUMMYFUNCTION("""COMPUTED_VALUE"""),"El lenguaje del mantenimiento eficiente es SAP HANA PM ⚙️
Aprenderás a planificar, controlar y optimizar la gestión de mantenimiento en empresas reales 🚀.
Aquí tienes la información 👇🏻")</f>
        <v>El lenguaje del mantenimiento eficiente es SAP HANA PM ⚙️
Aprenderás a planificar, controlar y optimizar la gestión de mantenimiento en empresas reales 🚀.
Aquí tienes la información 👇🏻</v>
      </c>
      <c r="AL386" s="5" t="str">
        <f>IFERROR(__xludf.DUMMYFUNCTION("""COMPUTED_VALUE"""),"🛠️ Excelente, actualízate con SAP PM y domina el mantenimiento de planta y equipos.")</f>
        <v>🛠️ Excelente, actualízate con SAP PM y domina el mantenimiento de planta y equipos.</v>
      </c>
      <c r="AM386" s="5" t="str">
        <f>IFERROR(__xludf.DUMMYFUNCTION("""COMPUTED_VALUE"""),"💼 Buenísimo, SAP PM es clave en empresas de manufactura y energía.")</f>
        <v>💼 Buenísimo, SAP PM es clave en empresas de manufactura y energía.</v>
      </c>
      <c r="AN386" s="5" t="str">
        <f>IFERROR(__xludf.DUMMYFUNCTION("""COMPUTED_VALUE"""),"🎓 ¡Genial! Con SAP PM aprenderás mantenimiento productivo desde la universidad.")</f>
        <v>🎓 ¡Genial! Con SAP PM aprenderás mantenimiento productivo desde la universidad.</v>
      </c>
      <c r="AO386" s="5" t="str">
        <f>IFERROR(__xludf.DUMMYFUNCTION("""COMPUTED_VALUE"""),"🚀 ¡Perfecto! Saber SAP PM te dará ventaja en prácticas en gestión de operaciones.")</f>
        <v>🚀 ¡Perfecto! Saber SAP PM te dará ventaja en prácticas en gestión de operaciones.</v>
      </c>
      <c r="AP386" s="5" t="str">
        <f>IFERROR(__xludf.DUMMYFUNCTION("""COMPUTED_VALUE"""),"📊 ¡Excelente! Con SAP PM podrás planificar y optimizar el mantenimiento en tu negocio.")</f>
        <v>📊 ¡Excelente! Con SAP PM podrás planificar y optimizar el mantenimiento en tu negocio.</v>
      </c>
      <c r="AQ386" s="9" t="str">
        <f>IFERROR(__xludf.DUMMYFUNCTION("""COMPUTED_VALUE"""),"https://we-educacion.com/slides/sap-s-4-hana-pm-1127")</f>
        <v>https://we-educacion.com/slides/sap-s-4-hana-pm-1127</v>
      </c>
      <c r="AR386" s="5">
        <v>1.0</v>
      </c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</row>
    <row r="387" ht="15.75" customHeight="1">
      <c r="A387" s="5" t="s">
        <v>429</v>
      </c>
      <c r="B387" s="5" t="str">
        <f t="shared" si="1"/>
        <v>MAY. I - ED26</v>
      </c>
      <c r="C387" s="14" t="str">
        <f>IFERROR(__xludf.DUMMYFUNCTION("""COMPUTED_VALUE"""),"EXCEL")</f>
        <v>EXCEL</v>
      </c>
      <c r="D387" s="14" t="str">
        <f>IFERROR(__xludf.DUMMYFUNCTION("""COMPUTED_VALUE"""),"ESP.")</f>
        <v>ESP.</v>
      </c>
      <c r="E387" s="14" t="str">
        <f>IFERROR(__xludf.DUMMYFUNCTION("""COMPUTED_VALUE"""),"ESP. MACROS")</f>
        <v>ESP. MACROS</v>
      </c>
      <c r="F387" s="15">
        <f>IFERROR(__xludf.DUMMYFUNCTION("""COMPUTED_VALUE"""),46172.0)</f>
        <v>46172</v>
      </c>
      <c r="G387" s="14" t="str">
        <f>IFERROR(__xludf.DUMMYFUNCTION("""COMPUTED_VALUE"""),"EXCEL AVANZ")</f>
        <v>EXCEL AVANZ</v>
      </c>
      <c r="H387" s="16">
        <f>IFERROR(__xludf.DUMMYFUNCTION("""COMPUTED_VALUE"""),46172.0)</f>
        <v>46172</v>
      </c>
      <c r="I387" s="14" t="str">
        <f>IFERROR(__xludf.DUMMYFUNCTION("""COMPUTED_VALUE"""),"PROG. MACROS")</f>
        <v>PROG. MACROS</v>
      </c>
      <c r="J387" s="16">
        <f>IFERROR(__xludf.DUMMYFUNCTION("""COMPUTED_VALUE"""),46214.0)</f>
        <v>46214</v>
      </c>
      <c r="K387" s="14"/>
      <c r="L387" s="16"/>
      <c r="M387" s="14"/>
      <c r="N387" s="16"/>
      <c r="O387" s="14"/>
      <c r="P387" s="16"/>
      <c r="Q387" s="14"/>
      <c r="R387" s="5" t="str">
        <f>IFERROR(__xludf.DUMMYFUNCTION("""COMPUTED_VALUE"""),"Sáb")</f>
        <v>Sáb</v>
      </c>
      <c r="S387" s="14" t="str">
        <f>IFERROR(__xludf.DUMMYFUNCTION("""COMPUTED_VALUE"""),"3PM - 6PM")</f>
        <v>3PM - 6PM</v>
      </c>
      <c r="T387" s="16" t="str">
        <f>IFERROR(__xludf.DUMMYFUNCTION("""COMPUTED_VALUE"""),"Sábado 30 Mayo")</f>
        <v>Sábado 30 Mayo</v>
      </c>
      <c r="U387" s="16" t="str">
        <f>IFERROR(__xludf.DUMMYFUNCTION("""COMPUTED_VALUE"""),"Sábado 15 Agosto")</f>
        <v>Sábado 15 Agosto</v>
      </c>
      <c r="V387" s="17">
        <f>IFERROR(__xludf.DUMMYFUNCTION("""COMPUTED_VALUE"""),12.0)</f>
        <v>12</v>
      </c>
      <c r="W387" s="5" t="str">
        <f>IFERROR(__xludf.DUMMYFUNCTION("""COMPUTED_VALUE"""),"pdfs/BROCHURE ESPECIALIZACIÓN EN AUTOMATIZACIÓN CON MACROS EN EXCEL.pdf")</f>
        <v>pdfs/BROCHURE ESPECIALIZACIÓN EN AUTOMATIZACIÓN CON MACROS EN EXCEL.pdf</v>
      </c>
      <c r="X387" s="18" t="str">
        <f>IFERROR(__xludf.DUMMYFUNCTION("""COMPUTED_VALUE"""),"🔵 *Conoce TODOS los BENEFICIOS a los que accedes*
🔹 Acceso a *Campus Virtual* WE 👩🏻‍🏫
🔹 Material digital y grabación de clases 
🔹 Certificados digitales con respaldo *Microsoft Partner*
🔹 04 Cursos Online de regalo con acceso ilimitado 📚
🔹 Desa"&amp;"rrollo y seguimiento de tu proyecto *(Evaluado)*
🔹 Contenido Integrado con Chat GPT
🔹 Garantía de Aprendizaje 100%
🔹 *Utilizarán Excel* 👩🏻‍💻
🚨 *Por favor, revisa el BROCHURE* 👇🏻
Aqui encontrarás la información completa del programa, el TEMARIO "&amp;"(malla curricular) y todos los BENEFICIOS 📚")</f>
        <v>🔵 *Conoce TODOS los BENEFICIOS a los que accedes*
🔹 Acceso a *Campus Virtual* WE 👩🏻‍🏫
🔹 Material digital y grabación de clases 
🔹 Certificados digitales con respaldo *Microsoft Partner*
🔹 04 Cursos Online de regalo con acceso ilimitado 📚
🔹 Desarrollo y seguimiento de tu proyecto *(Evaluado)*
🔹 Contenido Integrado con Chat GPT
🔹 Garantía de Aprendizaje 100%
🔹 *Utilizarán Excel* 👩🏻‍💻
🚨 *Por favor, revisa el BROCHURE* 👇🏻
Aqui encontrarás la información completa del programa, el TEMARIO (malla curricular) y todos los BENEFICIOS 📚</v>
      </c>
      <c r="Y387" s="14" t="str">
        <f>IFERROR(__xludf.DUMMYFUNCTION("""COMPUTED_VALUE"""),"images/espmacros.jpg")</f>
        <v>images/espmacros.jpg</v>
      </c>
      <c r="Z387" s="14" t="str">
        <f>IFERROR(__xludf.DUMMYFUNCTION("""COMPUTED_VALUE"""),"Avalado por Microsoft Partner Network")</f>
        <v>Avalado por Microsoft Partner Network</v>
      </c>
      <c r="AA387" s="14" t="str">
        <f>IFERROR(__xludf.DUMMYFUNCTION("""COMPUTED_VALUE"""),"NO")</f>
        <v>NO</v>
      </c>
      <c r="AB387" s="14">
        <f>IFERROR(__xludf.DUMMYFUNCTION("""COMPUTED_VALUE"""),890.0)</f>
        <v>890</v>
      </c>
      <c r="AC387" s="14">
        <f>IFERROR(__xludf.DUMMYFUNCTION("""COMPUTED_VALUE"""),840.0)</f>
        <v>840</v>
      </c>
      <c r="AD387" s="14">
        <f>IFERROR(__xludf.DUMMYFUNCTION("""COMPUTED_VALUE"""),445.0)</f>
        <v>445</v>
      </c>
      <c r="AE387" s="14">
        <f>IFERROR(__xludf.DUMMYFUNCTION("""COMPUTED_VALUE"""),420.0)</f>
        <v>420</v>
      </c>
      <c r="AF387" s="14">
        <f>IFERROR(__xludf.DUMMYFUNCTION("""COMPUTED_VALUE"""),250.0)</f>
        <v>250</v>
      </c>
      <c r="AG387" s="19">
        <f>IFERROR(__xludf.DUMMYFUNCTION("""COMPUTED_VALUE"""),350.0)</f>
        <v>350</v>
      </c>
      <c r="AH387" s="20"/>
      <c r="AI387" s="5">
        <f>IFERROR(__xludf.DUMMYFUNCTION("""COMPUTED_VALUE"""),378.0)</f>
        <v>378</v>
      </c>
      <c r="AJ387" s="5">
        <f>IFERROR(__xludf.DUMMYFUNCTION("""COMPUTED_VALUE"""),400.5)</f>
        <v>400.5</v>
      </c>
      <c r="AK387" s="5" t="str">
        <f>IFERROR(__xludf.DUMMYFUNCTION("""COMPUTED_VALUE"""),"La automatización es la nueva productividad ⚡
Aprende a crear Macros en Excel para optimizar reportes y procesos repetitivos 📑
👉🏻 Aquí tienes la información completa.")</f>
        <v>La automatización es la nueva productividad ⚡
Aprende a crear Macros en Excel para optimizar reportes y procesos repetitivos 📑
👉🏻 Aquí tienes la información completa.</v>
      </c>
      <c r="AL387" s="5" t="str">
        <f>IFERROR(__xludf.DUMMYFUNCTION("""COMPUTED_VALUE"""),"📊 Excelente, actualízate en Macros de Excel y automatiza procesos al máximo.")</f>
        <v>📊 Excelente, actualízate en Macros de Excel y automatiza procesos al máximo.</v>
      </c>
      <c r="AM387" s="5" t="str">
        <f>IFERROR(__xludf.DUMMYFUNCTION("""COMPUTED_VALUE"""),"💼 Buenísimo, muy demandado en gestión de datos y reportes.")</f>
        <v>💼 Buenísimo, muy demandado en gestión de datos y reportes.</v>
      </c>
      <c r="AN387" s="5" t="str">
        <f>IFERROR(__xludf.DUMMYFUNCTION("""COMPUTED_VALUE"""),"⚡ Genial, te dará ventaja en automatización de tareas complejas.")</f>
        <v>⚡ Genial, te dará ventaja en automatización de tareas complejas.</v>
      </c>
      <c r="AO387" s="5" t="str">
        <f>IFERROR(__xludf.DUMMYFUNCTION("""COMPUTED_VALUE"""),"🚀 Perfecto, tener macros es un plus en prácticas de oficina y análisis.")</f>
        <v>🚀 Perfecto, tener macros es un plus en prácticas de oficina y análisis.</v>
      </c>
      <c r="AP387" s="5" t="str">
        <f>IFERROR(__xludf.DUMMYFUNCTION("""COMPUTED_VALUE"""),"📈 Excelente, con macros podrás ahorrar tiempo y gestionar tu negocio mejor.")</f>
        <v>📈 Excelente, con macros podrás ahorrar tiempo y gestionar tu negocio mejor.</v>
      </c>
      <c r="AQ387" s="9" t="str">
        <f>IFERROR(__xludf.DUMMYFUNCTION("""COMPUTED_VALUE"""),"https://we-educacion.com/slides/especializacion-en-vba-macros-en-excel-160")</f>
        <v>https://we-educacion.com/slides/especializacion-en-vba-macros-en-excel-160</v>
      </c>
      <c r="AR387" s="5">
        <v>1.0</v>
      </c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</row>
    <row r="388" ht="15.75" customHeight="1">
      <c r="A388" s="5" t="s">
        <v>430</v>
      </c>
      <c r="B388" s="5" t="str">
        <f t="shared" si="1"/>
        <v>MAY. III - ED26</v>
      </c>
      <c r="C388" s="14" t="str">
        <f>IFERROR(__xludf.DUMMYFUNCTION("""COMPUTED_VALUE"""),"EXCEL")</f>
        <v>EXCEL</v>
      </c>
      <c r="D388" s="14" t="str">
        <f>IFERROR(__xludf.DUMMYFUNCTION("""COMPUTED_VALUE"""),"CURSO")</f>
        <v>CURSO</v>
      </c>
      <c r="E388" s="14" t="str">
        <f>IFERROR(__xludf.DUMMYFUNCTION("""COMPUTED_VALUE"""),"EXCEL AVANZ")</f>
        <v>EXCEL AVANZ</v>
      </c>
      <c r="F388" s="15">
        <f>IFERROR(__xludf.DUMMYFUNCTION("""COMPUTED_VALUE"""),46172.0)</f>
        <v>46172</v>
      </c>
      <c r="G388" s="14"/>
      <c r="H388" s="16"/>
      <c r="I388" s="14"/>
      <c r="J388" s="16"/>
      <c r="K388" s="14"/>
      <c r="L388" s="16"/>
      <c r="M388" s="14"/>
      <c r="N388" s="16"/>
      <c r="O388" s="14"/>
      <c r="P388" s="16"/>
      <c r="Q388" s="14"/>
      <c r="R388" s="5" t="str">
        <f>IFERROR(__xludf.DUMMYFUNCTION("""COMPUTED_VALUE"""),"Sáb")</f>
        <v>Sáb</v>
      </c>
      <c r="S388" s="14" t="str">
        <f>IFERROR(__xludf.DUMMYFUNCTION("""COMPUTED_VALUE"""),"3PM - 6PM")</f>
        <v>3PM - 6PM</v>
      </c>
      <c r="T388" s="16" t="str">
        <f>IFERROR(__xludf.DUMMYFUNCTION("""COMPUTED_VALUE"""),"Sábado 30 Mayo")</f>
        <v>Sábado 30 Mayo</v>
      </c>
      <c r="U388" s="16" t="str">
        <f>IFERROR(__xludf.DUMMYFUNCTION("""COMPUTED_VALUE"""),"Sábado 4 Julio")</f>
        <v>Sábado 4 Julio</v>
      </c>
      <c r="V388" s="17">
        <f>IFERROR(__xludf.DUMMYFUNCTION("""COMPUTED_VALUE"""),6.0)</f>
        <v>6</v>
      </c>
      <c r="W388" s="5" t="str">
        <f>IFERROR(__xludf.DUMMYFUNCTION("""COMPUTED_VALUE"""),"pdfs/BROCHURE EXCEL AVANZADO.pdf")</f>
        <v>pdfs/BROCHURE EXCEL AVANZADO.pdf</v>
      </c>
      <c r="X388" s="18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388" s="14" t="str">
        <f>IFERROR(__xludf.DUMMYFUNCTION("""COMPUTED_VALUE"""),"images/excelavanz.jpg")</f>
        <v>images/excelavanz.jpg</v>
      </c>
      <c r="Z388" s="14" t="str">
        <f>IFERROR(__xludf.DUMMYFUNCTION("""COMPUTED_VALUE"""),"Avalado por Microsoft Partner Network")</f>
        <v>Avalado por Microsoft Partner Network</v>
      </c>
      <c r="AA388" s="14" t="str">
        <f>IFERROR(__xludf.DUMMYFUNCTION("""COMPUTED_VALUE"""),"NO")</f>
        <v>NO</v>
      </c>
      <c r="AB388" s="14">
        <f>IFERROR(__xludf.DUMMYFUNCTION("""COMPUTED_VALUE"""),420.0)</f>
        <v>420</v>
      </c>
      <c r="AC388" s="14">
        <f>IFERROR(__xludf.DUMMYFUNCTION("""COMPUTED_VALUE"""),400.0)</f>
        <v>400</v>
      </c>
      <c r="AD388" s="14">
        <f>IFERROR(__xludf.DUMMYFUNCTION("""COMPUTED_VALUE"""),210.0)</f>
        <v>210</v>
      </c>
      <c r="AE388" s="14">
        <f>IFERROR(__xludf.DUMMYFUNCTION("""COMPUTED_VALUE"""),200.0)</f>
        <v>200</v>
      </c>
      <c r="AF388" s="14">
        <f>IFERROR(__xludf.DUMMYFUNCTION("""COMPUTED_VALUE"""),150.0)</f>
        <v>150</v>
      </c>
      <c r="AG388" s="19">
        <f>IFERROR(__xludf.DUMMYFUNCTION("""COMPUTED_VALUE"""),150.0)</f>
        <v>150</v>
      </c>
      <c r="AH388" s="20"/>
      <c r="AI388" s="5">
        <f>IFERROR(__xludf.DUMMYFUNCTION("""COMPUTED_VALUE"""),180.0)</f>
        <v>180</v>
      </c>
      <c r="AJ388" s="5">
        <f>IFERROR(__xludf.DUMMYFUNCTION("""COMPUTED_VALUE"""),189.0)</f>
        <v>189</v>
      </c>
      <c r="AK388" s="5" t="str">
        <f>IFERROR(__xludf.DUMMYFUNCTION("""COMPUTED_VALUE"""),"El lenguaje de la eficiencia es Excel Avanzado 🔥
Aprenderás funciones complejas, tablas dinámicas y automatización aplicadas a negocios reales 💼.
Aquí tienes la info 👇🏻")</f>
        <v>El lenguaje de la eficiencia es Excel Avanzado 🔥
Aprenderás funciones complejas, tablas dinámicas y automatización aplicadas a negocios reales 💼.
Aquí tienes la info 👇🏻</v>
      </c>
      <c r="AL388" s="5" t="str">
        <f>IFERROR(__xludf.DUMMYFUNCTION("""COMPUTED_VALUE"""),"🚀 *Excelente*, actualízate con *EXCEL AVANZ* y mantente competitivo en el mercado laboral.")</f>
        <v>🚀 *Excelente*, actualízate con *EXCEL AVANZ* y mantente competitivo en el mercado laboral.</v>
      </c>
      <c r="AM388" s="5" t="str">
        <f>IFERROR(__xludf.DUMMYFUNCTION("""COMPUTED_VALUE"""),"🚀 Buenísimo, *EXCEL AVANZ* es de las competencias más pedidas por las empresas y aumentará tus oportunidades laborales.")</f>
        <v>🚀 Buenísimo, *EXCEL AVANZ* es de las competencias más pedidas por las empresas y aumentará tus oportunidades laborales.</v>
      </c>
      <c r="AN388" s="5" t="str">
        <f>IFERROR(__xludf.DUMMYFUNCTION("""COMPUTED_VALUE"""),"🔑 ¡Genial! Con *EXCEL AVANZ* sumarás una habilidad poderosa que te diferenciará desde la universidad.")</f>
        <v>🔑 ¡Genial! Con *EXCEL AVANZ* sumarás una habilidad poderosa que te diferenciará desde la universidad.</v>
      </c>
      <c r="AO388" s="5" t="str">
        <f>IFERROR(__xludf.DUMMYFUNCTION("""COMPUTED_VALUE"""),"📘 ¡Perfecto! Saber *EXCEL AVANZ* te dará ventaja frente a otros postulantes para conseguir prácticas.")</f>
        <v>📘 ¡Perfecto! Saber *EXCEL AVANZ* te dará ventaja frente a otros postulantes para conseguir prácticas.</v>
      </c>
      <c r="AP388" s="5" t="str">
        <f>IFERROR(__xludf.DUMMYFUNCTION("""COMPUTED_VALUE"""),"🌍 ¡Excelente! Con *EXCEL AVANZ* podrás aplicarlo en tu negocio y tomar decisiones más inteligentes.")</f>
        <v>🌍 ¡Excelente! Con *EXCEL AVANZ* podrás aplicarlo en tu negocio y tomar decisiones más inteligentes.</v>
      </c>
      <c r="AQ388" s="9" t="str">
        <f>IFERROR(__xludf.DUMMYFUNCTION("""COMPUTED_VALUE"""),"https://we-educacion.com/slides/microsoft-excel-avanzado-59")</f>
        <v>https://we-educacion.com/slides/microsoft-excel-avanzado-59</v>
      </c>
      <c r="AR388" s="5">
        <v>1.0</v>
      </c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</row>
    <row r="389" ht="15.75" customHeight="1">
      <c r="A389" s="5" t="s">
        <v>431</v>
      </c>
      <c r="B389" s="5" t="str">
        <f t="shared" si="1"/>
        <v>MAY. I - ED26</v>
      </c>
      <c r="C389" s="14" t="str">
        <f>IFERROR(__xludf.DUMMYFUNCTION("""COMPUTED_VALUE"""),"PROYECTOS")</f>
        <v>PROYECTOS</v>
      </c>
      <c r="D389" s="14" t="str">
        <f>IFERROR(__xludf.DUMMYFUNCTION("""COMPUTED_VALUE"""),"CURSO")</f>
        <v>CURSO</v>
      </c>
      <c r="E389" s="14" t="str">
        <f>IFERROR(__xludf.DUMMYFUNCTION("""COMPUTED_VALUE"""),"PMO")</f>
        <v>PMO</v>
      </c>
      <c r="F389" s="15">
        <f>IFERROR(__xludf.DUMMYFUNCTION("""COMPUTED_VALUE"""),46173.0)</f>
        <v>46173</v>
      </c>
      <c r="G389" s="14"/>
      <c r="H389" s="16"/>
      <c r="I389" s="14"/>
      <c r="J389" s="16"/>
      <c r="K389" s="14"/>
      <c r="L389" s="16"/>
      <c r="M389" s="14"/>
      <c r="N389" s="16"/>
      <c r="O389" s="14"/>
      <c r="P389" s="16"/>
      <c r="Q389" s="14" t="str">
        <f>IFERROR(__xludf.DUMMYFUNCTION("""COMPUTED_VALUE"""),"Aurio de la Cruz")</f>
        <v>Aurio de la Cruz</v>
      </c>
      <c r="R389" s="5" t="str">
        <f>IFERROR(__xludf.DUMMYFUNCTION("""COMPUTED_VALUE"""),"Dom")</f>
        <v>Dom</v>
      </c>
      <c r="S389" s="14" t="str">
        <f>IFERROR(__xludf.DUMMYFUNCTION("""COMPUTED_VALUE"""),"9AM - 12PM")</f>
        <v>9AM - 12PM</v>
      </c>
      <c r="T389" s="16" t="str">
        <f>IFERROR(__xludf.DUMMYFUNCTION("""COMPUTED_VALUE"""),"Domingo 31 Mayo")</f>
        <v>Domingo 31 Mayo</v>
      </c>
      <c r="U389" s="16" t="str">
        <f>IFERROR(__xludf.DUMMYFUNCTION("""COMPUTED_VALUE"""),"Domingo 12 Julio")</f>
        <v>Domingo 12 Julio</v>
      </c>
      <c r="V389" s="17">
        <f>IFERROR(__xludf.DUMMYFUNCTION("""COMPUTED_VALUE"""),6.0)</f>
        <v>6</v>
      </c>
      <c r="W389" s="5" t="str">
        <f>IFERROR(__xludf.DUMMYFUNCTION("""COMPUTED_VALUE"""),"pdfs/BROCHURE PMO GESTIÓN DE PORTAFOLIO (1).pdf")</f>
        <v>pdfs/BROCHURE PMO GESTIÓN DE PORTAFOLIO (1).pdf</v>
      </c>
      <c r="X389" s="18" t="str">
        <f>IFERROR(__xludf.DUMMYFUNCTION("""COMPUTED_VALUE"""),"🔹 Utilizarán Excel 👩🏻‍💻
🚨 Por favor, revisa el BROCHURE 👇🏻
Aqui encontrarás la información completa del programa: Temario (malla curricular) y todos los BENEFICIOS 📚
👉🏼 Te comparto un Modelo de Certificado que elevará tu perfil profesional ")</f>
        <v>🔹 Utilizarán Excel 👩🏻‍💻
🚨 Por favor, revisa el BROCHURE 👇🏻
Aqui encontrarás la información completa del programa: Temario (malla curricular) y todos los BENEFICIOS 📚
👉🏼 Te comparto un Modelo de Certificado que elevará tu perfil profesional </v>
      </c>
      <c r="Y389" s="14"/>
      <c r="Z389" s="14"/>
      <c r="AA389" s="14"/>
      <c r="AB389" s="14">
        <f>IFERROR(__xludf.DUMMYFUNCTION("""COMPUTED_VALUE"""),710.0)</f>
        <v>710</v>
      </c>
      <c r="AC389" s="14">
        <f>IFERROR(__xludf.DUMMYFUNCTION("""COMPUTED_VALUE"""),610.0)</f>
        <v>610</v>
      </c>
      <c r="AD389" s="14">
        <f>IFERROR(__xludf.DUMMYFUNCTION("""COMPUTED_VALUE"""),355.0)</f>
        <v>355</v>
      </c>
      <c r="AE389" s="14">
        <f>IFERROR(__xludf.DUMMYFUNCTION("""COMPUTED_VALUE"""),305.0)</f>
        <v>305</v>
      </c>
      <c r="AF389" s="14">
        <f>IFERROR(__xludf.DUMMYFUNCTION("""COMPUTED_VALUE"""),150.0)</f>
        <v>150</v>
      </c>
      <c r="AG389" s="19">
        <f>IFERROR(__xludf.DUMMYFUNCTION("""COMPUTED_VALUE"""),150.0)</f>
        <v>150</v>
      </c>
      <c r="AH389" s="20"/>
      <c r="AI389" s="5">
        <f>IFERROR(__xludf.DUMMYFUNCTION("""COMPUTED_VALUE"""),274.5)</f>
        <v>274.5</v>
      </c>
      <c r="AJ389" s="5">
        <f>IFERROR(__xludf.DUMMYFUNCTION("""COMPUTED_VALUE"""),319.5)</f>
        <v>319.5</v>
      </c>
      <c r="AK389" s="5" t="str">
        <f>IFERROR(__xludf.DUMMYFUNCTION("""COMPUTED_VALUE"""),"El éxito en proyectos grandes nace de una Oficina de Proyectos sólida 📌
Con PMO aprenderás a estandarizar, supervisar y optimizar la gestión de proyectos en tu organización 🚀.
Aquí tienes la info 👇🏻")</f>
        <v>El éxito en proyectos grandes nace de una Oficina de Proyectos sólida 📌
Con PMO aprenderás a estandarizar, supervisar y optimizar la gestión de proyectos en tu organización 🚀.
Aquí tienes la info 👇🏻</v>
      </c>
      <c r="AL389" s="5" t="str">
        <f>IFERROR(__xludf.DUMMYFUNCTION("""COMPUTED_VALUE"""),"📈 Excelente, actualízate con PMO y aprende a estructurar la gestión de proyectos a nivel organizacional.")</f>
        <v>📈 Excelente, actualízate con PMO y aprende a estructurar la gestión de proyectos a nivel organizacional.</v>
      </c>
      <c r="AM389" s="5" t="str">
        <f>IFERROR(__xludf.DUMMYFUNCTION("""COMPUTED_VALUE"""),"💼 Buenísimo, PMO es clave para acceder a posiciones de gestión en grandes compañías.")</f>
        <v>💼 Buenísimo, PMO es clave para acceder a posiciones de gestión en grandes compañías.</v>
      </c>
      <c r="AN389" s="5" t="str">
        <f>IFERROR(__xludf.DUMMYFUNCTION("""COMPUTED_VALUE"""),"🎓 ¡Genial! Con PMO tendrás conocimientos que te diferenciarán en la universidad.")</f>
        <v>🎓 ¡Genial! Con PMO tendrás conocimientos que te diferenciarán en la universidad.</v>
      </c>
      <c r="AO389" s="5" t="str">
        <f>IFERROR(__xludf.DUMMYFUNCTION("""COMPUTED_VALUE"""),"🚀 ¡Perfecto! Manejar PMO será un plus en postulaciones a prácticas en proyectos.")</f>
        <v>🚀 ¡Perfecto! Manejar PMO será un plus en postulaciones a prácticas en proyectos.</v>
      </c>
      <c r="AP389" s="5" t="str">
        <f>IFERROR(__xludf.DUMMYFUNCTION("""COMPUTED_VALUE"""),"📊 ¡Excelente! Con PMO podrás implementar mejores procesos de gestión en tu propio negocio.")</f>
        <v>📊 ¡Excelente! Con PMO podrás implementar mejores procesos de gestión en tu propio negocio.</v>
      </c>
      <c r="AQ389" s="9" t="str">
        <f>IFERROR(__xludf.DUMMYFUNCTION("""COMPUTED_VALUE"""),"https://we-educacion.com/slides/pmo-gestion-de-portafolio-y-oficina-de-proyectos-1213")</f>
        <v>https://we-educacion.com/slides/pmo-gestion-de-portafolio-y-oficina-de-proyectos-1213</v>
      </c>
      <c r="AR389" s="5">
        <v>1.0</v>
      </c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</row>
    <row r="390" ht="15.75" customHeight="1">
      <c r="A390" s="5" t="s">
        <v>432</v>
      </c>
      <c r="B390" s="5" t="str">
        <f t="shared" si="1"/>
        <v>MAY. II - ED26</v>
      </c>
      <c r="C390" s="14" t="str">
        <f>IFERROR(__xludf.DUMMYFUNCTION("""COMPUTED_VALUE"""),"BI")</f>
        <v>BI</v>
      </c>
      <c r="D390" s="14" t="str">
        <f>IFERROR(__xludf.DUMMYFUNCTION("""COMPUTED_VALUE"""),"CURSO")</f>
        <v>CURSO</v>
      </c>
      <c r="E390" s="14" t="str">
        <f>IFERROR(__xludf.DUMMYFUNCTION("""COMPUTED_VALUE"""),"POWER BI")</f>
        <v>POWER BI</v>
      </c>
      <c r="F390" s="15">
        <f>IFERROR(__xludf.DUMMYFUNCTION("""COMPUTED_VALUE"""),46173.0)</f>
        <v>46173</v>
      </c>
      <c r="G390" s="14"/>
      <c r="H390" s="16"/>
      <c r="I390" s="14"/>
      <c r="J390" s="16"/>
      <c r="K390" s="14"/>
      <c r="L390" s="16"/>
      <c r="M390" s="14"/>
      <c r="N390" s="16"/>
      <c r="O390" s="14"/>
      <c r="P390" s="16"/>
      <c r="Q390" s="14"/>
      <c r="R390" s="5" t="str">
        <f>IFERROR(__xludf.DUMMYFUNCTION("""COMPUTED_VALUE"""),"Dom")</f>
        <v>Dom</v>
      </c>
      <c r="S390" s="14" t="str">
        <f>IFERROR(__xludf.DUMMYFUNCTION("""COMPUTED_VALUE"""),"9AM - 12PM")</f>
        <v>9AM - 12PM</v>
      </c>
      <c r="T390" s="16" t="str">
        <f>IFERROR(__xludf.DUMMYFUNCTION("""COMPUTED_VALUE"""),"Domingo 31 Mayo")</f>
        <v>Domingo 31 Mayo</v>
      </c>
      <c r="U390" s="16" t="str">
        <f>IFERROR(__xludf.DUMMYFUNCTION("""COMPUTED_VALUE"""),"Domingo 12 Julio")</f>
        <v>Domingo 12 Julio</v>
      </c>
      <c r="V390" s="17">
        <f>IFERROR(__xludf.DUMMYFUNCTION("""COMPUTED_VALUE"""),6.0)</f>
        <v>6</v>
      </c>
      <c r="W390" s="5" t="str">
        <f>IFERROR(__xludf.DUMMYFUNCTION("""COMPUTED_VALUE"""),"pdfs/BROCHURE POWER BI.pdf")</f>
        <v>pdfs/BROCHURE POWER BI.pdf</v>
      </c>
      <c r="X390" s="18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390" s="14" t="str">
        <f>IFERROR(__xludf.DUMMYFUNCTION("""COMPUTED_VALUE"""),"images/powerbi.jpg")</f>
        <v>images/powerbi.jpg</v>
      </c>
      <c r="Z390" s="14" t="str">
        <f>IFERROR(__xludf.DUMMYFUNCTION("""COMPUTED_VALUE"""),"Avalado por Microsoft Partner Network")</f>
        <v>Avalado por Microsoft Partner Network</v>
      </c>
      <c r="AA390" s="14" t="str">
        <f>IFERROR(__xludf.DUMMYFUNCTION("""COMPUTED_VALUE"""),"NO")</f>
        <v>NO</v>
      </c>
      <c r="AB390" s="14">
        <f>IFERROR(__xludf.DUMMYFUNCTION("""COMPUTED_VALUE"""),830.0)</f>
        <v>830</v>
      </c>
      <c r="AC390" s="14">
        <f>IFERROR(__xludf.DUMMYFUNCTION("""COMPUTED_VALUE"""),740.0)</f>
        <v>740</v>
      </c>
      <c r="AD390" s="14">
        <f>IFERROR(__xludf.DUMMYFUNCTION("""COMPUTED_VALUE"""),415.0)</f>
        <v>415</v>
      </c>
      <c r="AE390" s="14">
        <f>IFERROR(__xludf.DUMMYFUNCTION("""COMPUTED_VALUE"""),370.0)</f>
        <v>370</v>
      </c>
      <c r="AF390" s="14">
        <f>IFERROR(__xludf.DUMMYFUNCTION("""COMPUTED_VALUE"""),150.0)</f>
        <v>150</v>
      </c>
      <c r="AG390" s="19">
        <f>IFERROR(__xludf.DUMMYFUNCTION("""COMPUTED_VALUE"""),150.0)</f>
        <v>150</v>
      </c>
      <c r="AH390" s="20"/>
      <c r="AI390" s="5">
        <f>IFERROR(__xludf.DUMMYFUNCTION("""COMPUTED_VALUE"""),333.0)</f>
        <v>333</v>
      </c>
      <c r="AJ390" s="5">
        <f>IFERROR(__xludf.DUMMYFUNCTION("""COMPUTED_VALUE"""),373.5)</f>
        <v>373.5</v>
      </c>
      <c r="AK390" s="5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390" s="5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390" s="5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390" s="5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390" s="5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390" s="5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390" s="9" t="str">
        <f>IFERROR(__xludf.DUMMYFUNCTION("""COMPUTED_VALUE"""),"https://we-educacion.com/slides/power-bi-46")</f>
        <v>https://we-educacion.com/slides/power-bi-46</v>
      </c>
      <c r="AR390" s="5">
        <v>1.0</v>
      </c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</row>
    <row r="391" ht="15.75" customHeight="1">
      <c r="A391" s="5" t="s">
        <v>433</v>
      </c>
      <c r="B391" s="5" t="str">
        <f t="shared" si="1"/>
        <v>MAY. III - ED26</v>
      </c>
      <c r="C391" s="14" t="str">
        <f>IFERROR(__xludf.DUMMYFUNCTION("""COMPUTED_VALUE"""),"BI")</f>
        <v>BI</v>
      </c>
      <c r="D391" s="5" t="str">
        <f>IFERROR(__xludf.DUMMYFUNCTION("""COMPUTED_VALUE"""),"CURSO")</f>
        <v>CURSO</v>
      </c>
      <c r="E391" s="14" t="str">
        <f>IFERROR(__xludf.DUMMYFUNCTION("""COMPUTED_VALUE"""),"SQL AVANZ")</f>
        <v>SQL AVANZ</v>
      </c>
      <c r="F391" s="15">
        <f>IFERROR(__xludf.DUMMYFUNCTION("""COMPUTED_VALUE"""),46173.0)</f>
        <v>46173</v>
      </c>
      <c r="G391" s="14"/>
      <c r="H391" s="16"/>
      <c r="I391" s="14"/>
      <c r="J391" s="16"/>
      <c r="K391" s="14"/>
      <c r="L391" s="16"/>
      <c r="M391" s="14"/>
      <c r="N391" s="16"/>
      <c r="O391" s="14"/>
      <c r="P391" s="16"/>
      <c r="Q391" s="14"/>
      <c r="R391" s="5" t="str">
        <f>IFERROR(__xludf.DUMMYFUNCTION("""COMPUTED_VALUE"""),"Dom")</f>
        <v>Dom</v>
      </c>
      <c r="S391" s="14" t="str">
        <f>IFERROR(__xludf.DUMMYFUNCTION("""COMPUTED_VALUE"""),"9AM - 12PM")</f>
        <v>9AM - 12PM</v>
      </c>
      <c r="T391" s="16" t="str">
        <f>IFERROR(__xludf.DUMMYFUNCTION("""COMPUTED_VALUE"""),"Domingo 31 Mayo")</f>
        <v>Domingo 31 Mayo</v>
      </c>
      <c r="U391" s="16" t="str">
        <f>IFERROR(__xludf.DUMMYFUNCTION("""COMPUTED_VALUE"""),"Domingo 12 Julio")</f>
        <v>Domingo 12 Julio</v>
      </c>
      <c r="V391" s="17">
        <f>IFERROR(__xludf.DUMMYFUNCTION("""COMPUTED_VALUE"""),6.0)</f>
        <v>6</v>
      </c>
      <c r="W391" s="5" t="str">
        <f>IFERROR(__xludf.DUMMYFUNCTION("""COMPUTED_VALUE"""),"pdfs/BROCHURE SQL SERVER AVANZADO.pdf")</f>
        <v>pdfs/BROCHURE SQL SERVER AVANZADO.pdf</v>
      </c>
      <c r="X391" s="18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91" s="14" t="str">
        <f>IFERROR(__xludf.DUMMYFUNCTION("""COMPUTED_VALUE"""),"images/sqlavanz.jpg")</f>
        <v>images/sqlavanz.jpg</v>
      </c>
      <c r="Z391" s="14" t="str">
        <f>IFERROR(__xludf.DUMMYFUNCTION("""COMPUTED_VALUE"""),"Avalado por Microsoft Partner Network")</f>
        <v>Avalado por Microsoft Partner Network</v>
      </c>
      <c r="AA391" s="14" t="str">
        <f>IFERROR(__xludf.DUMMYFUNCTION("""COMPUTED_VALUE"""),"NO")</f>
        <v>NO</v>
      </c>
      <c r="AB391" s="14">
        <f>IFERROR(__xludf.DUMMYFUNCTION("""COMPUTED_VALUE"""),830.0)</f>
        <v>830</v>
      </c>
      <c r="AC391" s="14">
        <f>IFERROR(__xludf.DUMMYFUNCTION("""COMPUTED_VALUE"""),740.0)</f>
        <v>740</v>
      </c>
      <c r="AD391" s="14">
        <f>IFERROR(__xludf.DUMMYFUNCTION("""COMPUTED_VALUE"""),415.0)</f>
        <v>415</v>
      </c>
      <c r="AE391" s="14">
        <f>IFERROR(__xludf.DUMMYFUNCTION("""COMPUTED_VALUE"""),370.0)</f>
        <v>370</v>
      </c>
      <c r="AF391" s="14">
        <f>IFERROR(__xludf.DUMMYFUNCTION("""COMPUTED_VALUE"""),150.0)</f>
        <v>150</v>
      </c>
      <c r="AG391" s="19">
        <f>IFERROR(__xludf.DUMMYFUNCTION("""COMPUTED_VALUE"""),150.0)</f>
        <v>150</v>
      </c>
      <c r="AH391" s="20"/>
      <c r="AI391" s="5">
        <f>IFERROR(__xludf.DUMMYFUNCTION("""COMPUTED_VALUE"""),333.0)</f>
        <v>333</v>
      </c>
      <c r="AJ391" s="5">
        <f>IFERROR(__xludf.DUMMYFUNCTION("""COMPUTED_VALUE"""),373.5)</f>
        <v>373.5</v>
      </c>
      <c r="AK391" s="5" t="str">
        <f>IFERROR(__xludf.DUMMYFUNCTION("""COMPUTED_VALUE"""),"El poder de los datos se libera con SQL Avanzado 🔎
Aprenderás consultas complejas y análisis de bases de datos aplicables a proyectos reales 💻.
Aquí tienes la info completa 👇🏻")</f>
        <v>El poder de los datos se libera con SQL Avanzado 🔎
Aprenderás consultas complejas y análisis de bases de datos aplicables a proyectos reales 💻.
Aquí tienes la info completa 👇🏻</v>
      </c>
      <c r="AL391" s="5" t="str">
        <f>IFERROR(__xludf.DUMMYFUNCTION("""COMPUTED_VALUE"""),"💻 Excelente, actualízate con SQL Avanzado y domina la gestión de bases de datos.")</f>
        <v>💻 Excelente, actualízate con SQL Avanzado y domina la gestión de bases de datos.</v>
      </c>
      <c r="AM391" s="5" t="str">
        <f>IFERROR(__xludf.DUMMYFUNCTION("""COMPUTED_VALUE"""),"💼 Buenísimo, SQL es muy demandado en empresas que manejan grandes volúmenes de datos.")</f>
        <v>💼 Buenísimo, SQL es muy demandado en empresas que manejan grandes volúmenes de datos.</v>
      </c>
      <c r="AN391" s="5" t="str">
        <f>IFERROR(__xludf.DUMMYFUNCTION("""COMPUTED_VALUE"""),"🎓 ¡Genial! Con SQL Avanzado aprenderás análisis de datos desde la universidad.")</f>
        <v>🎓 ¡Genial! Con SQL Avanzado aprenderás análisis de datos desde la universidad.</v>
      </c>
      <c r="AO391" s="5" t="str">
        <f>IFERROR(__xludf.DUMMYFUNCTION("""COMPUTED_VALUE"""),"🚀 ¡Perfecto! Saber SQL te dará ventaja en prácticas de análisis e inteligencia de negocios.")</f>
        <v>🚀 ¡Perfecto! Saber SQL te dará ventaja en prácticas de análisis e inteligencia de negocios.</v>
      </c>
      <c r="AP391" s="5" t="str">
        <f>IFERROR(__xludf.DUMMYFUNCTION("""COMPUTED_VALUE"""),"📊 ¡Excelente! Con SQL Avanzado podrás manejar la información de tu negocio con precisión.")</f>
        <v>📊 ¡Excelente! Con SQL Avanzado podrás manejar la información de tu negocio con precisión.</v>
      </c>
      <c r="AQ391" s="9" t="str">
        <f>IFERROR(__xludf.DUMMYFUNCTION("""COMPUTED_VALUE"""),"https://we-educacion.com/slides/sql-server-avanzado-93")</f>
        <v>https://we-educacion.com/slides/sql-server-avanzado-93</v>
      </c>
      <c r="AR391" s="5">
        <v>1.0</v>
      </c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</row>
    <row r="392" ht="15.75" customHeight="1">
      <c r="A392" s="5" t="s">
        <v>434</v>
      </c>
      <c r="B392" s="5" t="str">
        <f t="shared" si="1"/>
        <v>JUN. I - ED26</v>
      </c>
      <c r="C392" s="14" t="str">
        <f>IFERROR(__xludf.DUMMYFUNCTION("""COMPUTED_VALUE"""),"PROCESOS")</f>
        <v>PROCESOS</v>
      </c>
      <c r="D392" s="5" t="str">
        <f>IFERROR(__xludf.DUMMYFUNCTION("""COMPUTED_VALUE"""),"CURSO")</f>
        <v>CURSO</v>
      </c>
      <c r="E392" s="14" t="str">
        <f>IFERROR(__xludf.DUMMYFUNCTION("""COMPUTED_VALUE"""),"ROBOTIZ.  UIPATH")</f>
        <v>ROBOTIZ.  UIPATH</v>
      </c>
      <c r="F392" s="15">
        <f>IFERROR(__xludf.DUMMYFUNCTION("""COMPUTED_VALUE"""),46176.0)</f>
        <v>46176</v>
      </c>
      <c r="G392" s="14"/>
      <c r="H392" s="16"/>
      <c r="I392" s="14"/>
      <c r="J392" s="16"/>
      <c r="K392" s="14"/>
      <c r="L392" s="16"/>
      <c r="M392" s="14"/>
      <c r="N392" s="16"/>
      <c r="O392" s="14"/>
      <c r="P392" s="16"/>
      <c r="Q392" s="14" t="str">
        <f>IFERROR(__xludf.DUMMYFUNCTION("""COMPUTED_VALUE"""),"Christian Rojas")</f>
        <v>Christian Rojas</v>
      </c>
      <c r="R392" s="5" t="str">
        <f>IFERROR(__xludf.DUMMYFUNCTION("""COMPUTED_VALUE"""),"Mie")</f>
        <v>Mie</v>
      </c>
      <c r="S392" s="14" t="str">
        <f>IFERROR(__xludf.DUMMYFUNCTION("""COMPUTED_VALUE"""),"7PM - 10PM")</f>
        <v>7PM - 10PM</v>
      </c>
      <c r="T392" s="16" t="str">
        <f>IFERROR(__xludf.DUMMYFUNCTION("""COMPUTED_VALUE"""),"Miércoles 3 Junio")</f>
        <v>Miércoles 3 Junio</v>
      </c>
      <c r="U392" s="16" t="str">
        <f>IFERROR(__xludf.DUMMYFUNCTION("""COMPUTED_VALUE"""),"Miércoles 8 Julio")</f>
        <v>Miércoles 8 Julio</v>
      </c>
      <c r="V392" s="17">
        <f>IFERROR(__xludf.DUMMYFUNCTION("""COMPUTED_VALUE"""),6.0)</f>
        <v>6</v>
      </c>
      <c r="W392" s="5" t="str">
        <f>IFERROR(__xludf.DUMMYFUNCTION("""COMPUTED_VALUE"""),"pdfs/BROCHURE ROBOTIZACIÓN DE PROCESOS CON UIPATH.pdf")</f>
        <v>pdfs/BROCHURE ROBOTIZACIÓN DE PROCESOS CON UIPATH.pdf</v>
      </c>
      <c r="X392" s="18" t="str">
        <f>IFERROR(__xludf.DUMMYFUNCTION("""COMPUTED_VALUE"""),"🔵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92" s="14" t="str">
        <f>IFERROR(__xludf.DUMMYFUNCTION("""COMPUTED_VALUE"""),"images/uipath.jpg")</f>
        <v>images/uipath.jpg</v>
      </c>
      <c r="Z392" s="14"/>
      <c r="AA392" s="14" t="str">
        <f>IFERROR(__xludf.DUMMYFUNCTION("""COMPUTED_VALUE"""),"NO")</f>
        <v>NO</v>
      </c>
      <c r="AB392" s="14">
        <f>IFERROR(__xludf.DUMMYFUNCTION("""COMPUTED_VALUE"""),780.0)</f>
        <v>780</v>
      </c>
      <c r="AC392" s="14">
        <f>IFERROR(__xludf.DUMMYFUNCTION("""COMPUTED_VALUE"""),690.0)</f>
        <v>690</v>
      </c>
      <c r="AD392" s="14">
        <f>IFERROR(__xludf.DUMMYFUNCTION("""COMPUTED_VALUE"""),390.0)</f>
        <v>390</v>
      </c>
      <c r="AE392" s="14">
        <f>IFERROR(__xludf.DUMMYFUNCTION("""COMPUTED_VALUE"""),345.0)</f>
        <v>345</v>
      </c>
      <c r="AF392" s="14">
        <f>IFERROR(__xludf.DUMMYFUNCTION("""COMPUTED_VALUE"""),150.0)</f>
        <v>150</v>
      </c>
      <c r="AG392" s="19">
        <f>IFERROR(__xludf.DUMMYFUNCTION("""COMPUTED_VALUE"""),150.0)</f>
        <v>150</v>
      </c>
      <c r="AH392" s="20"/>
      <c r="AI392" s="5">
        <f>IFERROR(__xludf.DUMMYFUNCTION("""COMPUTED_VALUE"""),310.5)</f>
        <v>310.5</v>
      </c>
      <c r="AJ392" s="5">
        <f>IFERROR(__xludf.DUMMYFUNCTION("""COMPUTED_VALUE"""),351.0)</f>
        <v>351</v>
      </c>
      <c r="AK392" s="5" t="str">
        <f>IFERROR(__xludf.DUMMYFUNCTION("""COMPUTED_VALUE"""),"La eficiencia empresarial avanza con automatización robótica ⚙️
Con UiPath aprenderás a robotizar procesos repetitivos y ahorrar recursos 💼.
Aquí tienes la info 👇🏻")</f>
        <v>La eficiencia empresarial avanza con automatización robótica ⚙️
Con UiPath aprenderás a robotizar procesos repetitivos y ahorrar recursos 💼.
Aquí tienes la info 👇🏻</v>
      </c>
      <c r="AL392" s="5" t="str">
        <f>IFERROR(__xludf.DUMMYFUNCTION("""COMPUTED_VALUE"""),"🤖 Excelente, actualízate con UiPath y domina la automatización robótica de procesos.")</f>
        <v>🤖 Excelente, actualízate con UiPath y domina la automatización robótica de procesos.</v>
      </c>
      <c r="AM392" s="5" t="str">
        <f>IFERROR(__xludf.DUMMYFUNCTION("""COMPUTED_VALUE"""),"💼 Buenísimo, RPA con UiPath es muy demandado en empresas que digitalizan operaciones.")</f>
        <v>💼 Buenísimo, RPA con UiPath es muy demandado en empresas que digitalizan operaciones.</v>
      </c>
      <c r="AN392" s="5" t="str">
        <f>IFERROR(__xludf.DUMMYFUNCTION("""COMPUTED_VALUE"""),"🎓 ¡Genial! Aprender UiPath en la universidad te pondrá al nivel de la industria.")</f>
        <v>🎓 ¡Genial! Aprender UiPath en la universidad te pondrá al nivel de la industria.</v>
      </c>
      <c r="AO392" s="5" t="str">
        <f>IFERROR(__xludf.DUMMYFUNCTION("""COMPUTED_VALUE"""),"🚀 ¡Perfecto! Con UiPath destacarás en prácticas relacionadas con innovación tecnológica.")</f>
        <v>🚀 ¡Perfecto! Con UiPath destacarás en prácticas relacionadas con innovación tecnológica.</v>
      </c>
      <c r="AP392" s="5" t="str">
        <f>IFERROR(__xludf.DUMMYFUNCTION("""COMPUTED_VALUE"""),"📊 ¡Excelente! Con UiPath podrás automatizar procesos y ahorrar tiempo en tu negocio.")</f>
        <v>📊 ¡Excelente! Con UiPath podrás automatizar procesos y ahorrar tiempo en tu negocio.</v>
      </c>
      <c r="AQ392" s="9" t="str">
        <f>IFERROR(__xludf.DUMMYFUNCTION("""COMPUTED_VALUE"""),"https://we-educacion.com/slides/robotizacion-de-procesos-con-uipath-274")</f>
        <v>https://we-educacion.com/slides/robotizacion-de-procesos-con-uipath-274</v>
      </c>
      <c r="AR392" s="5">
        <v>1.0</v>
      </c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</row>
    <row r="393" ht="15.75" customHeight="1">
      <c r="A393" s="5" t="s">
        <v>435</v>
      </c>
      <c r="B393" s="5" t="str">
        <f t="shared" si="1"/>
        <v>JUN. I - ED26</v>
      </c>
      <c r="C393" s="14" t="str">
        <f>IFERROR(__xludf.DUMMYFUNCTION("""COMPUTED_VALUE"""),"BI")</f>
        <v>BI</v>
      </c>
      <c r="D393" s="14" t="str">
        <f>IFERROR(__xludf.DUMMYFUNCTION("""COMPUTED_VALUE"""),"CURSO")</f>
        <v>CURSO</v>
      </c>
      <c r="E393" s="14" t="str">
        <f>IFERROR(__xludf.DUMMYFUNCTION("""COMPUTED_VALUE"""),"PYTHON. DATOS")</f>
        <v>PYTHON. DATOS</v>
      </c>
      <c r="F393" s="15">
        <f>IFERROR(__xludf.DUMMYFUNCTION("""COMPUTED_VALUE"""),46177.0)</f>
        <v>46177</v>
      </c>
      <c r="G393" s="14"/>
      <c r="H393" s="16"/>
      <c r="I393" s="14"/>
      <c r="J393" s="16"/>
      <c r="K393" s="14"/>
      <c r="L393" s="16"/>
      <c r="M393" s="14"/>
      <c r="N393" s="16"/>
      <c r="O393" s="14"/>
      <c r="P393" s="16"/>
      <c r="Q393" s="14"/>
      <c r="R393" s="5" t="str">
        <f>IFERROR(__xludf.DUMMYFUNCTION("""COMPUTED_VALUE"""),"Mar-Jue")</f>
        <v>Mar-Jue</v>
      </c>
      <c r="S393" s="14" t="str">
        <f>IFERROR(__xludf.DUMMYFUNCTION("""COMPUTED_VALUE"""),"7PM - 10PM")</f>
        <v>7PM - 10PM</v>
      </c>
      <c r="T393" s="16" t="str">
        <f>IFERROR(__xludf.DUMMYFUNCTION("""COMPUTED_VALUE"""),"Jueves 4 Junio")</f>
        <v>Jueves 4 Junio</v>
      </c>
      <c r="U393" s="16" t="str">
        <f>IFERROR(__xludf.DUMMYFUNCTION("""COMPUTED_VALUE"""),"Martes 23 Junio")</f>
        <v>Martes 23 Junio</v>
      </c>
      <c r="V393" s="17">
        <f>IFERROR(__xludf.DUMMYFUNCTION("""COMPUTED_VALUE"""),6.0)</f>
        <v>6</v>
      </c>
      <c r="W393" s="5" t="str">
        <f>IFERROR(__xludf.DUMMYFUNCTION("""COMPUTED_VALUE"""),"pdfs/BROCHURE PYTHON ANALISIS DE DATOS.pdf")</f>
        <v>pdfs/BROCHURE PYTHON ANALISIS DE DATOS.pdf</v>
      </c>
      <c r="X393" s="18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93" s="14" t="str">
        <f>IFERROR(__xludf.DUMMYFUNCTION("""COMPUTED_VALUE"""),"images/python.jpg")</f>
        <v>images/python.jpg</v>
      </c>
      <c r="Z393" s="14" t="str">
        <f>IFERROR(__xludf.DUMMYFUNCTION("""COMPUTED_VALUE"""),"Avalado por IBM® Partner World")</f>
        <v>Avalado por IBM® Partner World</v>
      </c>
      <c r="AA393" s="14" t="str">
        <f>IFERROR(__xludf.DUMMYFUNCTION("""COMPUTED_VALUE"""),"SI")</f>
        <v>SI</v>
      </c>
      <c r="AB393" s="14">
        <f>IFERROR(__xludf.DUMMYFUNCTION("""COMPUTED_VALUE"""),730.0)</f>
        <v>730</v>
      </c>
      <c r="AC393" s="14">
        <f>IFERROR(__xludf.DUMMYFUNCTION("""COMPUTED_VALUE"""),650.0)</f>
        <v>650</v>
      </c>
      <c r="AD393" s="14">
        <f>IFERROR(__xludf.DUMMYFUNCTION("""COMPUTED_VALUE"""),365.0)</f>
        <v>365</v>
      </c>
      <c r="AE393" s="14">
        <f>IFERROR(__xludf.DUMMYFUNCTION("""COMPUTED_VALUE"""),325.0)</f>
        <v>325</v>
      </c>
      <c r="AF393" s="14">
        <f>IFERROR(__xludf.DUMMYFUNCTION("""COMPUTED_VALUE"""),150.0)</f>
        <v>150</v>
      </c>
      <c r="AG393" s="19">
        <f>IFERROR(__xludf.DUMMYFUNCTION("""COMPUTED_VALUE"""),150.0)</f>
        <v>150</v>
      </c>
      <c r="AH393" s="20"/>
      <c r="AI393" s="5">
        <f>IFERROR(__xludf.DUMMYFUNCTION("""COMPUTED_VALUE"""),292.5)</f>
        <v>292.5</v>
      </c>
      <c r="AJ393" s="5">
        <f>IFERROR(__xludf.DUMMYFUNCTION("""COMPUTED_VALUE"""),328.5)</f>
        <v>328.5</v>
      </c>
      <c r="AK393" s="5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393" s="5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393" s="5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393" s="5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393" s="5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393" s="5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393" s="9" t="str">
        <f>IFERROR(__xludf.DUMMYFUNCTION("""COMPUTED_VALUE"""),"https://we-educacion.com/slides/python-analisis-de-datos-259")</f>
        <v>https://we-educacion.com/slides/python-analisis-de-datos-259</v>
      </c>
      <c r="AR393" s="5">
        <v>1.0</v>
      </c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</row>
    <row r="394" ht="15.75" customHeight="1">
      <c r="A394" s="5" t="s">
        <v>436</v>
      </c>
      <c r="B394" s="5" t="str">
        <f t="shared" si="1"/>
        <v>JUN. I - ED26</v>
      </c>
      <c r="C394" s="14" t="str">
        <f>IFERROR(__xludf.DUMMYFUNCTION("""COMPUTED_VALUE"""),"PROCESOS")</f>
        <v>PROCESOS</v>
      </c>
      <c r="D394" s="20" t="str">
        <f>IFERROR(__xludf.DUMMYFUNCTION("""COMPUTED_VALUE"""),"CURSO")</f>
        <v>CURSO</v>
      </c>
      <c r="E394" s="14" t="str">
        <f>IFERROR(__xludf.DUMMYFUNCTION("""COMPUTED_VALUE"""),"KPIS Y OKRS")</f>
        <v>KPIS Y OKRS</v>
      </c>
      <c r="F394" s="15">
        <f>IFERROR(__xludf.DUMMYFUNCTION("""COMPUTED_VALUE"""),46186.0)</f>
        <v>46186</v>
      </c>
      <c r="G394" s="14"/>
      <c r="H394" s="16"/>
      <c r="I394" s="14"/>
      <c r="J394" s="16"/>
      <c r="K394" s="14"/>
      <c r="L394" s="16"/>
      <c r="M394" s="14"/>
      <c r="N394" s="16"/>
      <c r="O394" s="14"/>
      <c r="P394" s="16"/>
      <c r="Q394" s="14" t="str">
        <f>IFERROR(__xludf.DUMMYFUNCTION("""COMPUTED_VALUE"""),"Luis Euribe")</f>
        <v>Luis Euribe</v>
      </c>
      <c r="R394" s="5" t="str">
        <f>IFERROR(__xludf.DUMMYFUNCTION("""COMPUTED_VALUE"""),"Sáb")</f>
        <v>Sáb</v>
      </c>
      <c r="S394" s="14" t="str">
        <f>IFERROR(__xludf.DUMMYFUNCTION("""COMPUTED_VALUE"""),"3PM - 6PM")</f>
        <v>3PM - 6PM</v>
      </c>
      <c r="T394" s="16" t="str">
        <f>IFERROR(__xludf.DUMMYFUNCTION("""COMPUTED_VALUE"""),"Sábado 13 Junio")</f>
        <v>Sábado 13 Junio</v>
      </c>
      <c r="U394" s="16" t="str">
        <f>IFERROR(__xludf.DUMMYFUNCTION("""COMPUTED_VALUE"""),"Sábado 11 Julio")</f>
        <v>Sábado 11 Julio</v>
      </c>
      <c r="V394" s="17">
        <f>IFERROR(__xludf.DUMMYFUNCTION("""COMPUTED_VALUE"""),5.0)</f>
        <v>5</v>
      </c>
      <c r="W394" s="5" t="str">
        <f>IFERROR(__xludf.DUMMYFUNCTION("""COMPUTED_VALUE"""),"pdfs/BROCHURE KPI'S Y OKR'S.pdf")</f>
        <v>pdfs/BROCHURE KPI'S Y OKR'S.pdf</v>
      </c>
      <c r="X394" s="18" t="str">
        <f>IFERROR(__xludf.DUMMYFUNCTION("""COMPUTED_VALUE"""),"🔵*¡Certificado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for"&amp;"matos
🚨 *Por favor, revisa el BROCHURE* 👇🏻
Aqui encontrarás la información completa del programa, el TEMARIO (malla curricular) y todos los BENEFICIOS 📚")</f>
        <v>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*Por favor, revisa el BROCHURE* 👇🏻
Aqui encontrarás la información completa del programa, el TEMARIO (malla curricular) y todos los BENEFICIOS 📚</v>
      </c>
      <c r="Y394" s="14" t="str">
        <f>IFERROR(__xludf.DUMMYFUNCTION("""COMPUTED_VALUE"""),"images/kpis.jpg")</f>
        <v>images/kpis.jpg</v>
      </c>
      <c r="Z394" s="14" t="str">
        <f>IFERROR(__xludf.DUMMYFUNCTION("""COMPUTED_VALUE"""),"Avalado por Microsoft Partner Network")</f>
        <v>Avalado por Microsoft Partner Network</v>
      </c>
      <c r="AA394" s="14" t="str">
        <f>IFERROR(__xludf.DUMMYFUNCTION("""COMPUTED_VALUE"""),"NO")</f>
        <v>NO</v>
      </c>
      <c r="AB394" s="14">
        <f>IFERROR(__xludf.DUMMYFUNCTION("""COMPUTED_VALUE"""),700.0)</f>
        <v>700</v>
      </c>
      <c r="AC394" s="14">
        <f>IFERROR(__xludf.DUMMYFUNCTION("""COMPUTED_VALUE"""),636.0)</f>
        <v>636</v>
      </c>
      <c r="AD394" s="14">
        <f>IFERROR(__xludf.DUMMYFUNCTION("""COMPUTED_VALUE"""),350.0)</f>
        <v>350</v>
      </c>
      <c r="AE394" s="14">
        <f>IFERROR(__xludf.DUMMYFUNCTION("""COMPUTED_VALUE"""),318.0)</f>
        <v>318</v>
      </c>
      <c r="AF394" s="14">
        <f>IFERROR(__xludf.DUMMYFUNCTION("""COMPUTED_VALUE"""),150.0)</f>
        <v>150</v>
      </c>
      <c r="AG394" s="19">
        <f>IFERROR(__xludf.DUMMYFUNCTION("""COMPUTED_VALUE"""),150.0)</f>
        <v>150</v>
      </c>
      <c r="AH394" s="20"/>
      <c r="AI394" s="5">
        <f>IFERROR(__xludf.DUMMYFUNCTION("""COMPUTED_VALUE"""),286.2)</f>
        <v>286.2</v>
      </c>
      <c r="AJ394" s="5">
        <f>IFERROR(__xludf.DUMMYFUNCTION("""COMPUTED_VALUE"""),315.0)</f>
        <v>315</v>
      </c>
      <c r="AK394" s="5" t="str">
        <f>IFERROR(__xludf.DUMMYFUNCTION("""COMPUTED_VALUE"""),"El éxito de los líderes está en medir lo que importa 📈
Con KPIs y OKRs aprenderás a establecer indicadores y objetivos estratégicos aplicados a casos reales 💼.
Aquí la información completa 👇🏻")</f>
        <v>El éxito de los líderes está en medir lo que importa 📈
Con KPIs y OKRs aprenderás a establecer indicadores y objetivos estratégicos aplicados a casos reales 💼.
Aquí la información completa 👇🏻</v>
      </c>
      <c r="AL394" s="5" t="str">
        <f>IFERROR(__xludf.DUMMYFUNCTION("""COMPUTED_VALUE"""),"🌍 *Excelente*, actualízate con *KPIS Y OKRS* y mantente competitivo en el mercado laboral.")</f>
        <v>🌍 *Excelente*, actualízate con *KPIS Y OKRS* y mantente competitivo en el mercado laboral.</v>
      </c>
      <c r="AM394" s="5" t="str">
        <f>IFERROR(__xludf.DUMMYFUNCTION("""COMPUTED_VALUE"""),"✨ Buenísimo, *KPIS Y OKRS* es de las competencias más pedidas por las empresas y aumentará tus oportunidades laborales.")</f>
        <v>✨ Buenísimo, *KPIS Y OKRS* es de las competencias más pedidas por las empresas y aumentará tus oportunidades laborales.</v>
      </c>
      <c r="AN394" s="5" t="str">
        <f>IFERROR(__xludf.DUMMYFUNCTION("""COMPUTED_VALUE"""),"🌍 ¡Genial! Con *KPIS Y OKRS* sumarás una habilidad poderosa que te diferenciará desde la universidad.")</f>
        <v>🌍 ¡Genial! Con *KPIS Y OKRS* sumarás una habilidad poderosa que te diferenciará desde la universidad.</v>
      </c>
      <c r="AO394" s="5" t="str">
        <f>IFERROR(__xludf.DUMMYFUNCTION("""COMPUTED_VALUE"""),"🛠️ ¡Perfecto! Saber *KPIS Y OKRS* te dará ventaja frente a otros postulantes para conseguir prácticas.")</f>
        <v>🛠️ ¡Perfecto! Saber *KPIS Y OKRS* te dará ventaja frente a otros postulantes para conseguir prácticas.</v>
      </c>
      <c r="AP394" s="5" t="str">
        <f>IFERROR(__xludf.DUMMYFUNCTION("""COMPUTED_VALUE"""),"🎓 ¡Excelente! Con *KPIS Y OKRS* podrás aplicarlo en tu negocio y tomar decisiones más inteligentes.")</f>
        <v>🎓 ¡Excelente! Con *KPIS Y OKRS* podrás aplicarlo en tu negocio y tomar decisiones más inteligentes.</v>
      </c>
      <c r="AQ394" s="9" t="str">
        <f>IFERROR(__xludf.DUMMYFUNCTION("""COMPUTED_VALUE"""),"https://we-educacion.com/slides/kpi-s-y-okr-s-203")</f>
        <v>https://we-educacion.com/slides/kpi-s-y-okr-s-203</v>
      </c>
      <c r="AR394" s="5">
        <v>1.0</v>
      </c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</row>
    <row r="395" ht="15.75" customHeight="1">
      <c r="A395" s="5" t="s">
        <v>437</v>
      </c>
      <c r="B395" s="5" t="str">
        <f t="shared" si="1"/>
        <v>JUN. I - ED26</v>
      </c>
      <c r="C395" s="14" t="str">
        <f>IFERROR(__xludf.DUMMYFUNCTION("""COMPUTED_VALUE"""),"LOGÍSTICA")</f>
        <v>LOGÍSTICA</v>
      </c>
      <c r="D395" s="5" t="str">
        <f>IFERROR(__xludf.DUMMYFUNCTION("""COMPUTED_VALUE"""),"CURSO")</f>
        <v>CURSO</v>
      </c>
      <c r="E395" s="14" t="str">
        <f>IFERROR(__xludf.DUMMYFUNCTION("""COMPUTED_VALUE"""),"GER. CENTRO DISTRIB.")</f>
        <v>GER. CENTRO DISTRIB.</v>
      </c>
      <c r="F395" s="15">
        <f>IFERROR(__xludf.DUMMYFUNCTION("""COMPUTED_VALUE"""),46186.0)</f>
        <v>46186</v>
      </c>
      <c r="G395" s="14"/>
      <c r="H395" s="16"/>
      <c r="I395" s="14"/>
      <c r="J395" s="16"/>
      <c r="K395" s="14"/>
      <c r="L395" s="16"/>
      <c r="M395" s="14"/>
      <c r="N395" s="16"/>
      <c r="O395" s="14"/>
      <c r="P395" s="16"/>
      <c r="Q395" s="14"/>
      <c r="R395" s="5" t="str">
        <f>IFERROR(__xludf.DUMMYFUNCTION("""COMPUTED_VALUE"""),"Sáb")</f>
        <v>Sáb</v>
      </c>
      <c r="S395" s="14" t="str">
        <f>IFERROR(__xludf.DUMMYFUNCTION("""COMPUTED_VALUE"""),"3PM - 6PM")</f>
        <v>3PM - 6PM</v>
      </c>
      <c r="T395" s="16" t="str">
        <f>IFERROR(__xludf.DUMMYFUNCTION("""COMPUTED_VALUE"""),"Sábado 13 Junio")</f>
        <v>Sábado 13 Junio</v>
      </c>
      <c r="U395" s="16" t="str">
        <f>IFERROR(__xludf.DUMMYFUNCTION("""COMPUTED_VALUE"""),"Sábado 11 Julio")</f>
        <v>Sábado 11 Julio</v>
      </c>
      <c r="V395" s="17">
        <f>IFERROR(__xludf.DUMMYFUNCTION("""COMPUTED_VALUE"""),5.0)</f>
        <v>5</v>
      </c>
      <c r="W395" s="5" t="str">
        <f>IFERROR(__xludf.DUMMYFUNCTION("""COMPUTED_VALUE"""),"pdfs/BROCHURE DISTRIBUCION Y ALMACENES.pdf")</f>
        <v>pdfs/BROCHURE DISTRIBUCION Y ALMACENES.pdf</v>
      </c>
      <c r="X395" s="18" t="str">
        <f>IFERROR(__xludf.DUMMYFUNCTION("""COMPUTED_VALUE"""),"🔵 *Conoce TODOS los BENEFICIOS a los que accedes*
🔹 Acceso a *Campus Virtual* WE 👩🏻‍🏫
🔹 Material digital y grabación de clases 
🔹 Certificado digital incluido
🔹 *05 Cursos Online de regalo* con acceso ilimitado 📚
🔹 Desarrollo y seguimiento de t"&amp;"u proyecto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*05 Cursos Online de regalo*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395" s="14" t="str">
        <f>IFERROR(__xludf.DUMMYFUNCTION("""COMPUTED_VALUE"""),"images/gercentro.jpg")</f>
        <v>images/gercentro.jpg</v>
      </c>
      <c r="Z395" s="14"/>
      <c r="AA395" s="14" t="str">
        <f>IFERROR(__xludf.DUMMYFUNCTION("""COMPUTED_VALUE"""),"NO")</f>
        <v>NO</v>
      </c>
      <c r="AB395" s="14">
        <f>IFERROR(__xludf.DUMMYFUNCTION("""COMPUTED_VALUE"""),830.0)</f>
        <v>830</v>
      </c>
      <c r="AC395" s="14">
        <f>IFERROR(__xludf.DUMMYFUNCTION("""COMPUTED_VALUE"""),770.0)</f>
        <v>770</v>
      </c>
      <c r="AD395" s="14">
        <f>IFERROR(__xludf.DUMMYFUNCTION("""COMPUTED_VALUE"""),415.0)</f>
        <v>415</v>
      </c>
      <c r="AE395" s="14">
        <f>IFERROR(__xludf.DUMMYFUNCTION("""COMPUTED_VALUE"""),385.0)</f>
        <v>385</v>
      </c>
      <c r="AF395" s="14">
        <f>IFERROR(__xludf.DUMMYFUNCTION("""COMPUTED_VALUE"""),150.0)</f>
        <v>150</v>
      </c>
      <c r="AG395" s="19">
        <f>IFERROR(__xludf.DUMMYFUNCTION("""COMPUTED_VALUE"""),150.0)</f>
        <v>150</v>
      </c>
      <c r="AH395" s="20"/>
      <c r="AI395" s="5">
        <f>IFERROR(__xludf.DUMMYFUNCTION("""COMPUTED_VALUE"""),346.5)</f>
        <v>346.5</v>
      </c>
      <c r="AJ395" s="5">
        <f>IFERROR(__xludf.DUMMYFUNCTION("""COMPUTED_VALUE"""),373.5)</f>
        <v>373.5</v>
      </c>
      <c r="AK395" s="5" t="str">
        <f>IFERROR(__xludf.DUMMYFUNCTION("""COMPUTED_VALUE"""),"La clave de la logística moderna es la gestión eficiente de centros de distribución 📦
Con este programa aprenderás a optimizar operaciones, inventarios y flujos reales de negocio 💼.
Aquí te comparto la información 👇🏻")</f>
        <v>La clave de la logística moderna es la gestión eficiente de centros de distribución 📦
Con este programa aprenderás a optimizar operaciones, inventarios y flujos reales de negocio 💼.
Aquí te comparto la información 👇🏻</v>
      </c>
      <c r="AL395" s="5" t="str">
        <f>IFERROR(__xludf.DUMMYFUNCTION("""COMPUTED_VALUE"""),"📈 *Excelente*, actualízate con *GER. CENTRO DISTRIB.* y mantente competitivo en el mercado laboral.")</f>
        <v>📈 *Excelente*, actualízate con *GER. CENTRO DISTRIB.* y mantente competitivo en el mercado laboral.</v>
      </c>
      <c r="AM395" s="5" t="str">
        <f>IFERROR(__xludf.DUMMYFUNCTION("""COMPUTED_VALUE"""),"📈 Buenísimo, *GER. CENTRO DISTRIB.* es de las competencias más pedidas por las empresas y aumentará tus oportunidades laborales.")</f>
        <v>📈 Buenísimo, *GER. CENTRO DISTRIB.* es de las competencias más pedidas por las empresas y aumentará tus oportunidades laborales.</v>
      </c>
      <c r="AN395" s="5" t="str">
        <f>IFERROR(__xludf.DUMMYFUNCTION("""COMPUTED_VALUE"""),"🌍 ¡Genial! Con *GER. CENTRO DISTRIB.* sumarás una habilidad poderosa que te diferenciará desde la universidad.")</f>
        <v>🌍 ¡Genial! Con *GER. CENTRO DISTRIB.* sumarás una habilidad poderosa que te diferenciará desde la universidad.</v>
      </c>
      <c r="AO395" s="5" t="str">
        <f>IFERROR(__xludf.DUMMYFUNCTION("""COMPUTED_VALUE"""),"🏆 ¡Perfecto! Saber *GER. CENTRO DISTRIB.* te dará ventaja frente a otros postulantes para conseguir prácticas.")</f>
        <v>🏆 ¡Perfecto! Saber *GER. CENTRO DISTRIB.* te dará ventaja frente a otros postulantes para conseguir prácticas.</v>
      </c>
      <c r="AP395" s="5" t="str">
        <f>IFERROR(__xludf.DUMMYFUNCTION("""COMPUTED_VALUE"""),"📊 ¡Excelente! Con *GER. CENTRO DISTRIB.* podrás aplicarlo en tu negocio y tomar decisiones más inteligentes.")</f>
        <v>📊 ¡Excelente! Con *GER. CENTRO DISTRIB.* podrás aplicarlo en tu negocio y tomar decisiones más inteligentes.</v>
      </c>
      <c r="AQ395" s="9" t="str">
        <f>IFERROR(__xludf.DUMMYFUNCTION("""COMPUTED_VALUE"""),"https://we-educacion.com/slides/distribucion-y-almacenes-68")</f>
        <v>https://we-educacion.com/slides/distribucion-y-almacenes-68</v>
      </c>
      <c r="AR395" s="5">
        <v>1.0</v>
      </c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</row>
    <row r="396" ht="15.75" customHeight="1">
      <c r="A396" s="5" t="s">
        <v>438</v>
      </c>
      <c r="B396" s="5" t="str">
        <f t="shared" si="1"/>
        <v>JUN. I - ED26</v>
      </c>
      <c r="C396" s="14" t="str">
        <f>IFERROR(__xludf.DUMMYFUNCTION("""COMPUTED_VALUE"""),"EXCEL")</f>
        <v>EXCEL</v>
      </c>
      <c r="D396" s="14" t="str">
        <f>IFERROR(__xludf.DUMMYFUNCTION("""COMPUTED_VALUE"""),"CURSO")</f>
        <v>CURSO</v>
      </c>
      <c r="E396" s="14" t="str">
        <f>IFERROR(__xludf.DUMMYFUNCTION("""COMPUTED_VALUE"""),"PROG. MACROS")</f>
        <v>PROG. MACROS</v>
      </c>
      <c r="F396" s="15">
        <f>IFERROR(__xludf.DUMMYFUNCTION("""COMPUTED_VALUE"""),46186.0)</f>
        <v>46186</v>
      </c>
      <c r="G396" s="14"/>
      <c r="H396" s="16"/>
      <c r="I396" s="14"/>
      <c r="J396" s="16"/>
      <c r="K396" s="14"/>
      <c r="L396" s="16"/>
      <c r="M396" s="14"/>
      <c r="N396" s="16"/>
      <c r="O396" s="14"/>
      <c r="P396" s="16"/>
      <c r="Q396" s="14" t="str">
        <f>IFERROR(__xludf.DUMMYFUNCTION("""COMPUTED_VALUE"""),"Julio Ccari")</f>
        <v>Julio Ccari</v>
      </c>
      <c r="R396" s="5" t="str">
        <f>IFERROR(__xludf.DUMMYFUNCTION("""COMPUTED_VALUE"""),"Sáb")</f>
        <v>Sáb</v>
      </c>
      <c r="S396" s="14" t="str">
        <f>IFERROR(__xludf.DUMMYFUNCTION("""COMPUTED_VALUE"""),"3PM - 6PM")</f>
        <v>3PM - 6PM</v>
      </c>
      <c r="T396" s="16" t="str">
        <f>IFERROR(__xludf.DUMMYFUNCTION("""COMPUTED_VALUE"""),"Sábado 13 Junio")</f>
        <v>Sábado 13 Junio</v>
      </c>
      <c r="U396" s="16" t="str">
        <f>IFERROR(__xludf.DUMMYFUNCTION("""COMPUTED_VALUE"""),"Sábado 18 Julio")</f>
        <v>Sábado 18 Julio</v>
      </c>
      <c r="V396" s="17">
        <f>IFERROR(__xludf.DUMMYFUNCTION("""COMPUTED_VALUE"""),6.0)</f>
        <v>6</v>
      </c>
      <c r="W396" s="5" t="str">
        <f>IFERROR(__xludf.DUMMYFUNCTION("""COMPUTED_VALUE"""),"pdfs/BROCHURE PROGRAMACION CON VBA MACROS.pdf")</f>
        <v>pdfs/BROCHURE PROGRAMACION CON VBA MACROS.pdf</v>
      </c>
      <c r="X396" s="18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396" s="14" t="str">
        <f>IFERROR(__xludf.DUMMYFUNCTION("""COMPUTED_VALUE"""),"images/macros.jpg")</f>
        <v>images/macros.jpg</v>
      </c>
      <c r="Z396" s="14" t="str">
        <f>IFERROR(__xludf.DUMMYFUNCTION("""COMPUTED_VALUE"""),"Avalado por Microsoft Partner Network")</f>
        <v>Avalado por Microsoft Partner Network</v>
      </c>
      <c r="AA396" s="14" t="str">
        <f>IFERROR(__xludf.DUMMYFUNCTION("""COMPUTED_VALUE"""),"NO")</f>
        <v>NO</v>
      </c>
      <c r="AB396" s="14">
        <f>IFERROR(__xludf.DUMMYFUNCTION("""COMPUTED_VALUE"""),470.0)</f>
        <v>470</v>
      </c>
      <c r="AC396" s="14">
        <f>IFERROR(__xludf.DUMMYFUNCTION("""COMPUTED_VALUE"""),440.0)</f>
        <v>440</v>
      </c>
      <c r="AD396" s="14">
        <f>IFERROR(__xludf.DUMMYFUNCTION("""COMPUTED_VALUE"""),235.0)</f>
        <v>235</v>
      </c>
      <c r="AE396" s="14">
        <f>IFERROR(__xludf.DUMMYFUNCTION("""COMPUTED_VALUE"""),220.0)</f>
        <v>220</v>
      </c>
      <c r="AF396" s="14">
        <f>IFERROR(__xludf.DUMMYFUNCTION("""COMPUTED_VALUE"""),150.0)</f>
        <v>150</v>
      </c>
      <c r="AG396" s="21">
        <f>IFERROR(__xludf.DUMMYFUNCTION("""COMPUTED_VALUE"""),150.0)</f>
        <v>150</v>
      </c>
      <c r="AH396" s="14"/>
      <c r="AI396" s="5">
        <f>IFERROR(__xludf.DUMMYFUNCTION("""COMPUTED_VALUE"""),198.0)</f>
        <v>198</v>
      </c>
      <c r="AJ396" s="5">
        <f>IFERROR(__xludf.DUMMYFUNCTION("""COMPUTED_VALUE"""),211.5)</f>
        <v>211.5</v>
      </c>
      <c r="AK396" s="5" t="str">
        <f>IFERROR(__xludf.DUMMYFUNCTION("""COMPUTED_VALUE"""),"El poder está en la automatización 📊
Con Programación en Macros aprenderás a optimizar procesos en Excel y ahorrar tiempo valioso ⏱️.
Aquí tienes la info 👇🏻")</f>
        <v>El poder está en la automatización 📊
Con Programación en Macros aprenderás a optimizar procesos en Excel y ahorrar tiempo valioso ⏱️.
Aquí tienes la info 👇🏻</v>
      </c>
      <c r="AL396" s="5" t="str">
        <f>IFERROR(__xludf.DUMMYFUNCTION("""COMPUTED_VALUE"""),"⚡ Excelente, actualízate con Macros en Excel y mejora tu productividad en el trabajo.")</f>
        <v>⚡ Excelente, actualízate con Macros en Excel y mejora tu productividad en el trabajo.</v>
      </c>
      <c r="AM396" s="5" t="str">
        <f>IFERROR(__xludf.DUMMYFUNCTION("""COMPUTED_VALUE"""),"💼 Buenísimo, dominar Macros es muy valorado en empresas para automatizar reportes.")</f>
        <v>💼 Buenísimo, dominar Macros es muy valorado en empresas para automatizar reportes.</v>
      </c>
      <c r="AN396" s="5" t="str">
        <f>IFERROR(__xludf.DUMMYFUNCTION("""COMPUTED_VALUE"""),"🎓 ¡Genial! Aprender Macros desde la universidad te hará más eficiente en proyectos académicos.")</f>
        <v>🎓 ¡Genial! Aprender Macros desde la universidad te hará más eficiente en proyectos académicos.</v>
      </c>
      <c r="AO396" s="5" t="str">
        <f>IFERROR(__xludf.DUMMYFUNCTION("""COMPUTED_VALUE"""),"🚀 ¡Perfecto! Con Macros podrás sobresalir en prácticas de áreas administrativas y financieras.")</f>
        <v>🚀 ¡Perfecto! Con Macros podrás sobresalir en prácticas de áreas administrativas y financieras.</v>
      </c>
      <c r="AP396" s="5" t="str">
        <f>IFERROR(__xludf.DUMMYFUNCTION("""COMPUTED_VALUE"""),"📊 ¡Excelente! Las Macros te permitirán ahorrar tiempo y optimizar tus procesos de negocio.")</f>
        <v>📊 ¡Excelente! Las Macros te permitirán ahorrar tiempo y optimizar tus procesos de negocio.</v>
      </c>
      <c r="AQ396" s="9" t="str">
        <f>IFERROR(__xludf.DUMMYFUNCTION("""COMPUTED_VALUE"""),"https://we-educacion.com/slides/programacion-con-vba-macros-en-excel-159")</f>
        <v>https://we-educacion.com/slides/programacion-con-vba-macros-en-excel-159</v>
      </c>
      <c r="AR396" s="5">
        <v>1.0</v>
      </c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</row>
    <row r="397" ht="15.75" customHeight="1">
      <c r="A397" s="5" t="s">
        <v>439</v>
      </c>
      <c r="B397" s="5" t="str">
        <f t="shared" si="1"/>
        <v>JUN. II - ED26</v>
      </c>
      <c r="C397" s="14" t="str">
        <f>IFERROR(__xludf.DUMMYFUNCTION("""COMPUTED_VALUE"""),"EXCEL")</f>
        <v>EXCEL</v>
      </c>
      <c r="D397" s="14" t="str">
        <f>IFERROR(__xludf.DUMMYFUNCTION("""COMPUTED_VALUE"""),"CURSO")</f>
        <v>CURSO</v>
      </c>
      <c r="E397" s="14" t="str">
        <f>IFERROR(__xludf.DUMMYFUNCTION("""COMPUTED_VALUE"""),"PROG. MACROS")</f>
        <v>PROG. MACROS</v>
      </c>
      <c r="F397" s="15">
        <f>IFERROR(__xludf.DUMMYFUNCTION("""COMPUTED_VALUE"""),46191.0)</f>
        <v>46191</v>
      </c>
      <c r="G397" s="14"/>
      <c r="H397" s="16"/>
      <c r="I397" s="14"/>
      <c r="J397" s="16"/>
      <c r="K397" s="14"/>
      <c r="L397" s="16"/>
      <c r="M397" s="14"/>
      <c r="N397" s="16"/>
      <c r="O397" s="14"/>
      <c r="P397" s="16"/>
      <c r="Q397" s="14"/>
      <c r="R397" s="5" t="str">
        <f>IFERROR(__xludf.DUMMYFUNCTION("""COMPUTED_VALUE"""),"Mar-Jue")</f>
        <v>Mar-Jue</v>
      </c>
      <c r="S397" s="14" t="str">
        <f>IFERROR(__xludf.DUMMYFUNCTION("""COMPUTED_VALUE"""),"7PM - 10PM")</f>
        <v>7PM - 10PM</v>
      </c>
      <c r="T397" s="16" t="str">
        <f>IFERROR(__xludf.DUMMYFUNCTION("""COMPUTED_VALUE"""),"Jueves 18 Junio")</f>
        <v>Jueves 18 Junio</v>
      </c>
      <c r="U397" s="16" t="str">
        <f>IFERROR(__xludf.DUMMYFUNCTION("""COMPUTED_VALUE"""),"Martes 7 Julio")</f>
        <v>Martes 7 Julio</v>
      </c>
      <c r="V397" s="17">
        <f>IFERROR(__xludf.DUMMYFUNCTION("""COMPUTED_VALUE"""),6.0)</f>
        <v>6</v>
      </c>
      <c r="W397" s="5" t="str">
        <f>IFERROR(__xludf.DUMMYFUNCTION("""COMPUTED_VALUE"""),"pdfs/BROCHURE PROGRAMACION CON VBA MACROS.pdf")</f>
        <v>pdfs/BROCHURE PROGRAMACION CON VBA MACROS.pdf</v>
      </c>
      <c r="X397" s="18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397" s="14" t="str">
        <f>IFERROR(__xludf.DUMMYFUNCTION("""COMPUTED_VALUE"""),"images/macros.jpg")</f>
        <v>images/macros.jpg</v>
      </c>
      <c r="Z397" s="14" t="str">
        <f>IFERROR(__xludf.DUMMYFUNCTION("""COMPUTED_VALUE"""),"Avalado por Microsoft Partner Network")</f>
        <v>Avalado por Microsoft Partner Network</v>
      </c>
      <c r="AA397" s="14" t="str">
        <f>IFERROR(__xludf.DUMMYFUNCTION("""COMPUTED_VALUE"""),"NO")</f>
        <v>NO</v>
      </c>
      <c r="AB397" s="14">
        <f>IFERROR(__xludf.DUMMYFUNCTION("""COMPUTED_VALUE"""),470.0)</f>
        <v>470</v>
      </c>
      <c r="AC397" s="14">
        <f>IFERROR(__xludf.DUMMYFUNCTION("""COMPUTED_VALUE"""),440.0)</f>
        <v>440</v>
      </c>
      <c r="AD397" s="14">
        <f>IFERROR(__xludf.DUMMYFUNCTION("""COMPUTED_VALUE"""),235.0)</f>
        <v>235</v>
      </c>
      <c r="AE397" s="14">
        <f>IFERROR(__xludf.DUMMYFUNCTION("""COMPUTED_VALUE"""),220.0)</f>
        <v>220</v>
      </c>
      <c r="AF397" s="14">
        <f>IFERROR(__xludf.DUMMYFUNCTION("""COMPUTED_VALUE"""),150.0)</f>
        <v>150</v>
      </c>
      <c r="AG397" s="19">
        <f>IFERROR(__xludf.DUMMYFUNCTION("""COMPUTED_VALUE"""),150.0)</f>
        <v>150</v>
      </c>
      <c r="AH397" s="20"/>
      <c r="AI397" s="5">
        <f>IFERROR(__xludf.DUMMYFUNCTION("""COMPUTED_VALUE"""),198.0)</f>
        <v>198</v>
      </c>
      <c r="AJ397" s="5">
        <f>IFERROR(__xludf.DUMMYFUNCTION("""COMPUTED_VALUE"""),211.5)</f>
        <v>211.5</v>
      </c>
      <c r="AK397" s="5" t="str">
        <f>IFERROR(__xludf.DUMMYFUNCTION("""COMPUTED_VALUE"""),"El poder está en la automatización 📊
Con Programación en Macros aprenderás a optimizar procesos en Excel y ahorrar tiempo valioso ⏱️.
Aquí tienes la info 👇🏻")</f>
        <v>El poder está en la automatización 📊
Con Programación en Macros aprenderás a optimizar procesos en Excel y ahorrar tiempo valioso ⏱️.
Aquí tienes la info 👇🏻</v>
      </c>
      <c r="AL397" s="5" t="str">
        <f>IFERROR(__xludf.DUMMYFUNCTION("""COMPUTED_VALUE"""),"⚡ Excelente, actualízate con Macros en Excel y mejora tu productividad en el trabajo.")</f>
        <v>⚡ Excelente, actualízate con Macros en Excel y mejora tu productividad en el trabajo.</v>
      </c>
      <c r="AM397" s="5" t="str">
        <f>IFERROR(__xludf.DUMMYFUNCTION("""COMPUTED_VALUE"""),"💼 Buenísimo, dominar Macros es muy valorado en empresas para automatizar reportes.")</f>
        <v>💼 Buenísimo, dominar Macros es muy valorado en empresas para automatizar reportes.</v>
      </c>
      <c r="AN397" s="5" t="str">
        <f>IFERROR(__xludf.DUMMYFUNCTION("""COMPUTED_VALUE"""),"🎓 ¡Genial! Aprender Macros desde la universidad te hará más eficiente en proyectos académicos.")</f>
        <v>🎓 ¡Genial! Aprender Macros desde la universidad te hará más eficiente en proyectos académicos.</v>
      </c>
      <c r="AO397" s="5" t="str">
        <f>IFERROR(__xludf.DUMMYFUNCTION("""COMPUTED_VALUE"""),"🚀 ¡Perfecto! Con Macros podrás sobresalir en prácticas de áreas administrativas y financieras.")</f>
        <v>🚀 ¡Perfecto! Con Macros podrás sobresalir en prácticas de áreas administrativas y financieras.</v>
      </c>
      <c r="AP397" s="5" t="str">
        <f>IFERROR(__xludf.DUMMYFUNCTION("""COMPUTED_VALUE"""),"📊 ¡Excelente! Las Macros te permitirán ahorrar tiempo y optimizar tus procesos de negocio.")</f>
        <v>📊 ¡Excelente! Las Macros te permitirán ahorrar tiempo y optimizar tus procesos de negocio.</v>
      </c>
      <c r="AQ397" s="9" t="str">
        <f>IFERROR(__xludf.DUMMYFUNCTION("""COMPUTED_VALUE"""),"https://we-educacion.com/slides/programacion-con-vba-macros-en-excel-159")</f>
        <v>https://we-educacion.com/slides/programacion-con-vba-macros-en-excel-159</v>
      </c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</row>
    <row r="398" ht="15.75" customHeight="1">
      <c r="A398" s="5" t="s">
        <v>440</v>
      </c>
      <c r="B398" s="5" t="str">
        <f t="shared" si="1"/>
        <v>JUN. I - ED26</v>
      </c>
      <c r="C398" s="14" t="str">
        <f>IFERROR(__xludf.DUMMYFUNCTION("""COMPUTED_VALUE"""),"SAP")</f>
        <v>SAP</v>
      </c>
      <c r="D398" s="5" t="str">
        <f>IFERROR(__xludf.DUMMYFUNCTION("""COMPUTED_VALUE"""),"CURSO")</f>
        <v>CURSO</v>
      </c>
      <c r="E398" s="14" t="str">
        <f>IFERROR(__xludf.DUMMYFUNCTION("""COMPUTED_VALUE"""),"SAP HANA FI")</f>
        <v>SAP HANA FI</v>
      </c>
      <c r="F398" s="15">
        <f>IFERROR(__xludf.DUMMYFUNCTION("""COMPUTED_VALUE"""),46193.0)</f>
        <v>46193</v>
      </c>
      <c r="G398" s="14"/>
      <c r="H398" s="16"/>
      <c r="I398" s="14"/>
      <c r="J398" s="16"/>
      <c r="K398" s="14"/>
      <c r="L398" s="16"/>
      <c r="M398" s="14"/>
      <c r="N398" s="16"/>
      <c r="O398" s="14"/>
      <c r="P398" s="16"/>
      <c r="Q398" s="14" t="str">
        <f>IFERROR(__xludf.DUMMYFUNCTION("""COMPUTED_VALUE"""),"Indira Carhuas")</f>
        <v>Indira Carhuas</v>
      </c>
      <c r="R398" s="5" t="str">
        <f>IFERROR(__xludf.DUMMYFUNCTION("""COMPUTED_VALUE"""),"Sáb")</f>
        <v>Sáb</v>
      </c>
      <c r="S398" s="14" t="str">
        <f>IFERROR(__xludf.DUMMYFUNCTION("""COMPUTED_VALUE"""),"3PM - 6PM")</f>
        <v>3PM - 6PM</v>
      </c>
      <c r="T398" s="16" t="str">
        <f>IFERROR(__xludf.DUMMYFUNCTION("""COMPUTED_VALUE"""),"Sábado 20 Junio")</f>
        <v>Sábado 20 Junio</v>
      </c>
      <c r="U398" s="16" t="str">
        <f>IFERROR(__xludf.DUMMYFUNCTION("""COMPUTED_VALUE"""),"Sábado 25 Julio")</f>
        <v>Sábado 25 Julio</v>
      </c>
      <c r="V398" s="17">
        <f>IFERROR(__xludf.DUMMYFUNCTION("""COMPUTED_VALUE"""),6.0)</f>
        <v>6</v>
      </c>
      <c r="W398" s="6" t="str">
        <f>IFERROR(__xludf.DUMMYFUNCTION("""COMPUTED_VALUE"""),"pdfs/BROCHURE SAP HANA FI MODULO FINANZAS.pdf")</f>
        <v>pdfs/BROCHURE SAP HANA FI MODULO FINANZAS.pdf</v>
      </c>
      <c r="X398" s="22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398" s="14" t="str">
        <f>IFERROR(__xludf.DUMMYFUNCTION("""COMPUTED_VALUE"""),"images/sapfi.jpg")</f>
        <v>images/sapfi.jpg</v>
      </c>
      <c r="Z398" s="14" t="str">
        <f>IFERROR(__xludf.DUMMYFUNCTION("""COMPUTED_VALUE"""),"Avalado por SAP Partner Open")</f>
        <v>Avalado por SAP Partner Open</v>
      </c>
      <c r="AA398" s="14" t="str">
        <f>IFERROR(__xludf.DUMMYFUNCTION("""COMPUTED_VALUE"""),"NO")</f>
        <v>NO</v>
      </c>
      <c r="AB398" s="14">
        <f>IFERROR(__xludf.DUMMYFUNCTION("""COMPUTED_VALUE"""),900.0)</f>
        <v>900</v>
      </c>
      <c r="AC398" s="14">
        <f>IFERROR(__xludf.DUMMYFUNCTION("""COMPUTED_VALUE"""),750.0)</f>
        <v>750</v>
      </c>
      <c r="AD398" s="14">
        <f>IFERROR(__xludf.DUMMYFUNCTION("""COMPUTED_VALUE"""),450.0)</f>
        <v>450</v>
      </c>
      <c r="AE398" s="14">
        <f>IFERROR(__xludf.DUMMYFUNCTION("""COMPUTED_VALUE"""),375.0)</f>
        <v>375</v>
      </c>
      <c r="AF398" s="14">
        <f>IFERROR(__xludf.DUMMYFUNCTION("""COMPUTED_VALUE"""),150.0)</f>
        <v>150</v>
      </c>
      <c r="AG398" s="19">
        <f>IFERROR(__xludf.DUMMYFUNCTION("""COMPUTED_VALUE"""),150.0)</f>
        <v>150</v>
      </c>
      <c r="AH398" s="20"/>
      <c r="AI398" s="5">
        <f>IFERROR(__xludf.DUMMYFUNCTION("""COMPUTED_VALUE"""),337.5)</f>
        <v>337.5</v>
      </c>
      <c r="AJ398" s="5">
        <f>IFERROR(__xludf.DUMMYFUNCTION("""COMPUTED_VALUE"""),405.0)</f>
        <v>405</v>
      </c>
      <c r="AK398" s="5" t="str">
        <f>IFERROR(__xludf.DUMMYFUNCTION("""COMPUTED_VALUE"""),"El lenguaje financiero global se habla con SAP HANA FI 💼
Con este programa aprenderás a gestionar contabilidad y finanzas de forma práctica en SAP 🚀.
Aquí la información completa 👇🏻")</f>
        <v>El lenguaje financiero global se habla con SAP HANA FI 💼
Con este programa aprenderás a gestionar contabilidad y finanzas de forma práctica en SAP 🚀.
Aquí la información completa 👇🏻</v>
      </c>
      <c r="AL398" s="5" t="str">
        <f>IFERROR(__xludf.DUMMYFUNCTION("""COMPUTED_VALUE"""),"💰 Excelente, actualízate con SAP FI y domina la gestión financiera en SAP.")</f>
        <v>💰 Excelente, actualízate con SAP FI y domina la gestión financiera en SAP.</v>
      </c>
      <c r="AM398" s="5" t="str">
        <f>IFERROR(__xludf.DUMMYFUNCTION("""COMPUTED_VALUE"""),"💼 Buenísimo, SAP FI es clave en empresas que manejan contabilidad y finanzas.")</f>
        <v>💼 Buenísimo, SAP FI es clave en empresas que manejan contabilidad y finanzas.</v>
      </c>
      <c r="AN398" s="5" t="str">
        <f>IFERROR(__xludf.DUMMYFUNCTION("""COMPUTED_VALUE"""),"🎓 ¡Genial! Aprender SAP FI en la universidad fortalecerá tu perfil en finanzas.")</f>
        <v>🎓 ¡Genial! Aprender SAP FI en la universidad fortalecerá tu perfil en finanzas.</v>
      </c>
      <c r="AO398" s="5" t="str">
        <f>IFERROR(__xludf.DUMMYFUNCTION("""COMPUTED_VALUE"""),"🚀 ¡Perfecto! Con SAP FI tendrás ventaja en prácticas de contabilidad y finanzas.")</f>
        <v>🚀 ¡Perfecto! Con SAP FI tendrás ventaja en prácticas de contabilidad y finanzas.</v>
      </c>
      <c r="AP398" s="5" t="str">
        <f>IFERROR(__xludf.DUMMYFUNCTION("""COMPUTED_VALUE"""),"📊 ¡Excelente! Con SAP FI podrás llevar la contabilidad de tu negocio con precisión.")</f>
        <v>📊 ¡Excelente! Con SAP FI podrás llevar la contabilidad de tu negocio con precisión.</v>
      </c>
      <c r="AQ398" s="9" t="str">
        <f>IFERROR(__xludf.DUMMYFUNCTION("""COMPUTED_VALUE"""),"https://we-educacion.com/slides/sap-s-4-hana-fi-54")</f>
        <v>https://we-educacion.com/slides/sap-s-4-hana-fi-54</v>
      </c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</row>
    <row r="399" ht="15.75" customHeight="1">
      <c r="A399" s="5" t="s">
        <v>441</v>
      </c>
      <c r="B399" s="5" t="str">
        <f t="shared" si="1"/>
        <v>JUN. I - ED26</v>
      </c>
      <c r="C399" s="14" t="str">
        <f>IFERROR(__xludf.DUMMYFUNCTION("""COMPUTED_VALUE"""),"BI")</f>
        <v>BI</v>
      </c>
      <c r="D399" s="14" t="str">
        <f>IFERROR(__xludf.DUMMYFUNCTION("""COMPUTED_VALUE"""),"CURSO")</f>
        <v>CURSO</v>
      </c>
      <c r="E399" s="14" t="str">
        <f>IFERROR(__xludf.DUMMYFUNCTION("""COMPUTED_VALUE"""),"PYTHON AVANZ.")</f>
        <v>PYTHON AVANZ.</v>
      </c>
      <c r="F399" s="15">
        <f>IFERROR(__xludf.DUMMYFUNCTION("""COMPUTED_VALUE"""),46198.0)</f>
        <v>46198</v>
      </c>
      <c r="G399" s="14"/>
      <c r="H399" s="16"/>
      <c r="I399" s="14"/>
      <c r="J399" s="16"/>
      <c r="K399" s="14"/>
      <c r="L399" s="16"/>
      <c r="M399" s="14"/>
      <c r="N399" s="16"/>
      <c r="O399" s="14"/>
      <c r="P399" s="16"/>
      <c r="Q399" s="14"/>
      <c r="R399" s="5" t="str">
        <f>IFERROR(__xludf.DUMMYFUNCTION("""COMPUTED_VALUE"""),"Mar-Jue")</f>
        <v>Mar-Jue</v>
      </c>
      <c r="S399" s="14" t="str">
        <f>IFERROR(__xludf.DUMMYFUNCTION("""COMPUTED_VALUE"""),"7PM - 10PM")</f>
        <v>7PM - 10PM</v>
      </c>
      <c r="T399" s="16" t="str">
        <f>IFERROR(__xludf.DUMMYFUNCTION("""COMPUTED_VALUE"""),"Jueves 25 Junio")</f>
        <v>Jueves 25 Junio</v>
      </c>
      <c r="U399" s="16" t="str">
        <f>IFERROR(__xludf.DUMMYFUNCTION("""COMPUTED_VALUE"""),"Martes 14 Julio")</f>
        <v>Martes 14 Julio</v>
      </c>
      <c r="V399" s="17">
        <f>IFERROR(__xludf.DUMMYFUNCTION("""COMPUTED_VALUE"""),6.0)</f>
        <v>6</v>
      </c>
      <c r="W399" s="6" t="str">
        <f>IFERROR(__xludf.DUMMYFUNCTION("""COMPUTED_VALUE"""),"pdfs/BROCHURE PYTHON AVANZADO MACHINE LEARNING.pdf")</f>
        <v>pdfs/BROCHURE PYTHON AVANZADO MACHINE LEARNING.pdf</v>
      </c>
      <c r="X399" s="22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99" s="14" t="str">
        <f>IFERROR(__xludf.DUMMYFUNCTION("""COMPUTED_VALUE"""),"images/pythonavanz.jpg")</f>
        <v>images/pythonavanz.jpg</v>
      </c>
      <c r="Z399" s="14" t="str">
        <f>IFERROR(__xludf.DUMMYFUNCTION("""COMPUTED_VALUE"""),"Avalado por IBM® Partner World")</f>
        <v>Avalado por IBM® Partner World</v>
      </c>
      <c r="AA399" s="14" t="str">
        <f>IFERROR(__xludf.DUMMYFUNCTION("""COMPUTED_VALUE"""),"NO")</f>
        <v>NO</v>
      </c>
      <c r="AB399" s="14">
        <f>IFERROR(__xludf.DUMMYFUNCTION("""COMPUTED_VALUE"""),830.0)</f>
        <v>830</v>
      </c>
      <c r="AC399" s="14">
        <f>IFERROR(__xludf.DUMMYFUNCTION("""COMPUTED_VALUE"""),755.0)</f>
        <v>755</v>
      </c>
      <c r="AD399" s="14">
        <f>IFERROR(__xludf.DUMMYFUNCTION("""COMPUTED_VALUE"""),415.0)</f>
        <v>415</v>
      </c>
      <c r="AE399" s="14">
        <f>IFERROR(__xludf.DUMMYFUNCTION("""COMPUTED_VALUE"""),377.5)</f>
        <v>377.5</v>
      </c>
      <c r="AF399" s="14">
        <f>IFERROR(__xludf.DUMMYFUNCTION("""COMPUTED_VALUE"""),150.0)</f>
        <v>150</v>
      </c>
      <c r="AG399" s="19">
        <f>IFERROR(__xludf.DUMMYFUNCTION("""COMPUTED_VALUE"""),150.0)</f>
        <v>150</v>
      </c>
      <c r="AH399" s="20"/>
      <c r="AI399" s="5">
        <f>IFERROR(__xludf.DUMMYFUNCTION("""COMPUTED_VALUE"""),339.75)</f>
        <v>339.75</v>
      </c>
      <c r="AJ399" s="5">
        <f>IFERROR(__xludf.DUMMYFUNCTION("""COMPUTED_VALUE"""),373.5)</f>
        <v>373.5</v>
      </c>
      <c r="AK399" s="5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399" s="5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399" s="5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399" s="5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399" s="5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399" s="5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399" s="9" t="str">
        <f>IFERROR(__xludf.DUMMYFUNCTION("""COMPUTED_VALUE"""),"https://we-educacion.com/slides/python-avanzado-machine-learning-275")</f>
        <v>https://we-educacion.com/slides/python-avanzado-machine-learning-275</v>
      </c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</row>
    <row r="400" ht="15.75" customHeight="1">
      <c r="A400" s="5" t="s">
        <v>442</v>
      </c>
      <c r="B400" s="5" t="str">
        <f t="shared" si="1"/>
        <v>JUN. I - ED26</v>
      </c>
      <c r="C400" s="14" t="str">
        <f>IFERROR(__xludf.DUMMYFUNCTION("""COMPUTED_VALUE"""),"LOGÍSTICA")</f>
        <v>LOGÍSTICA</v>
      </c>
      <c r="D400" s="14" t="str">
        <f>IFERROR(__xludf.DUMMYFUNCTION("""COMPUTED_VALUE"""),"CURSO")</f>
        <v>CURSO</v>
      </c>
      <c r="E400" s="14" t="str">
        <f>IFERROR(__xludf.DUMMYFUNCTION("""COMPUTED_VALUE"""),"LEAN LOGISTICS")</f>
        <v>LEAN LOGISTICS</v>
      </c>
      <c r="F400" s="15">
        <f>IFERROR(__xludf.DUMMYFUNCTION("""COMPUTED_VALUE"""),46201.0)</f>
        <v>46201</v>
      </c>
      <c r="G400" s="14"/>
      <c r="H400" s="16"/>
      <c r="I400" s="14"/>
      <c r="J400" s="16"/>
      <c r="K400" s="14"/>
      <c r="L400" s="16"/>
      <c r="M400" s="14"/>
      <c r="N400" s="16"/>
      <c r="O400" s="14"/>
      <c r="P400" s="16"/>
      <c r="Q400" s="14" t="str">
        <f>IFERROR(__xludf.DUMMYFUNCTION("""COMPUTED_VALUE"""),"Roger  Liy")</f>
        <v>Roger  Liy</v>
      </c>
      <c r="R400" s="5" t="str">
        <f>IFERROR(__xludf.DUMMYFUNCTION("""COMPUTED_VALUE"""),"Dom")</f>
        <v>Dom</v>
      </c>
      <c r="S400" s="14" t="str">
        <f>IFERROR(__xludf.DUMMYFUNCTION("""COMPUTED_VALUE"""),"9AM - 12PM")</f>
        <v>9AM - 12PM</v>
      </c>
      <c r="T400" s="16" t="str">
        <f>IFERROR(__xludf.DUMMYFUNCTION("""COMPUTED_VALUE"""),"Domingo 28 Junio")</f>
        <v>Domingo 28 Junio</v>
      </c>
      <c r="U400" s="16" t="str">
        <f>IFERROR(__xludf.DUMMYFUNCTION("""COMPUTED_VALUE"""),"Domingo 2 Agosto")</f>
        <v>Domingo 2 Agosto</v>
      </c>
      <c r="V400" s="17">
        <f>IFERROR(__xludf.DUMMYFUNCTION("""COMPUTED_VALUE"""),6.0)</f>
        <v>6</v>
      </c>
      <c r="W400" s="6" t="str">
        <f>IFERROR(__xludf.DUMMYFUNCTION("""COMPUTED_VALUE"""),"pdfs/BROCHURE LEAN LOGISTICS.pdf")</f>
        <v>pdfs/BROCHURE LEAN LOGISTICS.pdf</v>
      </c>
      <c r="X400" s="22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400" s="14" t="str">
        <f>IFERROR(__xludf.DUMMYFUNCTION("""COMPUTED_VALUE"""),"images/leanlogistic.jpg")</f>
        <v>images/leanlogistic.jpg</v>
      </c>
      <c r="Z400" s="14"/>
      <c r="AA400" s="14" t="str">
        <f>IFERROR(__xludf.DUMMYFUNCTION("""COMPUTED_VALUE"""),"NO")</f>
        <v>NO</v>
      </c>
      <c r="AB400" s="14">
        <f>IFERROR(__xludf.DUMMYFUNCTION("""COMPUTED_VALUE"""),820.0)</f>
        <v>820</v>
      </c>
      <c r="AC400" s="14">
        <f>IFERROR(__xludf.DUMMYFUNCTION("""COMPUTED_VALUE"""),710.0)</f>
        <v>710</v>
      </c>
      <c r="AD400" s="14">
        <f>IFERROR(__xludf.DUMMYFUNCTION("""COMPUTED_VALUE"""),410.0)</f>
        <v>410</v>
      </c>
      <c r="AE400" s="14">
        <f>IFERROR(__xludf.DUMMYFUNCTION("""COMPUTED_VALUE"""),355.0)</f>
        <v>355</v>
      </c>
      <c r="AF400" s="14">
        <f>IFERROR(__xludf.DUMMYFUNCTION("""COMPUTED_VALUE"""),150.0)</f>
        <v>150</v>
      </c>
      <c r="AG400" s="19">
        <f>IFERROR(__xludf.DUMMYFUNCTION("""COMPUTED_VALUE"""),150.0)</f>
        <v>150</v>
      </c>
      <c r="AH400" s="20"/>
      <c r="AI400" s="5">
        <f>IFERROR(__xludf.DUMMYFUNCTION("""COMPUTED_VALUE"""),319.5)</f>
        <v>319.5</v>
      </c>
      <c r="AJ400" s="5">
        <f>IFERROR(__xludf.DUMMYFUNCTION("""COMPUTED_VALUE"""),369.0)</f>
        <v>369</v>
      </c>
      <c r="AK400" s="5" t="str">
        <f>IFERROR(__xludf.DUMMYFUNCTION("""COMPUTED_VALUE"""),"La eficiencia en la cadena de suministro empieza con Lean Logistics 🔄
Aprenderás a optimizar costos, tiempos y flujos logísticos con herramientas prácticas 📦.
Aquí te comparto la info 👇🏻")</f>
        <v>La eficiencia en la cadena de suministro empieza con Lean Logistics 🔄
Aprenderás a optimizar costos, tiempos y flujos logísticos con herramientas prácticas 📦.
Aquí te comparto la info 👇🏻</v>
      </c>
      <c r="AL400" s="5" t="str">
        <f>IFERROR(__xludf.DUMMYFUNCTION("""COMPUTED_VALUE"""),"🏆 *Excelente*, actualízate con *LEAN LOGISTICS* y mantente competitivo en el mercado laboral.")</f>
        <v>🏆 *Excelente*, actualízate con *LEAN LOGISTICS* y mantente competitivo en el mercado laboral.</v>
      </c>
      <c r="AM400" s="5" t="str">
        <f>IFERROR(__xludf.DUMMYFUNCTION("""COMPUTED_VALUE"""),"📘 Buenísimo, *LEAN LOGISTICS* es de las competencias más pedidas por las empresas y aumentará tus oportunidades laborales.")</f>
        <v>📘 Buenísimo, *LEAN LOGISTICS* es de las competencias más pedidas por las empresas y aumentará tus oportunidades laborales.</v>
      </c>
      <c r="AN400" s="5" t="str">
        <f>IFERROR(__xludf.DUMMYFUNCTION("""COMPUTED_VALUE"""),"🎓 ¡Genial! Con *LEAN LOGISTICS* sumarás una habilidad poderosa que te diferenciará desde la universidad.")</f>
        <v>🎓 ¡Genial! Con *LEAN LOGISTICS* sumarás una habilidad poderosa que te diferenciará desde la universidad.</v>
      </c>
      <c r="AO400" s="5" t="str">
        <f>IFERROR(__xludf.DUMMYFUNCTION("""COMPUTED_VALUE"""),"✨ ¡Perfecto! Saber *LEAN LOGISTICS* te dará ventaja frente a otros postulantes para conseguir prácticas.")</f>
        <v>✨ ¡Perfecto! Saber *LEAN LOGISTICS* te dará ventaja frente a otros postulantes para conseguir prácticas.</v>
      </c>
      <c r="AP400" s="5" t="str">
        <f>IFERROR(__xludf.DUMMYFUNCTION("""COMPUTED_VALUE"""),"🚀 ¡Excelente! Con *LEAN LOGISTICS* podrás aplicarlo en tu negocio y tomar decisiones más inteligentes.")</f>
        <v>🚀 ¡Excelente! Con *LEAN LOGISTICS* podrás aplicarlo en tu negocio y tomar decisiones más inteligentes.</v>
      </c>
      <c r="AQ400" s="9" t="str">
        <f>IFERROR(__xludf.DUMMYFUNCTION("""COMPUTED_VALUE"""),"https://we-educacion.com/slides/lean-logistics-67")</f>
        <v>https://we-educacion.com/slides/lean-logistics-67</v>
      </c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</row>
    <row r="401" ht="15.75" customHeight="1">
      <c r="A401" s="5" t="s">
        <v>443</v>
      </c>
      <c r="B401" s="5" t="str">
        <f t="shared" si="1"/>
        <v>JUN. I - ED26</v>
      </c>
      <c r="C401" s="14" t="str">
        <f>IFERROR(__xludf.DUMMYFUNCTION("""COMPUTED_VALUE"""),"PROCESOS")</f>
        <v>PROCESOS</v>
      </c>
      <c r="D401" s="14" t="str">
        <f>IFERROR(__xludf.DUMMYFUNCTION("""COMPUTED_VALUE"""),"CURSO")</f>
        <v>CURSO</v>
      </c>
      <c r="E401" s="14" t="str">
        <f>IFERROR(__xludf.DUMMYFUNCTION("""COMPUTED_VALUE"""),"LEAN SIX SIGMA YELLOW")</f>
        <v>LEAN SIX SIGMA YELLOW</v>
      </c>
      <c r="F401" s="15">
        <f>IFERROR(__xludf.DUMMYFUNCTION("""COMPUTED_VALUE"""),46201.0)</f>
        <v>46201</v>
      </c>
      <c r="G401" s="14"/>
      <c r="H401" s="16"/>
      <c r="I401" s="14"/>
      <c r="J401" s="16"/>
      <c r="K401" s="14"/>
      <c r="L401" s="16"/>
      <c r="M401" s="14"/>
      <c r="N401" s="16"/>
      <c r="O401" s="14"/>
      <c r="P401" s="16"/>
      <c r="Q401" s="14"/>
      <c r="R401" s="5" t="str">
        <f>IFERROR(__xludf.DUMMYFUNCTION("""COMPUTED_VALUE"""),"Dom")</f>
        <v>Dom</v>
      </c>
      <c r="S401" s="14" t="str">
        <f>IFERROR(__xludf.DUMMYFUNCTION("""COMPUTED_VALUE"""),"9AM - 12PM")</f>
        <v>9AM - 12PM</v>
      </c>
      <c r="T401" s="16" t="str">
        <f>IFERROR(__xludf.DUMMYFUNCTION("""COMPUTED_VALUE"""),"Domingo 28 Junio")</f>
        <v>Domingo 28 Junio</v>
      </c>
      <c r="U401" s="16" t="str">
        <f>IFERROR(__xludf.DUMMYFUNCTION("""COMPUTED_VALUE"""),"Domingo 2 Agosto")</f>
        <v>Domingo 2 Agosto</v>
      </c>
      <c r="V401" s="17">
        <f>IFERROR(__xludf.DUMMYFUNCTION("""COMPUTED_VALUE"""),6.0)</f>
        <v>6</v>
      </c>
      <c r="W401" s="6" t="str">
        <f>IFERROR(__xludf.DUMMYFUNCTION("""COMPUTED_VALUE"""),"pdfs/BROCHURE LEAN SIX SIGMA YELLOW BELT.pdf")</f>
        <v>pdfs/BROCHURE LEAN SIX SIGMA YELLOW BELT.pdf</v>
      </c>
      <c r="X401" s="22" t="str">
        <f>IFERROR(__xludf.DUMMYFUNCTION("""COMPUTED_VALUE"""),"🔵  *Utilizarán Minitab* 👩🏻‍💻
👉🏻 Incluye tutorial y manual de instalación
💻 _*Importante*: Para la instalación se necesita una Laptop *Windows*_
🚨 *Por favor, revisa el BROCHURE* 👇🏻
Aqui encontrarás la información completa del programa, el TEMAR"&amp;"IO (malla curricular) y todos los BENEFICIOS 📚")</f>
        <v>🔵  *Utilizarán Minitab* 👩🏻‍💻
👉🏻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401" s="14" t="str">
        <f>IFERROR(__xludf.DUMMYFUNCTION("""COMPUTED_VALUE"""),"images/leansix.jpg")</f>
        <v>images/leansix.jpg</v>
      </c>
      <c r="Z401" s="14"/>
      <c r="AA401" s="14" t="str">
        <f>IFERROR(__xludf.DUMMYFUNCTION("""COMPUTED_VALUE"""),"NO")</f>
        <v>NO</v>
      </c>
      <c r="AB401" s="14">
        <f>IFERROR(__xludf.DUMMYFUNCTION("""COMPUTED_VALUE"""),820.0)</f>
        <v>820</v>
      </c>
      <c r="AC401" s="14">
        <f>IFERROR(__xludf.DUMMYFUNCTION("""COMPUTED_VALUE"""),750.0)</f>
        <v>750</v>
      </c>
      <c r="AD401" s="14">
        <f>IFERROR(__xludf.DUMMYFUNCTION("""COMPUTED_VALUE"""),410.0)</f>
        <v>410</v>
      </c>
      <c r="AE401" s="14">
        <f>IFERROR(__xludf.DUMMYFUNCTION("""COMPUTED_VALUE"""),375.0)</f>
        <v>375</v>
      </c>
      <c r="AF401" s="14">
        <f>IFERROR(__xludf.DUMMYFUNCTION("""COMPUTED_VALUE"""),150.0)</f>
        <v>150</v>
      </c>
      <c r="AG401" s="19">
        <f>IFERROR(__xludf.DUMMYFUNCTION("""COMPUTED_VALUE"""),150.0)</f>
        <v>150</v>
      </c>
      <c r="AH401" s="20"/>
      <c r="AI401" s="5">
        <f>IFERROR(__xludf.DUMMYFUNCTION("""COMPUTED_VALUE"""),337.5)</f>
        <v>337.5</v>
      </c>
      <c r="AJ401" s="5">
        <f>IFERROR(__xludf.DUMMYFUNCTION("""COMPUTED_VALUE"""),369.0)</f>
        <v>369</v>
      </c>
      <c r="AK401" s="5" t="str">
        <f>IFERROR(__xludf.DUMMYFUNCTION("""COMPUTED_VALUE"""),"El primer paso hacia la excelencia es Lean Six Sigma Yellow Belt 🚀
Dominarás las bases de mejora continua y herramientas clave para procesos más eficientes 📊.
Aquí te comparto la información 👇🏻")</f>
        <v>El primer paso hacia la excelencia es Lean Six Sigma Yellow Belt 🚀
Dominarás las bases de mejora continua y herramientas clave para procesos más eficientes 📊.
Aquí te comparto la información 👇🏻</v>
      </c>
      <c r="AL401" s="5" t="str">
        <f>IFERROR(__xludf.DUMMYFUNCTION("""COMPUTED_VALUE"""),"📘 *Excelente*, actualízate con *LEAN SIX SIGMA YELLOW* y mantente competitivo en el mercado laboral.")</f>
        <v>📘 *Excelente*, actualízate con *LEAN SIX SIGMA YELLOW* y mantente competitivo en el mercado laboral.</v>
      </c>
      <c r="AM401" s="5" t="str">
        <f>IFERROR(__xludf.DUMMYFUNCTION("""COMPUTED_VALUE"""),"📈 Buenísimo, *LEAN SIX SIGMA YELLOW* es de las competencias más pedidas por las empresas y aumentará tus oportunidades laborales.")</f>
        <v>📈 Buenísimo, *LEAN SIX SIGMA YELLOW* es de las competencias más pedidas por las empresas y aumentará tus oportunidades laborales.</v>
      </c>
      <c r="AN401" s="5" t="str">
        <f>IFERROR(__xludf.DUMMYFUNCTION("""COMPUTED_VALUE"""),"⚡ ¡Genial! Con *LEAN SIX SIGMA YELLOW* sumarás una habilidad poderosa que te diferenciará desde la universidad.")</f>
        <v>⚡ ¡Genial! Con *LEAN SIX SIGMA YELLOW* sumarás una habilidad poderosa que te diferenciará desde la universidad.</v>
      </c>
      <c r="AO401" s="5" t="str">
        <f>IFERROR(__xludf.DUMMYFUNCTION("""COMPUTED_VALUE"""),"💼 ¡Perfecto! Saber *LEAN SIX SIGMA YELLOW* te dará ventaja frente a otros postulantes para conseguir prácticas.")</f>
        <v>💼 ¡Perfecto! Saber *LEAN SIX SIGMA YELLOW* te dará ventaja frente a otros postulantes para conseguir prácticas.</v>
      </c>
      <c r="AP401" s="5" t="str">
        <f>IFERROR(__xludf.DUMMYFUNCTION("""COMPUTED_VALUE"""),"📘 ¡Excelente! Con *LEAN SIX SIGMA YELLOW* podrás aplicarlo en tu negocio y tomar decisiones más inteligentes.")</f>
        <v>📘 ¡Excelente! Con *LEAN SIX SIGMA YELLOW* podrás aplicarlo en tu negocio y tomar decisiones más inteligentes.</v>
      </c>
      <c r="AQ401" s="9" t="str">
        <f>IFERROR(__xludf.DUMMYFUNCTION("""COMPUTED_VALUE"""),"https://we-educacion.com/slides/lean-six-sigma-yellow-belt-119")</f>
        <v>https://we-educacion.com/slides/lean-six-sigma-yellow-belt-119</v>
      </c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</row>
    <row r="402" ht="15.75" customHeight="1">
      <c r="A402" s="5" t="s">
        <v>444</v>
      </c>
      <c r="B402" s="5" t="str">
        <f t="shared" si="1"/>
        <v>JUL. I - ED26</v>
      </c>
      <c r="C402" s="14" t="str">
        <f>IFERROR(__xludf.DUMMYFUNCTION("""COMPUTED_VALUE"""),"PROCESOS")</f>
        <v>PROCESOS</v>
      </c>
      <c r="D402" s="14" t="str">
        <f>IFERROR(__xludf.DUMMYFUNCTION("""COMPUTED_VALUE"""),"CURSO")</f>
        <v>CURSO</v>
      </c>
      <c r="E402" s="14" t="str">
        <f>IFERROR(__xludf.DUMMYFUNCTION("""COMPUTED_VALUE"""),"KPIS Y OKRS")</f>
        <v>KPIS Y OKRS</v>
      </c>
      <c r="F402" s="15">
        <f>IFERROR(__xludf.DUMMYFUNCTION("""COMPUTED_VALUE"""),46212.0)</f>
        <v>46212</v>
      </c>
      <c r="G402" s="14"/>
      <c r="H402" s="16"/>
      <c r="I402" s="14"/>
      <c r="J402" s="16"/>
      <c r="K402" s="14"/>
      <c r="L402" s="16"/>
      <c r="M402" s="14"/>
      <c r="N402" s="16"/>
      <c r="O402" s="14"/>
      <c r="P402" s="16"/>
      <c r="Q402" s="14" t="str">
        <f>IFERROR(__xludf.DUMMYFUNCTION("""COMPUTED_VALUE"""),"Luis Euribe")</f>
        <v>Luis Euribe</v>
      </c>
      <c r="R402" s="5" t="str">
        <f>IFERROR(__xludf.DUMMYFUNCTION("""COMPUTED_VALUE"""),"Jue")</f>
        <v>Jue</v>
      </c>
      <c r="S402" s="14" t="str">
        <f>IFERROR(__xludf.DUMMYFUNCTION("""COMPUTED_VALUE"""),"7PM - 10PM")</f>
        <v>7PM - 10PM</v>
      </c>
      <c r="T402" s="16" t="str">
        <f>IFERROR(__xludf.DUMMYFUNCTION("""COMPUTED_VALUE"""),"Jueves 9 Julio")</f>
        <v>Jueves 9 Julio</v>
      </c>
      <c r="U402" s="16" t="str">
        <f>IFERROR(__xludf.DUMMYFUNCTION("""COMPUTED_VALUE"""),"Jueves 20 Agosto")</f>
        <v>Jueves 20 Agosto</v>
      </c>
      <c r="V402" s="17">
        <f>IFERROR(__xludf.DUMMYFUNCTION("""COMPUTED_VALUE"""),5.0)</f>
        <v>5</v>
      </c>
      <c r="W402" s="6" t="str">
        <f>IFERROR(__xludf.DUMMYFUNCTION("""COMPUTED_VALUE"""),"pdfs/BROCHURE KPI'S Y OKR'S.pdf")</f>
        <v>pdfs/BROCHURE KPI'S Y OKR'S.pdf</v>
      </c>
      <c r="X402" s="22" t="str">
        <f>IFERROR(__xludf.DUMMYFUNCTION("""COMPUTED_VALUE"""),"🔵*¡Certificado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for"&amp;"matos
🚨 *Por favor, revisa el BROCHURE* 👇🏻
Aqui encontrarás la información completa del programa, el TEMARIO (malla curricular) y todos los BENEFICIOS 📚")</f>
        <v>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*Por favor, revisa el BROCHURE* 👇🏻
Aqui encontrarás la información completa del programa, el TEMARIO (malla curricular) y todos los BENEFICIOS 📚</v>
      </c>
      <c r="Y402" s="14" t="str">
        <f>IFERROR(__xludf.DUMMYFUNCTION("""COMPUTED_VALUE"""),"images/kpis.jpg")</f>
        <v>images/kpis.jpg</v>
      </c>
      <c r="Z402" s="14" t="str">
        <f>IFERROR(__xludf.DUMMYFUNCTION("""COMPUTED_VALUE"""),"Avalado por Microsoft Partner Network")</f>
        <v>Avalado por Microsoft Partner Network</v>
      </c>
      <c r="AA402" s="14" t="str">
        <f>IFERROR(__xludf.DUMMYFUNCTION("""COMPUTED_VALUE"""),"NO")</f>
        <v>NO</v>
      </c>
      <c r="AB402" s="14">
        <f>IFERROR(__xludf.DUMMYFUNCTION("""COMPUTED_VALUE"""),700.0)</f>
        <v>700</v>
      </c>
      <c r="AC402" s="14">
        <f>IFERROR(__xludf.DUMMYFUNCTION("""COMPUTED_VALUE"""),636.0)</f>
        <v>636</v>
      </c>
      <c r="AD402" s="14">
        <f>IFERROR(__xludf.DUMMYFUNCTION("""COMPUTED_VALUE"""),350.0)</f>
        <v>350</v>
      </c>
      <c r="AE402" s="14">
        <f>IFERROR(__xludf.DUMMYFUNCTION("""COMPUTED_VALUE"""),318.0)</f>
        <v>318</v>
      </c>
      <c r="AF402" s="14">
        <f>IFERROR(__xludf.DUMMYFUNCTION("""COMPUTED_VALUE"""),150.0)</f>
        <v>150</v>
      </c>
      <c r="AG402" s="19">
        <f>IFERROR(__xludf.DUMMYFUNCTION("""COMPUTED_VALUE"""),150.0)</f>
        <v>150</v>
      </c>
      <c r="AH402" s="20"/>
      <c r="AI402" s="5">
        <f>IFERROR(__xludf.DUMMYFUNCTION("""COMPUTED_VALUE"""),286.2)</f>
        <v>286.2</v>
      </c>
      <c r="AJ402" s="5">
        <f>IFERROR(__xludf.DUMMYFUNCTION("""COMPUTED_VALUE"""),315.0)</f>
        <v>315</v>
      </c>
      <c r="AK402" s="5" t="str">
        <f>IFERROR(__xludf.DUMMYFUNCTION("""COMPUTED_VALUE"""),"El éxito de los líderes está en medir lo que importa 📈
Con KPIs y OKRs aprenderás a establecer indicadores y objetivos estratégicos aplicados a casos reales 💼.
Aquí la información completa 👇🏻")</f>
        <v>El éxito de los líderes está en medir lo que importa 📈
Con KPIs y OKRs aprenderás a establecer indicadores y objetivos estratégicos aplicados a casos reales 💼.
Aquí la información completa 👇🏻</v>
      </c>
      <c r="AL402" s="5" t="str">
        <f>IFERROR(__xludf.DUMMYFUNCTION("""COMPUTED_VALUE"""),"🌍 *Excelente*, actualízate con *KPIS Y OKRS* y mantente competitivo en el mercado laboral.")</f>
        <v>🌍 *Excelente*, actualízate con *KPIS Y OKRS* y mantente competitivo en el mercado laboral.</v>
      </c>
      <c r="AM402" s="5" t="str">
        <f>IFERROR(__xludf.DUMMYFUNCTION("""COMPUTED_VALUE"""),"✨ Buenísimo, *KPIS Y OKRS* es de las competencias más pedidas por las empresas y aumentará tus oportunidades laborales.")</f>
        <v>✨ Buenísimo, *KPIS Y OKRS* es de las competencias más pedidas por las empresas y aumentará tus oportunidades laborales.</v>
      </c>
      <c r="AN402" s="5" t="str">
        <f>IFERROR(__xludf.DUMMYFUNCTION("""COMPUTED_VALUE"""),"🌍 ¡Genial! Con *KPIS Y OKRS* sumarás una habilidad poderosa que te diferenciará desde la universidad.")</f>
        <v>🌍 ¡Genial! Con *KPIS Y OKRS* sumarás una habilidad poderosa que te diferenciará desde la universidad.</v>
      </c>
      <c r="AO402" s="5" t="str">
        <f>IFERROR(__xludf.DUMMYFUNCTION("""COMPUTED_VALUE"""),"🛠️ ¡Perfecto! Saber *KPIS Y OKRS* te dará ventaja frente a otros postulantes para conseguir prácticas.")</f>
        <v>🛠️ ¡Perfecto! Saber *KPIS Y OKRS* te dará ventaja frente a otros postulantes para conseguir prácticas.</v>
      </c>
      <c r="AP402" s="5" t="str">
        <f>IFERROR(__xludf.DUMMYFUNCTION("""COMPUTED_VALUE"""),"🎓 ¡Excelente! Con *KPIS Y OKRS* podrás aplicarlo en tu negocio y tomar decisiones más inteligentes.")</f>
        <v>🎓 ¡Excelente! Con *KPIS Y OKRS* podrás aplicarlo en tu negocio y tomar decisiones más inteligentes.</v>
      </c>
      <c r="AQ402" s="9" t="str">
        <f>IFERROR(__xludf.DUMMYFUNCTION("""COMPUTED_VALUE"""),"https://we-educacion.com/slides/kpi-s-y-okr-s-203")</f>
        <v>https://we-educacion.com/slides/kpi-s-y-okr-s-203</v>
      </c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</row>
    <row r="403" ht="15.75" customHeight="1">
      <c r="A403" s="5" t="s">
        <v>445</v>
      </c>
      <c r="B403" s="5" t="str">
        <f t="shared" si="1"/>
        <v>JUL. I - ED26</v>
      </c>
      <c r="C403" s="14" t="str">
        <f>IFERROR(__xludf.DUMMYFUNCTION("""COMPUTED_VALUE"""),"EXCEL")</f>
        <v>EXCEL</v>
      </c>
      <c r="D403" s="14" t="str">
        <f>IFERROR(__xludf.DUMMYFUNCTION("""COMPUTED_VALUE"""),"CURSO")</f>
        <v>CURSO</v>
      </c>
      <c r="E403" s="14" t="str">
        <f>IFERROR(__xludf.DUMMYFUNCTION("""COMPUTED_VALUE"""),"PROG. MACROS")</f>
        <v>PROG. MACROS</v>
      </c>
      <c r="F403" s="15">
        <f>IFERROR(__xludf.DUMMYFUNCTION("""COMPUTED_VALUE"""),46214.0)</f>
        <v>46214</v>
      </c>
      <c r="G403" s="14"/>
      <c r="H403" s="16"/>
      <c r="I403" s="14"/>
      <c r="J403" s="16"/>
      <c r="K403" s="14"/>
      <c r="L403" s="16"/>
      <c r="M403" s="14"/>
      <c r="N403" s="16"/>
      <c r="O403" s="14"/>
      <c r="P403" s="16"/>
      <c r="Q403" s="14"/>
      <c r="R403" s="5" t="str">
        <f>IFERROR(__xludf.DUMMYFUNCTION("""COMPUTED_VALUE"""),"Sáb")</f>
        <v>Sáb</v>
      </c>
      <c r="S403" s="14" t="str">
        <f>IFERROR(__xludf.DUMMYFUNCTION("""COMPUTED_VALUE"""),"3PM - 6PM")</f>
        <v>3PM - 6PM</v>
      </c>
      <c r="T403" s="16" t="str">
        <f>IFERROR(__xludf.DUMMYFUNCTION("""COMPUTED_VALUE"""),"Sábado 11 Julio")</f>
        <v>Sábado 11 Julio</v>
      </c>
      <c r="U403" s="16" t="str">
        <f>IFERROR(__xludf.DUMMYFUNCTION("""COMPUTED_VALUE"""),"Sábado 15 Agosto")</f>
        <v>Sábado 15 Agosto</v>
      </c>
      <c r="V403" s="17">
        <f>IFERROR(__xludf.DUMMYFUNCTION("""COMPUTED_VALUE"""),6.0)</f>
        <v>6</v>
      </c>
      <c r="W403" s="6" t="str">
        <f>IFERROR(__xludf.DUMMYFUNCTION("""COMPUTED_VALUE"""),"pdfs/BROCHURE PROGRAMACION CON VBA MACROS.pdf")</f>
        <v>pdfs/BROCHURE PROGRAMACION CON VBA MACROS.pdf</v>
      </c>
      <c r="X403" s="22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403" s="14" t="str">
        <f>IFERROR(__xludf.DUMMYFUNCTION("""COMPUTED_VALUE"""),"images/macros.jpg")</f>
        <v>images/macros.jpg</v>
      </c>
      <c r="Z403" s="14" t="str">
        <f>IFERROR(__xludf.DUMMYFUNCTION("""COMPUTED_VALUE"""),"Avalado por Microsoft Partner Network")</f>
        <v>Avalado por Microsoft Partner Network</v>
      </c>
      <c r="AA403" s="14" t="str">
        <f>IFERROR(__xludf.DUMMYFUNCTION("""COMPUTED_VALUE"""),"NO")</f>
        <v>NO</v>
      </c>
      <c r="AB403" s="14">
        <f>IFERROR(__xludf.DUMMYFUNCTION("""COMPUTED_VALUE"""),470.0)</f>
        <v>470</v>
      </c>
      <c r="AC403" s="14">
        <f>IFERROR(__xludf.DUMMYFUNCTION("""COMPUTED_VALUE"""),440.0)</f>
        <v>440</v>
      </c>
      <c r="AD403" s="14">
        <f>IFERROR(__xludf.DUMMYFUNCTION("""COMPUTED_VALUE"""),235.0)</f>
        <v>235</v>
      </c>
      <c r="AE403" s="14">
        <f>IFERROR(__xludf.DUMMYFUNCTION("""COMPUTED_VALUE"""),220.0)</f>
        <v>220</v>
      </c>
      <c r="AF403" s="14">
        <f>IFERROR(__xludf.DUMMYFUNCTION("""COMPUTED_VALUE"""),150.0)</f>
        <v>150</v>
      </c>
      <c r="AG403" s="19">
        <f>IFERROR(__xludf.DUMMYFUNCTION("""COMPUTED_VALUE"""),150.0)</f>
        <v>150</v>
      </c>
      <c r="AH403" s="20"/>
      <c r="AI403" s="5">
        <f>IFERROR(__xludf.DUMMYFUNCTION("""COMPUTED_VALUE"""),198.0)</f>
        <v>198</v>
      </c>
      <c r="AJ403" s="5">
        <f>IFERROR(__xludf.DUMMYFUNCTION("""COMPUTED_VALUE"""),211.5)</f>
        <v>211.5</v>
      </c>
      <c r="AK403" s="5" t="str">
        <f>IFERROR(__xludf.DUMMYFUNCTION("""COMPUTED_VALUE"""),"El poder está en la automatización 📊
Con Programación en Macros aprenderás a optimizar procesos en Excel y ahorrar tiempo valioso ⏱️.
Aquí tienes la info 👇🏻")</f>
        <v>El poder está en la automatización 📊
Con Programación en Macros aprenderás a optimizar procesos en Excel y ahorrar tiempo valioso ⏱️.
Aquí tienes la info 👇🏻</v>
      </c>
      <c r="AL403" s="5" t="str">
        <f>IFERROR(__xludf.DUMMYFUNCTION("""COMPUTED_VALUE"""),"⚡ Excelente, actualízate con Macros en Excel y mejora tu productividad en el trabajo.")</f>
        <v>⚡ Excelente, actualízate con Macros en Excel y mejora tu productividad en el trabajo.</v>
      </c>
      <c r="AM403" s="5" t="str">
        <f>IFERROR(__xludf.DUMMYFUNCTION("""COMPUTED_VALUE"""),"💼 Buenísimo, dominar Macros es muy valorado en empresas para automatizar reportes.")</f>
        <v>💼 Buenísimo, dominar Macros es muy valorado en empresas para automatizar reportes.</v>
      </c>
      <c r="AN403" s="5" t="str">
        <f>IFERROR(__xludf.DUMMYFUNCTION("""COMPUTED_VALUE"""),"🎓 ¡Genial! Aprender Macros desde la universidad te hará más eficiente en proyectos académicos.")</f>
        <v>🎓 ¡Genial! Aprender Macros desde la universidad te hará más eficiente en proyectos académicos.</v>
      </c>
      <c r="AO403" s="5" t="str">
        <f>IFERROR(__xludf.DUMMYFUNCTION("""COMPUTED_VALUE"""),"🚀 ¡Perfecto! Con Macros podrás sobresalir en prácticas de áreas administrativas y financieras.")</f>
        <v>🚀 ¡Perfecto! Con Macros podrás sobresalir en prácticas de áreas administrativas y financieras.</v>
      </c>
      <c r="AP403" s="5" t="str">
        <f>IFERROR(__xludf.DUMMYFUNCTION("""COMPUTED_VALUE"""),"📊 ¡Excelente! Las Macros te permitirán ahorrar tiempo y optimizar tus procesos de negocio.")</f>
        <v>📊 ¡Excelente! Las Macros te permitirán ahorrar tiempo y optimizar tus procesos de negocio.</v>
      </c>
      <c r="AQ403" s="9" t="str">
        <f>IFERROR(__xludf.DUMMYFUNCTION("""COMPUTED_VALUE"""),"https://we-educacion.com/slides/programacion-con-vba-macros-en-excel-159")</f>
        <v>https://we-educacion.com/slides/programacion-con-vba-macros-en-excel-159</v>
      </c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</row>
    <row r="404" ht="15.75" customHeight="1">
      <c r="A404" s="5" t="s">
        <v>446</v>
      </c>
      <c r="B404" s="5" t="str">
        <f t="shared" si="1"/>
        <v>JUL. I - ED26</v>
      </c>
      <c r="C404" s="14" t="str">
        <f>IFERROR(__xludf.DUMMYFUNCTION("""COMPUTED_VALUE"""),"PROCESOS")</f>
        <v>PROCESOS</v>
      </c>
      <c r="D404" s="14" t="str">
        <f>IFERROR(__xludf.DUMMYFUNCTION("""COMPUTED_VALUE"""),"CURSO")</f>
        <v>CURSO</v>
      </c>
      <c r="E404" s="14" t="str">
        <f>IFERROR(__xludf.DUMMYFUNCTION("""COMPUTED_VALUE"""),"ROBOTIZ.  UIPATH")</f>
        <v>ROBOTIZ.  UIPATH</v>
      </c>
      <c r="F404" s="15">
        <f>IFERROR(__xludf.DUMMYFUNCTION("""COMPUTED_VALUE"""),46221.0)</f>
        <v>46221</v>
      </c>
      <c r="G404" s="14"/>
      <c r="H404" s="16"/>
      <c r="I404" s="14"/>
      <c r="J404" s="16"/>
      <c r="K404" s="14"/>
      <c r="L404" s="16"/>
      <c r="M404" s="14"/>
      <c r="N404" s="16"/>
      <c r="O404" s="14"/>
      <c r="P404" s="16"/>
      <c r="Q404" s="14" t="str">
        <f>IFERROR(__xludf.DUMMYFUNCTION("""COMPUTED_VALUE"""),"Christian Rojas")</f>
        <v>Christian Rojas</v>
      </c>
      <c r="R404" s="5" t="str">
        <f>IFERROR(__xludf.DUMMYFUNCTION("""COMPUTED_VALUE"""),"Sáb")</f>
        <v>Sáb</v>
      </c>
      <c r="S404" s="14" t="str">
        <f>IFERROR(__xludf.DUMMYFUNCTION("""COMPUTED_VALUE"""),"3PM - 6PM")</f>
        <v>3PM - 6PM</v>
      </c>
      <c r="T404" s="16" t="str">
        <f>IFERROR(__xludf.DUMMYFUNCTION("""COMPUTED_VALUE"""),"Sábado 18 Julio")</f>
        <v>Sábado 18 Julio</v>
      </c>
      <c r="U404" s="16" t="str">
        <f>IFERROR(__xludf.DUMMYFUNCTION("""COMPUTED_VALUE"""),"Sábado 22 Agosto")</f>
        <v>Sábado 22 Agosto</v>
      </c>
      <c r="V404" s="17">
        <f>IFERROR(__xludf.DUMMYFUNCTION("""COMPUTED_VALUE"""),6.0)</f>
        <v>6</v>
      </c>
      <c r="W404" s="6" t="str">
        <f>IFERROR(__xludf.DUMMYFUNCTION("""COMPUTED_VALUE"""),"pdfs/BROCHURE ROBOTIZACIÓN DE PROCESOS CON UIPATH.pdf")</f>
        <v>pdfs/BROCHURE ROBOTIZACIÓN DE PROCESOS CON UIPATH.pdf</v>
      </c>
      <c r="X404" s="22" t="str">
        <f>IFERROR(__xludf.DUMMYFUNCTION("""COMPUTED_VALUE"""),"🔵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404" s="14" t="str">
        <f>IFERROR(__xludf.DUMMYFUNCTION("""COMPUTED_VALUE"""),"images/uipath.jpg")</f>
        <v>images/uipath.jpg</v>
      </c>
      <c r="Z404" s="14"/>
      <c r="AA404" s="14" t="str">
        <f>IFERROR(__xludf.DUMMYFUNCTION("""COMPUTED_VALUE"""),"NO")</f>
        <v>NO</v>
      </c>
      <c r="AB404" s="14">
        <f>IFERROR(__xludf.DUMMYFUNCTION("""COMPUTED_VALUE"""),780.0)</f>
        <v>780</v>
      </c>
      <c r="AC404" s="14">
        <f>IFERROR(__xludf.DUMMYFUNCTION("""COMPUTED_VALUE"""),690.0)</f>
        <v>690</v>
      </c>
      <c r="AD404" s="14">
        <f>IFERROR(__xludf.DUMMYFUNCTION("""COMPUTED_VALUE"""),390.0)</f>
        <v>390</v>
      </c>
      <c r="AE404" s="14">
        <f>IFERROR(__xludf.DUMMYFUNCTION("""COMPUTED_VALUE"""),345.0)</f>
        <v>345</v>
      </c>
      <c r="AF404" s="14">
        <f>IFERROR(__xludf.DUMMYFUNCTION("""COMPUTED_VALUE"""),150.0)</f>
        <v>150</v>
      </c>
      <c r="AG404" s="19">
        <f>IFERROR(__xludf.DUMMYFUNCTION("""COMPUTED_VALUE"""),150.0)</f>
        <v>150</v>
      </c>
      <c r="AH404" s="20"/>
      <c r="AI404" s="5">
        <f>IFERROR(__xludf.DUMMYFUNCTION("""COMPUTED_VALUE"""),310.5)</f>
        <v>310.5</v>
      </c>
      <c r="AJ404" s="5">
        <f>IFERROR(__xludf.DUMMYFUNCTION("""COMPUTED_VALUE"""),351.0)</f>
        <v>351</v>
      </c>
      <c r="AK404" s="5" t="str">
        <f>IFERROR(__xludf.DUMMYFUNCTION("""COMPUTED_VALUE"""),"La eficiencia empresarial avanza con automatización robótica ⚙️
Con UiPath aprenderás a robotizar procesos repetitivos y ahorrar recursos 💼.
Aquí tienes la info 👇🏻")</f>
        <v>La eficiencia empresarial avanza con automatización robótica ⚙️
Con UiPath aprenderás a robotizar procesos repetitivos y ahorrar recursos 💼.
Aquí tienes la info 👇🏻</v>
      </c>
      <c r="AL404" s="5" t="str">
        <f>IFERROR(__xludf.DUMMYFUNCTION("""COMPUTED_VALUE"""),"🤖 Excelente, actualízate con UiPath y domina la automatización robótica de procesos.")</f>
        <v>🤖 Excelente, actualízate con UiPath y domina la automatización robótica de procesos.</v>
      </c>
      <c r="AM404" s="5" t="str">
        <f>IFERROR(__xludf.DUMMYFUNCTION("""COMPUTED_VALUE"""),"💼 Buenísimo, RPA con UiPath es muy demandado en empresas que digitalizan operaciones.")</f>
        <v>💼 Buenísimo, RPA con UiPath es muy demandado en empresas que digitalizan operaciones.</v>
      </c>
      <c r="AN404" s="5" t="str">
        <f>IFERROR(__xludf.DUMMYFUNCTION("""COMPUTED_VALUE"""),"🎓 ¡Genial! Aprender UiPath en la universidad te pondrá al nivel de la industria.")</f>
        <v>🎓 ¡Genial! Aprender UiPath en la universidad te pondrá al nivel de la industria.</v>
      </c>
      <c r="AO404" s="5" t="str">
        <f>IFERROR(__xludf.DUMMYFUNCTION("""COMPUTED_VALUE"""),"🚀 ¡Perfecto! Con UiPath destacarás en prácticas relacionadas con innovación tecnológica.")</f>
        <v>🚀 ¡Perfecto! Con UiPath destacarás en prácticas relacionadas con innovación tecnológica.</v>
      </c>
      <c r="AP404" s="5" t="str">
        <f>IFERROR(__xludf.DUMMYFUNCTION("""COMPUTED_VALUE"""),"📊 ¡Excelente! Con UiPath podrás automatizar procesos y ahorrar tiempo en tu negocio.")</f>
        <v>📊 ¡Excelente! Con UiPath podrás automatizar procesos y ahorrar tiempo en tu negocio.</v>
      </c>
      <c r="AQ404" s="9" t="str">
        <f>IFERROR(__xludf.DUMMYFUNCTION("""COMPUTED_VALUE"""),"https://we-educacion.com/slides/robotizacion-de-procesos-con-uipath-274")</f>
        <v>https://we-educacion.com/slides/robotizacion-de-procesos-con-uipath-274</v>
      </c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</row>
    <row r="405" ht="15.75" customHeight="1">
      <c r="A405" s="5" t="s">
        <v>447</v>
      </c>
      <c r="B405" s="5" t="str">
        <f t="shared" si="1"/>
        <v>JUL. I - ED26</v>
      </c>
      <c r="C405" s="14" t="str">
        <f>IFERROR(__xludf.DUMMYFUNCTION("""COMPUTED_VALUE"""),"LOGÍSTICA")</f>
        <v>LOGÍSTICA</v>
      </c>
      <c r="D405" s="14" t="str">
        <f>IFERROR(__xludf.DUMMYFUNCTION("""COMPUTED_VALUE"""),"CURSO")</f>
        <v>CURSO</v>
      </c>
      <c r="E405" s="14" t="str">
        <f>IFERROR(__xludf.DUMMYFUNCTION("""COMPUTED_VALUE"""),"GEST TRANSPORTES")</f>
        <v>GEST TRANSPORTES</v>
      </c>
      <c r="F405" s="15">
        <f>IFERROR(__xludf.DUMMYFUNCTION("""COMPUTED_VALUE"""),46221.0)</f>
        <v>46221</v>
      </c>
      <c r="G405" s="14"/>
      <c r="H405" s="16"/>
      <c r="I405" s="14"/>
      <c r="J405" s="16"/>
      <c r="K405" s="14"/>
      <c r="L405" s="16"/>
      <c r="M405" s="14"/>
      <c r="N405" s="16"/>
      <c r="O405" s="14"/>
      <c r="P405" s="16"/>
      <c r="Q405" s="14"/>
      <c r="R405" s="5" t="str">
        <f>IFERROR(__xludf.DUMMYFUNCTION("""COMPUTED_VALUE"""),"Sáb")</f>
        <v>Sáb</v>
      </c>
      <c r="S405" s="14" t="str">
        <f>IFERROR(__xludf.DUMMYFUNCTION("""COMPUTED_VALUE"""),"3PM - 6PM")</f>
        <v>3PM - 6PM</v>
      </c>
      <c r="T405" s="16" t="str">
        <f>IFERROR(__xludf.DUMMYFUNCTION("""COMPUTED_VALUE"""),"Sábado 18 Julio")</f>
        <v>Sábado 18 Julio</v>
      </c>
      <c r="U405" s="16" t="str">
        <f>IFERROR(__xludf.DUMMYFUNCTION("""COMPUTED_VALUE"""),"Sábado 15 Agosto")</f>
        <v>Sábado 15 Agosto</v>
      </c>
      <c r="V405" s="17">
        <f>IFERROR(__xludf.DUMMYFUNCTION("""COMPUTED_VALUE"""),5.0)</f>
        <v>5</v>
      </c>
      <c r="W405" s="6" t="str">
        <f>IFERROR(__xludf.DUMMYFUNCTION("""COMPUTED_VALUE"""),"pdfs/BROCHURE GESTION DE TRANSPORTE Y CANALES DE DISTRIBUCIÓN.pdf")</f>
        <v>pdfs/BROCHURE GESTION DE TRANSPORTE Y CANALES DE DISTRIBUCIÓN.pdf</v>
      </c>
      <c r="X405" s="22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*Utilizarán Excel* 👩🏻‍💻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*Por favor, revisa el BROCHURE* 👇🏻
Aqui encontrarás la información completa del programa, el TEMARIO (malla curricular) y todos los BENEFICIOS 📚</v>
      </c>
      <c r="Y405" s="14" t="str">
        <f>IFERROR(__xludf.DUMMYFUNCTION("""COMPUTED_VALUE"""),"images/transpo.jpg")</f>
        <v>images/transpo.jpg</v>
      </c>
      <c r="Z405" s="14"/>
      <c r="AA405" s="14" t="str">
        <f>IFERROR(__xludf.DUMMYFUNCTION("""COMPUTED_VALUE"""),"NO")</f>
        <v>NO</v>
      </c>
      <c r="AB405" s="14">
        <f>IFERROR(__xludf.DUMMYFUNCTION("""COMPUTED_VALUE"""),830.0)</f>
        <v>830</v>
      </c>
      <c r="AC405" s="14">
        <f>IFERROR(__xludf.DUMMYFUNCTION("""COMPUTED_VALUE"""),770.0)</f>
        <v>770</v>
      </c>
      <c r="AD405" s="14">
        <f>IFERROR(__xludf.DUMMYFUNCTION("""COMPUTED_VALUE"""),415.0)</f>
        <v>415</v>
      </c>
      <c r="AE405" s="14">
        <f>IFERROR(__xludf.DUMMYFUNCTION("""COMPUTED_VALUE"""),385.0)</f>
        <v>385</v>
      </c>
      <c r="AF405" s="14">
        <f>IFERROR(__xludf.DUMMYFUNCTION("""COMPUTED_VALUE"""),150.0)</f>
        <v>150</v>
      </c>
      <c r="AG405" s="19">
        <f>IFERROR(__xludf.DUMMYFUNCTION("""COMPUTED_VALUE"""),150.0)</f>
        <v>150</v>
      </c>
      <c r="AH405" s="20"/>
      <c r="AI405" s="5">
        <f>IFERROR(__xludf.DUMMYFUNCTION("""COMPUTED_VALUE"""),346.5)</f>
        <v>346.5</v>
      </c>
      <c r="AJ405" s="5">
        <f>IFERROR(__xludf.DUMMYFUNCTION("""COMPUTED_VALUE"""),373.5)</f>
        <v>373.5</v>
      </c>
      <c r="AK405" s="5" t="str">
        <f>IFERROR(__xludf.DUMMYFUNCTION("""COMPUTED_VALUE"""),"La competitividad empresarial depende de una logística eficiente 📦
Con Gestión de Transportes aprenderás a planificar, coordinar y optimizar rutas y costos en casos reales 🚛.
Aquí te comparto la información 👇🏻")</f>
        <v>La competitividad empresarial depende de una logística eficiente 📦
Con Gestión de Transportes aprenderás a planificar, coordinar y optimizar rutas y costos en casos reales 🚛.
Aquí te comparto la información 👇🏻</v>
      </c>
      <c r="AL405" s="5" t="str">
        <f>IFERROR(__xludf.DUMMYFUNCTION("""COMPUTED_VALUE"""),"🌍 *Excelente*, actualízate con *GEST TRANSPORTES* y mantente competitivo en el mercado laboral.")</f>
        <v>🌍 *Excelente*, actualízate con *GEST TRANSPORTES* y mantente competitivo en el mercado laboral.</v>
      </c>
      <c r="AM405" s="5" t="str">
        <f>IFERROR(__xludf.DUMMYFUNCTION("""COMPUTED_VALUE"""),"📘 Buenísimo, *GEST TRANSPORTES* es de las competencias más pedidas por las empresas y aumentará tus oportunidades laborales.")</f>
        <v>📘 Buenísimo, *GEST TRANSPORTES* es de las competencias más pedidas por las empresas y aumentará tus oportunidades laborales.</v>
      </c>
      <c r="AN405" s="5" t="str">
        <f>IFERROR(__xludf.DUMMYFUNCTION("""COMPUTED_VALUE"""),"💼 ¡Genial! Con *GEST TRANSPORTES* sumarás una habilidad poderosa que te diferenciará desde la universidad.")</f>
        <v>💼 ¡Genial! Con *GEST TRANSPORTES* sumarás una habilidad poderosa que te diferenciará desde la universidad.</v>
      </c>
      <c r="AO405" s="5" t="str">
        <f>IFERROR(__xludf.DUMMYFUNCTION("""COMPUTED_VALUE"""),"📊 ¡Perfecto! Saber *GEST TRANSPORTES* te dará ventaja frente a otros postulantes para conseguir prácticas.")</f>
        <v>📊 ¡Perfecto! Saber *GEST TRANSPORTES* te dará ventaja frente a otros postulantes para conseguir prácticas.</v>
      </c>
      <c r="AP405" s="5" t="str">
        <f>IFERROR(__xludf.DUMMYFUNCTION("""COMPUTED_VALUE"""),"💼 ¡Excelente! Con *GEST TRANSPORTES* podrás aplicarlo en tu negocio y tomar decisiones más inteligentes.")</f>
        <v>💼 ¡Excelente! Con *GEST TRANSPORTES* podrás aplicarlo en tu negocio y tomar decisiones más inteligentes.</v>
      </c>
      <c r="AQ405" s="9" t="str">
        <f>IFERROR(__xludf.DUMMYFUNCTION("""COMPUTED_VALUE"""),"https://we-educacion.com/slides/gestion-de-transportes-73")</f>
        <v>https://we-educacion.com/slides/gestion-de-transportes-73</v>
      </c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</row>
    <row r="406" ht="15.75" customHeight="1">
      <c r="A406" s="5" t="s">
        <v>448</v>
      </c>
      <c r="B406" s="5" t="str">
        <f t="shared" si="1"/>
        <v>JUL. I - ED26</v>
      </c>
      <c r="C406" s="14" t="str">
        <f>IFERROR(__xludf.DUMMYFUNCTION("""COMPUTED_VALUE"""),"PROYECTOS")</f>
        <v>PROYECTOS</v>
      </c>
      <c r="D406" s="14" t="str">
        <f>IFERROR(__xludf.DUMMYFUNCTION("""COMPUTED_VALUE"""),"CURSO")</f>
        <v>CURSO</v>
      </c>
      <c r="E406" s="14" t="str">
        <f>IFERROR(__xludf.DUMMYFUNCTION("""COMPUTED_VALUE"""),"GEST FINANC. PROYECT")</f>
        <v>GEST FINANC. PROYECT</v>
      </c>
      <c r="F406" s="15">
        <f>IFERROR(__xludf.DUMMYFUNCTION("""COMPUTED_VALUE"""),46222.0)</f>
        <v>46222</v>
      </c>
      <c r="G406" s="14"/>
      <c r="H406" s="16"/>
      <c r="I406" s="14"/>
      <c r="J406" s="16"/>
      <c r="K406" s="14"/>
      <c r="L406" s="16"/>
      <c r="M406" s="14"/>
      <c r="N406" s="16"/>
      <c r="O406" s="14"/>
      <c r="P406" s="16"/>
      <c r="Q406" s="14" t="str">
        <f>IFERROR(__xludf.DUMMYFUNCTION("""COMPUTED_VALUE"""),"Elmer León")</f>
        <v>Elmer León</v>
      </c>
      <c r="R406" s="5" t="str">
        <f>IFERROR(__xludf.DUMMYFUNCTION("""COMPUTED_VALUE"""),"Dom")</f>
        <v>Dom</v>
      </c>
      <c r="S406" s="14" t="str">
        <f>IFERROR(__xludf.DUMMYFUNCTION("""COMPUTED_VALUE"""),"9AM - 12PM")</f>
        <v>9AM - 12PM</v>
      </c>
      <c r="T406" s="16" t="str">
        <f>IFERROR(__xludf.DUMMYFUNCTION("""COMPUTED_VALUE"""),"Domingo 19 Julio")</f>
        <v>Domingo 19 Julio</v>
      </c>
      <c r="U406" s="16" t="str">
        <f>IFERROR(__xludf.DUMMYFUNCTION("""COMPUTED_VALUE"""),"Domingo 23 Agosto")</f>
        <v>Domingo 23 Agosto</v>
      </c>
      <c r="V406" s="17">
        <f>IFERROR(__xludf.DUMMYFUNCTION("""COMPUTED_VALUE"""),6.0)</f>
        <v>6</v>
      </c>
      <c r="W406" s="6" t="str">
        <f>IFERROR(__xludf.DUMMYFUNCTION("""COMPUTED_VALUE"""),"pdfs/BROCHURE GESTIÓN FINANCIERA DE PROYECTOS.pdf")</f>
        <v>pdfs/BROCHURE GESTIÓN FINANCIERA DE PROYECTOS.pdf</v>
      </c>
      <c r="X406" s="22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*Por favor, revisa el BROCHURE* 👇🏻
Aqui encontrarás la información completa del programa, el TEMARIO (malla curricular) y todos los BENEFICIOS 📚</v>
      </c>
      <c r="Y406" s="14" t="str">
        <f>IFERROR(__xludf.DUMMYFUNCTION("""COMPUTED_VALUE"""),"images/gestfinanc.jpg")</f>
        <v>images/gestfinanc.jpg</v>
      </c>
      <c r="Z406" s="14"/>
      <c r="AA406" s="14" t="str">
        <f>IFERROR(__xludf.DUMMYFUNCTION("""COMPUTED_VALUE"""),"NO")</f>
        <v>NO</v>
      </c>
      <c r="AB406" s="14">
        <f>IFERROR(__xludf.DUMMYFUNCTION("""COMPUTED_VALUE"""),710.0)</f>
        <v>710</v>
      </c>
      <c r="AC406" s="14">
        <f>IFERROR(__xludf.DUMMYFUNCTION("""COMPUTED_VALUE"""),610.0)</f>
        <v>610</v>
      </c>
      <c r="AD406" s="14">
        <f>IFERROR(__xludf.DUMMYFUNCTION("""COMPUTED_VALUE"""),355.0)</f>
        <v>355</v>
      </c>
      <c r="AE406" s="14">
        <f>IFERROR(__xludf.DUMMYFUNCTION("""COMPUTED_VALUE"""),305.0)</f>
        <v>305</v>
      </c>
      <c r="AF406" s="14">
        <f>IFERROR(__xludf.DUMMYFUNCTION("""COMPUTED_VALUE"""),150.0)</f>
        <v>150</v>
      </c>
      <c r="AG406" s="19">
        <f>IFERROR(__xludf.DUMMYFUNCTION("""COMPUTED_VALUE"""),150.0)</f>
        <v>150</v>
      </c>
      <c r="AH406" s="20"/>
      <c r="AI406" s="5">
        <f>IFERROR(__xludf.DUMMYFUNCTION("""COMPUTED_VALUE"""),274.5)</f>
        <v>274.5</v>
      </c>
      <c r="AJ406" s="5">
        <f>IFERROR(__xludf.DUMMYFUNCTION("""COMPUTED_VALUE"""),319.5)</f>
        <v>319.5</v>
      </c>
      <c r="AK406" s="5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406" s="5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406" s="5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406" s="5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406" s="5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406" s="5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406" s="9" t="str">
        <f>IFERROR(__xludf.DUMMYFUNCTION("""COMPUTED_VALUE"""),"https://we-educacion.com/slides/gestion-financiera-de-proyectos-637")</f>
        <v>https://we-educacion.com/slides/gestion-financiera-de-proyectos-637</v>
      </c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</row>
    <row r="407" ht="15.75" customHeight="1">
      <c r="A407" s="5" t="s">
        <v>449</v>
      </c>
      <c r="B407" s="5" t="str">
        <f t="shared" si="1"/>
        <v>JUL. I - ED26</v>
      </c>
      <c r="C407" s="14" t="str">
        <f>IFERROR(__xludf.DUMMYFUNCTION("""COMPUTED_VALUE"""),"BI")</f>
        <v>BI</v>
      </c>
      <c r="D407" s="5" t="str">
        <f>IFERROR(__xludf.DUMMYFUNCTION("""COMPUTED_VALUE"""),"CURSO")</f>
        <v>CURSO</v>
      </c>
      <c r="E407" s="14" t="str">
        <f>IFERROR(__xludf.DUMMYFUNCTION("""COMPUTED_VALUE"""),"PYTHON. DATOS")</f>
        <v>PYTHON. DATOS</v>
      </c>
      <c r="F407" s="15">
        <f>IFERROR(__xludf.DUMMYFUNCTION("""COMPUTED_VALUE"""),46222.0)</f>
        <v>46222</v>
      </c>
      <c r="G407" s="14"/>
      <c r="H407" s="16"/>
      <c r="I407" s="14"/>
      <c r="J407" s="16"/>
      <c r="K407" s="14"/>
      <c r="L407" s="16"/>
      <c r="M407" s="14"/>
      <c r="N407" s="16"/>
      <c r="O407" s="14"/>
      <c r="P407" s="16"/>
      <c r="Q407" s="14"/>
      <c r="R407" s="5" t="str">
        <f>IFERROR(__xludf.DUMMYFUNCTION("""COMPUTED_VALUE"""),"Dom")</f>
        <v>Dom</v>
      </c>
      <c r="S407" s="14" t="str">
        <f>IFERROR(__xludf.DUMMYFUNCTION("""COMPUTED_VALUE"""),"9AM - 12PM")</f>
        <v>9AM - 12PM</v>
      </c>
      <c r="T407" s="16" t="str">
        <f>IFERROR(__xludf.DUMMYFUNCTION("""COMPUTED_VALUE"""),"Domingo 19 Julio")</f>
        <v>Domingo 19 Julio</v>
      </c>
      <c r="U407" s="16" t="str">
        <f>IFERROR(__xludf.DUMMYFUNCTION("""COMPUTED_VALUE"""),"Domingo 6 Septiembre")</f>
        <v>Domingo 6 Septiembre</v>
      </c>
      <c r="V407" s="17">
        <f>IFERROR(__xludf.DUMMYFUNCTION("""COMPUTED_VALUE"""),6.0)</f>
        <v>6</v>
      </c>
      <c r="W407" s="6" t="str">
        <f>IFERROR(__xludf.DUMMYFUNCTION("""COMPUTED_VALUE"""),"pdfs/BROCHURE PYTHON ANALISIS DE DATOS.pdf")</f>
        <v>pdfs/BROCHURE PYTHON ANALISIS DE DATOS.pdf</v>
      </c>
      <c r="X407" s="22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407" s="14" t="str">
        <f>IFERROR(__xludf.DUMMYFUNCTION("""COMPUTED_VALUE"""),"images/python.jpg")</f>
        <v>images/python.jpg</v>
      </c>
      <c r="Z407" s="14" t="str">
        <f>IFERROR(__xludf.DUMMYFUNCTION("""COMPUTED_VALUE"""),"Avalado por IBM® Partner World")</f>
        <v>Avalado por IBM® Partner World</v>
      </c>
      <c r="AA407" s="14" t="str">
        <f>IFERROR(__xludf.DUMMYFUNCTION("""COMPUTED_VALUE"""),"SI")</f>
        <v>SI</v>
      </c>
      <c r="AB407" s="14">
        <f>IFERROR(__xludf.DUMMYFUNCTION("""COMPUTED_VALUE"""),730.0)</f>
        <v>730</v>
      </c>
      <c r="AC407" s="14">
        <f>IFERROR(__xludf.DUMMYFUNCTION("""COMPUTED_VALUE"""),650.0)</f>
        <v>650</v>
      </c>
      <c r="AD407" s="14">
        <f>IFERROR(__xludf.DUMMYFUNCTION("""COMPUTED_VALUE"""),365.0)</f>
        <v>365</v>
      </c>
      <c r="AE407" s="14">
        <f>IFERROR(__xludf.DUMMYFUNCTION("""COMPUTED_VALUE"""),325.0)</f>
        <v>325</v>
      </c>
      <c r="AF407" s="14">
        <f>IFERROR(__xludf.DUMMYFUNCTION("""COMPUTED_VALUE"""),150.0)</f>
        <v>150</v>
      </c>
      <c r="AG407" s="19">
        <f>IFERROR(__xludf.DUMMYFUNCTION("""COMPUTED_VALUE"""),150.0)</f>
        <v>150</v>
      </c>
      <c r="AH407" s="20"/>
      <c r="AI407" s="5">
        <f>IFERROR(__xludf.DUMMYFUNCTION("""COMPUTED_VALUE"""),292.5)</f>
        <v>292.5</v>
      </c>
      <c r="AJ407" s="5">
        <f>IFERROR(__xludf.DUMMYFUNCTION("""COMPUTED_VALUE"""),328.5)</f>
        <v>328.5</v>
      </c>
      <c r="AK407" s="5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407" s="5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407" s="5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407" s="5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407" s="5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407" s="5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407" s="9" t="str">
        <f>IFERROR(__xludf.DUMMYFUNCTION("""COMPUTED_VALUE"""),"https://we-educacion.com/slides/python-analisis-de-datos-259")</f>
        <v>https://we-educacion.com/slides/python-analisis-de-datos-259</v>
      </c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</row>
    <row r="408" ht="15.75" customHeight="1">
      <c r="A408" s="5" t="s">
        <v>450</v>
      </c>
      <c r="B408" s="5" t="str">
        <f t="shared" si="1"/>
        <v>AGO. I - ED26</v>
      </c>
      <c r="C408" s="14" t="str">
        <f>IFERROR(__xludf.DUMMYFUNCTION("""COMPUTED_VALUE"""),"PROYECTOS")</f>
        <v>PROYECTOS</v>
      </c>
      <c r="D408" s="5" t="str">
        <f>IFERROR(__xludf.DUMMYFUNCTION("""COMPUTED_VALUE"""),"CURSO")</f>
        <v>CURSO</v>
      </c>
      <c r="E408" s="14" t="str">
        <f>IFERROR(__xludf.DUMMYFUNCTION("""COMPUTED_VALUE"""),"GEST FINANC. PROYECT")</f>
        <v>GEST FINANC. PROYECT</v>
      </c>
      <c r="F408" s="15">
        <f>IFERROR(__xludf.DUMMYFUNCTION("""COMPUTED_VALUE"""),46235.0)</f>
        <v>46235</v>
      </c>
      <c r="G408" s="14"/>
      <c r="H408" s="16"/>
      <c r="I408" s="14"/>
      <c r="J408" s="16"/>
      <c r="K408" s="14"/>
      <c r="L408" s="16"/>
      <c r="M408" s="14"/>
      <c r="N408" s="16"/>
      <c r="O408" s="14"/>
      <c r="P408" s="16"/>
      <c r="Q408" s="14" t="str">
        <f>IFERROR(__xludf.DUMMYFUNCTION("""COMPUTED_VALUE"""),"Elmer León")</f>
        <v>Elmer León</v>
      </c>
      <c r="R408" s="5" t="str">
        <f>IFERROR(__xludf.DUMMYFUNCTION("""COMPUTED_VALUE"""),"Sáb")</f>
        <v>Sáb</v>
      </c>
      <c r="S408" s="14" t="str">
        <f>IFERROR(__xludf.DUMMYFUNCTION("""COMPUTED_VALUE"""),"3PM - 6PM")</f>
        <v>3PM - 6PM</v>
      </c>
      <c r="T408" s="16" t="str">
        <f>IFERROR(__xludf.DUMMYFUNCTION("""COMPUTED_VALUE"""),"Sábado 1 Agosto")</f>
        <v>Sábado 1 Agosto</v>
      </c>
      <c r="U408" s="16" t="str">
        <f>IFERROR(__xludf.DUMMYFUNCTION("""COMPUTED_VALUE"""),"Sábado 5 Septiembre")</f>
        <v>Sábado 5 Septiembre</v>
      </c>
      <c r="V408" s="17">
        <f>IFERROR(__xludf.DUMMYFUNCTION("""COMPUTED_VALUE"""),6.0)</f>
        <v>6</v>
      </c>
      <c r="W408" s="6" t="str">
        <f>IFERROR(__xludf.DUMMYFUNCTION("""COMPUTED_VALUE"""),"pdfs/BROCHURE GESTIÓN FINANCIERA DE PROYECTOS.pdf")</f>
        <v>pdfs/BROCHURE GESTIÓN FINANCIERA DE PROYECTOS.pdf</v>
      </c>
      <c r="X408" s="22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*Por favor, revisa el BROCHURE* 👇🏻
Aqui encontrarás la información completa del programa, el TEMARIO (malla curricular) y todos los BENEFICIOS 📚</v>
      </c>
      <c r="Y408" s="14" t="str">
        <f>IFERROR(__xludf.DUMMYFUNCTION("""COMPUTED_VALUE"""),"images/gestfinanc.jpg")</f>
        <v>images/gestfinanc.jpg</v>
      </c>
      <c r="Z408" s="14"/>
      <c r="AA408" s="14" t="str">
        <f>IFERROR(__xludf.DUMMYFUNCTION("""COMPUTED_VALUE"""),"NO")</f>
        <v>NO</v>
      </c>
      <c r="AB408" s="14">
        <f>IFERROR(__xludf.DUMMYFUNCTION("""COMPUTED_VALUE"""),710.0)</f>
        <v>710</v>
      </c>
      <c r="AC408" s="14">
        <f>IFERROR(__xludf.DUMMYFUNCTION("""COMPUTED_VALUE"""),610.0)</f>
        <v>610</v>
      </c>
      <c r="AD408" s="14">
        <f>IFERROR(__xludf.DUMMYFUNCTION("""COMPUTED_VALUE"""),355.0)</f>
        <v>355</v>
      </c>
      <c r="AE408" s="14">
        <f>IFERROR(__xludf.DUMMYFUNCTION("""COMPUTED_VALUE"""),305.0)</f>
        <v>305</v>
      </c>
      <c r="AF408" s="14">
        <f>IFERROR(__xludf.DUMMYFUNCTION("""COMPUTED_VALUE"""),150.0)</f>
        <v>150</v>
      </c>
      <c r="AG408" s="19">
        <f>IFERROR(__xludf.DUMMYFUNCTION("""COMPUTED_VALUE"""),150.0)</f>
        <v>150</v>
      </c>
      <c r="AH408" s="20"/>
      <c r="AI408" s="5">
        <f>IFERROR(__xludf.DUMMYFUNCTION("""COMPUTED_VALUE"""),274.5)</f>
        <v>274.5</v>
      </c>
      <c r="AJ408" s="5">
        <f>IFERROR(__xludf.DUMMYFUNCTION("""COMPUTED_VALUE"""),319.5)</f>
        <v>319.5</v>
      </c>
      <c r="AK408" s="5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408" s="5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408" s="5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408" s="5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408" s="5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408" s="5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408" s="9" t="str">
        <f>IFERROR(__xludf.DUMMYFUNCTION("""COMPUTED_VALUE"""),"https://we-educacion.com/slides/gestion-financiera-de-proyectos-637")</f>
        <v>https://we-educacion.com/slides/gestion-financiera-de-proyectos-637</v>
      </c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</row>
    <row r="409" ht="15.75" customHeight="1">
      <c r="A409" s="5" t="s">
        <v>451</v>
      </c>
      <c r="B409" s="5" t="str">
        <f t="shared" si="1"/>
        <v>AGO. I - ED26</v>
      </c>
      <c r="C409" s="14" t="str">
        <f>IFERROR(__xludf.DUMMYFUNCTION("""COMPUTED_VALUE"""),"PROCESOS")</f>
        <v>PROCESOS</v>
      </c>
      <c r="D409" s="5" t="str">
        <f>IFERROR(__xludf.DUMMYFUNCTION("""COMPUTED_VALUE"""),"CURSO")</f>
        <v>CURSO</v>
      </c>
      <c r="E409" s="14" t="str">
        <f>IFERROR(__xludf.DUMMYFUNCTION("""COMPUTED_VALUE"""),"KPIS Y OKRS")</f>
        <v>KPIS Y OKRS</v>
      </c>
      <c r="F409" s="15">
        <f>IFERROR(__xludf.DUMMYFUNCTION("""COMPUTED_VALUE"""),46243.0)</f>
        <v>46243</v>
      </c>
      <c r="G409" s="14"/>
      <c r="H409" s="16"/>
      <c r="I409" s="14"/>
      <c r="J409" s="16"/>
      <c r="K409" s="14"/>
      <c r="L409" s="16"/>
      <c r="M409" s="14"/>
      <c r="N409" s="16"/>
      <c r="O409" s="14"/>
      <c r="P409" s="16"/>
      <c r="Q409" s="14"/>
      <c r="R409" s="5" t="str">
        <f>IFERROR(__xludf.DUMMYFUNCTION("""COMPUTED_VALUE"""),"Dom")</f>
        <v>Dom</v>
      </c>
      <c r="S409" s="14" t="str">
        <f>IFERROR(__xludf.DUMMYFUNCTION("""COMPUTED_VALUE"""),"9AM - 12PM")</f>
        <v>9AM - 12PM</v>
      </c>
      <c r="T409" s="16" t="str">
        <f>IFERROR(__xludf.DUMMYFUNCTION("""COMPUTED_VALUE"""),"Domingo 9 Agosto")</f>
        <v>Domingo 9 Agosto</v>
      </c>
      <c r="U409" s="16" t="str">
        <f>IFERROR(__xludf.DUMMYFUNCTION("""COMPUTED_VALUE"""),"Domingo 20 Septiembre")</f>
        <v>Domingo 20 Septiembre</v>
      </c>
      <c r="V409" s="17">
        <f>IFERROR(__xludf.DUMMYFUNCTION("""COMPUTED_VALUE"""),5.0)</f>
        <v>5</v>
      </c>
      <c r="W409" s="6" t="str">
        <f>IFERROR(__xludf.DUMMYFUNCTION("""COMPUTED_VALUE"""),"pdfs/BROCHURE KPI'S Y OKR'S.pdf")</f>
        <v>pdfs/BROCHURE KPI'S Y OKR'S.pdf</v>
      </c>
      <c r="X409" s="22" t="str">
        <f>IFERROR(__xludf.DUMMYFUNCTION("""COMPUTED_VALUE"""),"🔵*¡Certificado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for"&amp;"matos
🚨 *Por favor, revisa el BROCHURE* 👇🏻
Aqui encontrarás la información completa del programa, el TEMARIO (malla curricular) y todos los BENEFICIOS 📚")</f>
        <v>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*Por favor, revisa el BROCHURE* 👇🏻
Aqui encontrarás la información completa del programa, el TEMARIO (malla curricular) y todos los BENEFICIOS 📚</v>
      </c>
      <c r="Y409" s="14" t="str">
        <f>IFERROR(__xludf.DUMMYFUNCTION("""COMPUTED_VALUE"""),"images/kpis.jpg")</f>
        <v>images/kpis.jpg</v>
      </c>
      <c r="Z409" s="14" t="str">
        <f>IFERROR(__xludf.DUMMYFUNCTION("""COMPUTED_VALUE"""),"Avalado por Microsoft Partner Network")</f>
        <v>Avalado por Microsoft Partner Network</v>
      </c>
      <c r="AA409" s="14" t="str">
        <f>IFERROR(__xludf.DUMMYFUNCTION("""COMPUTED_VALUE"""),"NO")</f>
        <v>NO</v>
      </c>
      <c r="AB409" s="14">
        <f>IFERROR(__xludf.DUMMYFUNCTION("""COMPUTED_VALUE"""),700.0)</f>
        <v>700</v>
      </c>
      <c r="AC409" s="14">
        <f>IFERROR(__xludf.DUMMYFUNCTION("""COMPUTED_VALUE"""),636.0)</f>
        <v>636</v>
      </c>
      <c r="AD409" s="14">
        <f>IFERROR(__xludf.DUMMYFUNCTION("""COMPUTED_VALUE"""),350.0)</f>
        <v>350</v>
      </c>
      <c r="AE409" s="14">
        <f>IFERROR(__xludf.DUMMYFUNCTION("""COMPUTED_VALUE"""),318.0)</f>
        <v>318</v>
      </c>
      <c r="AF409" s="14">
        <f>IFERROR(__xludf.DUMMYFUNCTION("""COMPUTED_VALUE"""),150.0)</f>
        <v>150</v>
      </c>
      <c r="AG409" s="19">
        <f>IFERROR(__xludf.DUMMYFUNCTION("""COMPUTED_VALUE"""),150.0)</f>
        <v>150</v>
      </c>
      <c r="AH409" s="20"/>
      <c r="AI409" s="5">
        <f>IFERROR(__xludf.DUMMYFUNCTION("""COMPUTED_VALUE"""),286.2)</f>
        <v>286.2</v>
      </c>
      <c r="AJ409" s="5">
        <f>IFERROR(__xludf.DUMMYFUNCTION("""COMPUTED_VALUE"""),315.0)</f>
        <v>315</v>
      </c>
      <c r="AK409" s="5" t="str">
        <f>IFERROR(__xludf.DUMMYFUNCTION("""COMPUTED_VALUE"""),"El éxito de los líderes está en medir lo que importa 📈
Con KPIs y OKRs aprenderás a establecer indicadores y objetivos estratégicos aplicados a casos reales 💼.
Aquí la información completa 👇🏻")</f>
        <v>El éxito de los líderes está en medir lo que importa 📈
Con KPIs y OKRs aprenderás a establecer indicadores y objetivos estratégicos aplicados a casos reales 💼.
Aquí la información completa 👇🏻</v>
      </c>
      <c r="AL409" s="5" t="str">
        <f>IFERROR(__xludf.DUMMYFUNCTION("""COMPUTED_VALUE"""),"🌍 *Excelente*, actualízate con *KPIS Y OKRS* y mantente competitivo en el mercado laboral.")</f>
        <v>🌍 *Excelente*, actualízate con *KPIS Y OKRS* y mantente competitivo en el mercado laboral.</v>
      </c>
      <c r="AM409" s="5" t="str">
        <f>IFERROR(__xludf.DUMMYFUNCTION("""COMPUTED_VALUE"""),"✨ Buenísimo, *KPIS Y OKRS* es de las competencias más pedidas por las empresas y aumentará tus oportunidades laborales.")</f>
        <v>✨ Buenísimo, *KPIS Y OKRS* es de las competencias más pedidas por las empresas y aumentará tus oportunidades laborales.</v>
      </c>
      <c r="AN409" s="5" t="str">
        <f>IFERROR(__xludf.DUMMYFUNCTION("""COMPUTED_VALUE"""),"🌍 ¡Genial! Con *KPIS Y OKRS* sumarás una habilidad poderosa que te diferenciará desde la universidad.")</f>
        <v>🌍 ¡Genial! Con *KPIS Y OKRS* sumarás una habilidad poderosa que te diferenciará desde la universidad.</v>
      </c>
      <c r="AO409" s="5" t="str">
        <f>IFERROR(__xludf.DUMMYFUNCTION("""COMPUTED_VALUE"""),"🛠️ ¡Perfecto! Saber *KPIS Y OKRS* te dará ventaja frente a otros postulantes para conseguir prácticas.")</f>
        <v>🛠️ ¡Perfecto! Saber *KPIS Y OKRS* te dará ventaja frente a otros postulantes para conseguir prácticas.</v>
      </c>
      <c r="AP409" s="5" t="str">
        <f>IFERROR(__xludf.DUMMYFUNCTION("""COMPUTED_VALUE"""),"🎓 ¡Excelente! Con *KPIS Y OKRS* podrás aplicarlo en tu negocio y tomar decisiones más inteligentes.")</f>
        <v>🎓 ¡Excelente! Con *KPIS Y OKRS* podrás aplicarlo en tu negocio y tomar decisiones más inteligentes.</v>
      </c>
      <c r="AQ409" s="9" t="str">
        <f>IFERROR(__xludf.DUMMYFUNCTION("""COMPUTED_VALUE"""),"https://we-educacion.com/slides/kpi-s-y-okr-s-203")</f>
        <v>https://we-educacion.com/slides/kpi-s-y-okr-s-203</v>
      </c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</row>
    <row r="410" ht="15.75" customHeight="1">
      <c r="A410" s="5" t="s">
        <v>452</v>
      </c>
      <c r="B410" s="5" t="str">
        <f t="shared" si="1"/>
        <v>AGO. I - ED26</v>
      </c>
      <c r="C410" s="14" t="str">
        <f>IFERROR(__xludf.DUMMYFUNCTION("""COMPUTED_VALUE"""),"PROCESOS")</f>
        <v>PROCESOS</v>
      </c>
      <c r="D410" s="5" t="str">
        <f>IFERROR(__xludf.DUMMYFUNCTION("""COMPUTED_VALUE"""),"CURSO")</f>
        <v>CURSO</v>
      </c>
      <c r="E410" s="14" t="str">
        <f>IFERROR(__xludf.DUMMYFUNCTION("""COMPUTED_VALUE"""),"ROBOTIZ.  UIPATH")</f>
        <v>ROBOTIZ.  UIPATH</v>
      </c>
      <c r="F410" s="15">
        <f>IFERROR(__xludf.DUMMYFUNCTION("""COMPUTED_VALUE"""),46261.0)</f>
        <v>46261</v>
      </c>
      <c r="G410" s="14"/>
      <c r="H410" s="16"/>
      <c r="I410" s="14"/>
      <c r="J410" s="16"/>
      <c r="K410" s="14"/>
      <c r="L410" s="16"/>
      <c r="M410" s="14"/>
      <c r="N410" s="16"/>
      <c r="O410" s="14"/>
      <c r="P410" s="16"/>
      <c r="Q410" s="14" t="str">
        <f>IFERROR(__xludf.DUMMYFUNCTION("""COMPUTED_VALUE"""),"Christian Rojas")</f>
        <v>Christian Rojas</v>
      </c>
      <c r="R410" s="5" t="str">
        <f>IFERROR(__xludf.DUMMYFUNCTION("""COMPUTED_VALUE"""),"Jue")</f>
        <v>Jue</v>
      </c>
      <c r="S410" s="14" t="str">
        <f>IFERROR(__xludf.DUMMYFUNCTION("""COMPUTED_VALUE"""),"7PM - 10PM")</f>
        <v>7PM - 10PM</v>
      </c>
      <c r="T410" s="16" t="str">
        <f>IFERROR(__xludf.DUMMYFUNCTION("""COMPUTED_VALUE"""),"Jueves 27 Agosto")</f>
        <v>Jueves 27 Agosto</v>
      </c>
      <c r="U410" s="16" t="str">
        <f>IFERROR(__xludf.DUMMYFUNCTION("""COMPUTED_VALUE"""),"Jueves 1 Octubre")</f>
        <v>Jueves 1 Octubre</v>
      </c>
      <c r="V410" s="17">
        <f>IFERROR(__xludf.DUMMYFUNCTION("""COMPUTED_VALUE"""),6.0)</f>
        <v>6</v>
      </c>
      <c r="W410" s="6" t="str">
        <f>IFERROR(__xludf.DUMMYFUNCTION("""COMPUTED_VALUE"""),"pdfs/BROCHURE ROBOTIZACIÓN DE PROCESOS CON UIPATH.pdf")</f>
        <v>pdfs/BROCHURE ROBOTIZACIÓN DE PROCESOS CON UIPATH.pdf</v>
      </c>
      <c r="X410" s="22" t="str">
        <f>IFERROR(__xludf.DUMMYFUNCTION("""COMPUTED_VALUE"""),"🔵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410" s="14" t="str">
        <f>IFERROR(__xludf.DUMMYFUNCTION("""COMPUTED_VALUE"""),"images/uipath.jpg")</f>
        <v>images/uipath.jpg</v>
      </c>
      <c r="Z410" s="14"/>
      <c r="AA410" s="14" t="str">
        <f>IFERROR(__xludf.DUMMYFUNCTION("""COMPUTED_VALUE"""),"NO")</f>
        <v>NO</v>
      </c>
      <c r="AB410" s="14">
        <f>IFERROR(__xludf.DUMMYFUNCTION("""COMPUTED_VALUE"""),780.0)</f>
        <v>780</v>
      </c>
      <c r="AC410" s="14">
        <f>IFERROR(__xludf.DUMMYFUNCTION("""COMPUTED_VALUE"""),690.0)</f>
        <v>690</v>
      </c>
      <c r="AD410" s="14">
        <f>IFERROR(__xludf.DUMMYFUNCTION("""COMPUTED_VALUE"""),390.0)</f>
        <v>390</v>
      </c>
      <c r="AE410" s="14">
        <f>IFERROR(__xludf.DUMMYFUNCTION("""COMPUTED_VALUE"""),345.0)</f>
        <v>345</v>
      </c>
      <c r="AF410" s="14">
        <f>IFERROR(__xludf.DUMMYFUNCTION("""COMPUTED_VALUE"""),150.0)</f>
        <v>150</v>
      </c>
      <c r="AG410" s="19">
        <f>IFERROR(__xludf.DUMMYFUNCTION("""COMPUTED_VALUE"""),150.0)</f>
        <v>150</v>
      </c>
      <c r="AH410" s="20"/>
      <c r="AI410" s="5">
        <f>IFERROR(__xludf.DUMMYFUNCTION("""COMPUTED_VALUE"""),310.5)</f>
        <v>310.5</v>
      </c>
      <c r="AJ410" s="5">
        <f>IFERROR(__xludf.DUMMYFUNCTION("""COMPUTED_VALUE"""),351.0)</f>
        <v>351</v>
      </c>
      <c r="AK410" s="5" t="str">
        <f>IFERROR(__xludf.DUMMYFUNCTION("""COMPUTED_VALUE"""),"La eficiencia empresarial avanza con automatización robótica ⚙️
Con UiPath aprenderás a robotizar procesos repetitivos y ahorrar recursos 💼.
Aquí tienes la info 👇🏻")</f>
        <v>La eficiencia empresarial avanza con automatización robótica ⚙️
Con UiPath aprenderás a robotizar procesos repetitivos y ahorrar recursos 💼.
Aquí tienes la info 👇🏻</v>
      </c>
      <c r="AL410" s="5" t="str">
        <f>IFERROR(__xludf.DUMMYFUNCTION("""COMPUTED_VALUE"""),"🤖 Excelente, actualízate con UiPath y domina la automatización robótica de procesos.")</f>
        <v>🤖 Excelente, actualízate con UiPath y domina la automatización robótica de procesos.</v>
      </c>
      <c r="AM410" s="5" t="str">
        <f>IFERROR(__xludf.DUMMYFUNCTION("""COMPUTED_VALUE"""),"💼 Buenísimo, RPA con UiPath es muy demandado en empresas que digitalizan operaciones.")</f>
        <v>💼 Buenísimo, RPA con UiPath es muy demandado en empresas que digitalizan operaciones.</v>
      </c>
      <c r="AN410" s="5" t="str">
        <f>IFERROR(__xludf.DUMMYFUNCTION("""COMPUTED_VALUE"""),"🎓 ¡Genial! Aprender UiPath en la universidad te pondrá al nivel de la industria.")</f>
        <v>🎓 ¡Genial! Aprender UiPath en la universidad te pondrá al nivel de la industria.</v>
      </c>
      <c r="AO410" s="5" t="str">
        <f>IFERROR(__xludf.DUMMYFUNCTION("""COMPUTED_VALUE"""),"🚀 ¡Perfecto! Con UiPath destacarás en prácticas relacionadas con innovación tecnológica.")</f>
        <v>🚀 ¡Perfecto! Con UiPath destacarás en prácticas relacionadas con innovación tecnológica.</v>
      </c>
      <c r="AP410" s="5" t="str">
        <f>IFERROR(__xludf.DUMMYFUNCTION("""COMPUTED_VALUE"""),"📊 ¡Excelente! Con UiPath podrás automatizar procesos y ahorrar tiempo en tu negocio.")</f>
        <v>📊 ¡Excelente! Con UiPath podrás automatizar procesos y ahorrar tiempo en tu negocio.</v>
      </c>
      <c r="AQ410" s="9" t="str">
        <f>IFERROR(__xludf.DUMMYFUNCTION("""COMPUTED_VALUE"""),"https://we-educacion.com/slides/robotizacion-de-procesos-con-uipath-274")</f>
        <v>https://we-educacion.com/slides/robotizacion-de-procesos-con-uipath-274</v>
      </c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</row>
    <row r="411" ht="15.75" customHeight="1">
      <c r="A411" s="5" t="s">
        <v>453</v>
      </c>
      <c r="B411" s="5" t="str">
        <f t="shared" si="1"/>
        <v>AGO. I - ED26</v>
      </c>
      <c r="C411" s="14" t="str">
        <f>IFERROR(__xludf.DUMMYFUNCTION("""COMPUTED_VALUE"""),"LOGÍSTICA")</f>
        <v>LOGÍSTICA</v>
      </c>
      <c r="D411" s="5" t="str">
        <f>IFERROR(__xludf.DUMMYFUNCTION("""COMPUTED_VALUE"""),"CURSO")</f>
        <v>CURSO</v>
      </c>
      <c r="E411" s="14" t="str">
        <f>IFERROR(__xludf.DUMMYFUNCTION("""COMPUTED_VALUE"""),"LEAN LOGISTICS")</f>
        <v>LEAN LOGISTICS</v>
      </c>
      <c r="F411" s="15">
        <f>IFERROR(__xludf.DUMMYFUNCTION("""COMPUTED_VALUE"""),46263.0)</f>
        <v>46263</v>
      </c>
      <c r="G411" s="14"/>
      <c r="H411" s="16"/>
      <c r="I411" s="14"/>
      <c r="J411" s="16"/>
      <c r="K411" s="14"/>
      <c r="L411" s="16"/>
      <c r="M411" s="14"/>
      <c r="N411" s="16"/>
      <c r="O411" s="14"/>
      <c r="P411" s="16"/>
      <c r="Q411" s="14"/>
      <c r="R411" s="5" t="str">
        <f>IFERROR(__xludf.DUMMYFUNCTION("""COMPUTED_VALUE"""),"Sáb")</f>
        <v>Sáb</v>
      </c>
      <c r="S411" s="14" t="str">
        <f>IFERROR(__xludf.DUMMYFUNCTION("""COMPUTED_VALUE"""),"3PM - 6PM")</f>
        <v>3PM - 6PM</v>
      </c>
      <c r="T411" s="16" t="str">
        <f>IFERROR(__xludf.DUMMYFUNCTION("""COMPUTED_VALUE"""),"Sábado 29 Agosto")</f>
        <v>Sábado 29 Agosto</v>
      </c>
      <c r="U411" s="16" t="str">
        <f>IFERROR(__xludf.DUMMYFUNCTION("""COMPUTED_VALUE"""),"Sábado 3 Octubre")</f>
        <v>Sábado 3 Octubre</v>
      </c>
      <c r="V411" s="17">
        <f>IFERROR(__xludf.DUMMYFUNCTION("""COMPUTED_VALUE"""),6.0)</f>
        <v>6</v>
      </c>
      <c r="W411" s="6" t="str">
        <f>IFERROR(__xludf.DUMMYFUNCTION("""COMPUTED_VALUE"""),"pdfs/BROCHURE LEAN LOGISTICS.pdf")</f>
        <v>pdfs/BROCHURE LEAN LOGISTICS.pdf</v>
      </c>
      <c r="X411" s="22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411" s="14" t="str">
        <f>IFERROR(__xludf.DUMMYFUNCTION("""COMPUTED_VALUE"""),"images/leanlogistic.jpg")</f>
        <v>images/leanlogistic.jpg</v>
      </c>
      <c r="Z411" s="14"/>
      <c r="AA411" s="14" t="str">
        <f>IFERROR(__xludf.DUMMYFUNCTION("""COMPUTED_VALUE"""),"NO")</f>
        <v>NO</v>
      </c>
      <c r="AB411" s="14">
        <f>IFERROR(__xludf.DUMMYFUNCTION("""COMPUTED_VALUE"""),820.0)</f>
        <v>820</v>
      </c>
      <c r="AC411" s="14">
        <f>IFERROR(__xludf.DUMMYFUNCTION("""COMPUTED_VALUE"""),710.0)</f>
        <v>710</v>
      </c>
      <c r="AD411" s="14">
        <f>IFERROR(__xludf.DUMMYFUNCTION("""COMPUTED_VALUE"""),410.0)</f>
        <v>410</v>
      </c>
      <c r="AE411" s="14">
        <f>IFERROR(__xludf.DUMMYFUNCTION("""COMPUTED_VALUE"""),355.0)</f>
        <v>355</v>
      </c>
      <c r="AF411" s="14">
        <f>IFERROR(__xludf.DUMMYFUNCTION("""COMPUTED_VALUE"""),150.0)</f>
        <v>150</v>
      </c>
      <c r="AG411" s="19">
        <f>IFERROR(__xludf.DUMMYFUNCTION("""COMPUTED_VALUE"""),150.0)</f>
        <v>150</v>
      </c>
      <c r="AH411" s="20"/>
      <c r="AI411" s="5">
        <f>IFERROR(__xludf.DUMMYFUNCTION("""COMPUTED_VALUE"""),319.5)</f>
        <v>319.5</v>
      </c>
      <c r="AJ411" s="5">
        <f>IFERROR(__xludf.DUMMYFUNCTION("""COMPUTED_VALUE"""),369.0)</f>
        <v>369</v>
      </c>
      <c r="AK411" s="5" t="str">
        <f>IFERROR(__xludf.DUMMYFUNCTION("""COMPUTED_VALUE"""),"La eficiencia en la cadena de suministro empieza con Lean Logistics 🔄
Aprenderás a optimizar costos, tiempos y flujos logísticos con herramientas prácticas 📦.
Aquí te comparto la info 👇🏻")</f>
        <v>La eficiencia en la cadena de suministro empieza con Lean Logistics 🔄
Aprenderás a optimizar costos, tiempos y flujos logísticos con herramientas prácticas 📦.
Aquí te comparto la info 👇🏻</v>
      </c>
      <c r="AL411" s="5" t="str">
        <f>IFERROR(__xludf.DUMMYFUNCTION("""COMPUTED_VALUE"""),"🏆 *Excelente*, actualízate con *LEAN LOGISTICS* y mantente competitivo en el mercado laboral.")</f>
        <v>🏆 *Excelente*, actualízate con *LEAN LOGISTICS* y mantente competitivo en el mercado laboral.</v>
      </c>
      <c r="AM411" s="5" t="str">
        <f>IFERROR(__xludf.DUMMYFUNCTION("""COMPUTED_VALUE"""),"📘 Buenísimo, *LEAN LOGISTICS* es de las competencias más pedidas por las empresas y aumentará tus oportunidades laborales.")</f>
        <v>📘 Buenísimo, *LEAN LOGISTICS* es de las competencias más pedidas por las empresas y aumentará tus oportunidades laborales.</v>
      </c>
      <c r="AN411" s="5" t="str">
        <f>IFERROR(__xludf.DUMMYFUNCTION("""COMPUTED_VALUE"""),"🎓 ¡Genial! Con *LEAN LOGISTICS* sumarás una habilidad poderosa que te diferenciará desde la universidad.")</f>
        <v>🎓 ¡Genial! Con *LEAN LOGISTICS* sumarás una habilidad poderosa que te diferenciará desde la universidad.</v>
      </c>
      <c r="AO411" s="5" t="str">
        <f>IFERROR(__xludf.DUMMYFUNCTION("""COMPUTED_VALUE"""),"✨ ¡Perfecto! Saber *LEAN LOGISTICS* te dará ventaja frente a otros postulantes para conseguir prácticas.")</f>
        <v>✨ ¡Perfecto! Saber *LEAN LOGISTICS* te dará ventaja frente a otros postulantes para conseguir prácticas.</v>
      </c>
      <c r="AP411" s="5" t="str">
        <f>IFERROR(__xludf.DUMMYFUNCTION("""COMPUTED_VALUE"""),"🚀 ¡Excelente! Con *LEAN LOGISTICS* podrás aplicarlo en tu negocio y tomar decisiones más inteligentes.")</f>
        <v>🚀 ¡Excelente! Con *LEAN LOGISTICS* podrás aplicarlo en tu negocio y tomar decisiones más inteligentes.</v>
      </c>
      <c r="AQ411" s="9" t="str">
        <f>IFERROR(__xludf.DUMMYFUNCTION("""COMPUTED_VALUE"""),"https://we-educacion.com/slides/lean-logistics-67")</f>
        <v>https://we-educacion.com/slides/lean-logistics-67</v>
      </c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</row>
    <row r="412" ht="15.75" customHeight="1">
      <c r="A412" s="5" t="s">
        <v>454</v>
      </c>
      <c r="B412" s="5" t="str">
        <f t="shared" si="1"/>
        <v>SEP. I - ED26</v>
      </c>
      <c r="C412" s="14" t="str">
        <f>IFERROR(__xludf.DUMMYFUNCTION("""COMPUTED_VALUE"""),"BI")</f>
        <v>BI</v>
      </c>
      <c r="D412" s="5" t="str">
        <f>IFERROR(__xludf.DUMMYFUNCTION("""COMPUTED_VALUE"""),"CURSO")</f>
        <v>CURSO</v>
      </c>
      <c r="E412" s="14" t="str">
        <f>IFERROR(__xludf.DUMMYFUNCTION("""COMPUTED_VALUE"""),"PYTHON AVANZ.")</f>
        <v>PYTHON AVANZ.</v>
      </c>
      <c r="F412" s="15">
        <f>IFERROR(__xludf.DUMMYFUNCTION("""COMPUTED_VALUE"""),46278.0)</f>
        <v>46278</v>
      </c>
      <c r="G412" s="14"/>
      <c r="H412" s="16"/>
      <c r="I412" s="14"/>
      <c r="J412" s="16"/>
      <c r="K412" s="14"/>
      <c r="L412" s="16"/>
      <c r="M412" s="14"/>
      <c r="N412" s="16"/>
      <c r="O412" s="14"/>
      <c r="P412" s="16"/>
      <c r="Q412" s="14"/>
      <c r="R412" s="5" t="str">
        <f>IFERROR(__xludf.DUMMYFUNCTION("""COMPUTED_VALUE"""),"Dom")</f>
        <v>Dom</v>
      </c>
      <c r="S412" s="14" t="str">
        <f>IFERROR(__xludf.DUMMYFUNCTION("""COMPUTED_VALUE"""),"9AM - 12PM")</f>
        <v>9AM - 12PM</v>
      </c>
      <c r="T412" s="16" t="str">
        <f>IFERROR(__xludf.DUMMYFUNCTION("""COMPUTED_VALUE"""),"Domingo 13 Septiembre")</f>
        <v>Domingo 13 Septiembre</v>
      </c>
      <c r="U412" s="16" t="str">
        <f>IFERROR(__xludf.DUMMYFUNCTION("""COMPUTED_VALUE"""),"Domingo 8 Noviembre")</f>
        <v>Domingo 8 Noviembre</v>
      </c>
      <c r="V412" s="17">
        <f>IFERROR(__xludf.DUMMYFUNCTION("""COMPUTED_VALUE"""),6.0)</f>
        <v>6</v>
      </c>
      <c r="W412" s="6" t="str">
        <f>IFERROR(__xludf.DUMMYFUNCTION("""COMPUTED_VALUE"""),"pdfs/BROCHURE PYTHON AVANZADO MACHINE LEARNING.pdf")</f>
        <v>pdfs/BROCHURE PYTHON AVANZADO MACHINE LEARNING.pdf</v>
      </c>
      <c r="X412" s="22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412" s="14" t="str">
        <f>IFERROR(__xludf.DUMMYFUNCTION("""COMPUTED_VALUE"""),"images/pythonavanz.jpg")</f>
        <v>images/pythonavanz.jpg</v>
      </c>
      <c r="Z412" s="14" t="str">
        <f>IFERROR(__xludf.DUMMYFUNCTION("""COMPUTED_VALUE"""),"Avalado por IBM® Partner World")</f>
        <v>Avalado por IBM® Partner World</v>
      </c>
      <c r="AA412" s="14" t="str">
        <f>IFERROR(__xludf.DUMMYFUNCTION("""COMPUTED_VALUE"""),"NO")</f>
        <v>NO</v>
      </c>
      <c r="AB412" s="14">
        <f>IFERROR(__xludf.DUMMYFUNCTION("""COMPUTED_VALUE"""),830.0)</f>
        <v>830</v>
      </c>
      <c r="AC412" s="14">
        <f>IFERROR(__xludf.DUMMYFUNCTION("""COMPUTED_VALUE"""),755.0)</f>
        <v>755</v>
      </c>
      <c r="AD412" s="14">
        <f>IFERROR(__xludf.DUMMYFUNCTION("""COMPUTED_VALUE"""),415.0)</f>
        <v>415</v>
      </c>
      <c r="AE412" s="14">
        <f>IFERROR(__xludf.DUMMYFUNCTION("""COMPUTED_VALUE"""),377.5)</f>
        <v>377.5</v>
      </c>
      <c r="AF412" s="14">
        <f>IFERROR(__xludf.DUMMYFUNCTION("""COMPUTED_VALUE"""),150.0)</f>
        <v>150</v>
      </c>
      <c r="AG412" s="19">
        <f>IFERROR(__xludf.DUMMYFUNCTION("""COMPUTED_VALUE"""),150.0)</f>
        <v>150</v>
      </c>
      <c r="AH412" s="20"/>
      <c r="AI412" s="5">
        <f>IFERROR(__xludf.DUMMYFUNCTION("""COMPUTED_VALUE"""),339.75)</f>
        <v>339.75</v>
      </c>
      <c r="AJ412" s="5">
        <f>IFERROR(__xludf.DUMMYFUNCTION("""COMPUTED_VALUE"""),373.5)</f>
        <v>373.5</v>
      </c>
      <c r="AK412" s="5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412" s="5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412" s="5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412" s="5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412" s="5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412" s="5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412" s="9" t="str">
        <f>IFERROR(__xludf.DUMMYFUNCTION("""COMPUTED_VALUE"""),"https://we-educacion.com/slides/python-avanzado-machine-learning-275")</f>
        <v>https://we-educacion.com/slides/python-avanzado-machine-learning-275</v>
      </c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</row>
    <row r="413" ht="15.75" customHeight="1">
      <c r="A413" s="5" t="s">
        <v>455</v>
      </c>
      <c r="B413" s="5" t="str">
        <f t="shared" si="1"/>
        <v>SEP. I - ED26</v>
      </c>
      <c r="C413" s="14" t="str">
        <f>IFERROR(__xludf.DUMMYFUNCTION("""COMPUTED_VALUE"""),"PROCESOS")</f>
        <v>PROCESOS</v>
      </c>
      <c r="D413" s="5" t="str">
        <f>IFERROR(__xludf.DUMMYFUNCTION("""COMPUTED_VALUE"""),"CURSO")</f>
        <v>CURSO</v>
      </c>
      <c r="E413" s="14" t="str">
        <f>IFERROR(__xludf.DUMMYFUNCTION("""COMPUTED_VALUE"""),"ROBOTIZ.  UIPATH")</f>
        <v>ROBOTIZ.  UIPATH</v>
      </c>
      <c r="F413" s="15">
        <f>IFERROR(__xludf.DUMMYFUNCTION("""COMPUTED_VALUE"""),46292.0)</f>
        <v>46292</v>
      </c>
      <c r="G413" s="14"/>
      <c r="H413" s="16"/>
      <c r="I413" s="14"/>
      <c r="J413" s="16"/>
      <c r="K413" s="14"/>
      <c r="L413" s="16"/>
      <c r="M413" s="14"/>
      <c r="N413" s="16"/>
      <c r="O413" s="14"/>
      <c r="P413" s="16"/>
      <c r="Q413" s="14"/>
      <c r="R413" s="5" t="str">
        <f>IFERROR(__xludf.DUMMYFUNCTION("""COMPUTED_VALUE"""),"Dom")</f>
        <v>Dom</v>
      </c>
      <c r="S413" s="14" t="str">
        <f>IFERROR(__xludf.DUMMYFUNCTION("""COMPUTED_VALUE"""),"9AM - 12PM")</f>
        <v>9AM - 12PM</v>
      </c>
      <c r="T413" s="16" t="str">
        <f>IFERROR(__xludf.DUMMYFUNCTION("""COMPUTED_VALUE"""),"Domingo 27 Septiembre")</f>
        <v>Domingo 27 Septiembre</v>
      </c>
      <c r="U413" s="16" t="str">
        <f>IFERROR(__xludf.DUMMYFUNCTION("""COMPUTED_VALUE"""),"Domingo 8 Noviembre")</f>
        <v>Domingo 8 Noviembre</v>
      </c>
      <c r="V413" s="17">
        <f>IFERROR(__xludf.DUMMYFUNCTION("""COMPUTED_VALUE"""),6.0)</f>
        <v>6</v>
      </c>
      <c r="W413" s="6" t="str">
        <f>IFERROR(__xludf.DUMMYFUNCTION("""COMPUTED_VALUE"""),"pdfs/BROCHURE ROBOTIZACIÓN DE PROCESOS CON UIPATH.pdf")</f>
        <v>pdfs/BROCHURE ROBOTIZACIÓN DE PROCESOS CON UIPATH.pdf</v>
      </c>
      <c r="X413" s="22" t="str">
        <f>IFERROR(__xludf.DUMMYFUNCTION("""COMPUTED_VALUE"""),"🔵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413" s="14" t="str">
        <f>IFERROR(__xludf.DUMMYFUNCTION("""COMPUTED_VALUE"""),"images/uipath.jpg")</f>
        <v>images/uipath.jpg</v>
      </c>
      <c r="Z413" s="14"/>
      <c r="AA413" s="14" t="str">
        <f>IFERROR(__xludf.DUMMYFUNCTION("""COMPUTED_VALUE"""),"NO")</f>
        <v>NO</v>
      </c>
      <c r="AB413" s="14">
        <f>IFERROR(__xludf.DUMMYFUNCTION("""COMPUTED_VALUE"""),780.0)</f>
        <v>780</v>
      </c>
      <c r="AC413" s="14">
        <f>IFERROR(__xludf.DUMMYFUNCTION("""COMPUTED_VALUE"""),690.0)</f>
        <v>690</v>
      </c>
      <c r="AD413" s="14">
        <f>IFERROR(__xludf.DUMMYFUNCTION("""COMPUTED_VALUE"""),390.0)</f>
        <v>390</v>
      </c>
      <c r="AE413" s="14">
        <f>IFERROR(__xludf.DUMMYFUNCTION("""COMPUTED_VALUE"""),345.0)</f>
        <v>345</v>
      </c>
      <c r="AF413" s="14">
        <f>IFERROR(__xludf.DUMMYFUNCTION("""COMPUTED_VALUE"""),150.0)</f>
        <v>150</v>
      </c>
      <c r="AG413" s="19">
        <f>IFERROR(__xludf.DUMMYFUNCTION("""COMPUTED_VALUE"""),150.0)</f>
        <v>150</v>
      </c>
      <c r="AH413" s="20"/>
      <c r="AI413" s="5">
        <f>IFERROR(__xludf.DUMMYFUNCTION("""COMPUTED_VALUE"""),310.5)</f>
        <v>310.5</v>
      </c>
      <c r="AJ413" s="5">
        <f>IFERROR(__xludf.DUMMYFUNCTION("""COMPUTED_VALUE"""),351.0)</f>
        <v>351</v>
      </c>
      <c r="AK413" s="5" t="str">
        <f>IFERROR(__xludf.DUMMYFUNCTION("""COMPUTED_VALUE"""),"La eficiencia empresarial avanza con automatización robótica ⚙️
Con UiPath aprenderás a robotizar procesos repetitivos y ahorrar recursos 💼.
Aquí tienes la info 👇🏻")</f>
        <v>La eficiencia empresarial avanza con automatización robótica ⚙️
Con UiPath aprenderás a robotizar procesos repetitivos y ahorrar recursos 💼.
Aquí tienes la info 👇🏻</v>
      </c>
      <c r="AL413" s="5" t="str">
        <f>IFERROR(__xludf.DUMMYFUNCTION("""COMPUTED_VALUE"""),"🤖 Excelente, actualízate con UiPath y domina la automatización robótica de procesos.")</f>
        <v>🤖 Excelente, actualízate con UiPath y domina la automatización robótica de procesos.</v>
      </c>
      <c r="AM413" s="5" t="str">
        <f>IFERROR(__xludf.DUMMYFUNCTION("""COMPUTED_VALUE"""),"💼 Buenísimo, RPA con UiPath es muy demandado en empresas que digitalizan operaciones.")</f>
        <v>💼 Buenísimo, RPA con UiPath es muy demandado en empresas que digitalizan operaciones.</v>
      </c>
      <c r="AN413" s="5" t="str">
        <f>IFERROR(__xludf.DUMMYFUNCTION("""COMPUTED_VALUE"""),"🎓 ¡Genial! Aprender UiPath en la universidad te pondrá al nivel de la industria.")</f>
        <v>🎓 ¡Genial! Aprender UiPath en la universidad te pondrá al nivel de la industria.</v>
      </c>
      <c r="AO413" s="5" t="str">
        <f>IFERROR(__xludf.DUMMYFUNCTION("""COMPUTED_VALUE"""),"🚀 ¡Perfecto! Con UiPath destacarás en prácticas relacionadas con innovación tecnológica.")</f>
        <v>🚀 ¡Perfecto! Con UiPath destacarás en prácticas relacionadas con innovación tecnológica.</v>
      </c>
      <c r="AP413" s="5" t="str">
        <f>IFERROR(__xludf.DUMMYFUNCTION("""COMPUTED_VALUE"""),"📊 ¡Excelente! Con UiPath podrás automatizar procesos y ahorrar tiempo en tu negocio.")</f>
        <v>📊 ¡Excelente! Con UiPath podrás automatizar procesos y ahorrar tiempo en tu negocio.</v>
      </c>
      <c r="AQ413" s="9" t="str">
        <f>IFERROR(__xludf.DUMMYFUNCTION("""COMPUTED_VALUE"""),"https://we-educacion.com/slides/robotizacion-de-procesos-con-uipath-274")</f>
        <v>https://we-educacion.com/slides/robotizacion-de-procesos-con-uipath-274</v>
      </c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</row>
    <row r="414" ht="15.75" customHeight="1">
      <c r="A414" s="5"/>
      <c r="B414" s="5"/>
      <c r="C414" s="14"/>
      <c r="D414" s="5"/>
      <c r="E414" s="14"/>
      <c r="F414" s="15"/>
      <c r="G414" s="14"/>
      <c r="H414" s="16"/>
      <c r="I414" s="14"/>
      <c r="J414" s="16"/>
      <c r="K414" s="14"/>
      <c r="L414" s="16"/>
      <c r="M414" s="14"/>
      <c r="N414" s="16"/>
      <c r="O414" s="14"/>
      <c r="P414" s="16"/>
      <c r="Q414" s="14"/>
      <c r="R414" s="5"/>
      <c r="S414" s="14"/>
      <c r="T414" s="16"/>
      <c r="U414" s="16"/>
      <c r="V414" s="17"/>
      <c r="W414" s="6"/>
      <c r="X414" s="22"/>
      <c r="Y414" s="14"/>
      <c r="Z414" s="14"/>
      <c r="AA414" s="14"/>
      <c r="AB414" s="14"/>
      <c r="AC414" s="14"/>
      <c r="AD414" s="14"/>
      <c r="AE414" s="14"/>
      <c r="AF414" s="14"/>
      <c r="AG414" s="19"/>
      <c r="AH414" s="20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</row>
    <row r="415" ht="15.75" customHeight="1">
      <c r="A415" s="5"/>
      <c r="B415" s="5"/>
      <c r="C415" s="14"/>
      <c r="D415" s="5"/>
      <c r="E415" s="14"/>
      <c r="F415" s="15"/>
      <c r="G415" s="14"/>
      <c r="H415" s="16"/>
      <c r="I415" s="14"/>
      <c r="J415" s="16"/>
      <c r="K415" s="14"/>
      <c r="L415" s="16"/>
      <c r="M415" s="14"/>
      <c r="N415" s="16"/>
      <c r="O415" s="14"/>
      <c r="P415" s="16"/>
      <c r="Q415" s="14"/>
      <c r="R415" s="5"/>
      <c r="S415" s="14"/>
      <c r="T415" s="16"/>
      <c r="U415" s="16"/>
      <c r="V415" s="17"/>
      <c r="W415" s="6"/>
      <c r="X415" s="22"/>
      <c r="Y415" s="14"/>
      <c r="Z415" s="14"/>
      <c r="AA415" s="14"/>
      <c r="AB415" s="14"/>
      <c r="AC415" s="14"/>
      <c r="AD415" s="14"/>
      <c r="AE415" s="14"/>
      <c r="AF415" s="14"/>
      <c r="AG415" s="19"/>
      <c r="AH415" s="20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</row>
    <row r="416" ht="15.75" customHeight="1">
      <c r="A416" s="5"/>
      <c r="B416" s="5"/>
      <c r="C416" s="14"/>
      <c r="D416" s="5"/>
      <c r="E416" s="14"/>
      <c r="F416" s="15"/>
      <c r="G416" s="14"/>
      <c r="H416" s="16"/>
      <c r="I416" s="14"/>
      <c r="J416" s="16"/>
      <c r="K416" s="14"/>
      <c r="L416" s="16"/>
      <c r="M416" s="14"/>
      <c r="N416" s="16"/>
      <c r="O416" s="14"/>
      <c r="P416" s="16"/>
      <c r="Q416" s="14"/>
      <c r="R416" s="5"/>
      <c r="S416" s="14"/>
      <c r="T416" s="16"/>
      <c r="U416" s="16"/>
      <c r="V416" s="17"/>
      <c r="W416" s="6"/>
      <c r="X416" s="22"/>
      <c r="Y416" s="14"/>
      <c r="Z416" s="14"/>
      <c r="AA416" s="14"/>
      <c r="AB416" s="14"/>
      <c r="AC416" s="14"/>
      <c r="AD416" s="14"/>
      <c r="AE416" s="14"/>
      <c r="AF416" s="14"/>
      <c r="AG416" s="19"/>
      <c r="AH416" s="20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</row>
    <row r="417" ht="15.75" customHeight="1">
      <c r="A417" s="5"/>
      <c r="B417" s="5"/>
      <c r="C417" s="14"/>
      <c r="D417" s="5"/>
      <c r="E417" s="14"/>
      <c r="F417" s="15"/>
      <c r="G417" s="14"/>
      <c r="H417" s="16"/>
      <c r="I417" s="14"/>
      <c r="J417" s="16"/>
      <c r="K417" s="14"/>
      <c r="L417" s="16"/>
      <c r="M417" s="14"/>
      <c r="N417" s="16"/>
      <c r="O417" s="14"/>
      <c r="P417" s="16"/>
      <c r="Q417" s="14"/>
      <c r="R417" s="5"/>
      <c r="S417" s="14"/>
      <c r="T417" s="16"/>
      <c r="U417" s="16"/>
      <c r="V417" s="17"/>
      <c r="W417" s="6"/>
      <c r="X417" s="22"/>
      <c r="Y417" s="14"/>
      <c r="Z417" s="14"/>
      <c r="AA417" s="14"/>
      <c r="AB417" s="14"/>
      <c r="AC417" s="14"/>
      <c r="AD417" s="14"/>
      <c r="AE417" s="14"/>
      <c r="AF417" s="14"/>
      <c r="AG417" s="19"/>
      <c r="AH417" s="20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</row>
    <row r="418" ht="15.75" customHeight="1">
      <c r="A418" s="5"/>
      <c r="B418" s="5"/>
      <c r="C418" s="14"/>
      <c r="D418" s="5"/>
      <c r="E418" s="14"/>
      <c r="F418" s="15"/>
      <c r="G418" s="14"/>
      <c r="H418" s="16"/>
      <c r="I418" s="14"/>
      <c r="J418" s="16"/>
      <c r="K418" s="14"/>
      <c r="L418" s="16"/>
      <c r="M418" s="14"/>
      <c r="N418" s="16"/>
      <c r="O418" s="14"/>
      <c r="P418" s="16"/>
      <c r="Q418" s="14"/>
      <c r="R418" s="5"/>
      <c r="S418" s="14"/>
      <c r="T418" s="16"/>
      <c r="U418" s="16"/>
      <c r="V418" s="17"/>
      <c r="W418" s="6"/>
      <c r="X418" s="22"/>
      <c r="Y418" s="14"/>
      <c r="Z418" s="14"/>
      <c r="AA418" s="14"/>
      <c r="AB418" s="14"/>
      <c r="AC418" s="14"/>
      <c r="AD418" s="14"/>
      <c r="AE418" s="14"/>
      <c r="AF418" s="14"/>
      <c r="AG418" s="19"/>
      <c r="AH418" s="20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</row>
    <row r="419" ht="15.75" customHeight="1">
      <c r="A419" s="5"/>
      <c r="B419" s="5"/>
      <c r="C419" s="14"/>
      <c r="D419" s="5"/>
      <c r="E419" s="14"/>
      <c r="F419" s="15"/>
      <c r="G419" s="14"/>
      <c r="H419" s="16"/>
      <c r="I419" s="14"/>
      <c r="J419" s="16"/>
      <c r="K419" s="14"/>
      <c r="L419" s="16"/>
      <c r="M419" s="14"/>
      <c r="N419" s="16"/>
      <c r="O419" s="14"/>
      <c r="P419" s="16"/>
      <c r="Q419" s="14"/>
      <c r="R419" s="5"/>
      <c r="S419" s="14"/>
      <c r="T419" s="16"/>
      <c r="U419" s="16"/>
      <c r="V419" s="17"/>
      <c r="W419" s="6"/>
      <c r="X419" s="22"/>
      <c r="Y419" s="14"/>
      <c r="Z419" s="14"/>
      <c r="AA419" s="14"/>
      <c r="AB419" s="14"/>
      <c r="AC419" s="14"/>
      <c r="AD419" s="14"/>
      <c r="AE419" s="14"/>
      <c r="AF419" s="14"/>
      <c r="AG419" s="19"/>
      <c r="AH419" s="20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</row>
    <row r="420" ht="15.75" customHeight="1">
      <c r="A420" s="5"/>
      <c r="B420" s="5"/>
      <c r="C420" s="14"/>
      <c r="D420" s="5"/>
      <c r="E420" s="14"/>
      <c r="F420" s="15"/>
      <c r="G420" s="14"/>
      <c r="H420" s="16"/>
      <c r="I420" s="14"/>
      <c r="J420" s="16"/>
      <c r="K420" s="14"/>
      <c r="L420" s="16"/>
      <c r="M420" s="14"/>
      <c r="N420" s="16"/>
      <c r="O420" s="14"/>
      <c r="P420" s="16"/>
      <c r="Q420" s="14"/>
      <c r="R420" s="5"/>
      <c r="S420" s="14"/>
      <c r="T420" s="16"/>
      <c r="U420" s="16"/>
      <c r="V420" s="17"/>
      <c r="W420" s="6"/>
      <c r="X420" s="22"/>
      <c r="Y420" s="14"/>
      <c r="Z420" s="14"/>
      <c r="AA420" s="14"/>
      <c r="AB420" s="14"/>
      <c r="AC420" s="14"/>
      <c r="AD420" s="14"/>
      <c r="AE420" s="14"/>
      <c r="AF420" s="14"/>
      <c r="AG420" s="19"/>
      <c r="AH420" s="20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</row>
    <row r="421" ht="15.75" customHeight="1">
      <c r="A421" s="5"/>
      <c r="B421" s="5"/>
      <c r="C421" s="14"/>
      <c r="D421" s="5"/>
      <c r="E421" s="14"/>
      <c r="F421" s="15"/>
      <c r="G421" s="14"/>
      <c r="H421" s="16"/>
      <c r="I421" s="14"/>
      <c r="J421" s="16"/>
      <c r="K421" s="14"/>
      <c r="L421" s="16"/>
      <c r="M421" s="14"/>
      <c r="N421" s="16"/>
      <c r="O421" s="14"/>
      <c r="P421" s="16"/>
      <c r="Q421" s="14"/>
      <c r="R421" s="5"/>
      <c r="S421" s="14"/>
      <c r="T421" s="16"/>
      <c r="U421" s="16"/>
      <c r="V421" s="17"/>
      <c r="W421" s="6"/>
      <c r="X421" s="22"/>
      <c r="Y421" s="14"/>
      <c r="Z421" s="14"/>
      <c r="AA421" s="14"/>
      <c r="AB421" s="14"/>
      <c r="AC421" s="14"/>
      <c r="AD421" s="14"/>
      <c r="AE421" s="14"/>
      <c r="AF421" s="14"/>
      <c r="AG421" s="19"/>
      <c r="AH421" s="20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</row>
    <row r="422" ht="15.75" customHeight="1">
      <c r="A422" s="5"/>
      <c r="B422" s="5"/>
      <c r="C422" s="14"/>
      <c r="D422" s="5"/>
      <c r="E422" s="14"/>
      <c r="F422" s="15"/>
      <c r="G422" s="14"/>
      <c r="H422" s="16"/>
      <c r="I422" s="14"/>
      <c r="J422" s="16"/>
      <c r="K422" s="14"/>
      <c r="L422" s="16"/>
      <c r="M422" s="14"/>
      <c r="N422" s="16"/>
      <c r="O422" s="14"/>
      <c r="P422" s="16"/>
      <c r="Q422" s="14"/>
      <c r="R422" s="5"/>
      <c r="S422" s="14"/>
      <c r="T422" s="16"/>
      <c r="U422" s="16"/>
      <c r="V422" s="17"/>
      <c r="W422" s="6"/>
      <c r="X422" s="22"/>
      <c r="Y422" s="14"/>
      <c r="Z422" s="14"/>
      <c r="AA422" s="14"/>
      <c r="AB422" s="14"/>
      <c r="AC422" s="14"/>
      <c r="AD422" s="14"/>
      <c r="AE422" s="14"/>
      <c r="AF422" s="14"/>
      <c r="AG422" s="19"/>
      <c r="AH422" s="20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</row>
    <row r="423" ht="15.75" customHeight="1">
      <c r="A423" s="5"/>
      <c r="B423" s="5"/>
      <c r="C423" s="5"/>
      <c r="D423" s="5"/>
      <c r="E423" s="14"/>
      <c r="F423" s="15"/>
      <c r="G423" s="14"/>
      <c r="H423" s="16"/>
      <c r="I423" s="14"/>
      <c r="J423" s="16"/>
      <c r="K423" s="14"/>
      <c r="L423" s="16"/>
      <c r="M423" s="14"/>
      <c r="N423" s="16"/>
      <c r="O423" s="14"/>
      <c r="P423" s="16"/>
      <c r="Q423" s="14"/>
      <c r="R423" s="5"/>
      <c r="S423" s="14"/>
      <c r="T423" s="16"/>
      <c r="U423" s="16"/>
      <c r="V423" s="17"/>
      <c r="W423" s="6"/>
      <c r="X423" s="22"/>
      <c r="Y423" s="14"/>
      <c r="Z423" s="14"/>
      <c r="AA423" s="14"/>
      <c r="AB423" s="14"/>
      <c r="AC423" s="14"/>
      <c r="AD423" s="14"/>
      <c r="AE423" s="14"/>
      <c r="AF423" s="14"/>
      <c r="AG423" s="19"/>
      <c r="AH423" s="20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</row>
    <row r="424" ht="15.75" customHeight="1">
      <c r="A424" s="5"/>
      <c r="B424" s="5"/>
      <c r="C424" s="5"/>
      <c r="D424" s="5"/>
      <c r="E424" s="14"/>
      <c r="F424" s="15"/>
      <c r="G424" s="14"/>
      <c r="H424" s="16"/>
      <c r="I424" s="14"/>
      <c r="J424" s="16"/>
      <c r="K424" s="14"/>
      <c r="L424" s="16"/>
      <c r="M424" s="14"/>
      <c r="N424" s="16"/>
      <c r="O424" s="14"/>
      <c r="P424" s="16"/>
      <c r="Q424" s="14"/>
      <c r="R424" s="5"/>
      <c r="S424" s="14"/>
      <c r="T424" s="16"/>
      <c r="U424" s="16"/>
      <c r="V424" s="17"/>
      <c r="W424" s="6"/>
      <c r="X424" s="22"/>
      <c r="Y424" s="14"/>
      <c r="Z424" s="14"/>
      <c r="AA424" s="14"/>
      <c r="AB424" s="14"/>
      <c r="AC424" s="14"/>
      <c r="AD424" s="14"/>
      <c r="AE424" s="14"/>
      <c r="AF424" s="14"/>
      <c r="AG424" s="19"/>
      <c r="AH424" s="20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</row>
    <row r="425" ht="15.75" customHeight="1">
      <c r="A425" s="5"/>
      <c r="B425" s="5"/>
      <c r="C425" s="5"/>
      <c r="D425" s="5"/>
      <c r="E425" s="14"/>
      <c r="F425" s="15"/>
      <c r="G425" s="14"/>
      <c r="H425" s="16"/>
      <c r="I425" s="14"/>
      <c r="J425" s="16"/>
      <c r="K425" s="14"/>
      <c r="L425" s="16"/>
      <c r="M425" s="14"/>
      <c r="N425" s="16"/>
      <c r="O425" s="14"/>
      <c r="P425" s="16"/>
      <c r="Q425" s="14"/>
      <c r="R425" s="5"/>
      <c r="S425" s="14"/>
      <c r="T425" s="16"/>
      <c r="U425" s="16"/>
      <c r="V425" s="17"/>
      <c r="W425" s="6"/>
      <c r="X425" s="22"/>
      <c r="Y425" s="14"/>
      <c r="Z425" s="14"/>
      <c r="AA425" s="14"/>
      <c r="AB425" s="14"/>
      <c r="AC425" s="14"/>
      <c r="AD425" s="14"/>
      <c r="AE425" s="14"/>
      <c r="AF425" s="14"/>
      <c r="AG425" s="19"/>
      <c r="AH425" s="20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</row>
    <row r="426" ht="15.75" customHeight="1">
      <c r="A426" s="5"/>
      <c r="B426" s="5"/>
      <c r="C426" s="5"/>
      <c r="D426" s="5"/>
      <c r="E426" s="14"/>
      <c r="F426" s="15"/>
      <c r="G426" s="14"/>
      <c r="H426" s="16"/>
      <c r="I426" s="14"/>
      <c r="J426" s="16"/>
      <c r="K426" s="14"/>
      <c r="L426" s="16"/>
      <c r="M426" s="14"/>
      <c r="N426" s="16"/>
      <c r="O426" s="14"/>
      <c r="P426" s="16"/>
      <c r="Q426" s="14"/>
      <c r="R426" s="5"/>
      <c r="S426" s="14"/>
      <c r="T426" s="16"/>
      <c r="U426" s="16"/>
      <c r="V426" s="17"/>
      <c r="W426" s="6"/>
      <c r="X426" s="22"/>
      <c r="Y426" s="14"/>
      <c r="Z426" s="14"/>
      <c r="AA426" s="14"/>
      <c r="AB426" s="14"/>
      <c r="AC426" s="14"/>
      <c r="AD426" s="14"/>
      <c r="AE426" s="14"/>
      <c r="AF426" s="14"/>
      <c r="AG426" s="19"/>
      <c r="AH426" s="20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</row>
    <row r="427" ht="15.75" customHeight="1">
      <c r="A427" s="5"/>
      <c r="B427" s="5"/>
      <c r="C427" s="5"/>
      <c r="D427" s="5"/>
      <c r="E427" s="14"/>
      <c r="F427" s="15"/>
      <c r="G427" s="14"/>
      <c r="H427" s="16"/>
      <c r="I427" s="14"/>
      <c r="J427" s="16"/>
      <c r="K427" s="14"/>
      <c r="L427" s="16"/>
      <c r="M427" s="14"/>
      <c r="N427" s="16"/>
      <c r="O427" s="14"/>
      <c r="P427" s="16"/>
      <c r="Q427" s="14"/>
      <c r="R427" s="5"/>
      <c r="S427" s="14"/>
      <c r="T427" s="16"/>
      <c r="U427" s="16"/>
      <c r="V427" s="17"/>
      <c r="W427" s="6"/>
      <c r="X427" s="22"/>
      <c r="Y427" s="14"/>
      <c r="Z427" s="14"/>
      <c r="AA427" s="14"/>
      <c r="AB427" s="14"/>
      <c r="AC427" s="14"/>
      <c r="AD427" s="14"/>
      <c r="AE427" s="14"/>
      <c r="AF427" s="14"/>
      <c r="AG427" s="19"/>
      <c r="AH427" s="20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</row>
    <row r="428" ht="15.75" customHeight="1">
      <c r="A428" s="5"/>
      <c r="B428" s="5"/>
      <c r="C428" s="5"/>
      <c r="D428" s="5"/>
      <c r="E428" s="14"/>
      <c r="F428" s="15"/>
      <c r="G428" s="14"/>
      <c r="H428" s="16"/>
      <c r="I428" s="14"/>
      <c r="J428" s="16"/>
      <c r="K428" s="14"/>
      <c r="L428" s="16"/>
      <c r="M428" s="14"/>
      <c r="N428" s="16"/>
      <c r="O428" s="14"/>
      <c r="P428" s="16"/>
      <c r="Q428" s="14"/>
      <c r="R428" s="5"/>
      <c r="S428" s="14"/>
      <c r="T428" s="16"/>
      <c r="U428" s="16"/>
      <c r="V428" s="17"/>
      <c r="W428" s="6"/>
      <c r="X428" s="22"/>
      <c r="Y428" s="14"/>
      <c r="Z428" s="14"/>
      <c r="AA428" s="14"/>
      <c r="AB428" s="14"/>
      <c r="AC428" s="14"/>
      <c r="AD428" s="14"/>
      <c r="AE428" s="14"/>
      <c r="AF428" s="14"/>
      <c r="AG428" s="19"/>
      <c r="AH428" s="20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</row>
    <row r="429" ht="15.75" customHeight="1">
      <c r="A429" s="5"/>
      <c r="B429" s="5"/>
      <c r="C429" s="5"/>
      <c r="D429" s="5"/>
      <c r="E429" s="14"/>
      <c r="F429" s="15"/>
      <c r="G429" s="14"/>
      <c r="H429" s="16"/>
      <c r="I429" s="14"/>
      <c r="J429" s="16"/>
      <c r="K429" s="14"/>
      <c r="L429" s="16"/>
      <c r="M429" s="14"/>
      <c r="N429" s="16"/>
      <c r="O429" s="14"/>
      <c r="P429" s="16"/>
      <c r="Q429" s="14"/>
      <c r="R429" s="5"/>
      <c r="S429" s="14"/>
      <c r="T429" s="16"/>
      <c r="U429" s="16"/>
      <c r="V429" s="17"/>
      <c r="W429" s="6"/>
      <c r="X429" s="22"/>
      <c r="Y429" s="14"/>
      <c r="Z429" s="14"/>
      <c r="AA429" s="14"/>
      <c r="AB429" s="14"/>
      <c r="AC429" s="14"/>
      <c r="AD429" s="14"/>
      <c r="AE429" s="14"/>
      <c r="AF429" s="14"/>
      <c r="AG429" s="19"/>
      <c r="AH429" s="20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</row>
    <row r="430" ht="15.75" customHeight="1">
      <c r="A430" s="5"/>
      <c r="B430" s="5"/>
      <c r="C430" s="5"/>
      <c r="D430" s="5"/>
      <c r="E430" s="14"/>
      <c r="F430" s="15"/>
      <c r="G430" s="14"/>
      <c r="H430" s="16"/>
      <c r="I430" s="14"/>
      <c r="J430" s="16"/>
      <c r="K430" s="14"/>
      <c r="L430" s="16"/>
      <c r="M430" s="14"/>
      <c r="N430" s="16"/>
      <c r="O430" s="14"/>
      <c r="P430" s="16"/>
      <c r="Q430" s="14"/>
      <c r="R430" s="5"/>
      <c r="S430" s="14"/>
      <c r="T430" s="16"/>
      <c r="U430" s="16"/>
      <c r="V430" s="17"/>
      <c r="W430" s="6"/>
      <c r="X430" s="22"/>
      <c r="Y430" s="14"/>
      <c r="Z430" s="14"/>
      <c r="AA430" s="14"/>
      <c r="AB430" s="14"/>
      <c r="AC430" s="14"/>
      <c r="AD430" s="14"/>
      <c r="AE430" s="14"/>
      <c r="AF430" s="14"/>
      <c r="AG430" s="19"/>
      <c r="AH430" s="20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</row>
    <row r="431" ht="15.75" customHeight="1">
      <c r="A431" s="5"/>
      <c r="B431" s="5"/>
      <c r="C431" s="5"/>
      <c r="D431" s="5"/>
      <c r="E431" s="14"/>
      <c r="F431" s="15"/>
      <c r="G431" s="14"/>
      <c r="H431" s="16"/>
      <c r="I431" s="14"/>
      <c r="J431" s="16"/>
      <c r="K431" s="14"/>
      <c r="L431" s="16"/>
      <c r="M431" s="14"/>
      <c r="N431" s="16"/>
      <c r="O431" s="14"/>
      <c r="P431" s="16"/>
      <c r="Q431" s="14"/>
      <c r="R431" s="5"/>
      <c r="S431" s="14"/>
      <c r="T431" s="16"/>
      <c r="U431" s="16"/>
      <c r="V431" s="17"/>
      <c r="W431" s="6"/>
      <c r="X431" s="22"/>
      <c r="Y431" s="14"/>
      <c r="Z431" s="14"/>
      <c r="AA431" s="14"/>
      <c r="AB431" s="14"/>
      <c r="AC431" s="14"/>
      <c r="AD431" s="14"/>
      <c r="AE431" s="14"/>
      <c r="AF431" s="14"/>
      <c r="AG431" s="19"/>
      <c r="AH431" s="20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</row>
    <row r="432" ht="15.75" customHeight="1">
      <c r="A432" s="5"/>
      <c r="B432" s="5"/>
      <c r="C432" s="5"/>
      <c r="D432" s="5"/>
      <c r="E432" s="14"/>
      <c r="F432" s="15"/>
      <c r="G432" s="14"/>
      <c r="H432" s="16"/>
      <c r="I432" s="14"/>
      <c r="J432" s="16"/>
      <c r="K432" s="14"/>
      <c r="L432" s="16"/>
      <c r="M432" s="14"/>
      <c r="N432" s="16"/>
      <c r="O432" s="14"/>
      <c r="P432" s="16"/>
      <c r="Q432" s="14"/>
      <c r="R432" s="5"/>
      <c r="S432" s="14"/>
      <c r="T432" s="16"/>
      <c r="U432" s="16"/>
      <c r="V432" s="17"/>
      <c r="W432" s="6"/>
      <c r="X432" s="22"/>
      <c r="Y432" s="14"/>
      <c r="Z432" s="14"/>
      <c r="AA432" s="14"/>
      <c r="AB432" s="14"/>
      <c r="AC432" s="14"/>
      <c r="AD432" s="14"/>
      <c r="AE432" s="14"/>
      <c r="AF432" s="14"/>
      <c r="AG432" s="19"/>
      <c r="AH432" s="20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</row>
    <row r="433" ht="15.75" customHeight="1">
      <c r="A433" s="5"/>
      <c r="B433" s="5"/>
      <c r="C433" s="5"/>
      <c r="D433" s="5"/>
      <c r="E433" s="14"/>
      <c r="F433" s="15"/>
      <c r="G433" s="14"/>
      <c r="H433" s="16"/>
      <c r="I433" s="14"/>
      <c r="J433" s="16"/>
      <c r="K433" s="14"/>
      <c r="L433" s="16"/>
      <c r="M433" s="14"/>
      <c r="N433" s="16"/>
      <c r="O433" s="14"/>
      <c r="P433" s="16"/>
      <c r="Q433" s="14"/>
      <c r="R433" s="5"/>
      <c r="S433" s="14"/>
      <c r="T433" s="16"/>
      <c r="U433" s="16"/>
      <c r="V433" s="17"/>
      <c r="W433" s="6"/>
      <c r="X433" s="22"/>
      <c r="Y433" s="14"/>
      <c r="Z433" s="14"/>
      <c r="AA433" s="14"/>
      <c r="AB433" s="14"/>
      <c r="AC433" s="14"/>
      <c r="AD433" s="14"/>
      <c r="AE433" s="14"/>
      <c r="AF433" s="14"/>
      <c r="AG433" s="19"/>
      <c r="AH433" s="20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</row>
    <row r="434" ht="15.75" customHeight="1">
      <c r="A434" s="5"/>
      <c r="B434" s="5"/>
      <c r="C434" s="5"/>
      <c r="D434" s="5"/>
      <c r="E434" s="14"/>
      <c r="F434" s="15"/>
      <c r="G434" s="14"/>
      <c r="H434" s="16"/>
      <c r="I434" s="14"/>
      <c r="J434" s="16"/>
      <c r="K434" s="14"/>
      <c r="L434" s="16"/>
      <c r="M434" s="14"/>
      <c r="N434" s="16"/>
      <c r="O434" s="14"/>
      <c r="P434" s="16"/>
      <c r="Q434" s="14"/>
      <c r="R434" s="5"/>
      <c r="S434" s="14"/>
      <c r="T434" s="16"/>
      <c r="U434" s="16"/>
      <c r="V434" s="17"/>
      <c r="W434" s="6"/>
      <c r="X434" s="22"/>
      <c r="Y434" s="14"/>
      <c r="Z434" s="14"/>
      <c r="AA434" s="14"/>
      <c r="AB434" s="14"/>
      <c r="AC434" s="14"/>
      <c r="AD434" s="14"/>
      <c r="AE434" s="14"/>
      <c r="AF434" s="14"/>
      <c r="AG434" s="19"/>
      <c r="AH434" s="20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</row>
    <row r="435" ht="15.75" customHeight="1">
      <c r="A435" s="5"/>
      <c r="B435" s="5"/>
      <c r="C435" s="5"/>
      <c r="D435" s="5"/>
      <c r="E435" s="14"/>
      <c r="F435" s="15"/>
      <c r="G435" s="14"/>
      <c r="H435" s="16"/>
      <c r="I435" s="14"/>
      <c r="J435" s="16"/>
      <c r="K435" s="14"/>
      <c r="L435" s="16"/>
      <c r="M435" s="14"/>
      <c r="N435" s="16"/>
      <c r="O435" s="14"/>
      <c r="P435" s="16"/>
      <c r="Q435" s="14"/>
      <c r="R435" s="5"/>
      <c r="S435" s="14"/>
      <c r="T435" s="16"/>
      <c r="U435" s="16"/>
      <c r="V435" s="17"/>
      <c r="W435" s="6"/>
      <c r="X435" s="22"/>
      <c r="Y435" s="14"/>
      <c r="Z435" s="14"/>
      <c r="AA435" s="14"/>
      <c r="AB435" s="14"/>
      <c r="AC435" s="14"/>
      <c r="AD435" s="14"/>
      <c r="AE435" s="14"/>
      <c r="AF435" s="14"/>
      <c r="AG435" s="19"/>
      <c r="AH435" s="20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</row>
    <row r="436" ht="15.75" customHeight="1">
      <c r="A436" s="5"/>
      <c r="B436" s="5"/>
      <c r="C436" s="5"/>
      <c r="D436" s="5"/>
      <c r="E436" s="14"/>
      <c r="F436" s="15"/>
      <c r="G436" s="14"/>
      <c r="H436" s="16"/>
      <c r="I436" s="14"/>
      <c r="J436" s="16"/>
      <c r="K436" s="14"/>
      <c r="L436" s="16"/>
      <c r="M436" s="14"/>
      <c r="N436" s="16"/>
      <c r="O436" s="14"/>
      <c r="P436" s="16"/>
      <c r="Q436" s="14"/>
      <c r="R436" s="5"/>
      <c r="S436" s="14"/>
      <c r="T436" s="16"/>
      <c r="U436" s="16"/>
      <c r="V436" s="17"/>
      <c r="W436" s="6"/>
      <c r="X436" s="22"/>
      <c r="Y436" s="14"/>
      <c r="Z436" s="14"/>
      <c r="AA436" s="14"/>
      <c r="AB436" s="14"/>
      <c r="AC436" s="14"/>
      <c r="AD436" s="14"/>
      <c r="AE436" s="14"/>
      <c r="AF436" s="14"/>
      <c r="AG436" s="19"/>
      <c r="AH436" s="20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</row>
    <row r="437" ht="15.75" customHeight="1">
      <c r="A437" s="5"/>
      <c r="B437" s="5"/>
      <c r="C437" s="5"/>
      <c r="D437" s="5"/>
      <c r="E437" s="14"/>
      <c r="F437" s="15"/>
      <c r="G437" s="14"/>
      <c r="H437" s="16"/>
      <c r="I437" s="14"/>
      <c r="J437" s="16"/>
      <c r="K437" s="14"/>
      <c r="L437" s="16"/>
      <c r="M437" s="14"/>
      <c r="N437" s="16"/>
      <c r="O437" s="14"/>
      <c r="P437" s="16"/>
      <c r="Q437" s="14"/>
      <c r="R437" s="5"/>
      <c r="S437" s="14"/>
      <c r="T437" s="16"/>
      <c r="U437" s="16"/>
      <c r="V437" s="17"/>
      <c r="W437" s="6"/>
      <c r="X437" s="22"/>
      <c r="Y437" s="14"/>
      <c r="Z437" s="14"/>
      <c r="AA437" s="14"/>
      <c r="AB437" s="14"/>
      <c r="AC437" s="14"/>
      <c r="AD437" s="14"/>
      <c r="AE437" s="14"/>
      <c r="AF437" s="14"/>
      <c r="AG437" s="19"/>
      <c r="AH437" s="20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</row>
    <row r="438" ht="15.75" customHeight="1">
      <c r="A438" s="5"/>
      <c r="B438" s="5"/>
      <c r="C438" s="5"/>
      <c r="D438" s="5"/>
      <c r="E438" s="14"/>
      <c r="F438" s="15"/>
      <c r="G438" s="14"/>
      <c r="H438" s="16"/>
      <c r="I438" s="14"/>
      <c r="J438" s="16"/>
      <c r="K438" s="14"/>
      <c r="L438" s="16"/>
      <c r="M438" s="14"/>
      <c r="N438" s="16"/>
      <c r="O438" s="14"/>
      <c r="P438" s="16"/>
      <c r="Q438" s="14"/>
      <c r="R438" s="5"/>
      <c r="S438" s="14"/>
      <c r="T438" s="16"/>
      <c r="U438" s="16"/>
      <c r="V438" s="17"/>
      <c r="W438" s="6"/>
      <c r="X438" s="22"/>
      <c r="Y438" s="14"/>
      <c r="Z438" s="14"/>
      <c r="AA438" s="14"/>
      <c r="AB438" s="14"/>
      <c r="AC438" s="14"/>
      <c r="AD438" s="14"/>
      <c r="AE438" s="14"/>
      <c r="AF438" s="14"/>
      <c r="AG438" s="19"/>
      <c r="AH438" s="20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</row>
    <row r="439" ht="15.75" customHeight="1">
      <c r="A439" s="5"/>
      <c r="B439" s="5"/>
      <c r="C439" s="5"/>
      <c r="D439" s="5"/>
      <c r="E439" s="14"/>
      <c r="F439" s="15"/>
      <c r="G439" s="14"/>
      <c r="H439" s="16"/>
      <c r="I439" s="14"/>
      <c r="J439" s="16"/>
      <c r="K439" s="14"/>
      <c r="L439" s="16"/>
      <c r="M439" s="14"/>
      <c r="N439" s="16"/>
      <c r="O439" s="14"/>
      <c r="P439" s="16"/>
      <c r="Q439" s="14"/>
      <c r="R439" s="5"/>
      <c r="S439" s="14"/>
      <c r="T439" s="16"/>
      <c r="U439" s="16"/>
      <c r="V439" s="17"/>
      <c r="W439" s="6"/>
      <c r="X439" s="22"/>
      <c r="Y439" s="14"/>
      <c r="Z439" s="14"/>
      <c r="AA439" s="14"/>
      <c r="AB439" s="14"/>
      <c r="AC439" s="14"/>
      <c r="AD439" s="14"/>
      <c r="AE439" s="14"/>
      <c r="AF439" s="14"/>
      <c r="AG439" s="19"/>
      <c r="AH439" s="20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</row>
    <row r="440" ht="15.75" customHeight="1">
      <c r="A440" s="5"/>
      <c r="B440" s="5"/>
      <c r="C440" s="5"/>
      <c r="D440" s="5"/>
      <c r="E440" s="14"/>
      <c r="F440" s="15"/>
      <c r="G440" s="14"/>
      <c r="H440" s="16"/>
      <c r="I440" s="14"/>
      <c r="J440" s="16"/>
      <c r="K440" s="14"/>
      <c r="L440" s="16"/>
      <c r="M440" s="14"/>
      <c r="N440" s="16"/>
      <c r="O440" s="14"/>
      <c r="P440" s="16"/>
      <c r="Q440" s="14"/>
      <c r="R440" s="5"/>
      <c r="S440" s="14"/>
      <c r="T440" s="16"/>
      <c r="U440" s="16"/>
      <c r="V440" s="17"/>
      <c r="W440" s="6"/>
      <c r="X440" s="22"/>
      <c r="Y440" s="14"/>
      <c r="Z440" s="14"/>
      <c r="AA440" s="14"/>
      <c r="AB440" s="14"/>
      <c r="AC440" s="14"/>
      <c r="AD440" s="14"/>
      <c r="AE440" s="14"/>
      <c r="AF440" s="14"/>
      <c r="AG440" s="19"/>
      <c r="AH440" s="20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</row>
    <row r="441" ht="15.75" customHeight="1">
      <c r="A441" s="5"/>
      <c r="B441" s="5"/>
      <c r="C441" s="5"/>
      <c r="D441" s="5"/>
      <c r="E441" s="14"/>
      <c r="F441" s="15"/>
      <c r="G441" s="14"/>
      <c r="H441" s="16"/>
      <c r="I441" s="14"/>
      <c r="J441" s="16"/>
      <c r="K441" s="14"/>
      <c r="L441" s="16"/>
      <c r="M441" s="14"/>
      <c r="N441" s="16"/>
      <c r="O441" s="14"/>
      <c r="P441" s="16"/>
      <c r="Q441" s="14"/>
      <c r="R441" s="5"/>
      <c r="S441" s="14"/>
      <c r="T441" s="16"/>
      <c r="U441" s="16"/>
      <c r="V441" s="17"/>
      <c r="W441" s="6"/>
      <c r="X441" s="22"/>
      <c r="Y441" s="14"/>
      <c r="Z441" s="14"/>
      <c r="AA441" s="14"/>
      <c r="AB441" s="14"/>
      <c r="AC441" s="14"/>
      <c r="AD441" s="14"/>
      <c r="AE441" s="14"/>
      <c r="AF441" s="14"/>
      <c r="AG441" s="19"/>
      <c r="AH441" s="20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</row>
    <row r="442" ht="15.75" customHeight="1">
      <c r="A442" s="5"/>
      <c r="B442" s="5"/>
      <c r="C442" s="5"/>
      <c r="D442" s="5"/>
      <c r="E442" s="14"/>
      <c r="F442" s="15"/>
      <c r="G442" s="14"/>
      <c r="H442" s="16"/>
      <c r="I442" s="14"/>
      <c r="J442" s="16"/>
      <c r="K442" s="14"/>
      <c r="L442" s="16"/>
      <c r="M442" s="14"/>
      <c r="N442" s="16"/>
      <c r="O442" s="14"/>
      <c r="P442" s="16"/>
      <c r="Q442" s="14"/>
      <c r="R442" s="5"/>
      <c r="S442" s="14"/>
      <c r="T442" s="16"/>
      <c r="U442" s="16"/>
      <c r="V442" s="17"/>
      <c r="W442" s="6"/>
      <c r="X442" s="22"/>
      <c r="Y442" s="14"/>
      <c r="Z442" s="14"/>
      <c r="AA442" s="14"/>
      <c r="AB442" s="14"/>
      <c r="AC442" s="14"/>
      <c r="AD442" s="14"/>
      <c r="AE442" s="14"/>
      <c r="AF442" s="14"/>
      <c r="AG442" s="19"/>
      <c r="AH442" s="20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</row>
    <row r="443" ht="15.75" customHeight="1">
      <c r="A443" s="5"/>
      <c r="B443" s="5"/>
      <c r="C443" s="5"/>
      <c r="D443" s="5"/>
      <c r="E443" s="14"/>
      <c r="F443" s="15"/>
      <c r="G443" s="14"/>
      <c r="H443" s="16"/>
      <c r="I443" s="14"/>
      <c r="J443" s="16"/>
      <c r="K443" s="14"/>
      <c r="L443" s="16"/>
      <c r="M443" s="14"/>
      <c r="N443" s="16"/>
      <c r="O443" s="14"/>
      <c r="P443" s="16"/>
      <c r="Q443" s="14"/>
      <c r="R443" s="5"/>
      <c r="S443" s="14"/>
      <c r="T443" s="16"/>
      <c r="U443" s="16"/>
      <c r="V443" s="17"/>
      <c r="W443" s="6"/>
      <c r="X443" s="22"/>
      <c r="Y443" s="14"/>
      <c r="Z443" s="14"/>
      <c r="AA443" s="14"/>
      <c r="AB443" s="14"/>
      <c r="AC443" s="14"/>
      <c r="AD443" s="14"/>
      <c r="AE443" s="14"/>
      <c r="AF443" s="14"/>
      <c r="AG443" s="19"/>
      <c r="AH443" s="20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</row>
    <row r="444" ht="15.75" customHeight="1">
      <c r="A444" s="5"/>
      <c r="B444" s="5"/>
      <c r="C444" s="5"/>
      <c r="D444" s="5"/>
      <c r="E444" s="14"/>
      <c r="F444" s="15"/>
      <c r="G444" s="14"/>
      <c r="H444" s="16"/>
      <c r="I444" s="14"/>
      <c r="J444" s="16"/>
      <c r="K444" s="14"/>
      <c r="L444" s="16"/>
      <c r="M444" s="14"/>
      <c r="N444" s="16"/>
      <c r="O444" s="14"/>
      <c r="P444" s="16"/>
      <c r="Q444" s="14"/>
      <c r="R444" s="5"/>
      <c r="S444" s="14"/>
      <c r="T444" s="16"/>
      <c r="U444" s="16"/>
      <c r="V444" s="17"/>
      <c r="W444" s="6"/>
      <c r="X444" s="22"/>
      <c r="Y444" s="14"/>
      <c r="Z444" s="14"/>
      <c r="AA444" s="14"/>
      <c r="AB444" s="14"/>
      <c r="AC444" s="14"/>
      <c r="AD444" s="14"/>
      <c r="AE444" s="14"/>
      <c r="AF444" s="14"/>
      <c r="AG444" s="19"/>
      <c r="AH444" s="20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</row>
    <row r="445" ht="15.75" customHeight="1">
      <c r="A445" s="5"/>
      <c r="B445" s="5"/>
      <c r="C445" s="5"/>
      <c r="D445" s="5"/>
      <c r="E445" s="14"/>
      <c r="F445" s="15"/>
      <c r="G445" s="14"/>
      <c r="H445" s="16"/>
      <c r="I445" s="14"/>
      <c r="J445" s="16"/>
      <c r="K445" s="14"/>
      <c r="L445" s="16"/>
      <c r="M445" s="14"/>
      <c r="N445" s="16"/>
      <c r="O445" s="14"/>
      <c r="P445" s="16"/>
      <c r="Q445" s="14"/>
      <c r="R445" s="5"/>
      <c r="S445" s="14"/>
      <c r="T445" s="16"/>
      <c r="U445" s="16"/>
      <c r="V445" s="17"/>
      <c r="W445" s="6"/>
      <c r="X445" s="22"/>
      <c r="Y445" s="14"/>
      <c r="Z445" s="14"/>
      <c r="AA445" s="14"/>
      <c r="AB445" s="14"/>
      <c r="AC445" s="14"/>
      <c r="AD445" s="14"/>
      <c r="AE445" s="14"/>
      <c r="AF445" s="14"/>
      <c r="AG445" s="19"/>
      <c r="AH445" s="20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</row>
    <row r="446" ht="15.75" customHeight="1">
      <c r="A446" s="5"/>
      <c r="B446" s="5"/>
      <c r="C446" s="5"/>
      <c r="D446" s="5"/>
      <c r="E446" s="14"/>
      <c r="F446" s="15"/>
      <c r="G446" s="14"/>
      <c r="H446" s="16"/>
      <c r="I446" s="14"/>
      <c r="J446" s="16"/>
      <c r="K446" s="14"/>
      <c r="L446" s="16"/>
      <c r="M446" s="14"/>
      <c r="N446" s="16"/>
      <c r="O446" s="14"/>
      <c r="P446" s="16"/>
      <c r="Q446" s="14"/>
      <c r="R446" s="5"/>
      <c r="S446" s="14"/>
      <c r="T446" s="16"/>
      <c r="U446" s="16"/>
      <c r="V446" s="17"/>
      <c r="W446" s="6"/>
      <c r="X446" s="22"/>
      <c r="Y446" s="14"/>
      <c r="Z446" s="14"/>
      <c r="AA446" s="14"/>
      <c r="AB446" s="14"/>
      <c r="AC446" s="14"/>
      <c r="AD446" s="14"/>
      <c r="AE446" s="14"/>
      <c r="AF446" s="14"/>
      <c r="AG446" s="19"/>
      <c r="AH446" s="20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</row>
    <row r="447" ht="15.75" customHeight="1">
      <c r="A447" s="5"/>
      <c r="B447" s="5"/>
      <c r="C447" s="5"/>
      <c r="D447" s="5"/>
      <c r="E447" s="14"/>
      <c r="F447" s="15"/>
      <c r="G447" s="14"/>
      <c r="H447" s="16"/>
      <c r="I447" s="14"/>
      <c r="J447" s="16"/>
      <c r="K447" s="14"/>
      <c r="L447" s="16"/>
      <c r="M447" s="14"/>
      <c r="N447" s="16"/>
      <c r="O447" s="14"/>
      <c r="P447" s="16"/>
      <c r="Q447" s="14"/>
      <c r="R447" s="5"/>
      <c r="S447" s="14"/>
      <c r="T447" s="16"/>
      <c r="U447" s="16"/>
      <c r="V447" s="17"/>
      <c r="W447" s="6"/>
      <c r="X447" s="22"/>
      <c r="Y447" s="14"/>
      <c r="Z447" s="14"/>
      <c r="AA447" s="14"/>
      <c r="AB447" s="14"/>
      <c r="AC447" s="14"/>
      <c r="AD447" s="14"/>
      <c r="AE447" s="14"/>
      <c r="AF447" s="14"/>
      <c r="AG447" s="19"/>
      <c r="AH447" s="20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</row>
    <row r="448" ht="15.75" customHeight="1">
      <c r="A448" s="5"/>
      <c r="B448" s="5"/>
      <c r="C448" s="5"/>
      <c r="D448" s="5"/>
      <c r="E448" s="14"/>
      <c r="F448" s="15"/>
      <c r="G448" s="14"/>
      <c r="H448" s="16"/>
      <c r="I448" s="14"/>
      <c r="J448" s="16"/>
      <c r="K448" s="14"/>
      <c r="L448" s="16"/>
      <c r="M448" s="14"/>
      <c r="N448" s="16"/>
      <c r="O448" s="14"/>
      <c r="P448" s="16"/>
      <c r="Q448" s="14"/>
      <c r="R448" s="5"/>
      <c r="S448" s="14"/>
      <c r="T448" s="16"/>
      <c r="U448" s="16"/>
      <c r="V448" s="17"/>
      <c r="W448" s="6"/>
      <c r="X448" s="22"/>
      <c r="Y448" s="14"/>
      <c r="Z448" s="14"/>
      <c r="AA448" s="14"/>
      <c r="AB448" s="14"/>
      <c r="AC448" s="14"/>
      <c r="AD448" s="14"/>
      <c r="AE448" s="14"/>
      <c r="AF448" s="14"/>
      <c r="AG448" s="19"/>
      <c r="AH448" s="20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</row>
    <row r="449" ht="15.75" customHeight="1">
      <c r="A449" s="5"/>
      <c r="B449" s="5"/>
      <c r="C449" s="5"/>
      <c r="D449" s="5"/>
      <c r="E449" s="14"/>
      <c r="F449" s="15"/>
      <c r="G449" s="14"/>
      <c r="H449" s="16"/>
      <c r="I449" s="14"/>
      <c r="J449" s="16"/>
      <c r="K449" s="14"/>
      <c r="L449" s="16"/>
      <c r="M449" s="14"/>
      <c r="N449" s="16"/>
      <c r="O449" s="14"/>
      <c r="P449" s="16"/>
      <c r="Q449" s="14"/>
      <c r="R449" s="5"/>
      <c r="S449" s="14"/>
      <c r="T449" s="16"/>
      <c r="U449" s="16"/>
      <c r="V449" s="17"/>
      <c r="W449" s="6"/>
      <c r="X449" s="22"/>
      <c r="Y449" s="14"/>
      <c r="Z449" s="14"/>
      <c r="AA449" s="14"/>
      <c r="AB449" s="14"/>
      <c r="AC449" s="14"/>
      <c r="AD449" s="14"/>
      <c r="AE449" s="14"/>
      <c r="AF449" s="14"/>
      <c r="AG449" s="19"/>
      <c r="AH449" s="20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</row>
    <row r="450" ht="15.75" customHeight="1">
      <c r="A450" s="5"/>
      <c r="B450" s="5"/>
      <c r="C450" s="5"/>
      <c r="D450" s="5"/>
      <c r="E450" s="14"/>
      <c r="F450" s="15"/>
      <c r="G450" s="14"/>
      <c r="H450" s="16"/>
      <c r="I450" s="14"/>
      <c r="J450" s="16"/>
      <c r="K450" s="14"/>
      <c r="L450" s="16"/>
      <c r="M450" s="14"/>
      <c r="N450" s="16"/>
      <c r="O450" s="14"/>
      <c r="P450" s="16"/>
      <c r="Q450" s="14"/>
      <c r="R450" s="5"/>
      <c r="S450" s="14"/>
      <c r="T450" s="16"/>
      <c r="U450" s="16"/>
      <c r="V450" s="17"/>
      <c r="W450" s="6"/>
      <c r="X450" s="22"/>
      <c r="Y450" s="14"/>
      <c r="Z450" s="14"/>
      <c r="AA450" s="14"/>
      <c r="AB450" s="14"/>
      <c r="AC450" s="14"/>
      <c r="AD450" s="14"/>
      <c r="AE450" s="14"/>
      <c r="AF450" s="14"/>
      <c r="AG450" s="19"/>
      <c r="AH450" s="20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</row>
    <row r="451" ht="15.75" customHeight="1">
      <c r="A451" s="5"/>
      <c r="B451" s="5"/>
      <c r="C451" s="5"/>
      <c r="D451" s="5"/>
      <c r="E451" s="14"/>
      <c r="F451" s="15"/>
      <c r="G451" s="14"/>
      <c r="H451" s="16"/>
      <c r="I451" s="14"/>
      <c r="J451" s="16"/>
      <c r="K451" s="14"/>
      <c r="L451" s="16"/>
      <c r="M451" s="14"/>
      <c r="N451" s="16"/>
      <c r="O451" s="14"/>
      <c r="P451" s="16"/>
      <c r="Q451" s="14"/>
      <c r="R451" s="5"/>
      <c r="S451" s="14"/>
      <c r="T451" s="16"/>
      <c r="U451" s="16"/>
      <c r="V451" s="17"/>
      <c r="W451" s="6"/>
      <c r="X451" s="22"/>
      <c r="Y451" s="14"/>
      <c r="Z451" s="14"/>
      <c r="AA451" s="14"/>
      <c r="AB451" s="14"/>
      <c r="AC451" s="14"/>
      <c r="AD451" s="14"/>
      <c r="AE451" s="14"/>
      <c r="AF451" s="14"/>
      <c r="AG451" s="19"/>
      <c r="AH451" s="20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</row>
    <row r="452" ht="15.75" customHeight="1">
      <c r="A452" s="5"/>
      <c r="B452" s="5"/>
      <c r="C452" s="5"/>
      <c r="D452" s="5"/>
      <c r="E452" s="14"/>
      <c r="F452" s="15"/>
      <c r="G452" s="14"/>
      <c r="H452" s="16"/>
      <c r="I452" s="14"/>
      <c r="J452" s="16"/>
      <c r="K452" s="14"/>
      <c r="L452" s="16"/>
      <c r="M452" s="14"/>
      <c r="N452" s="16"/>
      <c r="O452" s="14"/>
      <c r="P452" s="16"/>
      <c r="Q452" s="14"/>
      <c r="R452" s="5"/>
      <c r="S452" s="14"/>
      <c r="T452" s="16"/>
      <c r="U452" s="16"/>
      <c r="V452" s="17"/>
      <c r="W452" s="6"/>
      <c r="X452" s="22"/>
      <c r="Y452" s="14"/>
      <c r="Z452" s="14"/>
      <c r="AA452" s="14"/>
      <c r="AB452" s="14"/>
      <c r="AC452" s="14"/>
      <c r="AD452" s="14"/>
      <c r="AE452" s="14"/>
      <c r="AF452" s="14"/>
      <c r="AG452" s="19"/>
      <c r="AH452" s="20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</row>
    <row r="453" ht="15.75" customHeight="1">
      <c r="A453" s="5"/>
      <c r="B453" s="5"/>
      <c r="C453" s="5"/>
      <c r="D453" s="5"/>
      <c r="E453" s="14"/>
      <c r="F453" s="15"/>
      <c r="G453" s="14"/>
      <c r="H453" s="16"/>
      <c r="I453" s="14"/>
      <c r="J453" s="16"/>
      <c r="K453" s="14"/>
      <c r="L453" s="16"/>
      <c r="M453" s="14"/>
      <c r="N453" s="16"/>
      <c r="O453" s="14"/>
      <c r="P453" s="16"/>
      <c r="Q453" s="14"/>
      <c r="R453" s="5"/>
      <c r="S453" s="14"/>
      <c r="T453" s="16"/>
      <c r="U453" s="16"/>
      <c r="V453" s="17"/>
      <c r="W453" s="6"/>
      <c r="X453" s="22"/>
      <c r="Y453" s="14"/>
      <c r="Z453" s="14"/>
      <c r="AA453" s="14"/>
      <c r="AB453" s="14"/>
      <c r="AC453" s="14"/>
      <c r="AD453" s="14"/>
      <c r="AE453" s="14"/>
      <c r="AF453" s="14"/>
      <c r="AG453" s="19"/>
      <c r="AH453" s="20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</row>
    <row r="454" ht="15.75" customHeight="1">
      <c r="A454" s="5"/>
      <c r="B454" s="5"/>
      <c r="C454" s="5"/>
      <c r="D454" s="5"/>
      <c r="E454" s="14"/>
      <c r="F454" s="15"/>
      <c r="G454" s="14"/>
      <c r="H454" s="16"/>
      <c r="I454" s="14"/>
      <c r="J454" s="16"/>
      <c r="K454" s="14"/>
      <c r="L454" s="16"/>
      <c r="M454" s="14"/>
      <c r="N454" s="16"/>
      <c r="O454" s="14"/>
      <c r="P454" s="16"/>
      <c r="Q454" s="14"/>
      <c r="R454" s="5"/>
      <c r="S454" s="14"/>
      <c r="T454" s="16"/>
      <c r="U454" s="16"/>
      <c r="V454" s="17"/>
      <c r="W454" s="6"/>
      <c r="X454" s="22"/>
      <c r="Y454" s="14"/>
      <c r="Z454" s="14"/>
      <c r="AA454" s="14"/>
      <c r="AB454" s="14"/>
      <c r="AC454" s="14"/>
      <c r="AD454" s="14"/>
      <c r="AE454" s="14"/>
      <c r="AF454" s="14"/>
      <c r="AG454" s="19"/>
      <c r="AH454" s="20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</row>
    <row r="455" ht="15.75" customHeight="1">
      <c r="A455" s="5"/>
      <c r="B455" s="5"/>
      <c r="C455" s="5"/>
      <c r="D455" s="5"/>
      <c r="E455" s="14"/>
      <c r="F455" s="15"/>
      <c r="G455" s="14"/>
      <c r="H455" s="16"/>
      <c r="I455" s="14"/>
      <c r="J455" s="16"/>
      <c r="K455" s="14"/>
      <c r="L455" s="16"/>
      <c r="M455" s="14"/>
      <c r="N455" s="16"/>
      <c r="O455" s="14"/>
      <c r="P455" s="16"/>
      <c r="Q455" s="14"/>
      <c r="R455" s="5"/>
      <c r="S455" s="14"/>
      <c r="T455" s="16"/>
      <c r="U455" s="16"/>
      <c r="V455" s="17"/>
      <c r="W455" s="6"/>
      <c r="X455" s="22"/>
      <c r="Y455" s="14"/>
      <c r="Z455" s="14"/>
      <c r="AA455" s="14"/>
      <c r="AB455" s="14"/>
      <c r="AC455" s="14"/>
      <c r="AD455" s="14"/>
      <c r="AE455" s="14"/>
      <c r="AF455" s="14"/>
      <c r="AG455" s="19"/>
      <c r="AH455" s="20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</row>
    <row r="456" ht="15.75" customHeight="1">
      <c r="A456" s="5"/>
      <c r="B456" s="5"/>
      <c r="C456" s="5"/>
      <c r="D456" s="5"/>
      <c r="E456" s="14"/>
      <c r="F456" s="15"/>
      <c r="G456" s="14"/>
      <c r="H456" s="16"/>
      <c r="I456" s="14"/>
      <c r="J456" s="16"/>
      <c r="K456" s="14"/>
      <c r="L456" s="16"/>
      <c r="M456" s="14"/>
      <c r="N456" s="16"/>
      <c r="O456" s="14"/>
      <c r="P456" s="16"/>
      <c r="Q456" s="14"/>
      <c r="R456" s="5"/>
      <c r="S456" s="14"/>
      <c r="T456" s="16"/>
      <c r="U456" s="16"/>
      <c r="V456" s="17"/>
      <c r="W456" s="6"/>
      <c r="X456" s="22"/>
      <c r="Y456" s="14"/>
      <c r="Z456" s="14"/>
      <c r="AA456" s="14"/>
      <c r="AB456" s="14"/>
      <c r="AC456" s="14"/>
      <c r="AD456" s="14"/>
      <c r="AE456" s="14"/>
      <c r="AF456" s="14"/>
      <c r="AG456" s="19"/>
      <c r="AH456" s="20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</row>
    <row r="457" ht="15.75" customHeight="1">
      <c r="A457" s="5"/>
      <c r="B457" s="5"/>
      <c r="C457" s="5"/>
      <c r="D457" s="5"/>
      <c r="E457" s="14"/>
      <c r="F457" s="15"/>
      <c r="G457" s="14"/>
      <c r="H457" s="16"/>
      <c r="I457" s="14"/>
      <c r="J457" s="16"/>
      <c r="K457" s="14"/>
      <c r="L457" s="16"/>
      <c r="M457" s="14"/>
      <c r="N457" s="16"/>
      <c r="O457" s="14"/>
      <c r="P457" s="16"/>
      <c r="Q457" s="14"/>
      <c r="R457" s="5"/>
      <c r="S457" s="14"/>
      <c r="T457" s="16"/>
      <c r="U457" s="16"/>
      <c r="V457" s="17"/>
      <c r="W457" s="6"/>
      <c r="X457" s="22"/>
      <c r="Y457" s="14"/>
      <c r="Z457" s="14"/>
      <c r="AA457" s="14"/>
      <c r="AB457" s="14"/>
      <c r="AC457" s="14"/>
      <c r="AD457" s="14"/>
      <c r="AE457" s="14"/>
      <c r="AF457" s="14"/>
      <c r="AG457" s="19"/>
      <c r="AH457" s="20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</row>
    <row r="458" ht="15.75" customHeight="1">
      <c r="A458" s="5"/>
      <c r="B458" s="5"/>
      <c r="C458" s="5"/>
      <c r="D458" s="5"/>
      <c r="E458" s="14"/>
      <c r="F458" s="15"/>
      <c r="G458" s="14"/>
      <c r="H458" s="16"/>
      <c r="I458" s="14"/>
      <c r="J458" s="16"/>
      <c r="K458" s="14"/>
      <c r="L458" s="16"/>
      <c r="M458" s="14"/>
      <c r="N458" s="16"/>
      <c r="O458" s="14"/>
      <c r="P458" s="16"/>
      <c r="Q458" s="14"/>
      <c r="R458" s="5"/>
      <c r="S458" s="14"/>
      <c r="T458" s="16"/>
      <c r="U458" s="16"/>
      <c r="V458" s="17"/>
      <c r="W458" s="6"/>
      <c r="X458" s="22"/>
      <c r="Y458" s="14"/>
      <c r="Z458" s="14"/>
      <c r="AA458" s="14"/>
      <c r="AB458" s="14"/>
      <c r="AC458" s="14"/>
      <c r="AD458" s="14"/>
      <c r="AE458" s="14"/>
      <c r="AF458" s="14"/>
      <c r="AG458" s="19"/>
      <c r="AH458" s="20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</row>
    <row r="459" ht="15.75" customHeight="1">
      <c r="A459" s="5"/>
      <c r="B459" s="5"/>
      <c r="C459" s="5"/>
      <c r="D459" s="5"/>
      <c r="E459" s="14"/>
      <c r="F459" s="15"/>
      <c r="G459" s="14"/>
      <c r="H459" s="16"/>
      <c r="I459" s="14"/>
      <c r="J459" s="16"/>
      <c r="K459" s="14"/>
      <c r="L459" s="16"/>
      <c r="M459" s="14"/>
      <c r="N459" s="16"/>
      <c r="O459" s="14"/>
      <c r="P459" s="16"/>
      <c r="Q459" s="14"/>
      <c r="R459" s="5"/>
      <c r="S459" s="14"/>
      <c r="T459" s="16"/>
      <c r="U459" s="16"/>
      <c r="V459" s="17"/>
      <c r="W459" s="6"/>
      <c r="X459" s="22"/>
      <c r="Y459" s="14"/>
      <c r="Z459" s="14"/>
      <c r="AA459" s="14"/>
      <c r="AB459" s="14"/>
      <c r="AC459" s="14"/>
      <c r="AD459" s="14"/>
      <c r="AE459" s="14"/>
      <c r="AF459" s="14"/>
      <c r="AG459" s="19"/>
      <c r="AH459" s="20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</row>
    <row r="460" ht="15.75" customHeight="1">
      <c r="A460" s="5"/>
      <c r="B460" s="5"/>
      <c r="C460" s="5"/>
      <c r="D460" s="5"/>
      <c r="E460" s="14"/>
      <c r="F460" s="15"/>
      <c r="G460" s="14"/>
      <c r="H460" s="16"/>
      <c r="I460" s="14"/>
      <c r="J460" s="16"/>
      <c r="K460" s="14"/>
      <c r="L460" s="16"/>
      <c r="M460" s="14"/>
      <c r="N460" s="16"/>
      <c r="O460" s="14"/>
      <c r="P460" s="16"/>
      <c r="Q460" s="14"/>
      <c r="R460" s="5"/>
      <c r="S460" s="14"/>
      <c r="T460" s="16"/>
      <c r="U460" s="16"/>
      <c r="V460" s="17"/>
      <c r="W460" s="6"/>
      <c r="X460" s="22"/>
      <c r="Y460" s="14"/>
      <c r="Z460" s="14"/>
      <c r="AA460" s="14"/>
      <c r="AB460" s="14"/>
      <c r="AC460" s="14"/>
      <c r="AD460" s="14"/>
      <c r="AE460" s="14"/>
      <c r="AF460" s="14"/>
      <c r="AG460" s="19"/>
      <c r="AH460" s="20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</row>
    <row r="461" ht="15.75" customHeight="1">
      <c r="A461" s="5"/>
      <c r="B461" s="5"/>
      <c r="C461" s="5"/>
      <c r="D461" s="5"/>
      <c r="E461" s="14"/>
      <c r="F461" s="15"/>
      <c r="G461" s="14"/>
      <c r="H461" s="16"/>
      <c r="I461" s="14"/>
      <c r="J461" s="16"/>
      <c r="K461" s="14"/>
      <c r="L461" s="16"/>
      <c r="M461" s="14"/>
      <c r="N461" s="16"/>
      <c r="O461" s="14"/>
      <c r="P461" s="16"/>
      <c r="Q461" s="14"/>
      <c r="R461" s="5"/>
      <c r="S461" s="14"/>
      <c r="T461" s="16"/>
      <c r="U461" s="16"/>
      <c r="V461" s="17"/>
      <c r="W461" s="6"/>
      <c r="X461" s="22"/>
      <c r="Y461" s="14"/>
      <c r="Z461" s="14"/>
      <c r="AA461" s="14"/>
      <c r="AB461" s="14"/>
      <c r="AC461" s="14"/>
      <c r="AD461" s="14"/>
      <c r="AE461" s="14"/>
      <c r="AF461" s="14"/>
      <c r="AG461" s="19"/>
      <c r="AH461" s="20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</row>
    <row r="462" ht="15.75" customHeight="1">
      <c r="A462" s="5"/>
      <c r="B462" s="5"/>
      <c r="C462" s="5"/>
      <c r="D462" s="5"/>
      <c r="E462" s="14"/>
      <c r="F462" s="15"/>
      <c r="G462" s="14"/>
      <c r="H462" s="16"/>
      <c r="I462" s="14"/>
      <c r="J462" s="16"/>
      <c r="K462" s="14"/>
      <c r="L462" s="16"/>
      <c r="M462" s="14"/>
      <c r="N462" s="16"/>
      <c r="O462" s="14"/>
      <c r="P462" s="16"/>
      <c r="Q462" s="14"/>
      <c r="R462" s="5"/>
      <c r="S462" s="14"/>
      <c r="T462" s="16"/>
      <c r="U462" s="16"/>
      <c r="V462" s="17"/>
      <c r="W462" s="6"/>
      <c r="X462" s="22"/>
      <c r="Y462" s="14"/>
      <c r="Z462" s="14"/>
      <c r="AA462" s="14"/>
      <c r="AB462" s="14"/>
      <c r="AC462" s="14"/>
      <c r="AD462" s="14"/>
      <c r="AE462" s="14"/>
      <c r="AF462" s="14"/>
      <c r="AG462" s="19"/>
      <c r="AH462" s="20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</row>
    <row r="463" ht="15.75" customHeight="1">
      <c r="A463" s="5"/>
      <c r="B463" s="5"/>
      <c r="C463" s="5"/>
      <c r="D463" s="5"/>
      <c r="E463" s="14"/>
      <c r="F463" s="15"/>
      <c r="G463" s="14"/>
      <c r="H463" s="16"/>
      <c r="I463" s="14"/>
      <c r="J463" s="16"/>
      <c r="K463" s="14"/>
      <c r="L463" s="16"/>
      <c r="M463" s="14"/>
      <c r="N463" s="16"/>
      <c r="O463" s="14"/>
      <c r="P463" s="16"/>
      <c r="Q463" s="14"/>
      <c r="R463" s="5"/>
      <c r="S463" s="14"/>
      <c r="T463" s="16"/>
      <c r="U463" s="16"/>
      <c r="V463" s="17"/>
      <c r="W463" s="6"/>
      <c r="X463" s="22"/>
      <c r="Y463" s="14"/>
      <c r="Z463" s="14"/>
      <c r="AA463" s="14"/>
      <c r="AB463" s="14"/>
      <c r="AC463" s="14"/>
      <c r="AD463" s="14"/>
      <c r="AE463" s="14"/>
      <c r="AF463" s="14"/>
      <c r="AG463" s="19"/>
      <c r="AH463" s="20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</row>
    <row r="464" ht="15.75" customHeight="1">
      <c r="A464" s="5"/>
      <c r="B464" s="5"/>
      <c r="C464" s="5"/>
      <c r="D464" s="5"/>
      <c r="E464" s="14"/>
      <c r="F464" s="15"/>
      <c r="G464" s="14"/>
      <c r="H464" s="16"/>
      <c r="I464" s="14"/>
      <c r="J464" s="16"/>
      <c r="K464" s="14"/>
      <c r="L464" s="16"/>
      <c r="M464" s="14"/>
      <c r="N464" s="16"/>
      <c r="O464" s="14"/>
      <c r="P464" s="16"/>
      <c r="Q464" s="14"/>
      <c r="R464" s="5"/>
      <c r="S464" s="14"/>
      <c r="T464" s="16"/>
      <c r="U464" s="16"/>
      <c r="V464" s="17"/>
      <c r="W464" s="6"/>
      <c r="X464" s="22"/>
      <c r="Y464" s="14"/>
      <c r="Z464" s="14"/>
      <c r="AA464" s="14"/>
      <c r="AB464" s="14"/>
      <c r="AC464" s="14"/>
      <c r="AD464" s="14"/>
      <c r="AE464" s="14"/>
      <c r="AF464" s="14"/>
      <c r="AG464" s="19"/>
      <c r="AH464" s="20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</row>
    <row r="465" ht="15.75" customHeight="1">
      <c r="A465" s="5"/>
      <c r="B465" s="5"/>
      <c r="C465" s="5"/>
      <c r="D465" s="5"/>
      <c r="E465" s="14"/>
      <c r="F465" s="15"/>
      <c r="G465" s="14"/>
      <c r="H465" s="16"/>
      <c r="I465" s="14"/>
      <c r="J465" s="16"/>
      <c r="K465" s="14"/>
      <c r="L465" s="16"/>
      <c r="M465" s="14"/>
      <c r="N465" s="16"/>
      <c r="O465" s="14"/>
      <c r="P465" s="16"/>
      <c r="Q465" s="14"/>
      <c r="R465" s="5"/>
      <c r="S465" s="14"/>
      <c r="T465" s="16"/>
      <c r="U465" s="16"/>
      <c r="V465" s="17"/>
      <c r="W465" s="6"/>
      <c r="X465" s="22"/>
      <c r="Y465" s="14"/>
      <c r="Z465" s="14"/>
      <c r="AA465" s="14"/>
      <c r="AB465" s="14"/>
      <c r="AC465" s="14"/>
      <c r="AD465" s="14"/>
      <c r="AE465" s="14"/>
      <c r="AF465" s="14"/>
      <c r="AG465" s="19"/>
      <c r="AH465" s="20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</row>
    <row r="466" ht="15.75" customHeight="1">
      <c r="A466" s="5"/>
      <c r="B466" s="5"/>
      <c r="C466" s="5"/>
      <c r="D466" s="5"/>
      <c r="E466" s="14"/>
      <c r="F466" s="15"/>
      <c r="G466" s="14"/>
      <c r="H466" s="16"/>
      <c r="I466" s="14"/>
      <c r="J466" s="16"/>
      <c r="K466" s="14"/>
      <c r="L466" s="16"/>
      <c r="M466" s="14"/>
      <c r="N466" s="16"/>
      <c r="O466" s="14"/>
      <c r="P466" s="16"/>
      <c r="Q466" s="14"/>
      <c r="R466" s="5"/>
      <c r="S466" s="14"/>
      <c r="T466" s="16"/>
      <c r="U466" s="16"/>
      <c r="V466" s="17"/>
      <c r="W466" s="6"/>
      <c r="X466" s="22"/>
      <c r="Y466" s="14"/>
      <c r="Z466" s="14"/>
      <c r="AA466" s="14"/>
      <c r="AB466" s="14"/>
      <c r="AC466" s="14"/>
      <c r="AD466" s="14"/>
      <c r="AE466" s="14"/>
      <c r="AF466" s="14"/>
      <c r="AG466" s="19"/>
      <c r="AH466" s="20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</row>
    <row r="467" ht="15.75" customHeight="1">
      <c r="A467" s="5"/>
      <c r="B467" s="5"/>
      <c r="C467" s="5"/>
      <c r="D467" s="5"/>
      <c r="E467" s="14"/>
      <c r="F467" s="15"/>
      <c r="G467" s="14"/>
      <c r="H467" s="16"/>
      <c r="I467" s="14"/>
      <c r="J467" s="16"/>
      <c r="K467" s="14"/>
      <c r="L467" s="16"/>
      <c r="M467" s="14"/>
      <c r="N467" s="16"/>
      <c r="O467" s="14"/>
      <c r="P467" s="16"/>
      <c r="Q467" s="14"/>
      <c r="R467" s="5"/>
      <c r="S467" s="14"/>
      <c r="T467" s="16"/>
      <c r="U467" s="16"/>
      <c r="V467" s="17"/>
      <c r="W467" s="6"/>
      <c r="X467" s="22"/>
      <c r="Y467" s="14"/>
      <c r="Z467" s="14"/>
      <c r="AA467" s="14"/>
      <c r="AB467" s="14"/>
      <c r="AC467" s="14"/>
      <c r="AD467" s="14"/>
      <c r="AE467" s="14"/>
      <c r="AF467" s="14"/>
      <c r="AG467" s="19"/>
      <c r="AH467" s="20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</row>
    <row r="468" ht="15.75" customHeight="1">
      <c r="A468" s="5"/>
      <c r="B468" s="5"/>
      <c r="C468" s="5"/>
      <c r="D468" s="5"/>
      <c r="E468" s="14"/>
      <c r="F468" s="15"/>
      <c r="G468" s="14"/>
      <c r="H468" s="16"/>
      <c r="I468" s="14"/>
      <c r="J468" s="16"/>
      <c r="K468" s="14"/>
      <c r="L468" s="16"/>
      <c r="M468" s="14"/>
      <c r="N468" s="16"/>
      <c r="O468" s="14"/>
      <c r="P468" s="16"/>
      <c r="Q468" s="14"/>
      <c r="R468" s="5"/>
      <c r="S468" s="14"/>
      <c r="T468" s="16"/>
      <c r="U468" s="16"/>
      <c r="V468" s="17"/>
      <c r="W468" s="6"/>
      <c r="X468" s="22"/>
      <c r="Y468" s="14"/>
      <c r="Z468" s="14"/>
      <c r="AA468" s="14"/>
      <c r="AB468" s="14"/>
      <c r="AC468" s="14"/>
      <c r="AD468" s="14"/>
      <c r="AE468" s="14"/>
      <c r="AF468" s="14"/>
      <c r="AG468" s="19"/>
      <c r="AH468" s="20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</row>
    <row r="469" ht="15.75" customHeight="1">
      <c r="A469" s="5"/>
      <c r="B469" s="5"/>
      <c r="C469" s="5"/>
      <c r="D469" s="5"/>
      <c r="E469" s="14"/>
      <c r="F469" s="15"/>
      <c r="G469" s="14"/>
      <c r="H469" s="16"/>
      <c r="I469" s="14"/>
      <c r="J469" s="16"/>
      <c r="K469" s="14"/>
      <c r="L469" s="16"/>
      <c r="M469" s="14"/>
      <c r="N469" s="16"/>
      <c r="O469" s="14"/>
      <c r="P469" s="16"/>
      <c r="Q469" s="14"/>
      <c r="R469" s="5"/>
      <c r="S469" s="14"/>
      <c r="T469" s="16"/>
      <c r="U469" s="16"/>
      <c r="V469" s="17"/>
      <c r="W469" s="6"/>
      <c r="X469" s="22"/>
      <c r="Y469" s="14"/>
      <c r="Z469" s="14"/>
      <c r="AA469" s="14"/>
      <c r="AB469" s="14"/>
      <c r="AC469" s="14"/>
      <c r="AD469" s="14"/>
      <c r="AE469" s="14"/>
      <c r="AF469" s="14"/>
      <c r="AG469" s="19"/>
      <c r="AH469" s="20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</row>
    <row r="470" ht="15.75" customHeight="1">
      <c r="A470" s="5"/>
      <c r="B470" s="5"/>
      <c r="C470" s="5"/>
      <c r="D470" s="5"/>
      <c r="E470" s="14"/>
      <c r="F470" s="15"/>
      <c r="G470" s="14"/>
      <c r="H470" s="16"/>
      <c r="I470" s="14"/>
      <c r="J470" s="16"/>
      <c r="K470" s="14"/>
      <c r="L470" s="16"/>
      <c r="M470" s="14"/>
      <c r="N470" s="16"/>
      <c r="O470" s="14"/>
      <c r="P470" s="16"/>
      <c r="Q470" s="14"/>
      <c r="R470" s="5"/>
      <c r="S470" s="14"/>
      <c r="T470" s="16"/>
      <c r="U470" s="16"/>
      <c r="V470" s="17"/>
      <c r="W470" s="6"/>
      <c r="X470" s="22"/>
      <c r="Y470" s="14"/>
      <c r="Z470" s="14"/>
      <c r="AA470" s="14"/>
      <c r="AB470" s="14"/>
      <c r="AC470" s="14"/>
      <c r="AD470" s="14"/>
      <c r="AE470" s="14"/>
      <c r="AF470" s="14"/>
      <c r="AG470" s="19"/>
      <c r="AH470" s="20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</row>
    <row r="471" ht="15.75" customHeight="1">
      <c r="A471" s="5"/>
      <c r="B471" s="5"/>
      <c r="C471" s="5"/>
      <c r="D471" s="5"/>
      <c r="E471" s="14"/>
      <c r="F471" s="15"/>
      <c r="G471" s="14"/>
      <c r="H471" s="16"/>
      <c r="I471" s="14"/>
      <c r="J471" s="16"/>
      <c r="K471" s="14"/>
      <c r="L471" s="16"/>
      <c r="M471" s="14"/>
      <c r="N471" s="16"/>
      <c r="O471" s="14"/>
      <c r="P471" s="16"/>
      <c r="Q471" s="14"/>
      <c r="R471" s="5"/>
      <c r="S471" s="14"/>
      <c r="T471" s="16"/>
      <c r="U471" s="16"/>
      <c r="V471" s="17"/>
      <c r="W471" s="6"/>
      <c r="X471" s="22"/>
      <c r="Y471" s="14"/>
      <c r="Z471" s="14"/>
      <c r="AA471" s="14"/>
      <c r="AB471" s="14"/>
      <c r="AC471" s="14"/>
      <c r="AD471" s="14"/>
      <c r="AE471" s="14"/>
      <c r="AF471" s="14"/>
      <c r="AG471" s="19"/>
      <c r="AH471" s="20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</row>
    <row r="472" ht="15.75" customHeight="1">
      <c r="A472" s="5"/>
      <c r="B472" s="5"/>
      <c r="C472" s="5"/>
      <c r="D472" s="5"/>
      <c r="E472" s="14"/>
      <c r="F472" s="15"/>
      <c r="G472" s="14"/>
      <c r="H472" s="16"/>
      <c r="I472" s="14"/>
      <c r="J472" s="16"/>
      <c r="K472" s="14"/>
      <c r="L472" s="16"/>
      <c r="M472" s="14"/>
      <c r="N472" s="16"/>
      <c r="O472" s="14"/>
      <c r="P472" s="16"/>
      <c r="Q472" s="14"/>
      <c r="R472" s="5"/>
      <c r="S472" s="14"/>
      <c r="T472" s="16"/>
      <c r="U472" s="16"/>
      <c r="V472" s="17"/>
      <c r="W472" s="6"/>
      <c r="X472" s="22"/>
      <c r="Y472" s="14"/>
      <c r="Z472" s="14"/>
      <c r="AA472" s="14"/>
      <c r="AB472" s="14"/>
      <c r="AC472" s="14"/>
      <c r="AD472" s="14"/>
      <c r="AE472" s="14"/>
      <c r="AF472" s="14"/>
      <c r="AG472" s="19"/>
      <c r="AH472" s="20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</row>
    <row r="473" ht="15.75" customHeight="1">
      <c r="A473" s="5"/>
      <c r="B473" s="5"/>
      <c r="C473" s="5"/>
      <c r="D473" s="5"/>
      <c r="E473" s="14"/>
      <c r="F473" s="15"/>
      <c r="G473" s="14"/>
      <c r="H473" s="16"/>
      <c r="I473" s="14"/>
      <c r="J473" s="16"/>
      <c r="K473" s="14"/>
      <c r="L473" s="16"/>
      <c r="M473" s="14"/>
      <c r="N473" s="16"/>
      <c r="O473" s="14"/>
      <c r="P473" s="16"/>
      <c r="Q473" s="14"/>
      <c r="R473" s="5"/>
      <c r="S473" s="14"/>
      <c r="T473" s="16"/>
      <c r="U473" s="16"/>
      <c r="V473" s="17"/>
      <c r="W473" s="6"/>
      <c r="X473" s="22"/>
      <c r="Y473" s="14"/>
      <c r="Z473" s="14"/>
      <c r="AA473" s="14"/>
      <c r="AB473" s="14"/>
      <c r="AC473" s="14"/>
      <c r="AD473" s="14"/>
      <c r="AE473" s="14"/>
      <c r="AF473" s="14"/>
      <c r="AG473" s="19"/>
      <c r="AH473" s="20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</row>
    <row r="474" ht="15.75" customHeight="1">
      <c r="A474" s="5"/>
      <c r="B474" s="5"/>
      <c r="C474" s="5"/>
      <c r="D474" s="5"/>
      <c r="E474" s="14"/>
      <c r="F474" s="15"/>
      <c r="G474" s="14"/>
      <c r="H474" s="16"/>
      <c r="I474" s="14"/>
      <c r="J474" s="16"/>
      <c r="K474" s="14"/>
      <c r="L474" s="16"/>
      <c r="M474" s="14"/>
      <c r="N474" s="16"/>
      <c r="O474" s="14"/>
      <c r="P474" s="16"/>
      <c r="Q474" s="14"/>
      <c r="R474" s="5"/>
      <c r="S474" s="14"/>
      <c r="T474" s="16"/>
      <c r="U474" s="16"/>
      <c r="V474" s="17"/>
      <c r="W474" s="6"/>
      <c r="X474" s="22"/>
      <c r="Y474" s="14"/>
      <c r="Z474" s="14"/>
      <c r="AA474" s="14"/>
      <c r="AB474" s="14"/>
      <c r="AC474" s="14"/>
      <c r="AD474" s="14"/>
      <c r="AE474" s="14"/>
      <c r="AF474" s="14"/>
      <c r="AG474" s="19"/>
      <c r="AH474" s="20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</row>
    <row r="475" ht="15.75" customHeight="1">
      <c r="A475" s="5"/>
      <c r="B475" s="5"/>
      <c r="C475" s="5"/>
      <c r="D475" s="5"/>
      <c r="E475" s="14"/>
      <c r="F475" s="15"/>
      <c r="G475" s="14"/>
      <c r="H475" s="16"/>
      <c r="I475" s="14"/>
      <c r="J475" s="16"/>
      <c r="K475" s="14"/>
      <c r="L475" s="16"/>
      <c r="M475" s="14"/>
      <c r="N475" s="16"/>
      <c r="O475" s="14"/>
      <c r="P475" s="16"/>
      <c r="Q475" s="14"/>
      <c r="R475" s="5"/>
      <c r="S475" s="14"/>
      <c r="T475" s="16"/>
      <c r="U475" s="16"/>
      <c r="V475" s="17"/>
      <c r="W475" s="6"/>
      <c r="X475" s="22"/>
      <c r="Y475" s="14"/>
      <c r="Z475" s="14"/>
      <c r="AA475" s="14"/>
      <c r="AB475" s="14"/>
      <c r="AC475" s="14"/>
      <c r="AD475" s="14"/>
      <c r="AE475" s="14"/>
      <c r="AF475" s="14"/>
      <c r="AG475" s="19"/>
      <c r="AH475" s="20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</row>
    <row r="476" ht="15.75" customHeight="1">
      <c r="A476" s="5"/>
      <c r="B476" s="5"/>
      <c r="C476" s="5"/>
      <c r="D476" s="5"/>
      <c r="E476" s="14"/>
      <c r="F476" s="15"/>
      <c r="G476" s="14"/>
      <c r="H476" s="16"/>
      <c r="I476" s="14"/>
      <c r="J476" s="16"/>
      <c r="K476" s="14"/>
      <c r="L476" s="16"/>
      <c r="M476" s="14"/>
      <c r="N476" s="16"/>
      <c r="O476" s="14"/>
      <c r="P476" s="16"/>
      <c r="Q476" s="14"/>
      <c r="R476" s="5"/>
      <c r="S476" s="14"/>
      <c r="T476" s="16"/>
      <c r="U476" s="16"/>
      <c r="V476" s="17"/>
      <c r="W476" s="6"/>
      <c r="X476" s="22"/>
      <c r="Y476" s="14"/>
      <c r="Z476" s="14"/>
      <c r="AA476" s="14"/>
      <c r="AB476" s="14"/>
      <c r="AC476" s="14"/>
      <c r="AD476" s="14"/>
      <c r="AE476" s="14"/>
      <c r="AF476" s="14"/>
      <c r="AG476" s="19"/>
      <c r="AH476" s="20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</row>
    <row r="477" ht="15.75" customHeight="1">
      <c r="A477" s="5"/>
      <c r="B477" s="5"/>
      <c r="C477" s="5"/>
      <c r="D477" s="5"/>
      <c r="E477" s="14"/>
      <c r="F477" s="15"/>
      <c r="G477" s="14"/>
      <c r="H477" s="16"/>
      <c r="I477" s="14"/>
      <c r="J477" s="16"/>
      <c r="K477" s="14"/>
      <c r="L477" s="16"/>
      <c r="M477" s="14"/>
      <c r="N477" s="16"/>
      <c r="O477" s="14"/>
      <c r="P477" s="16"/>
      <c r="Q477" s="14"/>
      <c r="R477" s="5"/>
      <c r="S477" s="14"/>
      <c r="T477" s="16"/>
      <c r="U477" s="16"/>
      <c r="V477" s="17"/>
      <c r="W477" s="6"/>
      <c r="X477" s="22"/>
      <c r="Y477" s="14"/>
      <c r="Z477" s="14"/>
      <c r="AA477" s="14"/>
      <c r="AB477" s="14"/>
      <c r="AC477" s="14"/>
      <c r="AD477" s="14"/>
      <c r="AE477" s="14"/>
      <c r="AF477" s="14"/>
      <c r="AG477" s="19"/>
      <c r="AH477" s="20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</row>
    <row r="478" ht="15.75" customHeight="1">
      <c r="A478" s="5"/>
      <c r="B478" s="5"/>
      <c r="C478" s="5"/>
      <c r="D478" s="5"/>
      <c r="E478" s="14"/>
      <c r="F478" s="15"/>
      <c r="G478" s="14"/>
      <c r="H478" s="16"/>
      <c r="I478" s="14"/>
      <c r="J478" s="16"/>
      <c r="K478" s="14"/>
      <c r="L478" s="16"/>
      <c r="M478" s="14"/>
      <c r="N478" s="16"/>
      <c r="O478" s="14"/>
      <c r="P478" s="16"/>
      <c r="Q478" s="14"/>
      <c r="R478" s="5"/>
      <c r="S478" s="14"/>
      <c r="T478" s="16"/>
      <c r="U478" s="16"/>
      <c r="V478" s="17"/>
      <c r="W478" s="6"/>
      <c r="X478" s="22"/>
      <c r="Y478" s="14"/>
      <c r="Z478" s="14"/>
      <c r="AA478" s="14"/>
      <c r="AB478" s="14"/>
      <c r="AC478" s="14"/>
      <c r="AD478" s="14"/>
      <c r="AE478" s="14"/>
      <c r="AF478" s="14"/>
      <c r="AG478" s="19"/>
      <c r="AH478" s="20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</row>
    <row r="479" ht="15.75" customHeight="1">
      <c r="A479" s="5"/>
      <c r="B479" s="5"/>
      <c r="C479" s="5"/>
      <c r="D479" s="5"/>
      <c r="E479" s="14"/>
      <c r="F479" s="15"/>
      <c r="G479" s="14"/>
      <c r="H479" s="16"/>
      <c r="I479" s="14"/>
      <c r="J479" s="16"/>
      <c r="K479" s="14"/>
      <c r="L479" s="16"/>
      <c r="M479" s="14"/>
      <c r="N479" s="16"/>
      <c r="O479" s="14"/>
      <c r="P479" s="16"/>
      <c r="Q479" s="14"/>
      <c r="R479" s="5"/>
      <c r="S479" s="14"/>
      <c r="T479" s="16"/>
      <c r="U479" s="16"/>
      <c r="V479" s="17"/>
      <c r="W479" s="6"/>
      <c r="X479" s="22"/>
      <c r="Y479" s="14"/>
      <c r="Z479" s="14"/>
      <c r="AA479" s="14"/>
      <c r="AB479" s="14"/>
      <c r="AC479" s="14"/>
      <c r="AD479" s="14"/>
      <c r="AE479" s="14"/>
      <c r="AF479" s="14"/>
      <c r="AG479" s="19"/>
      <c r="AH479" s="20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</row>
    <row r="480" ht="15.75" customHeight="1">
      <c r="A480" s="5"/>
      <c r="B480" s="5"/>
      <c r="C480" s="5"/>
      <c r="D480" s="5"/>
      <c r="E480" s="14"/>
      <c r="F480" s="15"/>
      <c r="G480" s="14"/>
      <c r="H480" s="16"/>
      <c r="I480" s="14"/>
      <c r="J480" s="16"/>
      <c r="K480" s="14"/>
      <c r="L480" s="16"/>
      <c r="M480" s="14"/>
      <c r="N480" s="16"/>
      <c r="O480" s="14"/>
      <c r="P480" s="16"/>
      <c r="Q480" s="14"/>
      <c r="R480" s="5"/>
      <c r="S480" s="14"/>
      <c r="T480" s="16"/>
      <c r="U480" s="16"/>
      <c r="V480" s="17"/>
      <c r="W480" s="6"/>
      <c r="X480" s="22"/>
      <c r="Y480" s="14"/>
      <c r="Z480" s="14"/>
      <c r="AA480" s="14"/>
      <c r="AB480" s="14"/>
      <c r="AC480" s="14"/>
      <c r="AD480" s="14"/>
      <c r="AE480" s="14"/>
      <c r="AF480" s="14"/>
      <c r="AG480" s="19"/>
      <c r="AH480" s="20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</row>
    <row r="481" ht="15.75" customHeight="1">
      <c r="A481" s="5"/>
      <c r="B481" s="5"/>
      <c r="C481" s="5"/>
      <c r="D481" s="5"/>
      <c r="E481" s="14"/>
      <c r="F481" s="15"/>
      <c r="G481" s="14"/>
      <c r="H481" s="16"/>
      <c r="I481" s="14"/>
      <c r="J481" s="16"/>
      <c r="K481" s="14"/>
      <c r="L481" s="16"/>
      <c r="M481" s="14"/>
      <c r="N481" s="16"/>
      <c r="O481" s="14"/>
      <c r="P481" s="16"/>
      <c r="Q481" s="14"/>
      <c r="R481" s="5"/>
      <c r="S481" s="14"/>
      <c r="T481" s="16"/>
      <c r="U481" s="16"/>
      <c r="V481" s="17"/>
      <c r="W481" s="6"/>
      <c r="X481" s="22"/>
      <c r="Y481" s="14"/>
      <c r="Z481" s="14"/>
      <c r="AA481" s="14"/>
      <c r="AB481" s="14"/>
      <c r="AC481" s="14"/>
      <c r="AD481" s="14"/>
      <c r="AE481" s="14"/>
      <c r="AF481" s="14"/>
      <c r="AG481" s="19"/>
      <c r="AH481" s="20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</row>
    <row r="482" ht="15.75" customHeight="1">
      <c r="A482" s="5"/>
      <c r="B482" s="5"/>
      <c r="C482" s="5"/>
      <c r="D482" s="5"/>
      <c r="E482" s="14"/>
      <c r="F482" s="15"/>
      <c r="G482" s="14"/>
      <c r="H482" s="16"/>
      <c r="I482" s="14"/>
      <c r="J482" s="16"/>
      <c r="K482" s="14"/>
      <c r="L482" s="16"/>
      <c r="M482" s="14"/>
      <c r="N482" s="16"/>
      <c r="O482" s="14"/>
      <c r="P482" s="16"/>
      <c r="Q482" s="14"/>
      <c r="R482" s="5"/>
      <c r="S482" s="14"/>
      <c r="T482" s="16"/>
      <c r="U482" s="16"/>
      <c r="V482" s="17"/>
      <c r="W482" s="6"/>
      <c r="X482" s="22"/>
      <c r="Y482" s="14"/>
      <c r="Z482" s="14"/>
      <c r="AA482" s="14"/>
      <c r="AB482" s="14"/>
      <c r="AC482" s="14"/>
      <c r="AD482" s="14"/>
      <c r="AE482" s="14"/>
      <c r="AF482" s="14"/>
      <c r="AG482" s="19"/>
      <c r="AH482" s="20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</row>
    <row r="483" ht="15.75" customHeight="1">
      <c r="A483" s="5"/>
      <c r="B483" s="5"/>
      <c r="C483" s="5"/>
      <c r="D483" s="5"/>
      <c r="E483" s="14"/>
      <c r="F483" s="15"/>
      <c r="G483" s="14"/>
      <c r="H483" s="16"/>
      <c r="I483" s="14"/>
      <c r="J483" s="16"/>
      <c r="K483" s="14"/>
      <c r="L483" s="16"/>
      <c r="M483" s="14"/>
      <c r="N483" s="16"/>
      <c r="O483" s="14"/>
      <c r="P483" s="16"/>
      <c r="Q483" s="14"/>
      <c r="R483" s="5"/>
      <c r="S483" s="14"/>
      <c r="T483" s="16"/>
      <c r="U483" s="16"/>
      <c r="V483" s="17"/>
      <c r="W483" s="6"/>
      <c r="X483" s="22"/>
      <c r="Y483" s="14"/>
      <c r="Z483" s="14"/>
      <c r="AA483" s="14"/>
      <c r="AB483" s="14"/>
      <c r="AC483" s="14"/>
      <c r="AD483" s="14"/>
      <c r="AE483" s="14"/>
      <c r="AF483" s="14"/>
      <c r="AG483" s="19"/>
      <c r="AH483" s="20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</row>
    <row r="484" ht="15.75" customHeight="1">
      <c r="A484" s="5"/>
      <c r="B484" s="5"/>
      <c r="C484" s="5"/>
      <c r="D484" s="5"/>
      <c r="E484" s="14"/>
      <c r="F484" s="15"/>
      <c r="G484" s="14"/>
      <c r="H484" s="16"/>
      <c r="I484" s="14"/>
      <c r="J484" s="16"/>
      <c r="K484" s="14"/>
      <c r="L484" s="16"/>
      <c r="M484" s="14"/>
      <c r="N484" s="16"/>
      <c r="O484" s="14"/>
      <c r="P484" s="16"/>
      <c r="Q484" s="14"/>
      <c r="R484" s="5"/>
      <c r="S484" s="14"/>
      <c r="T484" s="16"/>
      <c r="U484" s="16"/>
      <c r="V484" s="17"/>
      <c r="W484" s="6"/>
      <c r="X484" s="22"/>
      <c r="Y484" s="14"/>
      <c r="Z484" s="14"/>
      <c r="AA484" s="14"/>
      <c r="AB484" s="14"/>
      <c r="AC484" s="14"/>
      <c r="AD484" s="14"/>
      <c r="AE484" s="14"/>
      <c r="AF484" s="14"/>
      <c r="AG484" s="19"/>
      <c r="AH484" s="20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</row>
    <row r="485" ht="15.75" customHeight="1">
      <c r="A485" s="5"/>
      <c r="B485" s="5"/>
      <c r="C485" s="5"/>
      <c r="D485" s="5"/>
      <c r="E485" s="14"/>
      <c r="F485" s="15"/>
      <c r="G485" s="14"/>
      <c r="H485" s="16"/>
      <c r="I485" s="14"/>
      <c r="J485" s="16"/>
      <c r="K485" s="14"/>
      <c r="L485" s="16"/>
      <c r="M485" s="14"/>
      <c r="N485" s="16"/>
      <c r="O485" s="14"/>
      <c r="P485" s="16"/>
      <c r="Q485" s="14"/>
      <c r="R485" s="5"/>
      <c r="S485" s="14"/>
      <c r="T485" s="16"/>
      <c r="U485" s="16"/>
      <c r="V485" s="17"/>
      <c r="W485" s="6"/>
      <c r="X485" s="22"/>
      <c r="Y485" s="14"/>
      <c r="Z485" s="14"/>
      <c r="AA485" s="14"/>
      <c r="AB485" s="14"/>
      <c r="AC485" s="14"/>
      <c r="AD485" s="14"/>
      <c r="AE485" s="14"/>
      <c r="AF485" s="14"/>
      <c r="AG485" s="19"/>
      <c r="AH485" s="20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</row>
    <row r="486" ht="15.75" customHeight="1">
      <c r="A486" s="5"/>
      <c r="B486" s="5"/>
      <c r="C486" s="5"/>
      <c r="D486" s="5"/>
      <c r="E486" s="14"/>
      <c r="F486" s="15"/>
      <c r="G486" s="14"/>
      <c r="H486" s="16"/>
      <c r="I486" s="14"/>
      <c r="J486" s="16"/>
      <c r="K486" s="14"/>
      <c r="L486" s="16"/>
      <c r="M486" s="14"/>
      <c r="N486" s="16"/>
      <c r="O486" s="14"/>
      <c r="P486" s="16"/>
      <c r="Q486" s="14"/>
      <c r="R486" s="5"/>
      <c r="S486" s="14"/>
      <c r="T486" s="16"/>
      <c r="U486" s="16"/>
      <c r="V486" s="17"/>
      <c r="W486" s="6"/>
      <c r="X486" s="22"/>
      <c r="Y486" s="14"/>
      <c r="Z486" s="14"/>
      <c r="AA486" s="14"/>
      <c r="AB486" s="14"/>
      <c r="AC486" s="14"/>
      <c r="AD486" s="14"/>
      <c r="AE486" s="14"/>
      <c r="AF486" s="14"/>
      <c r="AG486" s="19"/>
      <c r="AH486" s="20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</row>
    <row r="487" ht="15.75" customHeight="1">
      <c r="A487" s="5"/>
      <c r="B487" s="5"/>
      <c r="C487" s="5"/>
      <c r="D487" s="5"/>
      <c r="E487" s="14"/>
      <c r="F487" s="15"/>
      <c r="G487" s="14"/>
      <c r="H487" s="16"/>
      <c r="I487" s="14"/>
      <c r="J487" s="16"/>
      <c r="K487" s="14"/>
      <c r="L487" s="16"/>
      <c r="M487" s="14"/>
      <c r="N487" s="16"/>
      <c r="O487" s="14"/>
      <c r="P487" s="16"/>
      <c r="Q487" s="14"/>
      <c r="R487" s="5"/>
      <c r="S487" s="14"/>
      <c r="T487" s="16"/>
      <c r="U487" s="16"/>
      <c r="V487" s="17"/>
      <c r="W487" s="6"/>
      <c r="X487" s="22"/>
      <c r="Y487" s="14"/>
      <c r="Z487" s="14"/>
      <c r="AA487" s="14"/>
      <c r="AB487" s="14"/>
      <c r="AC487" s="14"/>
      <c r="AD487" s="14"/>
      <c r="AE487" s="14"/>
      <c r="AF487" s="14"/>
      <c r="AG487" s="19"/>
      <c r="AH487" s="20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</row>
    <row r="488" ht="15.75" customHeight="1">
      <c r="A488" s="5"/>
      <c r="B488" s="5"/>
      <c r="C488" s="5"/>
      <c r="D488" s="5"/>
      <c r="E488" s="14"/>
      <c r="F488" s="15"/>
      <c r="G488" s="14"/>
      <c r="H488" s="16"/>
      <c r="I488" s="14"/>
      <c r="J488" s="16"/>
      <c r="K488" s="14"/>
      <c r="L488" s="16"/>
      <c r="M488" s="14"/>
      <c r="N488" s="16"/>
      <c r="O488" s="14"/>
      <c r="P488" s="16"/>
      <c r="Q488" s="14"/>
      <c r="R488" s="5"/>
      <c r="S488" s="14"/>
      <c r="T488" s="16"/>
      <c r="U488" s="16"/>
      <c r="V488" s="17"/>
      <c r="W488" s="6"/>
      <c r="X488" s="22"/>
      <c r="Y488" s="14"/>
      <c r="Z488" s="14"/>
      <c r="AA488" s="14"/>
      <c r="AB488" s="14"/>
      <c r="AC488" s="14"/>
      <c r="AD488" s="14"/>
      <c r="AE488" s="14"/>
      <c r="AF488" s="14"/>
      <c r="AG488" s="19"/>
      <c r="AH488" s="20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</row>
    <row r="489" ht="15.75" customHeight="1">
      <c r="A489" s="5"/>
      <c r="B489" s="5"/>
      <c r="C489" s="5"/>
      <c r="D489" s="5"/>
      <c r="E489" s="14"/>
      <c r="F489" s="15"/>
      <c r="G489" s="14"/>
      <c r="H489" s="16"/>
      <c r="I489" s="14"/>
      <c r="J489" s="16"/>
      <c r="K489" s="14"/>
      <c r="L489" s="16"/>
      <c r="M489" s="14"/>
      <c r="N489" s="16"/>
      <c r="O489" s="14"/>
      <c r="P489" s="16"/>
      <c r="Q489" s="14"/>
      <c r="R489" s="5"/>
      <c r="S489" s="14"/>
      <c r="T489" s="16"/>
      <c r="U489" s="16"/>
      <c r="V489" s="17"/>
      <c r="W489" s="6"/>
      <c r="X489" s="22"/>
      <c r="Y489" s="14"/>
      <c r="Z489" s="14"/>
      <c r="AA489" s="14"/>
      <c r="AB489" s="14"/>
      <c r="AC489" s="14"/>
      <c r="AD489" s="14"/>
      <c r="AE489" s="14"/>
      <c r="AF489" s="14"/>
      <c r="AG489" s="19"/>
      <c r="AH489" s="20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</row>
    <row r="490" ht="15.75" customHeight="1">
      <c r="A490" s="5"/>
      <c r="B490" s="5"/>
      <c r="C490" s="5"/>
      <c r="D490" s="5"/>
      <c r="E490" s="14"/>
      <c r="F490" s="15"/>
      <c r="G490" s="14"/>
      <c r="H490" s="16"/>
      <c r="I490" s="14"/>
      <c r="J490" s="16"/>
      <c r="K490" s="14"/>
      <c r="L490" s="16"/>
      <c r="M490" s="14"/>
      <c r="N490" s="16"/>
      <c r="O490" s="14"/>
      <c r="P490" s="16"/>
      <c r="Q490" s="14"/>
      <c r="R490" s="5"/>
      <c r="S490" s="14"/>
      <c r="T490" s="16"/>
      <c r="U490" s="16"/>
      <c r="V490" s="17"/>
      <c r="W490" s="6"/>
      <c r="X490" s="22"/>
      <c r="Y490" s="14"/>
      <c r="Z490" s="14"/>
      <c r="AA490" s="14"/>
      <c r="AB490" s="14"/>
      <c r="AC490" s="14"/>
      <c r="AD490" s="14"/>
      <c r="AE490" s="14"/>
      <c r="AF490" s="14"/>
      <c r="AG490" s="19"/>
      <c r="AH490" s="20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</row>
    <row r="491" ht="15.75" customHeight="1">
      <c r="A491" s="5"/>
      <c r="B491" s="5"/>
      <c r="C491" s="5"/>
      <c r="D491" s="5"/>
      <c r="E491" s="14"/>
      <c r="F491" s="15"/>
      <c r="G491" s="14"/>
      <c r="H491" s="16"/>
      <c r="I491" s="14"/>
      <c r="J491" s="16"/>
      <c r="K491" s="14"/>
      <c r="L491" s="16"/>
      <c r="M491" s="14"/>
      <c r="N491" s="16"/>
      <c r="O491" s="14"/>
      <c r="P491" s="16"/>
      <c r="Q491" s="14"/>
      <c r="R491" s="5"/>
      <c r="S491" s="14"/>
      <c r="T491" s="16"/>
      <c r="U491" s="16"/>
      <c r="V491" s="17"/>
      <c r="W491" s="6"/>
      <c r="X491" s="22"/>
      <c r="Y491" s="14"/>
      <c r="Z491" s="14"/>
      <c r="AA491" s="14"/>
      <c r="AB491" s="14"/>
      <c r="AC491" s="14"/>
      <c r="AD491" s="14"/>
      <c r="AE491" s="14"/>
      <c r="AF491" s="14"/>
      <c r="AG491" s="19"/>
      <c r="AH491" s="20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</row>
    <row r="492" ht="15.75" customHeight="1">
      <c r="A492" s="5"/>
      <c r="B492" s="5"/>
      <c r="C492" s="5"/>
      <c r="D492" s="5"/>
      <c r="E492" s="14"/>
      <c r="F492" s="15"/>
      <c r="G492" s="14"/>
      <c r="H492" s="16"/>
      <c r="I492" s="14"/>
      <c r="J492" s="16"/>
      <c r="K492" s="14"/>
      <c r="L492" s="16"/>
      <c r="M492" s="14"/>
      <c r="N492" s="16"/>
      <c r="O492" s="14"/>
      <c r="P492" s="16"/>
      <c r="Q492" s="14"/>
      <c r="R492" s="5"/>
      <c r="S492" s="14"/>
      <c r="T492" s="16"/>
      <c r="U492" s="16"/>
      <c r="V492" s="17"/>
      <c r="W492" s="6"/>
      <c r="X492" s="22"/>
      <c r="Y492" s="14"/>
      <c r="Z492" s="14"/>
      <c r="AA492" s="14"/>
      <c r="AB492" s="14"/>
      <c r="AC492" s="14"/>
      <c r="AD492" s="14"/>
      <c r="AE492" s="14"/>
      <c r="AF492" s="14"/>
      <c r="AG492" s="19"/>
      <c r="AH492" s="20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</row>
    <row r="493" ht="15.75" customHeight="1">
      <c r="A493" s="5"/>
      <c r="B493" s="5"/>
      <c r="C493" s="5"/>
      <c r="D493" s="5"/>
      <c r="E493" s="14"/>
      <c r="F493" s="15"/>
      <c r="G493" s="14"/>
      <c r="H493" s="16"/>
      <c r="I493" s="14"/>
      <c r="J493" s="16"/>
      <c r="K493" s="14"/>
      <c r="L493" s="16"/>
      <c r="M493" s="14"/>
      <c r="N493" s="16"/>
      <c r="O493" s="14"/>
      <c r="P493" s="16"/>
      <c r="Q493" s="14"/>
      <c r="R493" s="5"/>
      <c r="S493" s="14"/>
      <c r="T493" s="16"/>
      <c r="U493" s="16"/>
      <c r="V493" s="17"/>
      <c r="W493" s="6"/>
      <c r="X493" s="22"/>
      <c r="Y493" s="14"/>
      <c r="Z493" s="14"/>
      <c r="AA493" s="14"/>
      <c r="AB493" s="14"/>
      <c r="AC493" s="14"/>
      <c r="AD493" s="14"/>
      <c r="AE493" s="14"/>
      <c r="AF493" s="14"/>
      <c r="AG493" s="19"/>
      <c r="AH493" s="20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</row>
    <row r="494" ht="15.75" customHeight="1">
      <c r="A494" s="5"/>
      <c r="B494" s="5"/>
      <c r="C494" s="5"/>
      <c r="D494" s="5"/>
      <c r="E494" s="14"/>
      <c r="F494" s="15"/>
      <c r="G494" s="14"/>
      <c r="H494" s="16"/>
      <c r="I494" s="14"/>
      <c r="J494" s="16"/>
      <c r="K494" s="14"/>
      <c r="L494" s="16"/>
      <c r="M494" s="14"/>
      <c r="N494" s="16"/>
      <c r="O494" s="14"/>
      <c r="P494" s="16"/>
      <c r="Q494" s="14"/>
      <c r="R494" s="5"/>
      <c r="S494" s="14"/>
      <c r="T494" s="16"/>
      <c r="U494" s="16"/>
      <c r="V494" s="17"/>
      <c r="W494" s="6"/>
      <c r="X494" s="22"/>
      <c r="Y494" s="14"/>
      <c r="Z494" s="14"/>
      <c r="AA494" s="14"/>
      <c r="AB494" s="14"/>
      <c r="AC494" s="14"/>
      <c r="AD494" s="14"/>
      <c r="AE494" s="14"/>
      <c r="AF494" s="14"/>
      <c r="AG494" s="19"/>
      <c r="AH494" s="20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</row>
    <row r="495" ht="15.75" customHeight="1">
      <c r="A495" s="5"/>
      <c r="B495" s="5"/>
      <c r="C495" s="5"/>
      <c r="D495" s="5"/>
      <c r="E495" s="14"/>
      <c r="F495" s="15"/>
      <c r="G495" s="14"/>
      <c r="H495" s="16"/>
      <c r="I495" s="14"/>
      <c r="J495" s="16"/>
      <c r="K495" s="14"/>
      <c r="L495" s="16"/>
      <c r="M495" s="14"/>
      <c r="N495" s="16"/>
      <c r="O495" s="14"/>
      <c r="P495" s="16"/>
      <c r="Q495" s="14"/>
      <c r="R495" s="5"/>
      <c r="S495" s="14"/>
      <c r="T495" s="16"/>
      <c r="U495" s="16"/>
      <c r="V495" s="17"/>
      <c r="W495" s="6"/>
      <c r="X495" s="22"/>
      <c r="Y495" s="14"/>
      <c r="Z495" s="14"/>
      <c r="AA495" s="14"/>
      <c r="AB495" s="14"/>
      <c r="AC495" s="14"/>
      <c r="AD495" s="14"/>
      <c r="AE495" s="14"/>
      <c r="AF495" s="14"/>
      <c r="AG495" s="19"/>
      <c r="AH495" s="20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</row>
    <row r="496" ht="15.75" customHeight="1">
      <c r="A496" s="5"/>
      <c r="B496" s="5"/>
      <c r="C496" s="5"/>
      <c r="D496" s="5"/>
      <c r="E496" s="14"/>
      <c r="F496" s="15"/>
      <c r="G496" s="14"/>
      <c r="H496" s="16"/>
      <c r="I496" s="14"/>
      <c r="J496" s="16"/>
      <c r="K496" s="14"/>
      <c r="L496" s="16"/>
      <c r="M496" s="14"/>
      <c r="N496" s="16"/>
      <c r="O496" s="14"/>
      <c r="P496" s="16"/>
      <c r="Q496" s="14"/>
      <c r="R496" s="5"/>
      <c r="S496" s="14"/>
      <c r="T496" s="16"/>
      <c r="U496" s="16"/>
      <c r="V496" s="17"/>
      <c r="W496" s="6"/>
      <c r="X496" s="22"/>
      <c r="Y496" s="14"/>
      <c r="Z496" s="14"/>
      <c r="AA496" s="14"/>
      <c r="AB496" s="14"/>
      <c r="AC496" s="14"/>
      <c r="AD496" s="14"/>
      <c r="AE496" s="14"/>
      <c r="AF496" s="14"/>
      <c r="AG496" s="19"/>
      <c r="AH496" s="20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</row>
    <row r="497" ht="15.75" customHeight="1">
      <c r="A497" s="5"/>
      <c r="B497" s="5"/>
      <c r="C497" s="5"/>
      <c r="D497" s="5"/>
      <c r="E497" s="14"/>
      <c r="F497" s="15"/>
      <c r="G497" s="14"/>
      <c r="H497" s="16"/>
      <c r="I497" s="14"/>
      <c r="J497" s="16"/>
      <c r="K497" s="14"/>
      <c r="L497" s="16"/>
      <c r="M497" s="14"/>
      <c r="N497" s="16"/>
      <c r="O497" s="14"/>
      <c r="P497" s="16"/>
      <c r="Q497" s="14"/>
      <c r="R497" s="5"/>
      <c r="S497" s="14"/>
      <c r="T497" s="16"/>
      <c r="U497" s="16"/>
      <c r="V497" s="17"/>
      <c r="W497" s="6"/>
      <c r="X497" s="22"/>
      <c r="Y497" s="14"/>
      <c r="Z497" s="14"/>
      <c r="AA497" s="14"/>
      <c r="AB497" s="14"/>
      <c r="AC497" s="14"/>
      <c r="AD497" s="14"/>
      <c r="AE497" s="14"/>
      <c r="AF497" s="14"/>
      <c r="AG497" s="19"/>
      <c r="AH497" s="20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</row>
    <row r="498" ht="15.75" customHeight="1">
      <c r="A498" s="5"/>
      <c r="B498" s="5"/>
      <c r="C498" s="5"/>
      <c r="D498" s="5"/>
      <c r="E498" s="14"/>
      <c r="F498" s="15"/>
      <c r="G498" s="14"/>
      <c r="H498" s="16"/>
      <c r="I498" s="14"/>
      <c r="J498" s="16"/>
      <c r="K498" s="14"/>
      <c r="L498" s="16"/>
      <c r="M498" s="14"/>
      <c r="N498" s="16"/>
      <c r="O498" s="14"/>
      <c r="P498" s="16"/>
      <c r="Q498" s="14"/>
      <c r="R498" s="5"/>
      <c r="S498" s="14"/>
      <c r="T498" s="16"/>
      <c r="U498" s="16"/>
      <c r="V498" s="17"/>
      <c r="W498" s="6"/>
      <c r="X498" s="22"/>
      <c r="Y498" s="14"/>
      <c r="Z498" s="14"/>
      <c r="AA498" s="14"/>
      <c r="AB498" s="14"/>
      <c r="AC498" s="14"/>
      <c r="AD498" s="14"/>
      <c r="AE498" s="14"/>
      <c r="AF498" s="14"/>
      <c r="AG498" s="19"/>
      <c r="AH498" s="20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</row>
    <row r="499" ht="15.75" customHeight="1">
      <c r="A499" s="5"/>
      <c r="B499" s="5"/>
      <c r="C499" s="5"/>
      <c r="D499" s="5"/>
      <c r="E499" s="14"/>
      <c r="F499" s="15"/>
      <c r="G499" s="14"/>
      <c r="H499" s="16"/>
      <c r="I499" s="14"/>
      <c r="J499" s="16"/>
      <c r="K499" s="14"/>
      <c r="L499" s="16"/>
      <c r="M499" s="14"/>
      <c r="N499" s="16"/>
      <c r="O499" s="14"/>
      <c r="P499" s="16"/>
      <c r="Q499" s="14"/>
      <c r="R499" s="5"/>
      <c r="S499" s="14"/>
      <c r="T499" s="16"/>
      <c r="U499" s="16"/>
      <c r="V499" s="17"/>
      <c r="W499" s="6"/>
      <c r="X499" s="22"/>
      <c r="Y499" s="14"/>
      <c r="Z499" s="14"/>
      <c r="AA499" s="14"/>
      <c r="AB499" s="14"/>
      <c r="AC499" s="14"/>
      <c r="AD499" s="14"/>
      <c r="AE499" s="14"/>
      <c r="AF499" s="14"/>
      <c r="AG499" s="19"/>
      <c r="AH499" s="20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</row>
    <row r="500" ht="15.75" customHeight="1">
      <c r="A500" s="5"/>
      <c r="B500" s="5"/>
      <c r="C500" s="5"/>
      <c r="D500" s="5"/>
      <c r="E500" s="14"/>
      <c r="F500" s="15"/>
      <c r="G500" s="14"/>
      <c r="H500" s="16"/>
      <c r="I500" s="14"/>
      <c r="J500" s="16"/>
      <c r="K500" s="14"/>
      <c r="L500" s="16"/>
      <c r="M500" s="14"/>
      <c r="N500" s="16"/>
      <c r="O500" s="14"/>
      <c r="P500" s="16"/>
      <c r="Q500" s="14"/>
      <c r="R500" s="5"/>
      <c r="S500" s="14"/>
      <c r="T500" s="16"/>
      <c r="U500" s="16"/>
      <c r="V500" s="17"/>
      <c r="W500" s="6"/>
      <c r="X500" s="22"/>
      <c r="Y500" s="14"/>
      <c r="Z500" s="14"/>
      <c r="AA500" s="14"/>
      <c r="AB500" s="14"/>
      <c r="AC500" s="14"/>
      <c r="AD500" s="14"/>
      <c r="AE500" s="14"/>
      <c r="AF500" s="14"/>
      <c r="AG500" s="19"/>
      <c r="AH500" s="20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</row>
    <row r="501" ht="15.75" customHeight="1">
      <c r="A501" s="5"/>
      <c r="B501" s="5"/>
      <c r="C501" s="5"/>
      <c r="D501" s="5"/>
      <c r="E501" s="14"/>
      <c r="F501" s="15"/>
      <c r="G501" s="14"/>
      <c r="H501" s="16"/>
      <c r="I501" s="14"/>
      <c r="J501" s="16"/>
      <c r="K501" s="14"/>
      <c r="L501" s="16"/>
      <c r="M501" s="14"/>
      <c r="N501" s="16"/>
      <c r="O501" s="14"/>
      <c r="P501" s="16"/>
      <c r="Q501" s="14"/>
      <c r="R501" s="5"/>
      <c r="S501" s="14"/>
      <c r="T501" s="16"/>
      <c r="U501" s="16"/>
      <c r="V501" s="17"/>
      <c r="W501" s="6"/>
      <c r="X501" s="22"/>
      <c r="Y501" s="14"/>
      <c r="Z501" s="14"/>
      <c r="AA501" s="14"/>
      <c r="AB501" s="14"/>
      <c r="AC501" s="14"/>
      <c r="AD501" s="14"/>
      <c r="AE501" s="14"/>
      <c r="AF501" s="14"/>
      <c r="AG501" s="19"/>
      <c r="AH501" s="20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</row>
    <row r="502" ht="15.75" customHeight="1">
      <c r="A502" s="5"/>
      <c r="B502" s="5"/>
      <c r="C502" s="5"/>
      <c r="D502" s="5"/>
      <c r="E502" s="14"/>
      <c r="F502" s="15"/>
      <c r="G502" s="14"/>
      <c r="H502" s="16"/>
      <c r="I502" s="14"/>
      <c r="J502" s="16"/>
      <c r="K502" s="14"/>
      <c r="L502" s="16"/>
      <c r="M502" s="14"/>
      <c r="N502" s="16"/>
      <c r="O502" s="14"/>
      <c r="P502" s="16"/>
      <c r="Q502" s="14"/>
      <c r="R502" s="5"/>
      <c r="S502" s="14"/>
      <c r="T502" s="16"/>
      <c r="U502" s="16"/>
      <c r="V502" s="17"/>
      <c r="W502" s="6"/>
      <c r="X502" s="22"/>
      <c r="Y502" s="14"/>
      <c r="Z502" s="14"/>
      <c r="AA502" s="14"/>
      <c r="AB502" s="14"/>
      <c r="AC502" s="14"/>
      <c r="AD502" s="14"/>
      <c r="AE502" s="14"/>
      <c r="AF502" s="14"/>
      <c r="AG502" s="19"/>
      <c r="AH502" s="20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</row>
    <row r="503" ht="15.75" customHeight="1">
      <c r="A503" s="5"/>
      <c r="B503" s="5"/>
      <c r="C503" s="5"/>
      <c r="D503" s="5"/>
      <c r="E503" s="14"/>
      <c r="F503" s="15"/>
      <c r="G503" s="14"/>
      <c r="H503" s="16"/>
      <c r="I503" s="14"/>
      <c r="J503" s="16"/>
      <c r="K503" s="14"/>
      <c r="L503" s="16"/>
      <c r="M503" s="14"/>
      <c r="N503" s="16"/>
      <c r="O503" s="14"/>
      <c r="P503" s="16"/>
      <c r="Q503" s="14"/>
      <c r="R503" s="5"/>
      <c r="S503" s="14"/>
      <c r="T503" s="16"/>
      <c r="U503" s="16"/>
      <c r="V503" s="17"/>
      <c r="W503" s="6"/>
      <c r="X503" s="22"/>
      <c r="Y503" s="14"/>
      <c r="Z503" s="14"/>
      <c r="AA503" s="14"/>
      <c r="AB503" s="14"/>
      <c r="AC503" s="14"/>
      <c r="AD503" s="14"/>
      <c r="AE503" s="14"/>
      <c r="AF503" s="14"/>
      <c r="AG503" s="19"/>
      <c r="AH503" s="20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</row>
    <row r="504" ht="15.75" customHeight="1">
      <c r="A504" s="5"/>
      <c r="B504" s="5"/>
      <c r="C504" s="5"/>
      <c r="D504" s="5"/>
      <c r="E504" s="14"/>
      <c r="F504" s="15"/>
      <c r="G504" s="14"/>
      <c r="H504" s="16"/>
      <c r="I504" s="14"/>
      <c r="J504" s="16"/>
      <c r="K504" s="14"/>
      <c r="L504" s="16"/>
      <c r="M504" s="14"/>
      <c r="N504" s="16"/>
      <c r="O504" s="14"/>
      <c r="P504" s="16"/>
      <c r="Q504" s="14"/>
      <c r="R504" s="5"/>
      <c r="S504" s="14"/>
      <c r="T504" s="16"/>
      <c r="U504" s="16"/>
      <c r="V504" s="17"/>
      <c r="W504" s="6"/>
      <c r="X504" s="22"/>
      <c r="Y504" s="14"/>
      <c r="Z504" s="14"/>
      <c r="AA504" s="14"/>
      <c r="AB504" s="14"/>
      <c r="AC504" s="14"/>
      <c r="AD504" s="14"/>
      <c r="AE504" s="14"/>
      <c r="AF504" s="14"/>
      <c r="AG504" s="19"/>
      <c r="AH504" s="20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</row>
    <row r="505" ht="15.75" customHeight="1">
      <c r="A505" s="5"/>
      <c r="B505" s="5"/>
      <c r="C505" s="5"/>
      <c r="D505" s="5"/>
      <c r="E505" s="14"/>
      <c r="F505" s="15"/>
      <c r="G505" s="14"/>
      <c r="H505" s="16"/>
      <c r="I505" s="14"/>
      <c r="J505" s="16"/>
      <c r="K505" s="14"/>
      <c r="L505" s="16"/>
      <c r="M505" s="14"/>
      <c r="N505" s="16"/>
      <c r="O505" s="14"/>
      <c r="P505" s="16"/>
      <c r="Q505" s="14"/>
      <c r="R505" s="5"/>
      <c r="S505" s="14"/>
      <c r="T505" s="16"/>
      <c r="U505" s="16"/>
      <c r="V505" s="17"/>
      <c r="W505" s="6"/>
      <c r="X505" s="22"/>
      <c r="Y505" s="14"/>
      <c r="Z505" s="14"/>
      <c r="AA505" s="14"/>
      <c r="AB505" s="14"/>
      <c r="AC505" s="14"/>
      <c r="AD505" s="14"/>
      <c r="AE505" s="14"/>
      <c r="AF505" s="14"/>
      <c r="AG505" s="19"/>
      <c r="AH505" s="20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</row>
    <row r="506" ht="15.75" customHeight="1">
      <c r="A506" s="5"/>
      <c r="B506" s="5"/>
      <c r="C506" s="5"/>
      <c r="D506" s="5"/>
      <c r="E506" s="14"/>
      <c r="F506" s="15"/>
      <c r="G506" s="14"/>
      <c r="H506" s="16"/>
      <c r="I506" s="14"/>
      <c r="J506" s="16"/>
      <c r="K506" s="14"/>
      <c r="L506" s="16"/>
      <c r="M506" s="14"/>
      <c r="N506" s="16"/>
      <c r="O506" s="14"/>
      <c r="P506" s="16"/>
      <c r="Q506" s="14"/>
      <c r="R506" s="5"/>
      <c r="S506" s="14"/>
      <c r="T506" s="16"/>
      <c r="U506" s="16"/>
      <c r="V506" s="17"/>
      <c r="W506" s="6"/>
      <c r="X506" s="22"/>
      <c r="Y506" s="14"/>
      <c r="Z506" s="14"/>
      <c r="AA506" s="14"/>
      <c r="AB506" s="14"/>
      <c r="AC506" s="14"/>
      <c r="AD506" s="14"/>
      <c r="AE506" s="14"/>
      <c r="AF506" s="14"/>
      <c r="AG506" s="19"/>
      <c r="AH506" s="20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</row>
    <row r="507" ht="15.75" customHeight="1">
      <c r="A507" s="5"/>
      <c r="B507" s="5"/>
      <c r="C507" s="5"/>
      <c r="D507" s="5"/>
      <c r="E507" s="14"/>
      <c r="F507" s="15"/>
      <c r="G507" s="14"/>
      <c r="H507" s="16"/>
      <c r="I507" s="14"/>
      <c r="J507" s="16"/>
      <c r="K507" s="14"/>
      <c r="L507" s="16"/>
      <c r="M507" s="14"/>
      <c r="N507" s="16"/>
      <c r="O507" s="14"/>
      <c r="P507" s="16"/>
      <c r="Q507" s="14"/>
      <c r="R507" s="5"/>
      <c r="S507" s="14"/>
      <c r="T507" s="16"/>
      <c r="U507" s="16"/>
      <c r="V507" s="17"/>
      <c r="W507" s="6"/>
      <c r="X507" s="22"/>
      <c r="Y507" s="14"/>
      <c r="Z507" s="14"/>
      <c r="AA507" s="14"/>
      <c r="AB507" s="14"/>
      <c r="AC507" s="14"/>
      <c r="AD507" s="14"/>
      <c r="AE507" s="14"/>
      <c r="AF507" s="14"/>
      <c r="AG507" s="19"/>
      <c r="AH507" s="20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</row>
    <row r="508" ht="15.75" customHeight="1">
      <c r="A508" s="5"/>
      <c r="B508" s="5"/>
      <c r="C508" s="5"/>
      <c r="D508" s="5"/>
      <c r="E508" s="14"/>
      <c r="F508" s="15"/>
      <c r="G508" s="14"/>
      <c r="H508" s="16"/>
      <c r="I508" s="14"/>
      <c r="J508" s="16"/>
      <c r="K508" s="14"/>
      <c r="L508" s="16"/>
      <c r="M508" s="14"/>
      <c r="N508" s="16"/>
      <c r="O508" s="14"/>
      <c r="P508" s="16"/>
      <c r="Q508" s="14"/>
      <c r="R508" s="5"/>
      <c r="S508" s="14"/>
      <c r="T508" s="16"/>
      <c r="U508" s="16"/>
      <c r="V508" s="17"/>
      <c r="W508" s="6"/>
      <c r="X508" s="22"/>
      <c r="Y508" s="14"/>
      <c r="Z508" s="14"/>
      <c r="AA508" s="14"/>
      <c r="AB508" s="14"/>
      <c r="AC508" s="14"/>
      <c r="AD508" s="14"/>
      <c r="AE508" s="14"/>
      <c r="AF508" s="14"/>
      <c r="AG508" s="19"/>
      <c r="AH508" s="20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</row>
    <row r="509" ht="15.75" customHeight="1">
      <c r="A509" s="5"/>
      <c r="B509" s="5"/>
      <c r="C509" s="5"/>
      <c r="D509" s="5"/>
      <c r="E509" s="14"/>
      <c r="F509" s="15"/>
      <c r="G509" s="14"/>
      <c r="H509" s="16"/>
      <c r="I509" s="14"/>
      <c r="J509" s="16"/>
      <c r="K509" s="14"/>
      <c r="L509" s="16"/>
      <c r="M509" s="14"/>
      <c r="N509" s="16"/>
      <c r="O509" s="14"/>
      <c r="P509" s="16"/>
      <c r="Q509" s="14"/>
      <c r="R509" s="5"/>
      <c r="S509" s="14"/>
      <c r="T509" s="16"/>
      <c r="U509" s="16"/>
      <c r="V509" s="17"/>
      <c r="W509" s="6"/>
      <c r="X509" s="22"/>
      <c r="Y509" s="14"/>
      <c r="Z509" s="14"/>
      <c r="AA509" s="14"/>
      <c r="AB509" s="14"/>
      <c r="AC509" s="14"/>
      <c r="AD509" s="14"/>
      <c r="AE509" s="14"/>
      <c r="AF509" s="14"/>
      <c r="AG509" s="19"/>
      <c r="AH509" s="20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</row>
    <row r="510" ht="15.75" customHeight="1">
      <c r="A510" s="5"/>
      <c r="B510" s="5"/>
      <c r="C510" s="5"/>
      <c r="D510" s="5"/>
      <c r="E510" s="14"/>
      <c r="F510" s="15"/>
      <c r="G510" s="14"/>
      <c r="H510" s="16"/>
      <c r="I510" s="14"/>
      <c r="J510" s="16"/>
      <c r="K510" s="14"/>
      <c r="L510" s="16"/>
      <c r="M510" s="14"/>
      <c r="N510" s="16"/>
      <c r="O510" s="14"/>
      <c r="P510" s="16"/>
      <c r="Q510" s="14"/>
      <c r="R510" s="5"/>
      <c r="S510" s="14"/>
      <c r="T510" s="16"/>
      <c r="U510" s="16"/>
      <c r="V510" s="17"/>
      <c r="W510" s="6"/>
      <c r="X510" s="22"/>
      <c r="Y510" s="14"/>
      <c r="Z510" s="14"/>
      <c r="AA510" s="14"/>
      <c r="AB510" s="14"/>
      <c r="AC510" s="14"/>
      <c r="AD510" s="14"/>
      <c r="AE510" s="14"/>
      <c r="AF510" s="14"/>
      <c r="AG510" s="19"/>
      <c r="AH510" s="20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</row>
    <row r="511" ht="15.75" customHeight="1">
      <c r="A511" s="5"/>
      <c r="B511" s="5"/>
      <c r="C511" s="5"/>
      <c r="D511" s="5"/>
      <c r="E511" s="14"/>
      <c r="F511" s="15"/>
      <c r="G511" s="14"/>
      <c r="H511" s="16"/>
      <c r="I511" s="14"/>
      <c r="J511" s="16"/>
      <c r="K511" s="14"/>
      <c r="L511" s="16"/>
      <c r="M511" s="14"/>
      <c r="N511" s="16"/>
      <c r="O511" s="14"/>
      <c r="P511" s="16"/>
      <c r="Q511" s="14"/>
      <c r="R511" s="5"/>
      <c r="S511" s="14"/>
      <c r="T511" s="16"/>
      <c r="U511" s="16"/>
      <c r="V511" s="17"/>
      <c r="W511" s="6"/>
      <c r="X511" s="22"/>
      <c r="Y511" s="14"/>
      <c r="Z511" s="14"/>
      <c r="AA511" s="14"/>
      <c r="AB511" s="14"/>
      <c r="AC511" s="14"/>
      <c r="AD511" s="14"/>
      <c r="AE511" s="14"/>
      <c r="AF511" s="14"/>
      <c r="AG511" s="19"/>
      <c r="AH511" s="20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</row>
    <row r="512" ht="15.75" customHeight="1">
      <c r="A512" s="5"/>
      <c r="B512" s="5"/>
      <c r="C512" s="5"/>
      <c r="D512" s="5"/>
      <c r="E512" s="14"/>
      <c r="F512" s="15"/>
      <c r="G512" s="14"/>
      <c r="H512" s="16"/>
      <c r="I512" s="14"/>
      <c r="J512" s="16"/>
      <c r="K512" s="14"/>
      <c r="L512" s="16"/>
      <c r="M512" s="14"/>
      <c r="N512" s="16"/>
      <c r="O512" s="14"/>
      <c r="P512" s="16"/>
      <c r="Q512" s="14"/>
      <c r="R512" s="5"/>
      <c r="S512" s="14"/>
      <c r="T512" s="16"/>
      <c r="U512" s="16"/>
      <c r="V512" s="17"/>
      <c r="W512" s="6"/>
      <c r="X512" s="22"/>
      <c r="Y512" s="14"/>
      <c r="Z512" s="14"/>
      <c r="AA512" s="14"/>
      <c r="AB512" s="14"/>
      <c r="AC512" s="14"/>
      <c r="AD512" s="14"/>
      <c r="AE512" s="14"/>
      <c r="AF512" s="14"/>
      <c r="AG512" s="19"/>
      <c r="AH512" s="20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</row>
    <row r="513" ht="15.75" customHeight="1">
      <c r="A513" s="5"/>
      <c r="B513" s="5"/>
      <c r="C513" s="5"/>
      <c r="D513" s="5"/>
      <c r="E513" s="14"/>
      <c r="F513" s="15"/>
      <c r="G513" s="14"/>
      <c r="H513" s="16"/>
      <c r="I513" s="14"/>
      <c r="J513" s="16"/>
      <c r="K513" s="14"/>
      <c r="L513" s="16"/>
      <c r="M513" s="14"/>
      <c r="N513" s="16"/>
      <c r="O513" s="14"/>
      <c r="P513" s="16"/>
      <c r="Q513" s="14"/>
      <c r="R513" s="5"/>
      <c r="S513" s="14"/>
      <c r="T513" s="16"/>
      <c r="U513" s="16"/>
      <c r="V513" s="17"/>
      <c r="W513" s="6"/>
      <c r="X513" s="22"/>
      <c r="Y513" s="14"/>
      <c r="Z513" s="14"/>
      <c r="AA513" s="14"/>
      <c r="AB513" s="14"/>
      <c r="AC513" s="14"/>
      <c r="AD513" s="14"/>
      <c r="AE513" s="14"/>
      <c r="AF513" s="14"/>
      <c r="AG513" s="19"/>
      <c r="AH513" s="20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</row>
    <row r="514" ht="15.75" customHeight="1">
      <c r="A514" s="5"/>
      <c r="B514" s="5"/>
      <c r="C514" s="5"/>
      <c r="D514" s="5"/>
      <c r="E514" s="14"/>
      <c r="F514" s="15"/>
      <c r="G514" s="14"/>
      <c r="H514" s="16"/>
      <c r="I514" s="14"/>
      <c r="J514" s="16"/>
      <c r="K514" s="14"/>
      <c r="L514" s="16"/>
      <c r="M514" s="14"/>
      <c r="N514" s="16"/>
      <c r="O514" s="14"/>
      <c r="P514" s="16"/>
      <c r="Q514" s="14"/>
      <c r="R514" s="5"/>
      <c r="S514" s="14"/>
      <c r="T514" s="16"/>
      <c r="U514" s="16"/>
      <c r="V514" s="17"/>
      <c r="W514" s="6"/>
      <c r="X514" s="22"/>
      <c r="Y514" s="14"/>
      <c r="Z514" s="14"/>
      <c r="AA514" s="14"/>
      <c r="AB514" s="14"/>
      <c r="AC514" s="14"/>
      <c r="AD514" s="14"/>
      <c r="AE514" s="14"/>
      <c r="AF514" s="14"/>
      <c r="AG514" s="19"/>
      <c r="AH514" s="20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</row>
    <row r="515" ht="15.75" customHeight="1">
      <c r="A515" s="5"/>
      <c r="B515" s="5"/>
      <c r="C515" s="5"/>
      <c r="D515" s="5"/>
      <c r="E515" s="14"/>
      <c r="F515" s="15"/>
      <c r="G515" s="14"/>
      <c r="H515" s="16"/>
      <c r="I515" s="14"/>
      <c r="J515" s="16"/>
      <c r="K515" s="14"/>
      <c r="L515" s="16"/>
      <c r="M515" s="14"/>
      <c r="N515" s="16"/>
      <c r="O515" s="14"/>
      <c r="P515" s="16"/>
      <c r="Q515" s="14"/>
      <c r="R515" s="5"/>
      <c r="S515" s="14"/>
      <c r="T515" s="16"/>
      <c r="U515" s="16"/>
      <c r="V515" s="17"/>
      <c r="W515" s="6"/>
      <c r="X515" s="22"/>
      <c r="Y515" s="14"/>
      <c r="Z515" s="14"/>
      <c r="AA515" s="14"/>
      <c r="AB515" s="14"/>
      <c r="AC515" s="14"/>
      <c r="AD515" s="14"/>
      <c r="AE515" s="14"/>
      <c r="AF515" s="14"/>
      <c r="AG515" s="19"/>
      <c r="AH515" s="20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</row>
    <row r="516" ht="15.75" customHeight="1">
      <c r="A516" s="5"/>
      <c r="B516" s="5"/>
      <c r="C516" s="5"/>
      <c r="D516" s="5"/>
      <c r="E516" s="14"/>
      <c r="F516" s="15"/>
      <c r="G516" s="14"/>
      <c r="H516" s="16"/>
      <c r="I516" s="14"/>
      <c r="J516" s="16"/>
      <c r="K516" s="14"/>
      <c r="L516" s="16"/>
      <c r="M516" s="14"/>
      <c r="N516" s="16"/>
      <c r="O516" s="14"/>
      <c r="P516" s="16"/>
      <c r="Q516" s="14"/>
      <c r="R516" s="5"/>
      <c r="S516" s="14"/>
      <c r="T516" s="16"/>
      <c r="U516" s="16"/>
      <c r="V516" s="17"/>
      <c r="W516" s="6"/>
      <c r="X516" s="22"/>
      <c r="Y516" s="14"/>
      <c r="Z516" s="14"/>
      <c r="AA516" s="14"/>
      <c r="AB516" s="14"/>
      <c r="AC516" s="14"/>
      <c r="AD516" s="14"/>
      <c r="AE516" s="14"/>
      <c r="AF516" s="14"/>
      <c r="AG516" s="19"/>
      <c r="AH516" s="20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</row>
    <row r="517" ht="15.75" customHeight="1">
      <c r="A517" s="5"/>
      <c r="B517" s="5"/>
      <c r="C517" s="5"/>
      <c r="D517" s="5"/>
      <c r="E517" s="14"/>
      <c r="F517" s="15"/>
      <c r="G517" s="14"/>
      <c r="H517" s="16"/>
      <c r="I517" s="14"/>
      <c r="J517" s="16"/>
      <c r="K517" s="14"/>
      <c r="L517" s="16"/>
      <c r="M517" s="14"/>
      <c r="N517" s="16"/>
      <c r="O517" s="14"/>
      <c r="P517" s="16"/>
      <c r="Q517" s="14"/>
      <c r="R517" s="5"/>
      <c r="S517" s="14"/>
      <c r="T517" s="16"/>
      <c r="U517" s="16"/>
      <c r="V517" s="17"/>
      <c r="W517" s="6"/>
      <c r="X517" s="22"/>
      <c r="Y517" s="14"/>
      <c r="Z517" s="14"/>
      <c r="AA517" s="14"/>
      <c r="AB517" s="14"/>
      <c r="AC517" s="14"/>
      <c r="AD517" s="14"/>
      <c r="AE517" s="14"/>
      <c r="AF517" s="14"/>
      <c r="AG517" s="19"/>
      <c r="AH517" s="20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</row>
    <row r="518" ht="15.75" customHeight="1">
      <c r="A518" s="5"/>
      <c r="B518" s="5"/>
      <c r="C518" s="5"/>
      <c r="D518" s="5"/>
      <c r="E518" s="14"/>
      <c r="F518" s="15"/>
      <c r="G518" s="14"/>
      <c r="H518" s="16"/>
      <c r="I518" s="14"/>
      <c r="J518" s="16"/>
      <c r="K518" s="14"/>
      <c r="L518" s="16"/>
      <c r="M518" s="14"/>
      <c r="N518" s="16"/>
      <c r="O518" s="14"/>
      <c r="P518" s="16"/>
      <c r="Q518" s="14"/>
      <c r="R518" s="5"/>
      <c r="S518" s="14"/>
      <c r="T518" s="16"/>
      <c r="U518" s="16"/>
      <c r="V518" s="17"/>
      <c r="W518" s="6"/>
      <c r="X518" s="22"/>
      <c r="Y518" s="14"/>
      <c r="Z518" s="14"/>
      <c r="AA518" s="14"/>
      <c r="AB518" s="14"/>
      <c r="AC518" s="14"/>
      <c r="AD518" s="14"/>
      <c r="AE518" s="14"/>
      <c r="AF518" s="14"/>
      <c r="AG518" s="19"/>
      <c r="AH518" s="20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</row>
    <row r="519" ht="15.75" customHeight="1">
      <c r="A519" s="5"/>
      <c r="B519" s="5"/>
      <c r="C519" s="5"/>
      <c r="D519" s="5"/>
      <c r="E519" s="14"/>
      <c r="F519" s="15"/>
      <c r="G519" s="14"/>
      <c r="H519" s="16"/>
      <c r="I519" s="14"/>
      <c r="J519" s="16"/>
      <c r="K519" s="14"/>
      <c r="L519" s="16"/>
      <c r="M519" s="14"/>
      <c r="N519" s="16"/>
      <c r="O519" s="14"/>
      <c r="P519" s="16"/>
      <c r="Q519" s="14"/>
      <c r="R519" s="5"/>
      <c r="S519" s="14"/>
      <c r="T519" s="16"/>
      <c r="U519" s="16"/>
      <c r="V519" s="17"/>
      <c r="W519" s="6"/>
      <c r="X519" s="22"/>
      <c r="Y519" s="14"/>
      <c r="Z519" s="14"/>
      <c r="AA519" s="14"/>
      <c r="AB519" s="14"/>
      <c r="AC519" s="14"/>
      <c r="AD519" s="14"/>
      <c r="AE519" s="14"/>
      <c r="AF519" s="14"/>
      <c r="AG519" s="19"/>
      <c r="AH519" s="20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</row>
    <row r="520" ht="15.75" customHeight="1">
      <c r="A520" s="5"/>
      <c r="B520" s="5"/>
      <c r="C520" s="5"/>
      <c r="D520" s="5"/>
      <c r="E520" s="14"/>
      <c r="F520" s="15"/>
      <c r="G520" s="14"/>
      <c r="H520" s="16"/>
      <c r="I520" s="14"/>
      <c r="J520" s="16"/>
      <c r="K520" s="14"/>
      <c r="L520" s="16"/>
      <c r="M520" s="14"/>
      <c r="N520" s="16"/>
      <c r="O520" s="14"/>
      <c r="P520" s="16"/>
      <c r="Q520" s="14"/>
      <c r="R520" s="5"/>
      <c r="S520" s="14"/>
      <c r="T520" s="16"/>
      <c r="U520" s="16"/>
      <c r="V520" s="17"/>
      <c r="W520" s="6"/>
      <c r="X520" s="22"/>
      <c r="Y520" s="14"/>
      <c r="Z520" s="14"/>
      <c r="AA520" s="14"/>
      <c r="AB520" s="14"/>
      <c r="AC520" s="14"/>
      <c r="AD520" s="14"/>
      <c r="AE520" s="14"/>
      <c r="AF520" s="14"/>
      <c r="AG520" s="19"/>
      <c r="AH520" s="20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</row>
    <row r="521" ht="15.75" customHeight="1">
      <c r="A521" s="5"/>
      <c r="B521" s="5"/>
      <c r="C521" s="5"/>
      <c r="D521" s="5"/>
      <c r="E521" s="14"/>
      <c r="F521" s="15"/>
      <c r="G521" s="14"/>
      <c r="H521" s="16"/>
      <c r="I521" s="14"/>
      <c r="J521" s="16"/>
      <c r="K521" s="14"/>
      <c r="L521" s="16"/>
      <c r="M521" s="14"/>
      <c r="N521" s="16"/>
      <c r="O521" s="14"/>
      <c r="P521" s="16"/>
      <c r="Q521" s="14"/>
      <c r="R521" s="5"/>
      <c r="S521" s="14"/>
      <c r="T521" s="16"/>
      <c r="U521" s="16"/>
      <c r="V521" s="17"/>
      <c r="W521" s="6"/>
      <c r="X521" s="22"/>
      <c r="Y521" s="14"/>
      <c r="Z521" s="14"/>
      <c r="AA521" s="14"/>
      <c r="AB521" s="14"/>
      <c r="AC521" s="14"/>
      <c r="AD521" s="14"/>
      <c r="AE521" s="14"/>
      <c r="AF521" s="14"/>
      <c r="AG521" s="19"/>
      <c r="AH521" s="20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</row>
    <row r="522" ht="15.75" customHeight="1">
      <c r="A522" s="5"/>
      <c r="B522" s="5"/>
      <c r="C522" s="5"/>
      <c r="D522" s="5"/>
      <c r="E522" s="14"/>
      <c r="F522" s="15"/>
      <c r="G522" s="14"/>
      <c r="H522" s="16"/>
      <c r="I522" s="14"/>
      <c r="J522" s="16"/>
      <c r="K522" s="14"/>
      <c r="L522" s="16"/>
      <c r="M522" s="14"/>
      <c r="N522" s="16"/>
      <c r="O522" s="14"/>
      <c r="P522" s="16"/>
      <c r="Q522" s="14"/>
      <c r="R522" s="5"/>
      <c r="S522" s="14"/>
      <c r="T522" s="16"/>
      <c r="U522" s="16"/>
      <c r="V522" s="17"/>
      <c r="W522" s="6"/>
      <c r="X522" s="22"/>
      <c r="Y522" s="14"/>
      <c r="Z522" s="14"/>
      <c r="AA522" s="14"/>
      <c r="AB522" s="14"/>
      <c r="AC522" s="14"/>
      <c r="AD522" s="14"/>
      <c r="AE522" s="14"/>
      <c r="AF522" s="14"/>
      <c r="AG522" s="19"/>
      <c r="AH522" s="20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</row>
    <row r="523" ht="15.75" customHeight="1">
      <c r="A523" s="5"/>
      <c r="B523" s="5"/>
      <c r="C523" s="5"/>
      <c r="D523" s="5"/>
      <c r="E523" s="14"/>
      <c r="F523" s="15"/>
      <c r="G523" s="14"/>
      <c r="H523" s="16"/>
      <c r="I523" s="14"/>
      <c r="J523" s="16"/>
      <c r="K523" s="14"/>
      <c r="L523" s="16"/>
      <c r="M523" s="14"/>
      <c r="N523" s="16"/>
      <c r="O523" s="14"/>
      <c r="P523" s="16"/>
      <c r="Q523" s="14"/>
      <c r="R523" s="5"/>
      <c r="S523" s="14"/>
      <c r="T523" s="16"/>
      <c r="U523" s="16"/>
      <c r="V523" s="17"/>
      <c r="W523" s="6"/>
      <c r="X523" s="22"/>
      <c r="Y523" s="14"/>
      <c r="Z523" s="14"/>
      <c r="AA523" s="14"/>
      <c r="AB523" s="14"/>
      <c r="AC523" s="14"/>
      <c r="AD523" s="14"/>
      <c r="AE523" s="14"/>
      <c r="AF523" s="14"/>
      <c r="AG523" s="19"/>
      <c r="AH523" s="20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</row>
    <row r="524" ht="15.75" customHeight="1">
      <c r="A524" s="5"/>
      <c r="B524" s="5"/>
      <c r="C524" s="5"/>
      <c r="D524" s="5"/>
      <c r="E524" s="14"/>
      <c r="F524" s="15"/>
      <c r="G524" s="14"/>
      <c r="H524" s="16"/>
      <c r="I524" s="14"/>
      <c r="J524" s="16"/>
      <c r="K524" s="14"/>
      <c r="L524" s="16"/>
      <c r="M524" s="14"/>
      <c r="N524" s="16"/>
      <c r="O524" s="14"/>
      <c r="P524" s="16"/>
      <c r="Q524" s="14"/>
      <c r="R524" s="5"/>
      <c r="S524" s="14"/>
      <c r="T524" s="16"/>
      <c r="U524" s="16"/>
      <c r="V524" s="17"/>
      <c r="W524" s="6"/>
      <c r="X524" s="22"/>
      <c r="Y524" s="14"/>
      <c r="Z524" s="14"/>
      <c r="AA524" s="14"/>
      <c r="AB524" s="14"/>
      <c r="AC524" s="14"/>
      <c r="AD524" s="14"/>
      <c r="AE524" s="14"/>
      <c r="AF524" s="14"/>
      <c r="AG524" s="19"/>
      <c r="AH524" s="20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</row>
    <row r="525" ht="15.75" customHeight="1">
      <c r="A525" s="5"/>
      <c r="B525" s="5"/>
      <c r="C525" s="5"/>
      <c r="D525" s="5"/>
      <c r="E525" s="14"/>
      <c r="F525" s="15"/>
      <c r="G525" s="14"/>
      <c r="H525" s="16"/>
      <c r="I525" s="14"/>
      <c r="J525" s="16"/>
      <c r="K525" s="14"/>
      <c r="L525" s="16"/>
      <c r="M525" s="14"/>
      <c r="N525" s="16"/>
      <c r="O525" s="14"/>
      <c r="P525" s="16"/>
      <c r="Q525" s="14"/>
      <c r="R525" s="5"/>
      <c r="S525" s="14"/>
      <c r="T525" s="16"/>
      <c r="U525" s="16"/>
      <c r="V525" s="17"/>
      <c r="W525" s="6"/>
      <c r="X525" s="22"/>
      <c r="Y525" s="14"/>
      <c r="Z525" s="14"/>
      <c r="AA525" s="14"/>
      <c r="AB525" s="14"/>
      <c r="AC525" s="14"/>
      <c r="AD525" s="14"/>
      <c r="AE525" s="14"/>
      <c r="AF525" s="14"/>
      <c r="AG525" s="19"/>
      <c r="AH525" s="20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</row>
    <row r="526" ht="15.75" customHeight="1">
      <c r="A526" s="5"/>
      <c r="B526" s="5"/>
      <c r="C526" s="5"/>
      <c r="D526" s="5"/>
      <c r="E526" s="14"/>
      <c r="F526" s="15"/>
      <c r="G526" s="14"/>
      <c r="H526" s="16"/>
      <c r="I526" s="14"/>
      <c r="J526" s="16"/>
      <c r="K526" s="14"/>
      <c r="L526" s="16"/>
      <c r="M526" s="14"/>
      <c r="N526" s="16"/>
      <c r="O526" s="14"/>
      <c r="P526" s="16"/>
      <c r="Q526" s="14"/>
      <c r="R526" s="5"/>
      <c r="S526" s="14"/>
      <c r="T526" s="16"/>
      <c r="U526" s="16"/>
      <c r="V526" s="17"/>
      <c r="W526" s="6"/>
      <c r="X526" s="22"/>
      <c r="Y526" s="14"/>
      <c r="Z526" s="14"/>
      <c r="AA526" s="14"/>
      <c r="AB526" s="14"/>
      <c r="AC526" s="14"/>
      <c r="AD526" s="14"/>
      <c r="AE526" s="14"/>
      <c r="AF526" s="14"/>
      <c r="AG526" s="19"/>
      <c r="AH526" s="20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</row>
    <row r="527" ht="15.75" customHeight="1">
      <c r="A527" s="5"/>
      <c r="B527" s="5"/>
      <c r="C527" s="5"/>
      <c r="D527" s="5"/>
      <c r="E527" s="14"/>
      <c r="F527" s="15"/>
      <c r="G527" s="14"/>
      <c r="H527" s="16"/>
      <c r="I527" s="14"/>
      <c r="J527" s="16"/>
      <c r="K527" s="14"/>
      <c r="L527" s="16"/>
      <c r="M527" s="14"/>
      <c r="N527" s="16"/>
      <c r="O527" s="14"/>
      <c r="P527" s="16"/>
      <c r="Q527" s="14"/>
      <c r="R527" s="5"/>
      <c r="S527" s="14"/>
      <c r="T527" s="16"/>
      <c r="U527" s="16"/>
      <c r="V527" s="17"/>
      <c r="W527" s="6"/>
      <c r="X527" s="22"/>
      <c r="Y527" s="14"/>
      <c r="Z527" s="14"/>
      <c r="AA527" s="14"/>
      <c r="AB527" s="14"/>
      <c r="AC527" s="14"/>
      <c r="AD527" s="14"/>
      <c r="AE527" s="14"/>
      <c r="AF527" s="14"/>
      <c r="AG527" s="19"/>
      <c r="AH527" s="20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</row>
    <row r="528" ht="15.75" customHeight="1">
      <c r="A528" s="5"/>
      <c r="B528" s="5"/>
      <c r="C528" s="5"/>
      <c r="D528" s="5"/>
      <c r="E528" s="14"/>
      <c r="F528" s="15"/>
      <c r="G528" s="14"/>
      <c r="H528" s="16"/>
      <c r="I528" s="14"/>
      <c r="J528" s="16"/>
      <c r="K528" s="14"/>
      <c r="L528" s="16"/>
      <c r="M528" s="14"/>
      <c r="N528" s="16"/>
      <c r="O528" s="14"/>
      <c r="P528" s="16"/>
      <c r="Q528" s="14"/>
      <c r="R528" s="5"/>
      <c r="S528" s="14"/>
      <c r="T528" s="16"/>
      <c r="U528" s="16"/>
      <c r="V528" s="17"/>
      <c r="W528" s="6"/>
      <c r="X528" s="22"/>
      <c r="Y528" s="14"/>
      <c r="Z528" s="14"/>
      <c r="AA528" s="14"/>
      <c r="AB528" s="14"/>
      <c r="AC528" s="14"/>
      <c r="AD528" s="14"/>
      <c r="AE528" s="14"/>
      <c r="AF528" s="14"/>
      <c r="AG528" s="19"/>
      <c r="AH528" s="20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</row>
    <row r="529" ht="15.75" customHeight="1">
      <c r="A529" s="5"/>
      <c r="B529" s="5"/>
      <c r="C529" s="5"/>
      <c r="D529" s="5"/>
      <c r="E529" s="14"/>
      <c r="F529" s="15"/>
      <c r="G529" s="14"/>
      <c r="H529" s="16"/>
      <c r="I529" s="14"/>
      <c r="J529" s="16"/>
      <c r="K529" s="14"/>
      <c r="L529" s="16"/>
      <c r="M529" s="14"/>
      <c r="N529" s="16"/>
      <c r="O529" s="14"/>
      <c r="P529" s="16"/>
      <c r="Q529" s="14"/>
      <c r="R529" s="5"/>
      <c r="S529" s="14"/>
      <c r="T529" s="16"/>
      <c r="U529" s="16"/>
      <c r="V529" s="17"/>
      <c r="W529" s="6"/>
      <c r="X529" s="22"/>
      <c r="Y529" s="14"/>
      <c r="Z529" s="14"/>
      <c r="AA529" s="14"/>
      <c r="AB529" s="14"/>
      <c r="AC529" s="14"/>
      <c r="AD529" s="14"/>
      <c r="AE529" s="14"/>
      <c r="AF529" s="14"/>
      <c r="AG529" s="19"/>
      <c r="AH529" s="20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</row>
    <row r="530" ht="15.75" customHeight="1">
      <c r="A530" s="5"/>
      <c r="B530" s="5"/>
      <c r="C530" s="5"/>
      <c r="D530" s="5"/>
      <c r="E530" s="14"/>
      <c r="F530" s="15"/>
      <c r="G530" s="14"/>
      <c r="H530" s="16"/>
      <c r="I530" s="14"/>
      <c r="J530" s="16"/>
      <c r="K530" s="14"/>
      <c r="L530" s="16"/>
      <c r="M530" s="14"/>
      <c r="N530" s="16"/>
      <c r="O530" s="14"/>
      <c r="P530" s="16"/>
      <c r="Q530" s="14"/>
      <c r="R530" s="5"/>
      <c r="S530" s="14"/>
      <c r="T530" s="16"/>
      <c r="U530" s="16"/>
      <c r="V530" s="17"/>
      <c r="W530" s="6"/>
      <c r="X530" s="22"/>
      <c r="Y530" s="14"/>
      <c r="Z530" s="14"/>
      <c r="AA530" s="14"/>
      <c r="AB530" s="14"/>
      <c r="AC530" s="14"/>
      <c r="AD530" s="14"/>
      <c r="AE530" s="14"/>
      <c r="AF530" s="14"/>
      <c r="AG530" s="19"/>
      <c r="AH530" s="20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</row>
    <row r="531" ht="15.75" customHeight="1">
      <c r="A531" s="5"/>
      <c r="B531" s="5"/>
      <c r="C531" s="5"/>
      <c r="D531" s="5"/>
      <c r="E531" s="14"/>
      <c r="F531" s="15"/>
      <c r="G531" s="14"/>
      <c r="H531" s="16"/>
      <c r="I531" s="14"/>
      <c r="J531" s="16"/>
      <c r="K531" s="14"/>
      <c r="L531" s="16"/>
      <c r="M531" s="14"/>
      <c r="N531" s="16"/>
      <c r="O531" s="14"/>
      <c r="P531" s="16"/>
      <c r="Q531" s="14"/>
      <c r="R531" s="5"/>
      <c r="S531" s="14"/>
      <c r="T531" s="16"/>
      <c r="U531" s="16"/>
      <c r="V531" s="17"/>
      <c r="W531" s="6"/>
      <c r="X531" s="22"/>
      <c r="Y531" s="14"/>
      <c r="Z531" s="14"/>
      <c r="AA531" s="14"/>
      <c r="AB531" s="14"/>
      <c r="AC531" s="14"/>
      <c r="AD531" s="14"/>
      <c r="AE531" s="14"/>
      <c r="AF531" s="14"/>
      <c r="AG531" s="19"/>
      <c r="AH531" s="20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</row>
    <row r="532" ht="15.75" customHeight="1">
      <c r="A532" s="5"/>
      <c r="B532" s="5"/>
      <c r="C532" s="5"/>
      <c r="D532" s="5"/>
      <c r="E532" s="14"/>
      <c r="F532" s="15"/>
      <c r="G532" s="14"/>
      <c r="H532" s="16"/>
      <c r="I532" s="14"/>
      <c r="J532" s="16"/>
      <c r="K532" s="14"/>
      <c r="L532" s="16"/>
      <c r="M532" s="14"/>
      <c r="N532" s="16"/>
      <c r="O532" s="14"/>
      <c r="P532" s="16"/>
      <c r="Q532" s="14"/>
      <c r="R532" s="5"/>
      <c r="S532" s="14"/>
      <c r="T532" s="16"/>
      <c r="U532" s="16"/>
      <c r="V532" s="17"/>
      <c r="W532" s="6"/>
      <c r="X532" s="22"/>
      <c r="Y532" s="14"/>
      <c r="Z532" s="14"/>
      <c r="AA532" s="14"/>
      <c r="AB532" s="14"/>
      <c r="AC532" s="14"/>
      <c r="AD532" s="14"/>
      <c r="AE532" s="14"/>
      <c r="AF532" s="14"/>
      <c r="AG532" s="19"/>
      <c r="AH532" s="20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</row>
    <row r="533" ht="15.75" customHeight="1">
      <c r="A533" s="5"/>
      <c r="B533" s="5"/>
      <c r="C533" s="5"/>
      <c r="D533" s="5"/>
      <c r="E533" s="14"/>
      <c r="F533" s="15"/>
      <c r="G533" s="14"/>
      <c r="H533" s="16"/>
      <c r="I533" s="14"/>
      <c r="J533" s="16"/>
      <c r="K533" s="14"/>
      <c r="L533" s="16"/>
      <c r="M533" s="14"/>
      <c r="N533" s="16"/>
      <c r="O533" s="14"/>
      <c r="P533" s="16"/>
      <c r="Q533" s="14"/>
      <c r="R533" s="5"/>
      <c r="S533" s="14"/>
      <c r="T533" s="16"/>
      <c r="U533" s="16"/>
      <c r="V533" s="17"/>
      <c r="W533" s="6"/>
      <c r="X533" s="22"/>
      <c r="Y533" s="14"/>
      <c r="Z533" s="14"/>
      <c r="AA533" s="14"/>
      <c r="AB533" s="14"/>
      <c r="AC533" s="14"/>
      <c r="AD533" s="14"/>
      <c r="AE533" s="14"/>
      <c r="AF533" s="14"/>
      <c r="AG533" s="19"/>
      <c r="AH533" s="20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</row>
    <row r="534" ht="15.75" customHeight="1">
      <c r="A534" s="5"/>
      <c r="B534" s="5"/>
      <c r="C534" s="5"/>
      <c r="D534" s="5"/>
      <c r="E534" s="14"/>
      <c r="F534" s="15"/>
      <c r="G534" s="14"/>
      <c r="H534" s="16"/>
      <c r="I534" s="14"/>
      <c r="J534" s="16"/>
      <c r="K534" s="14"/>
      <c r="L534" s="16"/>
      <c r="M534" s="14"/>
      <c r="N534" s="16"/>
      <c r="O534" s="14"/>
      <c r="P534" s="16"/>
      <c r="Q534" s="14"/>
      <c r="R534" s="5"/>
      <c r="S534" s="14"/>
      <c r="T534" s="16"/>
      <c r="U534" s="16"/>
      <c r="V534" s="17"/>
      <c r="W534" s="6"/>
      <c r="X534" s="22"/>
      <c r="Y534" s="14"/>
      <c r="Z534" s="14"/>
      <c r="AA534" s="14"/>
      <c r="AB534" s="14"/>
      <c r="AC534" s="14"/>
      <c r="AD534" s="14"/>
      <c r="AE534" s="14"/>
      <c r="AF534" s="14"/>
      <c r="AG534" s="19"/>
      <c r="AH534" s="20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</row>
    <row r="535" ht="15.75" customHeight="1">
      <c r="A535" s="5"/>
      <c r="B535" s="5"/>
      <c r="C535" s="5"/>
      <c r="D535" s="5"/>
      <c r="E535" s="14"/>
      <c r="F535" s="15"/>
      <c r="G535" s="14"/>
      <c r="H535" s="16"/>
      <c r="I535" s="14"/>
      <c r="J535" s="16"/>
      <c r="K535" s="14"/>
      <c r="L535" s="16"/>
      <c r="M535" s="14"/>
      <c r="N535" s="16"/>
      <c r="O535" s="14"/>
      <c r="P535" s="16"/>
      <c r="Q535" s="14"/>
      <c r="R535" s="5"/>
      <c r="S535" s="14"/>
      <c r="T535" s="16"/>
      <c r="U535" s="16"/>
      <c r="V535" s="17"/>
      <c r="W535" s="6"/>
      <c r="X535" s="22"/>
      <c r="Y535" s="14"/>
      <c r="Z535" s="14"/>
      <c r="AA535" s="14"/>
      <c r="AB535" s="14"/>
      <c r="AC535" s="14"/>
      <c r="AD535" s="14"/>
      <c r="AE535" s="14"/>
      <c r="AF535" s="14"/>
      <c r="AG535" s="19"/>
      <c r="AH535" s="20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</row>
    <row r="536" ht="15.75" customHeight="1">
      <c r="A536" s="5"/>
      <c r="B536" s="5"/>
      <c r="C536" s="5"/>
      <c r="D536" s="5"/>
      <c r="E536" s="14"/>
      <c r="F536" s="15"/>
      <c r="G536" s="14"/>
      <c r="H536" s="16"/>
      <c r="I536" s="14"/>
      <c r="J536" s="16"/>
      <c r="K536" s="14"/>
      <c r="L536" s="16"/>
      <c r="M536" s="14"/>
      <c r="N536" s="16"/>
      <c r="O536" s="14"/>
      <c r="P536" s="16"/>
      <c r="Q536" s="14"/>
      <c r="R536" s="5"/>
      <c r="S536" s="14"/>
      <c r="T536" s="16"/>
      <c r="U536" s="16"/>
      <c r="V536" s="17"/>
      <c r="W536" s="6"/>
      <c r="X536" s="22"/>
      <c r="Y536" s="14"/>
      <c r="Z536" s="14"/>
      <c r="AA536" s="14"/>
      <c r="AB536" s="14"/>
      <c r="AC536" s="14"/>
      <c r="AD536" s="14"/>
      <c r="AE536" s="14"/>
      <c r="AF536" s="14"/>
      <c r="AG536" s="19"/>
      <c r="AH536" s="20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</row>
    <row r="537" ht="15.75" customHeight="1">
      <c r="A537" s="5"/>
      <c r="B537" s="5"/>
      <c r="C537" s="5"/>
      <c r="D537" s="5"/>
      <c r="E537" s="14"/>
      <c r="F537" s="15"/>
      <c r="G537" s="14"/>
      <c r="H537" s="16"/>
      <c r="I537" s="14"/>
      <c r="J537" s="16"/>
      <c r="K537" s="14"/>
      <c r="L537" s="16"/>
      <c r="M537" s="14"/>
      <c r="N537" s="16"/>
      <c r="O537" s="14"/>
      <c r="P537" s="16"/>
      <c r="Q537" s="14"/>
      <c r="R537" s="5"/>
      <c r="S537" s="14"/>
      <c r="T537" s="16"/>
      <c r="U537" s="16"/>
      <c r="V537" s="17"/>
      <c r="W537" s="6"/>
      <c r="X537" s="22"/>
      <c r="Y537" s="14"/>
      <c r="Z537" s="14"/>
      <c r="AA537" s="14"/>
      <c r="AB537" s="14"/>
      <c r="AC537" s="14"/>
      <c r="AD537" s="14"/>
      <c r="AE537" s="14"/>
      <c r="AF537" s="14"/>
      <c r="AG537" s="19"/>
      <c r="AH537" s="20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</row>
    <row r="538" ht="15.75" customHeight="1">
      <c r="A538" s="5"/>
      <c r="B538" s="5"/>
      <c r="C538" s="5"/>
      <c r="D538" s="5"/>
      <c r="E538" s="14"/>
      <c r="F538" s="15"/>
      <c r="G538" s="14"/>
      <c r="H538" s="16"/>
      <c r="I538" s="14"/>
      <c r="J538" s="16"/>
      <c r="K538" s="14"/>
      <c r="L538" s="16"/>
      <c r="M538" s="14"/>
      <c r="N538" s="16"/>
      <c r="O538" s="14"/>
      <c r="P538" s="16"/>
      <c r="Q538" s="14"/>
      <c r="R538" s="5"/>
      <c r="S538" s="14"/>
      <c r="T538" s="16"/>
      <c r="U538" s="16"/>
      <c r="V538" s="17"/>
      <c r="W538" s="6"/>
      <c r="X538" s="22"/>
      <c r="Y538" s="14"/>
      <c r="Z538" s="14"/>
      <c r="AA538" s="14"/>
      <c r="AB538" s="14"/>
      <c r="AC538" s="14"/>
      <c r="AD538" s="14"/>
      <c r="AE538" s="14"/>
      <c r="AF538" s="14"/>
      <c r="AG538" s="19"/>
      <c r="AH538" s="20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</row>
    <row r="539" ht="15.75" customHeight="1">
      <c r="A539" s="5"/>
      <c r="B539" s="5"/>
      <c r="C539" s="5"/>
      <c r="D539" s="5"/>
      <c r="E539" s="14"/>
      <c r="F539" s="15"/>
      <c r="G539" s="14"/>
      <c r="H539" s="16"/>
      <c r="I539" s="14"/>
      <c r="J539" s="16"/>
      <c r="K539" s="14"/>
      <c r="L539" s="16"/>
      <c r="M539" s="14"/>
      <c r="N539" s="16"/>
      <c r="O539" s="14"/>
      <c r="P539" s="16"/>
      <c r="Q539" s="14"/>
      <c r="R539" s="5"/>
      <c r="S539" s="14"/>
      <c r="T539" s="16"/>
      <c r="U539" s="16"/>
      <c r="V539" s="17"/>
      <c r="W539" s="6"/>
      <c r="X539" s="22"/>
      <c r="Y539" s="14"/>
      <c r="Z539" s="14"/>
      <c r="AA539" s="14"/>
      <c r="AB539" s="14"/>
      <c r="AC539" s="14"/>
      <c r="AD539" s="14"/>
      <c r="AE539" s="14"/>
      <c r="AF539" s="14"/>
      <c r="AG539" s="19"/>
      <c r="AH539" s="20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</row>
    <row r="540" ht="15.75" customHeight="1">
      <c r="A540" s="5"/>
      <c r="B540" s="5"/>
      <c r="C540" s="5"/>
      <c r="D540" s="5"/>
      <c r="E540" s="14"/>
      <c r="F540" s="15"/>
      <c r="G540" s="14"/>
      <c r="H540" s="16"/>
      <c r="I540" s="14"/>
      <c r="J540" s="16"/>
      <c r="K540" s="14"/>
      <c r="L540" s="16"/>
      <c r="M540" s="14"/>
      <c r="N540" s="16"/>
      <c r="O540" s="14"/>
      <c r="P540" s="16"/>
      <c r="Q540" s="14"/>
      <c r="R540" s="5"/>
      <c r="S540" s="14"/>
      <c r="T540" s="16"/>
      <c r="U540" s="16"/>
      <c r="V540" s="17"/>
      <c r="W540" s="6"/>
      <c r="X540" s="22"/>
      <c r="Y540" s="14"/>
      <c r="Z540" s="14"/>
      <c r="AA540" s="14"/>
      <c r="AB540" s="14"/>
      <c r="AC540" s="14"/>
      <c r="AD540" s="14"/>
      <c r="AE540" s="14"/>
      <c r="AF540" s="14"/>
      <c r="AG540" s="19"/>
      <c r="AH540" s="20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</row>
    <row r="541" ht="15.75" customHeight="1">
      <c r="A541" s="5"/>
      <c r="B541" s="5"/>
      <c r="C541" s="5"/>
      <c r="D541" s="5"/>
      <c r="E541" s="14"/>
      <c r="F541" s="15"/>
      <c r="G541" s="14"/>
      <c r="H541" s="16"/>
      <c r="I541" s="14"/>
      <c r="J541" s="16"/>
      <c r="K541" s="14"/>
      <c r="L541" s="16"/>
      <c r="M541" s="14"/>
      <c r="N541" s="16"/>
      <c r="O541" s="14"/>
      <c r="P541" s="16"/>
      <c r="Q541" s="14"/>
      <c r="R541" s="5"/>
      <c r="S541" s="14"/>
      <c r="T541" s="16"/>
      <c r="U541" s="16"/>
      <c r="V541" s="17"/>
      <c r="W541" s="6"/>
      <c r="X541" s="22"/>
      <c r="Y541" s="14"/>
      <c r="Z541" s="14"/>
      <c r="AA541" s="14"/>
      <c r="AB541" s="14"/>
      <c r="AC541" s="14"/>
      <c r="AD541" s="14"/>
      <c r="AE541" s="14"/>
      <c r="AF541" s="14"/>
      <c r="AG541" s="19"/>
      <c r="AH541" s="20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</row>
    <row r="542" ht="15.75" customHeight="1">
      <c r="A542" s="5"/>
      <c r="B542" s="5"/>
      <c r="C542" s="5"/>
      <c r="D542" s="5"/>
      <c r="E542" s="14"/>
      <c r="F542" s="15"/>
      <c r="G542" s="14"/>
      <c r="H542" s="16"/>
      <c r="I542" s="14"/>
      <c r="J542" s="16"/>
      <c r="K542" s="14"/>
      <c r="L542" s="16"/>
      <c r="M542" s="14"/>
      <c r="N542" s="16"/>
      <c r="O542" s="14"/>
      <c r="P542" s="16"/>
      <c r="Q542" s="14"/>
      <c r="R542" s="5"/>
      <c r="S542" s="14"/>
      <c r="T542" s="16"/>
      <c r="U542" s="16"/>
      <c r="V542" s="17"/>
      <c r="W542" s="6"/>
      <c r="X542" s="22"/>
      <c r="Y542" s="14"/>
      <c r="Z542" s="14"/>
      <c r="AA542" s="14"/>
      <c r="AB542" s="14"/>
      <c r="AC542" s="14"/>
      <c r="AD542" s="14"/>
      <c r="AE542" s="14"/>
      <c r="AF542" s="14"/>
      <c r="AG542" s="19"/>
      <c r="AH542" s="20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</row>
    <row r="543" ht="15.75" customHeight="1">
      <c r="A543" s="5"/>
      <c r="B543" s="5"/>
      <c r="C543" s="5"/>
      <c r="D543" s="5"/>
      <c r="E543" s="14"/>
      <c r="F543" s="15"/>
      <c r="G543" s="14"/>
      <c r="H543" s="16"/>
      <c r="I543" s="14"/>
      <c r="J543" s="16"/>
      <c r="K543" s="14"/>
      <c r="L543" s="16"/>
      <c r="M543" s="14"/>
      <c r="N543" s="16"/>
      <c r="O543" s="14"/>
      <c r="P543" s="16"/>
      <c r="Q543" s="14"/>
      <c r="R543" s="5"/>
      <c r="S543" s="14"/>
      <c r="T543" s="16"/>
      <c r="U543" s="16"/>
      <c r="V543" s="17"/>
      <c r="W543" s="6"/>
      <c r="X543" s="22"/>
      <c r="Y543" s="14"/>
      <c r="Z543" s="14"/>
      <c r="AA543" s="14"/>
      <c r="AB543" s="14"/>
      <c r="AC543" s="14"/>
      <c r="AD543" s="14"/>
      <c r="AE543" s="14"/>
      <c r="AF543" s="14"/>
      <c r="AG543" s="19"/>
      <c r="AH543" s="20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</row>
    <row r="544" ht="15.75" customHeight="1">
      <c r="A544" s="5"/>
      <c r="B544" s="5"/>
      <c r="C544" s="5"/>
      <c r="D544" s="5"/>
      <c r="E544" s="14"/>
      <c r="F544" s="15"/>
      <c r="G544" s="14"/>
      <c r="H544" s="16"/>
      <c r="I544" s="14"/>
      <c r="J544" s="16"/>
      <c r="K544" s="14"/>
      <c r="L544" s="16"/>
      <c r="M544" s="14"/>
      <c r="N544" s="16"/>
      <c r="O544" s="14"/>
      <c r="P544" s="16"/>
      <c r="Q544" s="14"/>
      <c r="R544" s="5"/>
      <c r="S544" s="14"/>
      <c r="T544" s="16"/>
      <c r="U544" s="16"/>
      <c r="V544" s="17"/>
      <c r="W544" s="6"/>
      <c r="X544" s="22"/>
      <c r="Y544" s="14"/>
      <c r="Z544" s="14"/>
      <c r="AA544" s="14"/>
      <c r="AB544" s="14"/>
      <c r="AC544" s="14"/>
      <c r="AD544" s="14"/>
      <c r="AE544" s="14"/>
      <c r="AF544" s="14"/>
      <c r="AG544" s="19"/>
      <c r="AH544" s="20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</row>
    <row r="545" ht="15.75" customHeight="1">
      <c r="A545" s="5"/>
      <c r="B545" s="5"/>
      <c r="C545" s="5"/>
      <c r="D545" s="5"/>
      <c r="E545" s="14"/>
      <c r="F545" s="15"/>
      <c r="G545" s="14"/>
      <c r="H545" s="16"/>
      <c r="I545" s="14"/>
      <c r="J545" s="16"/>
      <c r="K545" s="14"/>
      <c r="L545" s="16"/>
      <c r="M545" s="14"/>
      <c r="N545" s="16"/>
      <c r="O545" s="14"/>
      <c r="P545" s="16"/>
      <c r="Q545" s="14"/>
      <c r="R545" s="5"/>
      <c r="S545" s="14"/>
      <c r="T545" s="16"/>
      <c r="U545" s="16"/>
      <c r="V545" s="17"/>
      <c r="W545" s="6"/>
      <c r="X545" s="22"/>
      <c r="Y545" s="14"/>
      <c r="Z545" s="14"/>
      <c r="AA545" s="14"/>
      <c r="AB545" s="14"/>
      <c r="AC545" s="14"/>
      <c r="AD545" s="14"/>
      <c r="AE545" s="14"/>
      <c r="AF545" s="14"/>
      <c r="AG545" s="19"/>
      <c r="AH545" s="20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</row>
    <row r="546" ht="15.75" customHeight="1">
      <c r="A546" s="5"/>
      <c r="B546" s="5"/>
      <c r="C546" s="5"/>
      <c r="D546" s="5"/>
      <c r="E546" s="14"/>
      <c r="F546" s="15"/>
      <c r="G546" s="14"/>
      <c r="H546" s="16"/>
      <c r="I546" s="14"/>
      <c r="J546" s="16"/>
      <c r="K546" s="14"/>
      <c r="L546" s="16"/>
      <c r="M546" s="14"/>
      <c r="N546" s="16"/>
      <c r="O546" s="14"/>
      <c r="P546" s="16"/>
      <c r="Q546" s="14"/>
      <c r="R546" s="5"/>
      <c r="S546" s="14"/>
      <c r="T546" s="16"/>
      <c r="U546" s="16"/>
      <c r="V546" s="17"/>
      <c r="W546" s="6"/>
      <c r="X546" s="22"/>
      <c r="Y546" s="14"/>
      <c r="Z546" s="14"/>
      <c r="AA546" s="14"/>
      <c r="AB546" s="14"/>
      <c r="AC546" s="14"/>
      <c r="AD546" s="14"/>
      <c r="AE546" s="14"/>
      <c r="AF546" s="14"/>
      <c r="AG546" s="19"/>
      <c r="AH546" s="20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</row>
    <row r="547" ht="15.75" customHeight="1">
      <c r="A547" s="5"/>
      <c r="B547" s="5"/>
      <c r="C547" s="5"/>
      <c r="D547" s="5"/>
      <c r="E547" s="14"/>
      <c r="F547" s="15"/>
      <c r="G547" s="14"/>
      <c r="H547" s="16"/>
      <c r="I547" s="14"/>
      <c r="J547" s="16"/>
      <c r="K547" s="14"/>
      <c r="L547" s="16"/>
      <c r="M547" s="14"/>
      <c r="N547" s="16"/>
      <c r="O547" s="14"/>
      <c r="P547" s="16"/>
      <c r="Q547" s="14"/>
      <c r="R547" s="5"/>
      <c r="S547" s="14"/>
      <c r="T547" s="16"/>
      <c r="U547" s="16"/>
      <c r="V547" s="17"/>
      <c r="W547" s="6"/>
      <c r="X547" s="22"/>
      <c r="Y547" s="14"/>
      <c r="Z547" s="14"/>
      <c r="AA547" s="14"/>
      <c r="AB547" s="14"/>
      <c r="AC547" s="14"/>
      <c r="AD547" s="14"/>
      <c r="AE547" s="14"/>
      <c r="AF547" s="14"/>
      <c r="AG547" s="19"/>
      <c r="AH547" s="20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</row>
    <row r="548" ht="15.75" customHeight="1">
      <c r="A548" s="5"/>
      <c r="B548" s="5"/>
      <c r="C548" s="5"/>
      <c r="D548" s="5"/>
      <c r="E548" s="14"/>
      <c r="F548" s="15"/>
      <c r="G548" s="14"/>
      <c r="H548" s="16"/>
      <c r="I548" s="14"/>
      <c r="J548" s="16"/>
      <c r="K548" s="14"/>
      <c r="L548" s="16"/>
      <c r="M548" s="14"/>
      <c r="N548" s="16"/>
      <c r="O548" s="14"/>
      <c r="P548" s="16"/>
      <c r="Q548" s="14"/>
      <c r="R548" s="5"/>
      <c r="S548" s="14"/>
      <c r="T548" s="16"/>
      <c r="U548" s="16"/>
      <c r="V548" s="17"/>
      <c r="W548" s="6"/>
      <c r="X548" s="22"/>
      <c r="Y548" s="14"/>
      <c r="Z548" s="14"/>
      <c r="AA548" s="14"/>
      <c r="AB548" s="14"/>
      <c r="AC548" s="14"/>
      <c r="AD548" s="14"/>
      <c r="AE548" s="14"/>
      <c r="AF548" s="14"/>
      <c r="AG548" s="19"/>
      <c r="AH548" s="20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</row>
    <row r="549" ht="15.75" customHeight="1">
      <c r="A549" s="5"/>
      <c r="B549" s="5"/>
      <c r="C549" s="5"/>
      <c r="D549" s="5"/>
      <c r="E549" s="14"/>
      <c r="F549" s="15"/>
      <c r="G549" s="14"/>
      <c r="H549" s="16"/>
      <c r="I549" s="14"/>
      <c r="J549" s="16"/>
      <c r="K549" s="14"/>
      <c r="L549" s="16"/>
      <c r="M549" s="14"/>
      <c r="N549" s="16"/>
      <c r="O549" s="14"/>
      <c r="P549" s="16"/>
      <c r="Q549" s="14"/>
      <c r="R549" s="5"/>
      <c r="S549" s="14"/>
      <c r="T549" s="16"/>
      <c r="U549" s="16"/>
      <c r="V549" s="17"/>
      <c r="W549" s="6"/>
      <c r="X549" s="22"/>
      <c r="Y549" s="14"/>
      <c r="Z549" s="14"/>
      <c r="AA549" s="14"/>
      <c r="AB549" s="14"/>
      <c r="AC549" s="14"/>
      <c r="AD549" s="14"/>
      <c r="AE549" s="14"/>
      <c r="AF549" s="14"/>
      <c r="AG549" s="19"/>
      <c r="AH549" s="20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</row>
    <row r="550" ht="15.75" customHeight="1">
      <c r="A550" s="5"/>
      <c r="B550" s="5"/>
      <c r="C550" s="5"/>
      <c r="D550" s="5"/>
      <c r="E550" s="14"/>
      <c r="F550" s="15"/>
      <c r="G550" s="14"/>
      <c r="H550" s="16"/>
      <c r="I550" s="14"/>
      <c r="J550" s="16"/>
      <c r="K550" s="14"/>
      <c r="L550" s="16"/>
      <c r="M550" s="14"/>
      <c r="N550" s="16"/>
      <c r="O550" s="14"/>
      <c r="P550" s="16"/>
      <c r="Q550" s="14"/>
      <c r="R550" s="5"/>
      <c r="S550" s="14"/>
      <c r="T550" s="16"/>
      <c r="U550" s="16"/>
      <c r="V550" s="17"/>
      <c r="W550" s="6"/>
      <c r="X550" s="22"/>
      <c r="Y550" s="14"/>
      <c r="Z550" s="14"/>
      <c r="AA550" s="14"/>
      <c r="AB550" s="14"/>
      <c r="AC550" s="14"/>
      <c r="AD550" s="14"/>
      <c r="AE550" s="14"/>
      <c r="AF550" s="14"/>
      <c r="AG550" s="19"/>
      <c r="AH550" s="20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</row>
    <row r="551" ht="15.75" customHeight="1">
      <c r="A551" s="5"/>
      <c r="B551" s="5"/>
      <c r="C551" s="5"/>
      <c r="D551" s="5"/>
      <c r="E551" s="14"/>
      <c r="F551" s="15"/>
      <c r="G551" s="14"/>
      <c r="H551" s="16"/>
      <c r="I551" s="14"/>
      <c r="J551" s="16"/>
      <c r="K551" s="14"/>
      <c r="L551" s="16"/>
      <c r="M551" s="14"/>
      <c r="N551" s="16"/>
      <c r="O551" s="14"/>
      <c r="P551" s="16"/>
      <c r="Q551" s="14"/>
      <c r="R551" s="5"/>
      <c r="S551" s="14"/>
      <c r="T551" s="16"/>
      <c r="U551" s="16"/>
      <c r="V551" s="17"/>
      <c r="W551" s="6"/>
      <c r="X551" s="22"/>
      <c r="Y551" s="14"/>
      <c r="Z551" s="14"/>
      <c r="AA551" s="14"/>
      <c r="AB551" s="14"/>
      <c r="AC551" s="14"/>
      <c r="AD551" s="14"/>
      <c r="AE551" s="14"/>
      <c r="AF551" s="14"/>
      <c r="AG551" s="19"/>
      <c r="AH551" s="20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</row>
    <row r="552" ht="15.75" customHeight="1">
      <c r="A552" s="5"/>
      <c r="B552" s="5"/>
      <c r="C552" s="5"/>
      <c r="D552" s="5"/>
      <c r="E552" s="14"/>
      <c r="F552" s="15"/>
      <c r="G552" s="14"/>
      <c r="H552" s="16"/>
      <c r="I552" s="14"/>
      <c r="J552" s="16"/>
      <c r="K552" s="14"/>
      <c r="L552" s="16"/>
      <c r="M552" s="14"/>
      <c r="N552" s="16"/>
      <c r="O552" s="14"/>
      <c r="P552" s="16"/>
      <c r="Q552" s="14"/>
      <c r="R552" s="5"/>
      <c r="S552" s="14"/>
      <c r="T552" s="16"/>
      <c r="U552" s="16"/>
      <c r="V552" s="17"/>
      <c r="W552" s="6"/>
      <c r="X552" s="22"/>
      <c r="Y552" s="14"/>
      <c r="Z552" s="14"/>
      <c r="AA552" s="14"/>
      <c r="AB552" s="14"/>
      <c r="AC552" s="14"/>
      <c r="AD552" s="14"/>
      <c r="AE552" s="14"/>
      <c r="AF552" s="14"/>
      <c r="AG552" s="19"/>
      <c r="AH552" s="20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</row>
    <row r="553" ht="15.75" customHeight="1">
      <c r="A553" s="5"/>
      <c r="B553" s="5"/>
      <c r="C553" s="5"/>
      <c r="D553" s="5"/>
      <c r="E553" s="14"/>
      <c r="F553" s="15"/>
      <c r="G553" s="14"/>
      <c r="H553" s="16"/>
      <c r="I553" s="14"/>
      <c r="J553" s="16"/>
      <c r="K553" s="14"/>
      <c r="L553" s="16"/>
      <c r="M553" s="14"/>
      <c r="N553" s="16"/>
      <c r="O553" s="14"/>
      <c r="P553" s="16"/>
      <c r="Q553" s="14"/>
      <c r="R553" s="5"/>
      <c r="S553" s="14"/>
      <c r="T553" s="16"/>
      <c r="U553" s="16"/>
      <c r="V553" s="17"/>
      <c r="W553" s="6"/>
      <c r="X553" s="22"/>
      <c r="Y553" s="14"/>
      <c r="Z553" s="14"/>
      <c r="AA553" s="14"/>
      <c r="AB553" s="14"/>
      <c r="AC553" s="14"/>
      <c r="AD553" s="14"/>
      <c r="AE553" s="14"/>
      <c r="AF553" s="14"/>
      <c r="AG553" s="19"/>
      <c r="AH553" s="20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</row>
    <row r="554" ht="15.75" customHeight="1">
      <c r="A554" s="5"/>
      <c r="B554" s="5"/>
      <c r="C554" s="5"/>
      <c r="D554" s="5"/>
      <c r="E554" s="14"/>
      <c r="F554" s="15"/>
      <c r="G554" s="14"/>
      <c r="H554" s="16"/>
      <c r="I554" s="14"/>
      <c r="J554" s="16"/>
      <c r="K554" s="14"/>
      <c r="L554" s="16"/>
      <c r="M554" s="14"/>
      <c r="N554" s="16"/>
      <c r="O554" s="14"/>
      <c r="P554" s="16"/>
      <c r="Q554" s="14"/>
      <c r="R554" s="5"/>
      <c r="S554" s="14"/>
      <c r="T554" s="16"/>
      <c r="U554" s="16"/>
      <c r="V554" s="17"/>
      <c r="W554" s="6"/>
      <c r="X554" s="22"/>
      <c r="Y554" s="14"/>
      <c r="Z554" s="14"/>
      <c r="AA554" s="14"/>
      <c r="AB554" s="14"/>
      <c r="AC554" s="14"/>
      <c r="AD554" s="14"/>
      <c r="AE554" s="14"/>
      <c r="AF554" s="14"/>
      <c r="AG554" s="19"/>
      <c r="AH554" s="20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</row>
    <row r="555" ht="15.75" customHeight="1">
      <c r="A555" s="5"/>
      <c r="B555" s="5"/>
      <c r="C555" s="5"/>
      <c r="D555" s="5"/>
      <c r="E555" s="14"/>
      <c r="F555" s="15"/>
      <c r="G555" s="14"/>
      <c r="H555" s="16"/>
      <c r="I555" s="14"/>
      <c r="J555" s="16"/>
      <c r="K555" s="14"/>
      <c r="L555" s="16"/>
      <c r="M555" s="14"/>
      <c r="N555" s="16"/>
      <c r="O555" s="14"/>
      <c r="P555" s="16"/>
      <c r="Q555" s="14"/>
      <c r="R555" s="5"/>
      <c r="S555" s="14"/>
      <c r="T555" s="16"/>
      <c r="U555" s="16"/>
      <c r="V555" s="17"/>
      <c r="W555" s="6"/>
      <c r="X555" s="22"/>
      <c r="Y555" s="14"/>
      <c r="Z555" s="14"/>
      <c r="AA555" s="14"/>
      <c r="AB555" s="14"/>
      <c r="AC555" s="14"/>
      <c r="AD555" s="14"/>
      <c r="AE555" s="14"/>
      <c r="AF555" s="14"/>
      <c r="AG555" s="19"/>
      <c r="AH555" s="20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</row>
    <row r="556" ht="15.75" customHeight="1">
      <c r="A556" s="5"/>
      <c r="B556" s="5"/>
      <c r="C556" s="5"/>
      <c r="D556" s="5"/>
      <c r="E556" s="14"/>
      <c r="F556" s="15"/>
      <c r="G556" s="14"/>
      <c r="H556" s="16"/>
      <c r="I556" s="14"/>
      <c r="J556" s="16"/>
      <c r="K556" s="14"/>
      <c r="L556" s="16"/>
      <c r="M556" s="14"/>
      <c r="N556" s="16"/>
      <c r="O556" s="14"/>
      <c r="P556" s="16"/>
      <c r="Q556" s="14"/>
      <c r="R556" s="5"/>
      <c r="S556" s="14"/>
      <c r="T556" s="16"/>
      <c r="U556" s="16"/>
      <c r="V556" s="17"/>
      <c r="W556" s="6"/>
      <c r="X556" s="22"/>
      <c r="Y556" s="14"/>
      <c r="Z556" s="14"/>
      <c r="AA556" s="14"/>
      <c r="AB556" s="14"/>
      <c r="AC556" s="14"/>
      <c r="AD556" s="14"/>
      <c r="AE556" s="14"/>
      <c r="AF556" s="14"/>
      <c r="AG556" s="19"/>
      <c r="AH556" s="20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</row>
    <row r="557" ht="15.75" customHeight="1">
      <c r="A557" s="5"/>
      <c r="B557" s="5"/>
      <c r="C557" s="5"/>
      <c r="D557" s="5"/>
      <c r="E557" s="14"/>
      <c r="F557" s="15"/>
      <c r="G557" s="14"/>
      <c r="H557" s="16"/>
      <c r="I557" s="14"/>
      <c r="J557" s="16"/>
      <c r="K557" s="14"/>
      <c r="L557" s="16"/>
      <c r="M557" s="14"/>
      <c r="N557" s="16"/>
      <c r="O557" s="14"/>
      <c r="P557" s="16"/>
      <c r="Q557" s="14"/>
      <c r="R557" s="5"/>
      <c r="S557" s="14"/>
      <c r="T557" s="16"/>
      <c r="U557" s="16"/>
      <c r="V557" s="17"/>
      <c r="W557" s="6"/>
      <c r="X557" s="22"/>
      <c r="Y557" s="14"/>
      <c r="Z557" s="14"/>
      <c r="AA557" s="14"/>
      <c r="AB557" s="14"/>
      <c r="AC557" s="14"/>
      <c r="AD557" s="14"/>
      <c r="AE557" s="14"/>
      <c r="AF557" s="14"/>
      <c r="AG557" s="19"/>
      <c r="AH557" s="20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</row>
    <row r="558" ht="15.75" customHeight="1">
      <c r="A558" s="5"/>
      <c r="B558" s="5"/>
      <c r="C558" s="5"/>
      <c r="D558" s="5"/>
      <c r="E558" s="14"/>
      <c r="F558" s="15"/>
      <c r="G558" s="14"/>
      <c r="H558" s="16"/>
      <c r="I558" s="14"/>
      <c r="J558" s="16"/>
      <c r="K558" s="14"/>
      <c r="L558" s="16"/>
      <c r="M558" s="14"/>
      <c r="N558" s="16"/>
      <c r="O558" s="14"/>
      <c r="P558" s="16"/>
      <c r="Q558" s="14"/>
      <c r="R558" s="5"/>
      <c r="S558" s="14"/>
      <c r="T558" s="16"/>
      <c r="U558" s="16"/>
      <c r="V558" s="17"/>
      <c r="W558" s="6"/>
      <c r="X558" s="22"/>
      <c r="Y558" s="14"/>
      <c r="Z558" s="14"/>
      <c r="AA558" s="14"/>
      <c r="AB558" s="14"/>
      <c r="AC558" s="14"/>
      <c r="AD558" s="14"/>
      <c r="AE558" s="14"/>
      <c r="AF558" s="14"/>
      <c r="AG558" s="19"/>
      <c r="AH558" s="20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</row>
    <row r="559" ht="15.75" customHeight="1">
      <c r="A559" s="5"/>
      <c r="B559" s="5"/>
      <c r="C559" s="5"/>
      <c r="D559" s="5"/>
      <c r="E559" s="14"/>
      <c r="F559" s="15"/>
      <c r="G559" s="14"/>
      <c r="H559" s="16"/>
      <c r="I559" s="14"/>
      <c r="J559" s="16"/>
      <c r="K559" s="14"/>
      <c r="L559" s="16"/>
      <c r="M559" s="14"/>
      <c r="N559" s="16"/>
      <c r="O559" s="14"/>
      <c r="P559" s="16"/>
      <c r="Q559" s="14"/>
      <c r="R559" s="5"/>
      <c r="S559" s="14"/>
      <c r="T559" s="16"/>
      <c r="U559" s="16"/>
      <c r="V559" s="17"/>
      <c r="W559" s="6"/>
      <c r="X559" s="22"/>
      <c r="Y559" s="14"/>
      <c r="Z559" s="14"/>
      <c r="AA559" s="14"/>
      <c r="AB559" s="14"/>
      <c r="AC559" s="14"/>
      <c r="AD559" s="14"/>
      <c r="AE559" s="14"/>
      <c r="AF559" s="14"/>
      <c r="AG559" s="19"/>
      <c r="AH559" s="20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</row>
    <row r="560" ht="15.75" customHeight="1">
      <c r="A560" s="5"/>
      <c r="B560" s="5"/>
      <c r="C560" s="5"/>
      <c r="D560" s="5"/>
      <c r="E560" s="14"/>
      <c r="F560" s="15"/>
      <c r="G560" s="14"/>
      <c r="H560" s="16"/>
      <c r="I560" s="14"/>
      <c r="J560" s="16"/>
      <c r="K560" s="14"/>
      <c r="L560" s="16"/>
      <c r="M560" s="14"/>
      <c r="N560" s="16"/>
      <c r="O560" s="14"/>
      <c r="P560" s="16"/>
      <c r="Q560" s="14"/>
      <c r="R560" s="5"/>
      <c r="S560" s="14"/>
      <c r="T560" s="16"/>
      <c r="U560" s="16"/>
      <c r="V560" s="17"/>
      <c r="W560" s="6"/>
      <c r="X560" s="22"/>
      <c r="Y560" s="14"/>
      <c r="Z560" s="14"/>
      <c r="AA560" s="14"/>
      <c r="AB560" s="14"/>
      <c r="AC560" s="14"/>
      <c r="AD560" s="14"/>
      <c r="AE560" s="14"/>
      <c r="AF560" s="14"/>
      <c r="AG560" s="19"/>
      <c r="AH560" s="20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</row>
    <row r="561" ht="15.75" customHeight="1">
      <c r="A561" s="5"/>
      <c r="B561" s="5"/>
      <c r="C561" s="5"/>
      <c r="D561" s="5"/>
      <c r="E561" s="14"/>
      <c r="F561" s="15"/>
      <c r="G561" s="14"/>
      <c r="H561" s="16"/>
      <c r="I561" s="14"/>
      <c r="J561" s="16"/>
      <c r="K561" s="14"/>
      <c r="L561" s="16"/>
      <c r="M561" s="14"/>
      <c r="N561" s="16"/>
      <c r="O561" s="14"/>
      <c r="P561" s="16"/>
      <c r="Q561" s="14"/>
      <c r="R561" s="5"/>
      <c r="S561" s="14"/>
      <c r="T561" s="16"/>
      <c r="U561" s="16"/>
      <c r="V561" s="17"/>
      <c r="W561" s="6"/>
      <c r="X561" s="22"/>
      <c r="Y561" s="14"/>
      <c r="Z561" s="14"/>
      <c r="AA561" s="14"/>
      <c r="AB561" s="14"/>
      <c r="AC561" s="14"/>
      <c r="AD561" s="14"/>
      <c r="AE561" s="14"/>
      <c r="AF561" s="14"/>
      <c r="AG561" s="19"/>
      <c r="AH561" s="20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</row>
    <row r="562" ht="15.75" customHeight="1">
      <c r="A562" s="5"/>
      <c r="B562" s="5"/>
      <c r="C562" s="5"/>
      <c r="D562" s="5"/>
      <c r="E562" s="14"/>
      <c r="F562" s="15"/>
      <c r="G562" s="14"/>
      <c r="H562" s="16"/>
      <c r="I562" s="14"/>
      <c r="J562" s="16"/>
      <c r="K562" s="14"/>
      <c r="L562" s="16"/>
      <c r="M562" s="14"/>
      <c r="N562" s="16"/>
      <c r="O562" s="14"/>
      <c r="P562" s="16"/>
      <c r="Q562" s="14"/>
      <c r="R562" s="5"/>
      <c r="S562" s="14"/>
      <c r="T562" s="16"/>
      <c r="U562" s="16"/>
      <c r="V562" s="17"/>
      <c r="W562" s="6"/>
      <c r="X562" s="22"/>
      <c r="Y562" s="14"/>
      <c r="Z562" s="14"/>
      <c r="AA562" s="14"/>
      <c r="AB562" s="14"/>
      <c r="AC562" s="14"/>
      <c r="AD562" s="14"/>
      <c r="AE562" s="14"/>
      <c r="AF562" s="14"/>
      <c r="AG562" s="19"/>
      <c r="AH562" s="20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</row>
    <row r="563" ht="15.75" customHeight="1">
      <c r="A563" s="5"/>
      <c r="B563" s="5"/>
      <c r="C563" s="5"/>
      <c r="D563" s="5"/>
      <c r="E563" s="14"/>
      <c r="F563" s="15"/>
      <c r="G563" s="14"/>
      <c r="H563" s="16"/>
      <c r="I563" s="14"/>
      <c r="J563" s="16"/>
      <c r="K563" s="14"/>
      <c r="L563" s="16"/>
      <c r="M563" s="14"/>
      <c r="N563" s="16"/>
      <c r="O563" s="14"/>
      <c r="P563" s="16"/>
      <c r="Q563" s="14"/>
      <c r="R563" s="5"/>
      <c r="S563" s="14"/>
      <c r="T563" s="16"/>
      <c r="U563" s="16"/>
      <c r="V563" s="17"/>
      <c r="W563" s="6"/>
      <c r="X563" s="22"/>
      <c r="Y563" s="14"/>
      <c r="Z563" s="14"/>
      <c r="AA563" s="14"/>
      <c r="AB563" s="14"/>
      <c r="AC563" s="14"/>
      <c r="AD563" s="14"/>
      <c r="AE563" s="14"/>
      <c r="AF563" s="14"/>
      <c r="AG563" s="19"/>
      <c r="AH563" s="20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</row>
    <row r="564" ht="15.75" customHeight="1">
      <c r="A564" s="5"/>
      <c r="B564" s="5"/>
      <c r="C564" s="5"/>
      <c r="D564" s="5"/>
      <c r="E564" s="14"/>
      <c r="F564" s="15"/>
      <c r="G564" s="14"/>
      <c r="H564" s="16"/>
      <c r="I564" s="14"/>
      <c r="J564" s="16"/>
      <c r="K564" s="14"/>
      <c r="L564" s="16"/>
      <c r="M564" s="14"/>
      <c r="N564" s="16"/>
      <c r="O564" s="14"/>
      <c r="P564" s="16"/>
      <c r="Q564" s="14"/>
      <c r="R564" s="5"/>
      <c r="S564" s="14"/>
      <c r="T564" s="16"/>
      <c r="U564" s="16"/>
      <c r="V564" s="17"/>
      <c r="W564" s="6"/>
      <c r="X564" s="22"/>
      <c r="Y564" s="14"/>
      <c r="Z564" s="14"/>
      <c r="AA564" s="14"/>
      <c r="AB564" s="14"/>
      <c r="AC564" s="14"/>
      <c r="AD564" s="14"/>
      <c r="AE564" s="14"/>
      <c r="AF564" s="14"/>
      <c r="AG564" s="19"/>
      <c r="AH564" s="20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</row>
    <row r="565" ht="15.75" customHeight="1">
      <c r="A565" s="5"/>
      <c r="B565" s="5"/>
      <c r="C565" s="5"/>
      <c r="D565" s="5"/>
      <c r="E565" s="14"/>
      <c r="F565" s="15"/>
      <c r="G565" s="14"/>
      <c r="H565" s="16"/>
      <c r="I565" s="14"/>
      <c r="J565" s="16"/>
      <c r="K565" s="14"/>
      <c r="L565" s="16"/>
      <c r="M565" s="14"/>
      <c r="N565" s="16"/>
      <c r="O565" s="14"/>
      <c r="P565" s="16"/>
      <c r="Q565" s="14"/>
      <c r="R565" s="5"/>
      <c r="S565" s="14"/>
      <c r="T565" s="16"/>
      <c r="U565" s="16"/>
      <c r="V565" s="17"/>
      <c r="W565" s="6"/>
      <c r="X565" s="22"/>
      <c r="Y565" s="14"/>
      <c r="Z565" s="14"/>
      <c r="AA565" s="14"/>
      <c r="AB565" s="14"/>
      <c r="AC565" s="14"/>
      <c r="AD565" s="14"/>
      <c r="AE565" s="14"/>
      <c r="AF565" s="14"/>
      <c r="AG565" s="19"/>
      <c r="AH565" s="20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</row>
    <row r="566" ht="15.75" customHeight="1">
      <c r="A566" s="5"/>
      <c r="B566" s="5"/>
      <c r="C566" s="5"/>
      <c r="D566" s="5"/>
      <c r="E566" s="14"/>
      <c r="F566" s="15"/>
      <c r="G566" s="14"/>
      <c r="H566" s="16"/>
      <c r="I566" s="14"/>
      <c r="J566" s="16"/>
      <c r="K566" s="14"/>
      <c r="L566" s="16"/>
      <c r="M566" s="14"/>
      <c r="N566" s="16"/>
      <c r="O566" s="14"/>
      <c r="P566" s="16"/>
      <c r="Q566" s="14"/>
      <c r="R566" s="5"/>
      <c r="S566" s="14"/>
      <c r="T566" s="16"/>
      <c r="U566" s="16"/>
      <c r="V566" s="17"/>
      <c r="W566" s="6"/>
      <c r="X566" s="22"/>
      <c r="Y566" s="14"/>
      <c r="Z566" s="14"/>
      <c r="AA566" s="14"/>
      <c r="AB566" s="14"/>
      <c r="AC566" s="14"/>
      <c r="AD566" s="14"/>
      <c r="AE566" s="14"/>
      <c r="AF566" s="14"/>
      <c r="AG566" s="19"/>
      <c r="AH566" s="20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</row>
    <row r="567" ht="15.75" customHeight="1">
      <c r="A567" s="5"/>
      <c r="B567" s="5"/>
      <c r="C567" s="5"/>
      <c r="D567" s="5"/>
      <c r="E567" s="14"/>
      <c r="F567" s="15"/>
      <c r="G567" s="14"/>
      <c r="H567" s="16"/>
      <c r="I567" s="14"/>
      <c r="J567" s="16"/>
      <c r="K567" s="14"/>
      <c r="L567" s="16"/>
      <c r="M567" s="14"/>
      <c r="N567" s="16"/>
      <c r="O567" s="14"/>
      <c r="P567" s="16"/>
      <c r="Q567" s="14"/>
      <c r="R567" s="5"/>
      <c r="S567" s="14"/>
      <c r="T567" s="16"/>
      <c r="U567" s="16"/>
      <c r="V567" s="17"/>
      <c r="W567" s="6"/>
      <c r="X567" s="22"/>
      <c r="Y567" s="14"/>
      <c r="Z567" s="14"/>
      <c r="AA567" s="14"/>
      <c r="AB567" s="14"/>
      <c r="AC567" s="14"/>
      <c r="AD567" s="14"/>
      <c r="AE567" s="14"/>
      <c r="AF567" s="14"/>
      <c r="AG567" s="19"/>
      <c r="AH567" s="20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</row>
    <row r="568" ht="15.75" customHeight="1">
      <c r="A568" s="5"/>
      <c r="B568" s="5"/>
      <c r="C568" s="5"/>
      <c r="D568" s="5"/>
      <c r="E568" s="14"/>
      <c r="F568" s="15"/>
      <c r="G568" s="14"/>
      <c r="H568" s="16"/>
      <c r="I568" s="14"/>
      <c r="J568" s="16"/>
      <c r="K568" s="14"/>
      <c r="L568" s="16"/>
      <c r="M568" s="14"/>
      <c r="N568" s="16"/>
      <c r="O568" s="14"/>
      <c r="P568" s="16"/>
      <c r="Q568" s="14"/>
      <c r="R568" s="5"/>
      <c r="S568" s="14"/>
      <c r="T568" s="16"/>
      <c r="U568" s="16"/>
      <c r="V568" s="17"/>
      <c r="W568" s="6"/>
      <c r="X568" s="22"/>
      <c r="Y568" s="14"/>
      <c r="Z568" s="14"/>
      <c r="AA568" s="14"/>
      <c r="AB568" s="14"/>
      <c r="AC568" s="14"/>
      <c r="AD568" s="14"/>
      <c r="AE568" s="14"/>
      <c r="AF568" s="14"/>
      <c r="AG568" s="19"/>
      <c r="AH568" s="20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</row>
    <row r="569" ht="15.75" customHeight="1">
      <c r="A569" s="5"/>
      <c r="B569" s="5"/>
      <c r="C569" s="5"/>
      <c r="D569" s="5"/>
      <c r="E569" s="14"/>
      <c r="F569" s="15"/>
      <c r="G569" s="14"/>
      <c r="H569" s="16"/>
      <c r="I569" s="14"/>
      <c r="J569" s="16"/>
      <c r="K569" s="14"/>
      <c r="L569" s="16"/>
      <c r="M569" s="14"/>
      <c r="N569" s="16"/>
      <c r="O569" s="14"/>
      <c r="P569" s="16"/>
      <c r="Q569" s="14"/>
      <c r="R569" s="5"/>
      <c r="S569" s="14"/>
      <c r="T569" s="16"/>
      <c r="U569" s="16"/>
      <c r="V569" s="17"/>
      <c r="W569" s="6"/>
      <c r="X569" s="22"/>
      <c r="Y569" s="14"/>
      <c r="Z569" s="14"/>
      <c r="AA569" s="14"/>
      <c r="AB569" s="14"/>
      <c r="AC569" s="14"/>
      <c r="AD569" s="14"/>
      <c r="AE569" s="14"/>
      <c r="AF569" s="14"/>
      <c r="AG569" s="19"/>
      <c r="AH569" s="20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</row>
    <row r="570" ht="15.75" customHeight="1">
      <c r="A570" s="5"/>
      <c r="B570" s="5"/>
      <c r="C570" s="5"/>
      <c r="D570" s="5"/>
      <c r="E570" s="14"/>
      <c r="F570" s="15"/>
      <c r="G570" s="14"/>
      <c r="H570" s="16"/>
      <c r="I570" s="14"/>
      <c r="J570" s="16"/>
      <c r="K570" s="14"/>
      <c r="L570" s="16"/>
      <c r="M570" s="14"/>
      <c r="N570" s="16"/>
      <c r="O570" s="14"/>
      <c r="P570" s="16"/>
      <c r="Q570" s="14"/>
      <c r="R570" s="5"/>
      <c r="S570" s="14"/>
      <c r="T570" s="16"/>
      <c r="U570" s="16"/>
      <c r="V570" s="17"/>
      <c r="W570" s="6"/>
      <c r="X570" s="22"/>
      <c r="Y570" s="14"/>
      <c r="Z570" s="14"/>
      <c r="AA570" s="14"/>
      <c r="AB570" s="14"/>
      <c r="AC570" s="14"/>
      <c r="AD570" s="14"/>
      <c r="AE570" s="14"/>
      <c r="AF570" s="14"/>
      <c r="AG570" s="19"/>
      <c r="AH570" s="20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</row>
    <row r="571" ht="15.75" customHeight="1">
      <c r="A571" s="5"/>
      <c r="B571" s="5"/>
      <c r="C571" s="5"/>
      <c r="D571" s="5"/>
      <c r="E571" s="14"/>
      <c r="F571" s="15"/>
      <c r="G571" s="14"/>
      <c r="H571" s="16"/>
      <c r="I571" s="14"/>
      <c r="J571" s="16"/>
      <c r="K571" s="14"/>
      <c r="L571" s="16"/>
      <c r="M571" s="14"/>
      <c r="N571" s="16"/>
      <c r="O571" s="14"/>
      <c r="P571" s="16"/>
      <c r="Q571" s="14"/>
      <c r="R571" s="5"/>
      <c r="S571" s="14"/>
      <c r="T571" s="16"/>
      <c r="U571" s="16"/>
      <c r="V571" s="17"/>
      <c r="W571" s="6"/>
      <c r="X571" s="22"/>
      <c r="Y571" s="14"/>
      <c r="Z571" s="14"/>
      <c r="AA571" s="14"/>
      <c r="AB571" s="14"/>
      <c r="AC571" s="14"/>
      <c r="AD571" s="14"/>
      <c r="AE571" s="14"/>
      <c r="AF571" s="14"/>
      <c r="AG571" s="19"/>
      <c r="AH571" s="20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</row>
    <row r="572" ht="15.75" customHeight="1">
      <c r="A572" s="5"/>
      <c r="B572" s="5"/>
      <c r="C572" s="5"/>
      <c r="D572" s="5"/>
      <c r="E572" s="14"/>
      <c r="F572" s="15"/>
      <c r="G572" s="14"/>
      <c r="H572" s="16"/>
      <c r="I572" s="14"/>
      <c r="J572" s="16"/>
      <c r="K572" s="14"/>
      <c r="L572" s="16"/>
      <c r="M572" s="14"/>
      <c r="N572" s="16"/>
      <c r="O572" s="14"/>
      <c r="P572" s="16"/>
      <c r="Q572" s="14"/>
      <c r="R572" s="5"/>
      <c r="S572" s="14"/>
      <c r="T572" s="16"/>
      <c r="U572" s="16"/>
      <c r="V572" s="17"/>
      <c r="W572" s="6"/>
      <c r="X572" s="22"/>
      <c r="Y572" s="14"/>
      <c r="Z572" s="14"/>
      <c r="AA572" s="14"/>
      <c r="AB572" s="14"/>
      <c r="AC572" s="14"/>
      <c r="AD572" s="14"/>
      <c r="AE572" s="14"/>
      <c r="AF572" s="14"/>
      <c r="AG572" s="19"/>
      <c r="AH572" s="20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</row>
    <row r="573" ht="15.75" customHeight="1">
      <c r="A573" s="5"/>
      <c r="B573" s="5"/>
      <c r="C573" s="5"/>
      <c r="D573" s="5"/>
      <c r="E573" s="14"/>
      <c r="F573" s="15"/>
      <c r="G573" s="14"/>
      <c r="H573" s="16"/>
      <c r="I573" s="14"/>
      <c r="J573" s="16"/>
      <c r="K573" s="14"/>
      <c r="L573" s="16"/>
      <c r="M573" s="14"/>
      <c r="N573" s="16"/>
      <c r="O573" s="14"/>
      <c r="P573" s="16"/>
      <c r="Q573" s="14"/>
      <c r="R573" s="5"/>
      <c r="S573" s="14"/>
      <c r="T573" s="16"/>
      <c r="U573" s="16"/>
      <c r="V573" s="17"/>
      <c r="W573" s="6"/>
      <c r="X573" s="22"/>
      <c r="Y573" s="14"/>
      <c r="Z573" s="14"/>
      <c r="AA573" s="14"/>
      <c r="AB573" s="14"/>
      <c r="AC573" s="14"/>
      <c r="AD573" s="14"/>
      <c r="AE573" s="14"/>
      <c r="AF573" s="14"/>
      <c r="AG573" s="19"/>
      <c r="AH573" s="20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</row>
    <row r="574" ht="15.75" customHeight="1">
      <c r="A574" s="5"/>
      <c r="B574" s="5"/>
      <c r="C574" s="5"/>
      <c r="D574" s="5"/>
      <c r="E574" s="14"/>
      <c r="F574" s="15"/>
      <c r="G574" s="14"/>
      <c r="H574" s="16"/>
      <c r="I574" s="14"/>
      <c r="J574" s="16"/>
      <c r="K574" s="14"/>
      <c r="L574" s="16"/>
      <c r="M574" s="14"/>
      <c r="N574" s="16"/>
      <c r="O574" s="14"/>
      <c r="P574" s="16"/>
      <c r="Q574" s="14"/>
      <c r="R574" s="5"/>
      <c r="S574" s="14"/>
      <c r="T574" s="16"/>
      <c r="U574" s="16"/>
      <c r="V574" s="17"/>
      <c r="W574" s="6"/>
      <c r="X574" s="22"/>
      <c r="Y574" s="14"/>
      <c r="Z574" s="14"/>
      <c r="AA574" s="14"/>
      <c r="AB574" s="14"/>
      <c r="AC574" s="14"/>
      <c r="AD574" s="14"/>
      <c r="AE574" s="14"/>
      <c r="AF574" s="14"/>
      <c r="AG574" s="19"/>
      <c r="AH574" s="20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</row>
    <row r="575" ht="15.75" customHeight="1">
      <c r="A575" s="5"/>
      <c r="B575" s="5"/>
      <c r="C575" s="5"/>
      <c r="D575" s="5"/>
      <c r="E575" s="14"/>
      <c r="F575" s="15"/>
      <c r="G575" s="14"/>
      <c r="H575" s="16"/>
      <c r="I575" s="14"/>
      <c r="J575" s="16"/>
      <c r="K575" s="14"/>
      <c r="L575" s="16"/>
      <c r="M575" s="14"/>
      <c r="N575" s="16"/>
      <c r="O575" s="14"/>
      <c r="P575" s="16"/>
      <c r="Q575" s="14"/>
      <c r="R575" s="5"/>
      <c r="S575" s="14"/>
      <c r="T575" s="16"/>
      <c r="U575" s="16"/>
      <c r="V575" s="17"/>
      <c r="W575" s="6"/>
      <c r="X575" s="22"/>
      <c r="Y575" s="14"/>
      <c r="Z575" s="14"/>
      <c r="AA575" s="14"/>
      <c r="AB575" s="14"/>
      <c r="AC575" s="14"/>
      <c r="AD575" s="14"/>
      <c r="AE575" s="14"/>
      <c r="AF575" s="14"/>
      <c r="AG575" s="19"/>
      <c r="AH575" s="20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</row>
    <row r="576" ht="15.75" customHeight="1">
      <c r="A576" s="5"/>
      <c r="B576" s="5"/>
      <c r="C576" s="5"/>
      <c r="D576" s="5"/>
      <c r="E576" s="14"/>
      <c r="F576" s="15"/>
      <c r="G576" s="14"/>
      <c r="H576" s="16"/>
      <c r="I576" s="14"/>
      <c r="J576" s="16"/>
      <c r="K576" s="14"/>
      <c r="L576" s="16"/>
      <c r="M576" s="14"/>
      <c r="N576" s="16"/>
      <c r="O576" s="14"/>
      <c r="P576" s="16"/>
      <c r="Q576" s="14"/>
      <c r="R576" s="5"/>
      <c r="S576" s="14"/>
      <c r="T576" s="16"/>
      <c r="U576" s="16"/>
      <c r="V576" s="17"/>
      <c r="W576" s="6"/>
      <c r="X576" s="22"/>
      <c r="Y576" s="14"/>
      <c r="Z576" s="14"/>
      <c r="AA576" s="14"/>
      <c r="AB576" s="14"/>
      <c r="AC576" s="14"/>
      <c r="AD576" s="14"/>
      <c r="AE576" s="14"/>
      <c r="AF576" s="14"/>
      <c r="AG576" s="19"/>
      <c r="AH576" s="20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</row>
    <row r="577" ht="15.75" customHeight="1">
      <c r="A577" s="5"/>
      <c r="B577" s="5"/>
      <c r="C577" s="5"/>
      <c r="D577" s="5"/>
      <c r="E577" s="14"/>
      <c r="F577" s="15"/>
      <c r="G577" s="14"/>
      <c r="H577" s="16"/>
      <c r="I577" s="14"/>
      <c r="J577" s="16"/>
      <c r="K577" s="14"/>
      <c r="L577" s="16"/>
      <c r="M577" s="14"/>
      <c r="N577" s="16"/>
      <c r="O577" s="14"/>
      <c r="P577" s="16"/>
      <c r="Q577" s="14"/>
      <c r="R577" s="5"/>
      <c r="S577" s="14"/>
      <c r="T577" s="16"/>
      <c r="U577" s="16"/>
      <c r="V577" s="17"/>
      <c r="W577" s="6"/>
      <c r="X577" s="22"/>
      <c r="Y577" s="14"/>
      <c r="Z577" s="14"/>
      <c r="AA577" s="14"/>
      <c r="AB577" s="14"/>
      <c r="AC577" s="14"/>
      <c r="AD577" s="14"/>
      <c r="AE577" s="14"/>
      <c r="AF577" s="14"/>
      <c r="AG577" s="19"/>
      <c r="AH577" s="20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</row>
    <row r="578" ht="15.75" customHeight="1">
      <c r="A578" s="5"/>
      <c r="B578" s="5"/>
      <c r="C578" s="5"/>
      <c r="D578" s="5"/>
      <c r="E578" s="14"/>
      <c r="F578" s="15"/>
      <c r="G578" s="14"/>
      <c r="H578" s="16"/>
      <c r="I578" s="14"/>
      <c r="J578" s="16"/>
      <c r="K578" s="14"/>
      <c r="L578" s="16"/>
      <c r="M578" s="14"/>
      <c r="N578" s="16"/>
      <c r="O578" s="14"/>
      <c r="P578" s="16"/>
      <c r="Q578" s="14"/>
      <c r="R578" s="5"/>
      <c r="S578" s="14"/>
      <c r="T578" s="16"/>
      <c r="U578" s="16"/>
      <c r="V578" s="17"/>
      <c r="W578" s="6"/>
      <c r="X578" s="22"/>
      <c r="Y578" s="14"/>
      <c r="Z578" s="14"/>
      <c r="AA578" s="14"/>
      <c r="AB578" s="14"/>
      <c r="AC578" s="14"/>
      <c r="AD578" s="14"/>
      <c r="AE578" s="14"/>
      <c r="AF578" s="14"/>
      <c r="AG578" s="19"/>
      <c r="AH578" s="20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</row>
    <row r="579" ht="15.75" customHeight="1">
      <c r="A579" s="5"/>
      <c r="B579" s="5"/>
      <c r="C579" s="5"/>
      <c r="D579" s="5"/>
      <c r="E579" s="14"/>
      <c r="F579" s="15"/>
      <c r="G579" s="14"/>
      <c r="H579" s="16"/>
      <c r="I579" s="14"/>
      <c r="J579" s="16"/>
      <c r="K579" s="14"/>
      <c r="L579" s="16"/>
      <c r="M579" s="14"/>
      <c r="N579" s="16"/>
      <c r="O579" s="14"/>
      <c r="P579" s="16"/>
      <c r="Q579" s="14"/>
      <c r="R579" s="5"/>
      <c r="S579" s="14"/>
      <c r="T579" s="16"/>
      <c r="U579" s="16"/>
      <c r="V579" s="17"/>
      <c r="W579" s="6"/>
      <c r="X579" s="22"/>
      <c r="Y579" s="14"/>
      <c r="Z579" s="14"/>
      <c r="AA579" s="14"/>
      <c r="AB579" s="14"/>
      <c r="AC579" s="14"/>
      <c r="AD579" s="14"/>
      <c r="AE579" s="14"/>
      <c r="AF579" s="14"/>
      <c r="AG579" s="19"/>
      <c r="AH579" s="20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</row>
    <row r="580" ht="15.75" customHeight="1">
      <c r="A580" s="5"/>
      <c r="B580" s="5"/>
      <c r="C580" s="5"/>
      <c r="D580" s="5"/>
      <c r="E580" s="14"/>
      <c r="F580" s="15"/>
      <c r="G580" s="14"/>
      <c r="H580" s="16"/>
      <c r="I580" s="14"/>
      <c r="J580" s="16"/>
      <c r="K580" s="14"/>
      <c r="L580" s="16"/>
      <c r="M580" s="14"/>
      <c r="N580" s="16"/>
      <c r="O580" s="14"/>
      <c r="P580" s="16"/>
      <c r="Q580" s="14"/>
      <c r="R580" s="5"/>
      <c r="S580" s="14"/>
      <c r="T580" s="16"/>
      <c r="U580" s="16"/>
      <c r="V580" s="17"/>
      <c r="W580" s="6"/>
      <c r="X580" s="22"/>
      <c r="Y580" s="14"/>
      <c r="Z580" s="14"/>
      <c r="AA580" s="14"/>
      <c r="AB580" s="14"/>
      <c r="AC580" s="14"/>
      <c r="AD580" s="14"/>
      <c r="AE580" s="14"/>
      <c r="AF580" s="14"/>
      <c r="AG580" s="19"/>
      <c r="AH580" s="20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</row>
    <row r="581" ht="15.75" customHeight="1">
      <c r="A581" s="5"/>
      <c r="B581" s="5"/>
      <c r="C581" s="5"/>
      <c r="D581" s="5"/>
      <c r="E581" s="14"/>
      <c r="F581" s="15"/>
      <c r="G581" s="14"/>
      <c r="H581" s="16"/>
      <c r="I581" s="14"/>
      <c r="J581" s="16"/>
      <c r="K581" s="14"/>
      <c r="L581" s="16"/>
      <c r="M581" s="14"/>
      <c r="N581" s="16"/>
      <c r="O581" s="14"/>
      <c r="P581" s="16"/>
      <c r="Q581" s="14"/>
      <c r="R581" s="5"/>
      <c r="S581" s="14"/>
      <c r="T581" s="16"/>
      <c r="U581" s="16"/>
      <c r="V581" s="17"/>
      <c r="W581" s="6"/>
      <c r="X581" s="22"/>
      <c r="Y581" s="14"/>
      <c r="Z581" s="14"/>
      <c r="AA581" s="14"/>
      <c r="AB581" s="14"/>
      <c r="AC581" s="14"/>
      <c r="AD581" s="14"/>
      <c r="AE581" s="14"/>
      <c r="AF581" s="14"/>
      <c r="AG581" s="19"/>
      <c r="AH581" s="20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</row>
    <row r="582" ht="15.75" customHeight="1">
      <c r="A582" s="5"/>
      <c r="B582" s="5"/>
      <c r="C582" s="5"/>
      <c r="D582" s="5"/>
      <c r="E582" s="14"/>
      <c r="F582" s="15"/>
      <c r="G582" s="14"/>
      <c r="H582" s="16"/>
      <c r="I582" s="14"/>
      <c r="J582" s="16"/>
      <c r="K582" s="14"/>
      <c r="L582" s="16"/>
      <c r="M582" s="14"/>
      <c r="N582" s="16"/>
      <c r="O582" s="14"/>
      <c r="P582" s="16"/>
      <c r="Q582" s="14"/>
      <c r="R582" s="5"/>
      <c r="S582" s="14"/>
      <c r="T582" s="16"/>
      <c r="U582" s="16"/>
      <c r="V582" s="17"/>
      <c r="W582" s="6"/>
      <c r="X582" s="22"/>
      <c r="Y582" s="14"/>
      <c r="Z582" s="14"/>
      <c r="AA582" s="14"/>
      <c r="AB582" s="14"/>
      <c r="AC582" s="14"/>
      <c r="AD582" s="14"/>
      <c r="AE582" s="14"/>
      <c r="AF582" s="14"/>
      <c r="AG582" s="19"/>
      <c r="AH582" s="20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</row>
    <row r="583" ht="15.75" customHeight="1">
      <c r="A583" s="5"/>
      <c r="B583" s="5"/>
      <c r="C583" s="5"/>
      <c r="D583" s="5"/>
      <c r="E583" s="14"/>
      <c r="F583" s="15"/>
      <c r="G583" s="14"/>
      <c r="H583" s="16"/>
      <c r="I583" s="14"/>
      <c r="J583" s="16"/>
      <c r="K583" s="14"/>
      <c r="L583" s="16"/>
      <c r="M583" s="14"/>
      <c r="N583" s="16"/>
      <c r="O583" s="14"/>
      <c r="P583" s="16"/>
      <c r="Q583" s="14"/>
      <c r="R583" s="5"/>
      <c r="S583" s="14"/>
      <c r="T583" s="16"/>
      <c r="U583" s="16"/>
      <c r="V583" s="17"/>
      <c r="W583" s="6"/>
      <c r="X583" s="22"/>
      <c r="Y583" s="14"/>
      <c r="Z583" s="14"/>
      <c r="AA583" s="14"/>
      <c r="AB583" s="14"/>
      <c r="AC583" s="14"/>
      <c r="AD583" s="14"/>
      <c r="AE583" s="14"/>
      <c r="AF583" s="14"/>
      <c r="AG583" s="19"/>
      <c r="AH583" s="20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</row>
    <row r="584" ht="15.75" customHeight="1">
      <c r="A584" s="5"/>
      <c r="B584" s="5"/>
      <c r="C584" s="5"/>
      <c r="D584" s="5"/>
      <c r="E584" s="14"/>
      <c r="F584" s="15"/>
      <c r="G584" s="14"/>
      <c r="H584" s="16"/>
      <c r="I584" s="14"/>
      <c r="J584" s="16"/>
      <c r="K584" s="14"/>
      <c r="L584" s="16"/>
      <c r="M584" s="14"/>
      <c r="N584" s="16"/>
      <c r="O584" s="14"/>
      <c r="P584" s="16"/>
      <c r="Q584" s="14"/>
      <c r="R584" s="5"/>
      <c r="S584" s="14"/>
      <c r="T584" s="16"/>
      <c r="U584" s="16"/>
      <c r="V584" s="17"/>
      <c r="W584" s="6"/>
      <c r="X584" s="22"/>
      <c r="Y584" s="14"/>
      <c r="Z584" s="14"/>
      <c r="AA584" s="14"/>
      <c r="AB584" s="14"/>
      <c r="AC584" s="14"/>
      <c r="AD584" s="14"/>
      <c r="AE584" s="14"/>
      <c r="AF584" s="14"/>
      <c r="AG584" s="19"/>
      <c r="AH584" s="20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</row>
    <row r="585" ht="15.75" customHeight="1">
      <c r="A585" s="5"/>
      <c r="B585" s="5"/>
      <c r="C585" s="5"/>
      <c r="D585" s="5"/>
      <c r="E585" s="14"/>
      <c r="F585" s="15"/>
      <c r="G585" s="14"/>
      <c r="H585" s="16"/>
      <c r="I585" s="14"/>
      <c r="J585" s="16"/>
      <c r="K585" s="14"/>
      <c r="L585" s="16"/>
      <c r="M585" s="14"/>
      <c r="N585" s="16"/>
      <c r="O585" s="14"/>
      <c r="P585" s="16"/>
      <c r="Q585" s="14"/>
      <c r="R585" s="5"/>
      <c r="S585" s="14"/>
      <c r="T585" s="16"/>
      <c r="U585" s="16"/>
      <c r="V585" s="17"/>
      <c r="W585" s="6"/>
      <c r="X585" s="22"/>
      <c r="Y585" s="14"/>
      <c r="Z585" s="14"/>
      <c r="AA585" s="14"/>
      <c r="AB585" s="14"/>
      <c r="AC585" s="14"/>
      <c r="AD585" s="14"/>
      <c r="AE585" s="14"/>
      <c r="AF585" s="14"/>
      <c r="AG585" s="19"/>
      <c r="AH585" s="20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</row>
    <row r="586" ht="15.75" customHeight="1">
      <c r="A586" s="5"/>
      <c r="B586" s="5"/>
      <c r="C586" s="5"/>
      <c r="D586" s="5"/>
      <c r="E586" s="14"/>
      <c r="F586" s="15"/>
      <c r="G586" s="14"/>
      <c r="H586" s="16"/>
      <c r="I586" s="14"/>
      <c r="J586" s="16"/>
      <c r="K586" s="14"/>
      <c r="L586" s="16"/>
      <c r="M586" s="14"/>
      <c r="N586" s="16"/>
      <c r="O586" s="14"/>
      <c r="P586" s="16"/>
      <c r="Q586" s="14"/>
      <c r="R586" s="5"/>
      <c r="S586" s="14"/>
      <c r="T586" s="16"/>
      <c r="U586" s="16"/>
      <c r="V586" s="17"/>
      <c r="W586" s="6"/>
      <c r="X586" s="22"/>
      <c r="Y586" s="14"/>
      <c r="Z586" s="14"/>
      <c r="AA586" s="14"/>
      <c r="AB586" s="14"/>
      <c r="AC586" s="14"/>
      <c r="AD586" s="14"/>
      <c r="AE586" s="14"/>
      <c r="AF586" s="14"/>
      <c r="AG586" s="19"/>
      <c r="AH586" s="20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</row>
    <row r="587" ht="15.75" customHeight="1">
      <c r="A587" s="5"/>
      <c r="B587" s="5"/>
      <c r="C587" s="5"/>
      <c r="D587" s="5"/>
      <c r="E587" s="14"/>
      <c r="F587" s="15"/>
      <c r="G587" s="14"/>
      <c r="H587" s="16"/>
      <c r="I587" s="14"/>
      <c r="J587" s="16"/>
      <c r="K587" s="14"/>
      <c r="L587" s="16"/>
      <c r="M587" s="14"/>
      <c r="N587" s="16"/>
      <c r="O587" s="14"/>
      <c r="P587" s="16"/>
      <c r="Q587" s="14"/>
      <c r="R587" s="5"/>
      <c r="S587" s="14"/>
      <c r="T587" s="16"/>
      <c r="U587" s="16"/>
      <c r="V587" s="17"/>
      <c r="W587" s="6"/>
      <c r="X587" s="22"/>
      <c r="Y587" s="14"/>
      <c r="Z587" s="14"/>
      <c r="AA587" s="14"/>
      <c r="AB587" s="14"/>
      <c r="AC587" s="14"/>
      <c r="AD587" s="14"/>
      <c r="AE587" s="14"/>
      <c r="AF587" s="14"/>
      <c r="AG587" s="19"/>
      <c r="AH587" s="20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</row>
    <row r="588" ht="15.75" customHeight="1">
      <c r="A588" s="5"/>
      <c r="B588" s="5"/>
      <c r="C588" s="5"/>
      <c r="D588" s="5"/>
      <c r="E588" s="14"/>
      <c r="F588" s="15"/>
      <c r="G588" s="14"/>
      <c r="H588" s="16"/>
      <c r="I588" s="14"/>
      <c r="J588" s="16"/>
      <c r="K588" s="14"/>
      <c r="L588" s="16"/>
      <c r="M588" s="14"/>
      <c r="N588" s="16"/>
      <c r="O588" s="14"/>
      <c r="P588" s="16"/>
      <c r="Q588" s="14"/>
      <c r="R588" s="5"/>
      <c r="S588" s="14"/>
      <c r="T588" s="16"/>
      <c r="U588" s="16"/>
      <c r="V588" s="17"/>
      <c r="W588" s="6"/>
      <c r="X588" s="22"/>
      <c r="Y588" s="14"/>
      <c r="Z588" s="14"/>
      <c r="AA588" s="14"/>
      <c r="AB588" s="14"/>
      <c r="AC588" s="14"/>
      <c r="AD588" s="14"/>
      <c r="AE588" s="14"/>
      <c r="AF588" s="14"/>
      <c r="AG588" s="19"/>
      <c r="AH588" s="20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</row>
    <row r="589" ht="15.75" customHeight="1">
      <c r="A589" s="5"/>
      <c r="B589" s="5"/>
      <c r="C589" s="5"/>
      <c r="D589" s="5"/>
      <c r="E589" s="14"/>
      <c r="F589" s="15"/>
      <c r="G589" s="14"/>
      <c r="H589" s="16"/>
      <c r="I589" s="14"/>
      <c r="J589" s="16"/>
      <c r="K589" s="14"/>
      <c r="L589" s="16"/>
      <c r="M589" s="14"/>
      <c r="N589" s="16"/>
      <c r="O589" s="14"/>
      <c r="P589" s="16"/>
      <c r="Q589" s="14"/>
      <c r="R589" s="5"/>
      <c r="S589" s="14"/>
      <c r="T589" s="16"/>
      <c r="U589" s="16"/>
      <c r="V589" s="17"/>
      <c r="W589" s="6"/>
      <c r="X589" s="22"/>
      <c r="Y589" s="14"/>
      <c r="Z589" s="14"/>
      <c r="AA589" s="14"/>
      <c r="AB589" s="14"/>
      <c r="AC589" s="14"/>
      <c r="AD589" s="14"/>
      <c r="AE589" s="14"/>
      <c r="AF589" s="14"/>
      <c r="AG589" s="19"/>
      <c r="AH589" s="20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</row>
    <row r="590" ht="15.75" customHeight="1">
      <c r="A590" s="5"/>
      <c r="B590" s="5"/>
      <c r="C590" s="5"/>
      <c r="D590" s="5"/>
      <c r="E590" s="14"/>
      <c r="F590" s="15"/>
      <c r="G590" s="14"/>
      <c r="H590" s="16"/>
      <c r="I590" s="14"/>
      <c r="J590" s="16"/>
      <c r="K590" s="14"/>
      <c r="L590" s="16"/>
      <c r="M590" s="14"/>
      <c r="N590" s="16"/>
      <c r="O590" s="14"/>
      <c r="P590" s="16"/>
      <c r="Q590" s="14"/>
      <c r="R590" s="5"/>
      <c r="S590" s="14"/>
      <c r="T590" s="16"/>
      <c r="U590" s="16"/>
      <c r="V590" s="17"/>
      <c r="W590" s="6"/>
      <c r="X590" s="22"/>
      <c r="Y590" s="14"/>
      <c r="Z590" s="14"/>
      <c r="AA590" s="14"/>
      <c r="AB590" s="14"/>
      <c r="AC590" s="14"/>
      <c r="AD590" s="14"/>
      <c r="AE590" s="14"/>
      <c r="AF590" s="14"/>
      <c r="AG590" s="19"/>
      <c r="AH590" s="20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</row>
    <row r="591" ht="15.75" customHeight="1">
      <c r="A591" s="5"/>
      <c r="B591" s="5"/>
      <c r="C591" s="5"/>
      <c r="D591" s="5"/>
      <c r="E591" s="14"/>
      <c r="F591" s="15"/>
      <c r="G591" s="14"/>
      <c r="H591" s="16"/>
      <c r="I591" s="14"/>
      <c r="J591" s="16"/>
      <c r="K591" s="14"/>
      <c r="L591" s="16"/>
      <c r="M591" s="14"/>
      <c r="N591" s="16"/>
      <c r="O591" s="14"/>
      <c r="P591" s="16"/>
      <c r="Q591" s="14"/>
      <c r="R591" s="5"/>
      <c r="S591" s="14"/>
      <c r="T591" s="16"/>
      <c r="U591" s="16"/>
      <c r="V591" s="17"/>
      <c r="W591" s="6"/>
      <c r="X591" s="22"/>
      <c r="Y591" s="14"/>
      <c r="Z591" s="14"/>
      <c r="AA591" s="14"/>
      <c r="AB591" s="14"/>
      <c r="AC591" s="14"/>
      <c r="AD591" s="14"/>
      <c r="AE591" s="14"/>
      <c r="AF591" s="14"/>
      <c r="AG591" s="19"/>
      <c r="AH591" s="20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</row>
    <row r="592" ht="15.75" customHeight="1">
      <c r="A592" s="5"/>
      <c r="B592" s="5"/>
      <c r="C592" s="5"/>
      <c r="D592" s="5"/>
      <c r="E592" s="14"/>
      <c r="F592" s="15"/>
      <c r="G592" s="14"/>
      <c r="H592" s="16"/>
      <c r="I592" s="14"/>
      <c r="J592" s="16"/>
      <c r="K592" s="14"/>
      <c r="L592" s="16"/>
      <c r="M592" s="14"/>
      <c r="N592" s="16"/>
      <c r="O592" s="14"/>
      <c r="P592" s="16"/>
      <c r="Q592" s="14"/>
      <c r="R592" s="5"/>
      <c r="S592" s="14"/>
      <c r="T592" s="16"/>
      <c r="U592" s="16"/>
      <c r="V592" s="17"/>
      <c r="W592" s="6"/>
      <c r="X592" s="22"/>
      <c r="Y592" s="14"/>
      <c r="Z592" s="14"/>
      <c r="AA592" s="14"/>
      <c r="AB592" s="14"/>
      <c r="AC592" s="14"/>
      <c r="AD592" s="14"/>
      <c r="AE592" s="14"/>
      <c r="AF592" s="14"/>
      <c r="AG592" s="19"/>
      <c r="AH592" s="20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</row>
    <row r="593" ht="15.75" customHeight="1">
      <c r="A593" s="5"/>
      <c r="B593" s="5"/>
      <c r="C593" s="5"/>
      <c r="D593" s="5"/>
      <c r="E593" s="14"/>
      <c r="F593" s="15"/>
      <c r="G593" s="14"/>
      <c r="H593" s="16"/>
      <c r="I593" s="14"/>
      <c r="J593" s="16"/>
      <c r="K593" s="14"/>
      <c r="L593" s="16"/>
      <c r="M593" s="14"/>
      <c r="N593" s="16"/>
      <c r="O593" s="14"/>
      <c r="P593" s="16"/>
      <c r="Q593" s="14"/>
      <c r="R593" s="5"/>
      <c r="S593" s="14"/>
      <c r="T593" s="16"/>
      <c r="U593" s="16"/>
      <c r="V593" s="17"/>
      <c r="W593" s="6"/>
      <c r="X593" s="22"/>
      <c r="Y593" s="14"/>
      <c r="Z593" s="14"/>
      <c r="AA593" s="14"/>
      <c r="AB593" s="14"/>
      <c r="AC593" s="14"/>
      <c r="AD593" s="14"/>
      <c r="AE593" s="14"/>
      <c r="AF593" s="14"/>
      <c r="AG593" s="19"/>
      <c r="AH593" s="20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</row>
    <row r="594" ht="15.75" customHeight="1">
      <c r="A594" s="5"/>
      <c r="B594" s="5"/>
      <c r="C594" s="5"/>
      <c r="D594" s="5"/>
      <c r="E594" s="14"/>
      <c r="F594" s="15"/>
      <c r="G594" s="14"/>
      <c r="H594" s="16"/>
      <c r="I594" s="14"/>
      <c r="J594" s="16"/>
      <c r="K594" s="14"/>
      <c r="L594" s="16"/>
      <c r="M594" s="14"/>
      <c r="N594" s="16"/>
      <c r="O594" s="14"/>
      <c r="P594" s="16"/>
      <c r="Q594" s="14"/>
      <c r="R594" s="5"/>
      <c r="S594" s="14"/>
      <c r="T594" s="16"/>
      <c r="U594" s="16"/>
      <c r="V594" s="17"/>
      <c r="W594" s="6"/>
      <c r="X594" s="22"/>
      <c r="Y594" s="14"/>
      <c r="Z594" s="14"/>
      <c r="AA594" s="14"/>
      <c r="AB594" s="14"/>
      <c r="AC594" s="14"/>
      <c r="AD594" s="14"/>
      <c r="AE594" s="14"/>
      <c r="AF594" s="14"/>
      <c r="AG594" s="19"/>
      <c r="AH594" s="20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</row>
    <row r="595" ht="15.75" customHeight="1">
      <c r="A595" s="5"/>
      <c r="B595" s="5"/>
      <c r="C595" s="5"/>
      <c r="D595" s="5"/>
      <c r="E595" s="14"/>
      <c r="F595" s="15"/>
      <c r="G595" s="14"/>
      <c r="H595" s="16"/>
      <c r="I595" s="14"/>
      <c r="J595" s="16"/>
      <c r="K595" s="14"/>
      <c r="L595" s="16"/>
      <c r="M595" s="14"/>
      <c r="N595" s="16"/>
      <c r="O595" s="14"/>
      <c r="P595" s="16"/>
      <c r="Q595" s="14"/>
      <c r="R595" s="5"/>
      <c r="S595" s="14"/>
      <c r="T595" s="16"/>
      <c r="U595" s="16"/>
      <c r="V595" s="17"/>
      <c r="W595" s="6"/>
      <c r="X595" s="22"/>
      <c r="Y595" s="14"/>
      <c r="Z595" s="14"/>
      <c r="AA595" s="14"/>
      <c r="AB595" s="14"/>
      <c r="AC595" s="14"/>
      <c r="AD595" s="14"/>
      <c r="AE595" s="14"/>
      <c r="AF595" s="14"/>
      <c r="AG595" s="19"/>
      <c r="AH595" s="20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</row>
    <row r="596" ht="15.75" customHeight="1">
      <c r="A596" s="5"/>
      <c r="B596" s="5"/>
      <c r="C596" s="5"/>
      <c r="D596" s="5"/>
      <c r="E596" s="14"/>
      <c r="F596" s="15"/>
      <c r="G596" s="14"/>
      <c r="H596" s="16"/>
      <c r="I596" s="14"/>
      <c r="J596" s="16"/>
      <c r="K596" s="14"/>
      <c r="L596" s="16"/>
      <c r="M596" s="14"/>
      <c r="N596" s="16"/>
      <c r="O596" s="14"/>
      <c r="P596" s="16"/>
      <c r="Q596" s="14"/>
      <c r="R596" s="5"/>
      <c r="S596" s="14"/>
      <c r="T596" s="16"/>
      <c r="U596" s="16"/>
      <c r="V596" s="17"/>
      <c r="W596" s="6"/>
      <c r="X596" s="22"/>
      <c r="Y596" s="14"/>
      <c r="Z596" s="14"/>
      <c r="AA596" s="14"/>
      <c r="AB596" s="14"/>
      <c r="AC596" s="14"/>
      <c r="AD596" s="14"/>
      <c r="AE596" s="14"/>
      <c r="AF596" s="14"/>
      <c r="AG596" s="19"/>
      <c r="AH596" s="20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</row>
    <row r="597" ht="15.75" customHeight="1">
      <c r="A597" s="5"/>
      <c r="B597" s="5"/>
      <c r="C597" s="5"/>
      <c r="D597" s="5"/>
      <c r="E597" s="14"/>
      <c r="F597" s="15"/>
      <c r="G597" s="14"/>
      <c r="H597" s="16"/>
      <c r="I597" s="14"/>
      <c r="J597" s="16"/>
      <c r="K597" s="14"/>
      <c r="L597" s="16"/>
      <c r="M597" s="14"/>
      <c r="N597" s="16"/>
      <c r="O597" s="14"/>
      <c r="P597" s="16"/>
      <c r="Q597" s="14"/>
      <c r="R597" s="5"/>
      <c r="S597" s="14"/>
      <c r="T597" s="16"/>
      <c r="U597" s="16"/>
      <c r="V597" s="17"/>
      <c r="W597" s="6"/>
      <c r="X597" s="22"/>
      <c r="Y597" s="14"/>
      <c r="Z597" s="14"/>
      <c r="AA597" s="14"/>
      <c r="AB597" s="14"/>
      <c r="AC597" s="14"/>
      <c r="AD597" s="14"/>
      <c r="AE597" s="14"/>
      <c r="AF597" s="14"/>
      <c r="AG597" s="19"/>
      <c r="AH597" s="20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</row>
    <row r="598" ht="15.75" customHeight="1">
      <c r="A598" s="5"/>
      <c r="B598" s="5"/>
      <c r="C598" s="5"/>
      <c r="D598" s="5"/>
      <c r="E598" s="14"/>
      <c r="F598" s="15"/>
      <c r="G598" s="14"/>
      <c r="H598" s="16"/>
      <c r="I598" s="14"/>
      <c r="J598" s="16"/>
      <c r="K598" s="14"/>
      <c r="L598" s="16"/>
      <c r="M598" s="14"/>
      <c r="N598" s="16"/>
      <c r="O598" s="14"/>
      <c r="P598" s="16"/>
      <c r="Q598" s="14"/>
      <c r="R598" s="5"/>
      <c r="S598" s="14"/>
      <c r="T598" s="16"/>
      <c r="U598" s="16"/>
      <c r="V598" s="17"/>
      <c r="W598" s="6"/>
      <c r="X598" s="22"/>
      <c r="Y598" s="14"/>
      <c r="Z598" s="14"/>
      <c r="AA598" s="14"/>
      <c r="AB598" s="14"/>
      <c r="AC598" s="14"/>
      <c r="AD598" s="14"/>
      <c r="AE598" s="14"/>
      <c r="AF598" s="14"/>
      <c r="AG598" s="19"/>
      <c r="AH598" s="20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</row>
    <row r="599" ht="15.75" customHeight="1">
      <c r="A599" s="5"/>
      <c r="B599" s="5"/>
      <c r="C599" s="5"/>
      <c r="D599" s="5"/>
      <c r="E599" s="14"/>
      <c r="F599" s="15"/>
      <c r="G599" s="14"/>
      <c r="H599" s="16"/>
      <c r="I599" s="14"/>
      <c r="J599" s="16"/>
      <c r="K599" s="14"/>
      <c r="L599" s="16"/>
      <c r="M599" s="14"/>
      <c r="N599" s="16"/>
      <c r="O599" s="14"/>
      <c r="P599" s="16"/>
      <c r="Q599" s="14"/>
      <c r="R599" s="5"/>
      <c r="S599" s="14"/>
      <c r="T599" s="16"/>
      <c r="U599" s="16"/>
      <c r="V599" s="17"/>
      <c r="W599" s="6"/>
      <c r="X599" s="22"/>
      <c r="Y599" s="14"/>
      <c r="Z599" s="14"/>
      <c r="AA599" s="14"/>
      <c r="AB599" s="14"/>
      <c r="AC599" s="14"/>
      <c r="AD599" s="14"/>
      <c r="AE599" s="14"/>
      <c r="AF599" s="14"/>
      <c r="AG599" s="19"/>
      <c r="AH599" s="20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</row>
    <row r="600" ht="15.75" customHeight="1">
      <c r="A600" s="5"/>
      <c r="B600" s="5"/>
      <c r="C600" s="5"/>
      <c r="D600" s="5"/>
      <c r="E600" s="14"/>
      <c r="F600" s="15"/>
      <c r="G600" s="14"/>
      <c r="H600" s="16"/>
      <c r="I600" s="14"/>
      <c r="J600" s="16"/>
      <c r="K600" s="14"/>
      <c r="L600" s="16"/>
      <c r="M600" s="14"/>
      <c r="N600" s="16"/>
      <c r="O600" s="14"/>
      <c r="P600" s="16"/>
      <c r="Q600" s="14"/>
      <c r="R600" s="5"/>
      <c r="S600" s="14"/>
      <c r="T600" s="16"/>
      <c r="U600" s="16"/>
      <c r="V600" s="17"/>
      <c r="W600" s="6"/>
      <c r="X600" s="22"/>
      <c r="Y600" s="14"/>
      <c r="Z600" s="14"/>
      <c r="AA600" s="14"/>
      <c r="AB600" s="14"/>
      <c r="AC600" s="14"/>
      <c r="AD600" s="14"/>
      <c r="AE600" s="14"/>
      <c r="AF600" s="14"/>
      <c r="AG600" s="19"/>
      <c r="AH600" s="20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</row>
    <row r="601" ht="15.75" customHeight="1">
      <c r="A601" s="5"/>
      <c r="B601" s="5"/>
      <c r="C601" s="5"/>
      <c r="D601" s="5"/>
      <c r="E601" s="14"/>
      <c r="F601" s="15"/>
      <c r="G601" s="14"/>
      <c r="H601" s="16"/>
      <c r="I601" s="14"/>
      <c r="J601" s="16"/>
      <c r="K601" s="14"/>
      <c r="L601" s="16"/>
      <c r="M601" s="14"/>
      <c r="N601" s="16"/>
      <c r="O601" s="14"/>
      <c r="P601" s="16"/>
      <c r="Q601" s="14"/>
      <c r="R601" s="5"/>
      <c r="S601" s="14"/>
      <c r="T601" s="16"/>
      <c r="U601" s="16"/>
      <c r="V601" s="17"/>
      <c r="W601" s="6"/>
      <c r="X601" s="22"/>
      <c r="Y601" s="14"/>
      <c r="Z601" s="14"/>
      <c r="AA601" s="14"/>
      <c r="AB601" s="14"/>
      <c r="AC601" s="14"/>
      <c r="AD601" s="14"/>
      <c r="AE601" s="14"/>
      <c r="AF601" s="14"/>
      <c r="AG601" s="19"/>
      <c r="AH601" s="20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</row>
    <row r="602" ht="15.75" customHeight="1">
      <c r="A602" s="5"/>
      <c r="B602" s="5"/>
      <c r="C602" s="5"/>
      <c r="D602" s="5"/>
      <c r="E602" s="14"/>
      <c r="F602" s="15"/>
      <c r="G602" s="14"/>
      <c r="H602" s="16"/>
      <c r="I602" s="14"/>
      <c r="J602" s="16"/>
      <c r="K602" s="14"/>
      <c r="L602" s="16"/>
      <c r="M602" s="14"/>
      <c r="N602" s="16"/>
      <c r="O602" s="14"/>
      <c r="P602" s="16"/>
      <c r="Q602" s="14"/>
      <c r="R602" s="5"/>
      <c r="S602" s="14"/>
      <c r="T602" s="16"/>
      <c r="U602" s="16"/>
      <c r="V602" s="17"/>
      <c r="W602" s="6"/>
      <c r="X602" s="22"/>
      <c r="Y602" s="14"/>
      <c r="Z602" s="14"/>
      <c r="AA602" s="14"/>
      <c r="AB602" s="14"/>
      <c r="AC602" s="14"/>
      <c r="AD602" s="14"/>
      <c r="AE602" s="14"/>
      <c r="AF602" s="14"/>
      <c r="AG602" s="19"/>
      <c r="AH602" s="20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</row>
    <row r="603" ht="15.75" customHeight="1">
      <c r="A603" s="5"/>
      <c r="B603" s="5"/>
      <c r="C603" s="5"/>
      <c r="D603" s="5"/>
      <c r="E603" s="14"/>
      <c r="F603" s="15"/>
      <c r="G603" s="14"/>
      <c r="H603" s="16"/>
      <c r="I603" s="14"/>
      <c r="J603" s="16"/>
      <c r="K603" s="14"/>
      <c r="L603" s="16"/>
      <c r="M603" s="14"/>
      <c r="N603" s="16"/>
      <c r="O603" s="14"/>
      <c r="P603" s="16"/>
      <c r="Q603" s="14"/>
      <c r="R603" s="5"/>
      <c r="S603" s="14"/>
      <c r="T603" s="16"/>
      <c r="U603" s="16"/>
      <c r="V603" s="17"/>
      <c r="W603" s="6"/>
      <c r="X603" s="22"/>
      <c r="Y603" s="14"/>
      <c r="Z603" s="14"/>
      <c r="AA603" s="14"/>
      <c r="AB603" s="14"/>
      <c r="AC603" s="14"/>
      <c r="AD603" s="14"/>
      <c r="AE603" s="14"/>
      <c r="AF603" s="14"/>
      <c r="AG603" s="19"/>
      <c r="AH603" s="20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</row>
    <row r="604" ht="15.75" customHeight="1">
      <c r="A604" s="5"/>
      <c r="B604" s="5"/>
      <c r="C604" s="5"/>
      <c r="D604" s="5"/>
      <c r="E604" s="14"/>
      <c r="F604" s="15"/>
      <c r="G604" s="14"/>
      <c r="H604" s="16"/>
      <c r="I604" s="14"/>
      <c r="J604" s="16"/>
      <c r="K604" s="14"/>
      <c r="L604" s="16"/>
      <c r="M604" s="14"/>
      <c r="N604" s="16"/>
      <c r="O604" s="14"/>
      <c r="P604" s="16"/>
      <c r="Q604" s="14"/>
      <c r="R604" s="5"/>
      <c r="S604" s="14"/>
      <c r="T604" s="16"/>
      <c r="U604" s="16"/>
      <c r="V604" s="17"/>
      <c r="W604" s="6"/>
      <c r="X604" s="22"/>
      <c r="Y604" s="14"/>
      <c r="Z604" s="14"/>
      <c r="AA604" s="14"/>
      <c r="AB604" s="14"/>
      <c r="AC604" s="14"/>
      <c r="AD604" s="14"/>
      <c r="AE604" s="14"/>
      <c r="AF604" s="14"/>
      <c r="AG604" s="19"/>
      <c r="AH604" s="20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</row>
    <row r="605" ht="15.75" customHeight="1">
      <c r="A605" s="5"/>
      <c r="B605" s="5"/>
      <c r="C605" s="5"/>
      <c r="D605" s="5"/>
      <c r="E605" s="14"/>
      <c r="F605" s="15"/>
      <c r="G605" s="14"/>
      <c r="H605" s="16"/>
      <c r="I605" s="14"/>
      <c r="J605" s="16"/>
      <c r="K605" s="14"/>
      <c r="L605" s="16"/>
      <c r="M605" s="14"/>
      <c r="N605" s="16"/>
      <c r="O605" s="14"/>
      <c r="P605" s="16"/>
      <c r="Q605" s="14"/>
      <c r="R605" s="5"/>
      <c r="S605" s="14"/>
      <c r="T605" s="16"/>
      <c r="U605" s="16"/>
      <c r="V605" s="17"/>
      <c r="W605" s="6"/>
      <c r="X605" s="22"/>
      <c r="Y605" s="14"/>
      <c r="Z605" s="14"/>
      <c r="AA605" s="14"/>
      <c r="AB605" s="14"/>
      <c r="AC605" s="14"/>
      <c r="AD605" s="14"/>
      <c r="AE605" s="14"/>
      <c r="AF605" s="14"/>
      <c r="AG605" s="19"/>
      <c r="AH605" s="20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</row>
    <row r="606" ht="15.75" customHeight="1">
      <c r="A606" s="5"/>
      <c r="B606" s="5"/>
      <c r="C606" s="5"/>
      <c r="D606" s="5"/>
      <c r="E606" s="14"/>
      <c r="F606" s="15"/>
      <c r="G606" s="14"/>
      <c r="H606" s="16"/>
      <c r="I606" s="14"/>
      <c r="J606" s="16"/>
      <c r="K606" s="14"/>
      <c r="L606" s="16"/>
      <c r="M606" s="14"/>
      <c r="N606" s="16"/>
      <c r="O606" s="14"/>
      <c r="P606" s="16"/>
      <c r="Q606" s="14"/>
      <c r="R606" s="5"/>
      <c r="S606" s="14"/>
      <c r="T606" s="16"/>
      <c r="U606" s="16"/>
      <c r="V606" s="17"/>
      <c r="W606" s="6"/>
      <c r="X606" s="22"/>
      <c r="Y606" s="14"/>
      <c r="Z606" s="14"/>
      <c r="AA606" s="14"/>
      <c r="AB606" s="14"/>
      <c r="AC606" s="14"/>
      <c r="AD606" s="14"/>
      <c r="AE606" s="14"/>
      <c r="AF606" s="14"/>
      <c r="AG606" s="19"/>
      <c r="AH606" s="20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</row>
    <row r="607" ht="15.75" customHeight="1">
      <c r="A607" s="5"/>
      <c r="B607" s="5"/>
      <c r="C607" s="5"/>
      <c r="D607" s="5"/>
      <c r="E607" s="14"/>
      <c r="F607" s="15"/>
      <c r="G607" s="14"/>
      <c r="H607" s="16"/>
      <c r="I607" s="14"/>
      <c r="J607" s="16"/>
      <c r="K607" s="14"/>
      <c r="L607" s="16"/>
      <c r="M607" s="14"/>
      <c r="N607" s="16"/>
      <c r="O607" s="14"/>
      <c r="P607" s="16"/>
      <c r="Q607" s="14"/>
      <c r="R607" s="5"/>
      <c r="S607" s="14"/>
      <c r="T607" s="16"/>
      <c r="U607" s="16"/>
      <c r="V607" s="17"/>
      <c r="W607" s="6"/>
      <c r="X607" s="22"/>
      <c r="Y607" s="14"/>
      <c r="Z607" s="14"/>
      <c r="AA607" s="14"/>
      <c r="AB607" s="14"/>
      <c r="AC607" s="14"/>
      <c r="AD607" s="14"/>
      <c r="AE607" s="14"/>
      <c r="AF607" s="14"/>
      <c r="AG607" s="19"/>
      <c r="AH607" s="20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</row>
    <row r="608" ht="15.75" customHeight="1">
      <c r="A608" s="5"/>
      <c r="B608" s="5"/>
      <c r="C608" s="5"/>
      <c r="D608" s="5"/>
      <c r="E608" s="14"/>
      <c r="F608" s="15"/>
      <c r="G608" s="14"/>
      <c r="H608" s="16"/>
      <c r="I608" s="14"/>
      <c r="J608" s="16"/>
      <c r="K608" s="14"/>
      <c r="L608" s="16"/>
      <c r="M608" s="14"/>
      <c r="N608" s="16"/>
      <c r="O608" s="14"/>
      <c r="P608" s="16"/>
      <c r="Q608" s="14"/>
      <c r="R608" s="5"/>
      <c r="S608" s="14"/>
      <c r="T608" s="16"/>
      <c r="U608" s="16"/>
      <c r="V608" s="17"/>
      <c r="W608" s="6"/>
      <c r="X608" s="22"/>
      <c r="Y608" s="14"/>
      <c r="Z608" s="14"/>
      <c r="AA608" s="14"/>
      <c r="AB608" s="14"/>
      <c r="AC608" s="14"/>
      <c r="AD608" s="14"/>
      <c r="AE608" s="14"/>
      <c r="AF608" s="14"/>
      <c r="AG608" s="19"/>
      <c r="AH608" s="20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</row>
    <row r="609" ht="15.75" customHeight="1">
      <c r="A609" s="5"/>
      <c r="B609" s="5"/>
      <c r="C609" s="5"/>
      <c r="D609" s="5"/>
      <c r="E609" s="14"/>
      <c r="F609" s="15"/>
      <c r="G609" s="14"/>
      <c r="H609" s="16"/>
      <c r="I609" s="14"/>
      <c r="J609" s="16"/>
      <c r="K609" s="14"/>
      <c r="L609" s="16"/>
      <c r="M609" s="14"/>
      <c r="N609" s="16"/>
      <c r="O609" s="14"/>
      <c r="P609" s="16"/>
      <c r="Q609" s="14"/>
      <c r="R609" s="5"/>
      <c r="S609" s="14"/>
      <c r="T609" s="16"/>
      <c r="U609" s="16"/>
      <c r="V609" s="17"/>
      <c r="W609" s="6"/>
      <c r="X609" s="22"/>
      <c r="Y609" s="14"/>
      <c r="Z609" s="14"/>
      <c r="AA609" s="14"/>
      <c r="AB609" s="14"/>
      <c r="AC609" s="14"/>
      <c r="AD609" s="14"/>
      <c r="AE609" s="14"/>
      <c r="AF609" s="14"/>
      <c r="AG609" s="19"/>
      <c r="AH609" s="20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</row>
    <row r="610" ht="15.75" customHeight="1">
      <c r="A610" s="5"/>
      <c r="B610" s="5"/>
      <c r="C610" s="5"/>
      <c r="D610" s="5"/>
      <c r="E610" s="14"/>
      <c r="F610" s="15"/>
      <c r="G610" s="14"/>
      <c r="H610" s="16"/>
      <c r="I610" s="14"/>
      <c r="J610" s="16"/>
      <c r="K610" s="14"/>
      <c r="L610" s="16"/>
      <c r="M610" s="14"/>
      <c r="N610" s="16"/>
      <c r="O610" s="14"/>
      <c r="P610" s="16"/>
      <c r="Q610" s="14"/>
      <c r="R610" s="5"/>
      <c r="S610" s="14"/>
      <c r="T610" s="16"/>
      <c r="U610" s="16"/>
      <c r="V610" s="17"/>
      <c r="W610" s="6"/>
      <c r="X610" s="22"/>
      <c r="Y610" s="14"/>
      <c r="Z610" s="14"/>
      <c r="AA610" s="14"/>
      <c r="AB610" s="14"/>
      <c r="AC610" s="14"/>
      <c r="AD610" s="14"/>
      <c r="AE610" s="14"/>
      <c r="AF610" s="14"/>
      <c r="AG610" s="19"/>
      <c r="AH610" s="20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</row>
    <row r="611" ht="15.75" customHeight="1">
      <c r="A611" s="5"/>
      <c r="B611" s="5"/>
      <c r="C611" s="5"/>
      <c r="D611" s="5"/>
      <c r="E611" s="14"/>
      <c r="F611" s="15"/>
      <c r="G611" s="14"/>
      <c r="H611" s="16"/>
      <c r="I611" s="14"/>
      <c r="J611" s="16"/>
      <c r="K611" s="14"/>
      <c r="L611" s="16"/>
      <c r="M611" s="14"/>
      <c r="N611" s="16"/>
      <c r="O611" s="14"/>
      <c r="P611" s="16"/>
      <c r="Q611" s="14"/>
      <c r="R611" s="5"/>
      <c r="S611" s="14"/>
      <c r="T611" s="16"/>
      <c r="U611" s="16"/>
      <c r="V611" s="17"/>
      <c r="W611" s="6"/>
      <c r="X611" s="22"/>
      <c r="Y611" s="14"/>
      <c r="Z611" s="14"/>
      <c r="AA611" s="14"/>
      <c r="AB611" s="14"/>
      <c r="AC611" s="14"/>
      <c r="AD611" s="14"/>
      <c r="AE611" s="14"/>
      <c r="AF611" s="14"/>
      <c r="AG611" s="19"/>
      <c r="AH611" s="20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</row>
    <row r="612" ht="15.75" customHeight="1">
      <c r="A612" s="5"/>
      <c r="B612" s="5"/>
      <c r="C612" s="5"/>
      <c r="D612" s="5"/>
      <c r="E612" s="14"/>
      <c r="F612" s="15"/>
      <c r="G612" s="14"/>
      <c r="H612" s="16"/>
      <c r="I612" s="14"/>
      <c r="J612" s="16"/>
      <c r="K612" s="14"/>
      <c r="L612" s="16"/>
      <c r="M612" s="14"/>
      <c r="N612" s="16"/>
      <c r="O612" s="14"/>
      <c r="P612" s="16"/>
      <c r="Q612" s="14"/>
      <c r="R612" s="5"/>
      <c r="S612" s="14"/>
      <c r="T612" s="16"/>
      <c r="U612" s="16"/>
      <c r="V612" s="17"/>
      <c r="W612" s="6"/>
      <c r="X612" s="22"/>
      <c r="Y612" s="14"/>
      <c r="Z612" s="14"/>
      <c r="AA612" s="14"/>
      <c r="AB612" s="14"/>
      <c r="AC612" s="14"/>
      <c r="AD612" s="14"/>
      <c r="AE612" s="14"/>
      <c r="AF612" s="14"/>
      <c r="AG612" s="19"/>
      <c r="AH612" s="20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</row>
    <row r="613" ht="15.75" customHeight="1">
      <c r="A613" s="5"/>
      <c r="B613" s="5"/>
      <c r="C613" s="5"/>
      <c r="D613" s="5"/>
      <c r="E613" s="14"/>
      <c r="F613" s="15"/>
      <c r="G613" s="14"/>
      <c r="H613" s="16"/>
      <c r="I613" s="14"/>
      <c r="J613" s="16"/>
      <c r="K613" s="14"/>
      <c r="L613" s="16"/>
      <c r="M613" s="14"/>
      <c r="N613" s="16"/>
      <c r="O613" s="14"/>
      <c r="P613" s="16"/>
      <c r="Q613" s="14"/>
      <c r="R613" s="5"/>
      <c r="S613" s="14"/>
      <c r="T613" s="16"/>
      <c r="U613" s="16"/>
      <c r="V613" s="17"/>
      <c r="W613" s="6"/>
      <c r="X613" s="22"/>
      <c r="Y613" s="14"/>
      <c r="Z613" s="14"/>
      <c r="AA613" s="14"/>
      <c r="AB613" s="14"/>
      <c r="AC613" s="14"/>
      <c r="AD613" s="14"/>
      <c r="AE613" s="14"/>
      <c r="AF613" s="14"/>
      <c r="AG613" s="19"/>
      <c r="AH613" s="20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</row>
    <row r="614" ht="15.75" customHeight="1">
      <c r="A614" s="5"/>
      <c r="B614" s="5"/>
      <c r="C614" s="5"/>
      <c r="D614" s="5"/>
      <c r="E614" s="14"/>
      <c r="F614" s="15"/>
      <c r="G614" s="14"/>
      <c r="H614" s="16"/>
      <c r="I614" s="14"/>
      <c r="J614" s="16"/>
      <c r="K614" s="14"/>
      <c r="L614" s="16"/>
      <c r="M614" s="14"/>
      <c r="N614" s="16"/>
      <c r="O614" s="14"/>
      <c r="P614" s="16"/>
      <c r="Q614" s="14"/>
      <c r="R614" s="5"/>
      <c r="S614" s="14"/>
      <c r="T614" s="16"/>
      <c r="U614" s="16"/>
      <c r="V614" s="17"/>
      <c r="W614" s="6"/>
      <c r="X614" s="22"/>
      <c r="Y614" s="14"/>
      <c r="Z614" s="14"/>
      <c r="AA614" s="14"/>
      <c r="AB614" s="14"/>
      <c r="AC614" s="14"/>
      <c r="AD614" s="14"/>
      <c r="AE614" s="14"/>
      <c r="AF614" s="14"/>
      <c r="AG614" s="19"/>
      <c r="AH614" s="20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</row>
    <row r="615" ht="15.75" customHeight="1">
      <c r="A615" s="5"/>
      <c r="B615" s="5"/>
      <c r="C615" s="5"/>
      <c r="D615" s="5"/>
      <c r="E615" s="14"/>
      <c r="F615" s="15"/>
      <c r="G615" s="14"/>
      <c r="H615" s="16"/>
      <c r="I615" s="14"/>
      <c r="J615" s="16"/>
      <c r="K615" s="14"/>
      <c r="L615" s="16"/>
      <c r="M615" s="14"/>
      <c r="N615" s="16"/>
      <c r="O615" s="14"/>
      <c r="P615" s="16"/>
      <c r="Q615" s="14"/>
      <c r="R615" s="5"/>
      <c r="S615" s="14"/>
      <c r="T615" s="16"/>
      <c r="U615" s="16"/>
      <c r="V615" s="17"/>
      <c r="W615" s="6"/>
      <c r="X615" s="22"/>
      <c r="Y615" s="14"/>
      <c r="Z615" s="14"/>
      <c r="AA615" s="14"/>
      <c r="AB615" s="14"/>
      <c r="AC615" s="14"/>
      <c r="AD615" s="14"/>
      <c r="AE615" s="14"/>
      <c r="AF615" s="14"/>
      <c r="AG615" s="19"/>
      <c r="AH615" s="20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</row>
    <row r="616" ht="15.75" customHeight="1">
      <c r="A616" s="5"/>
      <c r="B616" s="5"/>
      <c r="C616" s="5"/>
      <c r="D616" s="5"/>
      <c r="E616" s="14"/>
      <c r="F616" s="15"/>
      <c r="G616" s="14"/>
      <c r="H616" s="16"/>
      <c r="I616" s="14"/>
      <c r="J616" s="16"/>
      <c r="K616" s="14"/>
      <c r="L616" s="16"/>
      <c r="M616" s="14"/>
      <c r="N616" s="16"/>
      <c r="O616" s="14"/>
      <c r="P616" s="16"/>
      <c r="Q616" s="14"/>
      <c r="R616" s="5"/>
      <c r="S616" s="14"/>
      <c r="T616" s="16"/>
      <c r="U616" s="16"/>
      <c r="V616" s="17"/>
      <c r="W616" s="6"/>
      <c r="X616" s="22"/>
      <c r="Y616" s="14"/>
      <c r="Z616" s="14"/>
      <c r="AA616" s="14"/>
      <c r="AB616" s="14"/>
      <c r="AC616" s="14"/>
      <c r="AD616" s="14"/>
      <c r="AE616" s="14"/>
      <c r="AF616" s="14"/>
      <c r="AG616" s="19"/>
      <c r="AH616" s="20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</row>
    <row r="617" ht="15.75" customHeight="1">
      <c r="A617" s="5"/>
      <c r="B617" s="5"/>
      <c r="C617" s="5"/>
      <c r="D617" s="5"/>
      <c r="E617" s="14"/>
      <c r="F617" s="15"/>
      <c r="G617" s="14"/>
      <c r="H617" s="16"/>
      <c r="I617" s="14"/>
      <c r="J617" s="16"/>
      <c r="K617" s="14"/>
      <c r="L617" s="16"/>
      <c r="M617" s="14"/>
      <c r="N617" s="16"/>
      <c r="O617" s="14"/>
      <c r="P617" s="16"/>
      <c r="Q617" s="14"/>
      <c r="R617" s="5"/>
      <c r="S617" s="14"/>
      <c r="T617" s="16"/>
      <c r="U617" s="16"/>
      <c r="V617" s="17"/>
      <c r="W617" s="6"/>
      <c r="X617" s="22"/>
      <c r="Y617" s="14"/>
      <c r="Z617" s="14"/>
      <c r="AA617" s="14"/>
      <c r="AB617" s="14"/>
      <c r="AC617" s="14"/>
      <c r="AD617" s="14"/>
      <c r="AE617" s="14"/>
      <c r="AF617" s="14"/>
      <c r="AG617" s="19"/>
      <c r="AH617" s="20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</row>
    <row r="618" ht="15.75" customHeight="1">
      <c r="A618" s="5"/>
      <c r="B618" s="5"/>
      <c r="C618" s="5"/>
      <c r="D618" s="5"/>
      <c r="E618" s="14"/>
      <c r="F618" s="15"/>
      <c r="G618" s="14"/>
      <c r="H618" s="16"/>
      <c r="I618" s="14"/>
      <c r="J618" s="16"/>
      <c r="K618" s="14"/>
      <c r="L618" s="16"/>
      <c r="M618" s="14"/>
      <c r="N618" s="16"/>
      <c r="O618" s="14"/>
      <c r="P618" s="16"/>
      <c r="Q618" s="14"/>
      <c r="R618" s="5"/>
      <c r="S618" s="14"/>
      <c r="T618" s="16"/>
      <c r="U618" s="16"/>
      <c r="V618" s="17"/>
      <c r="W618" s="6"/>
      <c r="X618" s="22"/>
      <c r="Y618" s="14"/>
      <c r="Z618" s="14"/>
      <c r="AA618" s="14"/>
      <c r="AB618" s="14"/>
      <c r="AC618" s="14"/>
      <c r="AD618" s="14"/>
      <c r="AE618" s="14"/>
      <c r="AF618" s="14"/>
      <c r="AG618" s="19"/>
      <c r="AH618" s="20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</row>
    <row r="619" ht="15.75" customHeight="1">
      <c r="A619" s="5"/>
      <c r="B619" s="5"/>
      <c r="C619" s="5"/>
      <c r="D619" s="5"/>
      <c r="E619" s="14"/>
      <c r="F619" s="15"/>
      <c r="G619" s="14"/>
      <c r="H619" s="16"/>
      <c r="I619" s="14"/>
      <c r="J619" s="16"/>
      <c r="K619" s="14"/>
      <c r="L619" s="16"/>
      <c r="M619" s="14"/>
      <c r="N619" s="16"/>
      <c r="O619" s="14"/>
      <c r="P619" s="16"/>
      <c r="Q619" s="14"/>
      <c r="R619" s="5"/>
      <c r="S619" s="14"/>
      <c r="T619" s="16"/>
      <c r="U619" s="16"/>
      <c r="V619" s="17"/>
      <c r="W619" s="6"/>
      <c r="X619" s="22"/>
      <c r="Y619" s="14"/>
      <c r="Z619" s="14"/>
      <c r="AA619" s="14"/>
      <c r="AB619" s="14"/>
      <c r="AC619" s="14"/>
      <c r="AD619" s="14"/>
      <c r="AE619" s="14"/>
      <c r="AF619" s="14"/>
      <c r="AG619" s="19"/>
      <c r="AH619" s="20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</row>
    <row r="620" ht="15.75" customHeight="1">
      <c r="A620" s="5"/>
      <c r="B620" s="5"/>
      <c r="C620" s="5"/>
      <c r="D620" s="5"/>
      <c r="E620" s="14"/>
      <c r="F620" s="15"/>
      <c r="G620" s="14"/>
      <c r="H620" s="16"/>
      <c r="I620" s="14"/>
      <c r="J620" s="16"/>
      <c r="K620" s="14"/>
      <c r="L620" s="16"/>
      <c r="M620" s="14"/>
      <c r="N620" s="16"/>
      <c r="O620" s="14"/>
      <c r="P620" s="16"/>
      <c r="Q620" s="14"/>
      <c r="R620" s="5"/>
      <c r="S620" s="14"/>
      <c r="T620" s="16"/>
      <c r="U620" s="16"/>
      <c r="V620" s="17"/>
      <c r="W620" s="6"/>
      <c r="X620" s="22"/>
      <c r="Y620" s="14"/>
      <c r="Z620" s="14"/>
      <c r="AA620" s="14"/>
      <c r="AB620" s="14"/>
      <c r="AC620" s="14"/>
      <c r="AD620" s="14"/>
      <c r="AE620" s="14"/>
      <c r="AF620" s="14"/>
      <c r="AG620" s="19"/>
      <c r="AH620" s="20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</row>
    <row r="621" ht="15.75" customHeight="1">
      <c r="A621" s="5"/>
      <c r="B621" s="5"/>
      <c r="C621" s="5"/>
      <c r="D621" s="5"/>
      <c r="E621" s="14"/>
      <c r="F621" s="15"/>
      <c r="G621" s="14"/>
      <c r="H621" s="16"/>
      <c r="I621" s="14"/>
      <c r="J621" s="16"/>
      <c r="K621" s="14"/>
      <c r="L621" s="16"/>
      <c r="M621" s="14"/>
      <c r="N621" s="16"/>
      <c r="O621" s="14"/>
      <c r="P621" s="16"/>
      <c r="Q621" s="14"/>
      <c r="R621" s="5"/>
      <c r="S621" s="14"/>
      <c r="T621" s="16"/>
      <c r="U621" s="16"/>
      <c r="V621" s="17"/>
      <c r="W621" s="6"/>
      <c r="X621" s="22"/>
      <c r="Y621" s="14"/>
      <c r="Z621" s="14"/>
      <c r="AA621" s="14"/>
      <c r="AB621" s="14"/>
      <c r="AC621" s="14"/>
      <c r="AD621" s="14"/>
      <c r="AE621" s="14"/>
      <c r="AF621" s="14"/>
      <c r="AG621" s="19"/>
      <c r="AH621" s="20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</row>
    <row r="622" ht="15.75" customHeight="1">
      <c r="A622" s="5"/>
      <c r="B622" s="5"/>
      <c r="C622" s="5"/>
      <c r="D622" s="5"/>
      <c r="E622" s="14"/>
      <c r="F622" s="15"/>
      <c r="G622" s="14"/>
      <c r="H622" s="16"/>
      <c r="I622" s="14"/>
      <c r="J622" s="16"/>
      <c r="K622" s="14"/>
      <c r="L622" s="16"/>
      <c r="M622" s="14"/>
      <c r="N622" s="16"/>
      <c r="O622" s="14"/>
      <c r="P622" s="16"/>
      <c r="Q622" s="14"/>
      <c r="R622" s="5"/>
      <c r="S622" s="14"/>
      <c r="T622" s="16"/>
      <c r="U622" s="16"/>
      <c r="V622" s="17"/>
      <c r="W622" s="6"/>
      <c r="X622" s="22"/>
      <c r="Y622" s="14"/>
      <c r="Z622" s="14"/>
      <c r="AA622" s="14"/>
      <c r="AB622" s="14"/>
      <c r="AC622" s="14"/>
      <c r="AD622" s="14"/>
      <c r="AE622" s="14"/>
      <c r="AF622" s="14"/>
      <c r="AG622" s="19"/>
      <c r="AH622" s="20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</row>
    <row r="623" ht="15.75" customHeight="1">
      <c r="A623" s="5"/>
      <c r="B623" s="5"/>
      <c r="C623" s="5"/>
      <c r="D623" s="5"/>
      <c r="E623" s="14"/>
      <c r="F623" s="15"/>
      <c r="G623" s="14"/>
      <c r="H623" s="16"/>
      <c r="I623" s="14"/>
      <c r="J623" s="16"/>
      <c r="K623" s="14"/>
      <c r="L623" s="16"/>
      <c r="M623" s="14"/>
      <c r="N623" s="16"/>
      <c r="O623" s="14"/>
      <c r="P623" s="16"/>
      <c r="Q623" s="14"/>
      <c r="R623" s="5"/>
      <c r="S623" s="14"/>
      <c r="T623" s="16"/>
      <c r="U623" s="16"/>
      <c r="V623" s="17"/>
      <c r="W623" s="6"/>
      <c r="X623" s="22"/>
      <c r="Y623" s="14"/>
      <c r="Z623" s="14"/>
      <c r="AA623" s="14"/>
      <c r="AB623" s="14"/>
      <c r="AC623" s="14"/>
      <c r="AD623" s="14"/>
      <c r="AE623" s="14"/>
      <c r="AF623" s="14"/>
      <c r="AG623" s="19"/>
      <c r="AH623" s="20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</row>
    <row r="624" ht="15.75" customHeight="1">
      <c r="A624" s="5"/>
      <c r="B624" s="5"/>
      <c r="C624" s="5"/>
      <c r="D624" s="5"/>
      <c r="E624" s="14"/>
      <c r="F624" s="15"/>
      <c r="G624" s="14"/>
      <c r="H624" s="16"/>
      <c r="I624" s="14"/>
      <c r="J624" s="16"/>
      <c r="K624" s="14"/>
      <c r="L624" s="16"/>
      <c r="M624" s="14"/>
      <c r="N624" s="16"/>
      <c r="O624" s="14"/>
      <c r="P624" s="16"/>
      <c r="Q624" s="14"/>
      <c r="R624" s="5"/>
      <c r="S624" s="14"/>
      <c r="T624" s="16"/>
      <c r="U624" s="16"/>
      <c r="V624" s="17"/>
      <c r="W624" s="6"/>
      <c r="X624" s="22"/>
      <c r="Y624" s="14"/>
      <c r="Z624" s="14"/>
      <c r="AA624" s="14"/>
      <c r="AB624" s="14"/>
      <c r="AC624" s="14"/>
      <c r="AD624" s="14"/>
      <c r="AE624" s="14"/>
      <c r="AF624" s="14"/>
      <c r="AG624" s="19"/>
      <c r="AH624" s="20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</row>
    <row r="625" ht="15.75" customHeight="1">
      <c r="A625" s="5"/>
      <c r="B625" s="5"/>
      <c r="C625" s="5"/>
      <c r="D625" s="5"/>
      <c r="E625" s="14"/>
      <c r="F625" s="15"/>
      <c r="G625" s="14"/>
      <c r="H625" s="16"/>
      <c r="I625" s="14"/>
      <c r="J625" s="16"/>
      <c r="K625" s="14"/>
      <c r="L625" s="16"/>
      <c r="M625" s="14"/>
      <c r="N625" s="16"/>
      <c r="O625" s="14"/>
      <c r="P625" s="16"/>
      <c r="Q625" s="14"/>
      <c r="R625" s="5"/>
      <c r="S625" s="14"/>
      <c r="T625" s="16"/>
      <c r="U625" s="16"/>
      <c r="V625" s="17"/>
      <c r="W625" s="6"/>
      <c r="X625" s="22"/>
      <c r="Y625" s="14"/>
      <c r="Z625" s="14"/>
      <c r="AA625" s="14"/>
      <c r="AB625" s="14"/>
      <c r="AC625" s="14"/>
      <c r="AD625" s="14"/>
      <c r="AE625" s="14"/>
      <c r="AF625" s="14"/>
      <c r="AG625" s="19"/>
      <c r="AH625" s="20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</row>
    <row r="626" ht="15.75" customHeight="1">
      <c r="A626" s="5"/>
      <c r="B626" s="5"/>
      <c r="C626" s="5"/>
      <c r="D626" s="5"/>
      <c r="E626" s="14"/>
      <c r="F626" s="15"/>
      <c r="G626" s="14"/>
      <c r="H626" s="16"/>
      <c r="I626" s="14"/>
      <c r="J626" s="16"/>
      <c r="K626" s="14"/>
      <c r="L626" s="16"/>
      <c r="M626" s="14"/>
      <c r="N626" s="16"/>
      <c r="O626" s="14"/>
      <c r="P626" s="16"/>
      <c r="Q626" s="14"/>
      <c r="R626" s="5"/>
      <c r="S626" s="14"/>
      <c r="T626" s="16"/>
      <c r="U626" s="16"/>
      <c r="V626" s="17"/>
      <c r="W626" s="6"/>
      <c r="X626" s="22"/>
      <c r="Y626" s="14"/>
      <c r="Z626" s="14"/>
      <c r="AA626" s="14"/>
      <c r="AB626" s="14"/>
      <c r="AC626" s="14"/>
      <c r="AD626" s="14"/>
      <c r="AE626" s="14"/>
      <c r="AF626" s="14"/>
      <c r="AG626" s="19"/>
      <c r="AH626" s="20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</row>
    <row r="627" ht="15.75" customHeight="1">
      <c r="A627" s="5"/>
      <c r="B627" s="5"/>
      <c r="C627" s="5"/>
      <c r="D627" s="5"/>
      <c r="E627" s="14"/>
      <c r="F627" s="15"/>
      <c r="G627" s="14"/>
      <c r="H627" s="16"/>
      <c r="I627" s="14"/>
      <c r="J627" s="16"/>
      <c r="K627" s="14"/>
      <c r="L627" s="16"/>
      <c r="M627" s="14"/>
      <c r="N627" s="16"/>
      <c r="O627" s="14"/>
      <c r="P627" s="16"/>
      <c r="Q627" s="14"/>
      <c r="R627" s="5"/>
      <c r="S627" s="14"/>
      <c r="T627" s="16"/>
      <c r="U627" s="16"/>
      <c r="V627" s="17"/>
      <c r="W627" s="6"/>
      <c r="X627" s="22"/>
      <c r="Y627" s="14"/>
      <c r="Z627" s="14"/>
      <c r="AA627" s="14"/>
      <c r="AB627" s="14"/>
      <c r="AC627" s="14"/>
      <c r="AD627" s="14"/>
      <c r="AE627" s="14"/>
      <c r="AF627" s="14"/>
      <c r="AG627" s="19"/>
      <c r="AH627" s="20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</row>
    <row r="628" ht="15.75" customHeight="1">
      <c r="A628" s="5"/>
      <c r="B628" s="5"/>
      <c r="C628" s="5"/>
      <c r="D628" s="5"/>
      <c r="E628" s="14"/>
      <c r="F628" s="15"/>
      <c r="G628" s="14"/>
      <c r="H628" s="16"/>
      <c r="I628" s="14"/>
      <c r="J628" s="16"/>
      <c r="K628" s="14"/>
      <c r="L628" s="16"/>
      <c r="M628" s="14"/>
      <c r="N628" s="16"/>
      <c r="O628" s="14"/>
      <c r="P628" s="16"/>
      <c r="Q628" s="14"/>
      <c r="R628" s="5"/>
      <c r="S628" s="14"/>
      <c r="T628" s="16"/>
      <c r="U628" s="16"/>
      <c r="V628" s="17"/>
      <c r="W628" s="6"/>
      <c r="X628" s="22"/>
      <c r="Y628" s="14"/>
      <c r="Z628" s="14"/>
      <c r="AA628" s="14"/>
      <c r="AB628" s="14"/>
      <c r="AC628" s="14"/>
      <c r="AD628" s="14"/>
      <c r="AE628" s="14"/>
      <c r="AF628" s="14"/>
      <c r="AG628" s="19"/>
      <c r="AH628" s="20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</row>
    <row r="629" ht="15.75" customHeight="1">
      <c r="A629" s="5"/>
      <c r="B629" s="5"/>
      <c r="C629" s="5"/>
      <c r="D629" s="5"/>
      <c r="E629" s="14"/>
      <c r="F629" s="15"/>
      <c r="G629" s="14"/>
      <c r="H629" s="16"/>
      <c r="I629" s="14"/>
      <c r="J629" s="16"/>
      <c r="K629" s="14"/>
      <c r="L629" s="16"/>
      <c r="M629" s="14"/>
      <c r="N629" s="16"/>
      <c r="O629" s="14"/>
      <c r="P629" s="16"/>
      <c r="Q629" s="14"/>
      <c r="R629" s="5"/>
      <c r="S629" s="14"/>
      <c r="T629" s="16"/>
      <c r="U629" s="16"/>
      <c r="V629" s="17"/>
      <c r="W629" s="6"/>
      <c r="X629" s="22"/>
      <c r="Y629" s="14"/>
      <c r="Z629" s="14"/>
      <c r="AA629" s="14"/>
      <c r="AB629" s="14"/>
      <c r="AC629" s="14"/>
      <c r="AD629" s="14"/>
      <c r="AE629" s="14"/>
      <c r="AF629" s="14"/>
      <c r="AG629" s="19"/>
      <c r="AH629" s="20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</row>
    <row r="630" ht="15.75" customHeight="1">
      <c r="A630" s="5"/>
      <c r="B630" s="5"/>
      <c r="C630" s="5"/>
      <c r="D630" s="5"/>
      <c r="E630" s="14"/>
      <c r="F630" s="15"/>
      <c r="G630" s="14"/>
      <c r="H630" s="16"/>
      <c r="I630" s="14"/>
      <c r="J630" s="16"/>
      <c r="K630" s="14"/>
      <c r="L630" s="16"/>
      <c r="M630" s="14"/>
      <c r="N630" s="16"/>
      <c r="O630" s="14"/>
      <c r="P630" s="16"/>
      <c r="Q630" s="14"/>
      <c r="R630" s="5"/>
      <c r="S630" s="14"/>
      <c r="T630" s="16"/>
      <c r="U630" s="16"/>
      <c r="V630" s="17"/>
      <c r="W630" s="6"/>
      <c r="X630" s="22"/>
      <c r="Y630" s="14"/>
      <c r="Z630" s="14"/>
      <c r="AA630" s="14"/>
      <c r="AB630" s="14"/>
      <c r="AC630" s="14"/>
      <c r="AD630" s="14"/>
      <c r="AE630" s="14"/>
      <c r="AF630" s="14"/>
      <c r="AG630" s="19"/>
      <c r="AH630" s="20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</row>
    <row r="631" ht="15.75" customHeight="1">
      <c r="A631" s="5"/>
      <c r="B631" s="5"/>
      <c r="C631" s="5"/>
      <c r="D631" s="5"/>
      <c r="E631" s="14"/>
      <c r="F631" s="15"/>
      <c r="G631" s="14"/>
      <c r="H631" s="16"/>
      <c r="I631" s="14"/>
      <c r="J631" s="16"/>
      <c r="K631" s="14"/>
      <c r="L631" s="16"/>
      <c r="M631" s="14"/>
      <c r="N631" s="16"/>
      <c r="O631" s="14"/>
      <c r="P631" s="16"/>
      <c r="Q631" s="14"/>
      <c r="R631" s="5"/>
      <c r="S631" s="14"/>
      <c r="T631" s="16"/>
      <c r="U631" s="16"/>
      <c r="V631" s="17"/>
      <c r="W631" s="6"/>
      <c r="X631" s="22"/>
      <c r="Y631" s="14"/>
      <c r="Z631" s="14"/>
      <c r="AA631" s="14"/>
      <c r="AB631" s="14"/>
      <c r="AC631" s="14"/>
      <c r="AD631" s="14"/>
      <c r="AE631" s="14"/>
      <c r="AF631" s="14"/>
      <c r="AG631" s="19"/>
      <c r="AH631" s="20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</row>
    <row r="632" ht="15.75" customHeight="1">
      <c r="A632" s="5"/>
      <c r="B632" s="5"/>
      <c r="C632" s="5"/>
      <c r="D632" s="5"/>
      <c r="E632" s="14"/>
      <c r="F632" s="15"/>
      <c r="G632" s="14"/>
      <c r="H632" s="16"/>
      <c r="I632" s="14"/>
      <c r="J632" s="16"/>
      <c r="K632" s="14"/>
      <c r="L632" s="16"/>
      <c r="M632" s="14"/>
      <c r="N632" s="16"/>
      <c r="O632" s="14"/>
      <c r="P632" s="16"/>
      <c r="Q632" s="14"/>
      <c r="R632" s="5"/>
      <c r="S632" s="14"/>
      <c r="T632" s="16"/>
      <c r="U632" s="16"/>
      <c r="V632" s="17"/>
      <c r="W632" s="6"/>
      <c r="X632" s="22"/>
      <c r="Y632" s="14"/>
      <c r="Z632" s="14"/>
      <c r="AA632" s="14"/>
      <c r="AB632" s="14"/>
      <c r="AC632" s="14"/>
      <c r="AD632" s="14"/>
      <c r="AE632" s="14"/>
      <c r="AF632" s="14"/>
      <c r="AG632" s="19"/>
      <c r="AH632" s="20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</row>
    <row r="633" ht="15.75" customHeight="1">
      <c r="A633" s="5"/>
      <c r="B633" s="5"/>
      <c r="C633" s="5"/>
      <c r="D633" s="5"/>
      <c r="E633" s="14"/>
      <c r="F633" s="15"/>
      <c r="G633" s="14"/>
      <c r="H633" s="16"/>
      <c r="I633" s="14"/>
      <c r="J633" s="16"/>
      <c r="K633" s="14"/>
      <c r="L633" s="16"/>
      <c r="M633" s="14"/>
      <c r="N633" s="16"/>
      <c r="O633" s="14"/>
      <c r="P633" s="16"/>
      <c r="Q633" s="14"/>
      <c r="R633" s="5"/>
      <c r="S633" s="14"/>
      <c r="T633" s="16"/>
      <c r="U633" s="16"/>
      <c r="V633" s="17"/>
      <c r="W633" s="6"/>
      <c r="X633" s="22"/>
      <c r="Y633" s="14"/>
      <c r="Z633" s="14"/>
      <c r="AA633" s="14"/>
      <c r="AB633" s="14"/>
      <c r="AC633" s="14"/>
      <c r="AD633" s="14"/>
      <c r="AE633" s="14"/>
      <c r="AF633" s="14"/>
      <c r="AG633" s="19"/>
      <c r="AH633" s="20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</row>
    <row r="634" ht="15.75" customHeight="1">
      <c r="A634" s="5"/>
      <c r="B634" s="5"/>
      <c r="C634" s="5"/>
      <c r="D634" s="5"/>
      <c r="E634" s="14"/>
      <c r="F634" s="15"/>
      <c r="G634" s="14"/>
      <c r="H634" s="16"/>
      <c r="I634" s="14"/>
      <c r="J634" s="16"/>
      <c r="K634" s="14"/>
      <c r="L634" s="16"/>
      <c r="M634" s="14"/>
      <c r="N634" s="16"/>
      <c r="O634" s="14"/>
      <c r="P634" s="16"/>
      <c r="Q634" s="14"/>
      <c r="R634" s="5"/>
      <c r="S634" s="14"/>
      <c r="T634" s="16"/>
      <c r="U634" s="16"/>
      <c r="V634" s="17"/>
      <c r="W634" s="6"/>
      <c r="X634" s="22"/>
      <c r="Y634" s="14"/>
      <c r="Z634" s="14"/>
      <c r="AA634" s="14"/>
      <c r="AB634" s="14"/>
      <c r="AC634" s="14"/>
      <c r="AD634" s="14"/>
      <c r="AE634" s="14"/>
      <c r="AF634" s="14"/>
      <c r="AG634" s="19"/>
      <c r="AH634" s="20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</row>
    <row r="635" ht="15.75" customHeight="1">
      <c r="A635" s="5"/>
      <c r="B635" s="5"/>
      <c r="C635" s="5"/>
      <c r="D635" s="5"/>
      <c r="E635" s="14"/>
      <c r="F635" s="15"/>
      <c r="G635" s="14"/>
      <c r="H635" s="16"/>
      <c r="I635" s="14"/>
      <c r="J635" s="16"/>
      <c r="K635" s="14"/>
      <c r="L635" s="16"/>
      <c r="M635" s="14"/>
      <c r="N635" s="16"/>
      <c r="O635" s="14"/>
      <c r="P635" s="16"/>
      <c r="Q635" s="14"/>
      <c r="R635" s="5"/>
      <c r="S635" s="14"/>
      <c r="T635" s="16"/>
      <c r="U635" s="16"/>
      <c r="V635" s="17"/>
      <c r="W635" s="6"/>
      <c r="X635" s="22"/>
      <c r="Y635" s="14"/>
      <c r="Z635" s="14"/>
      <c r="AA635" s="14"/>
      <c r="AB635" s="14"/>
      <c r="AC635" s="14"/>
      <c r="AD635" s="14"/>
      <c r="AE635" s="14"/>
      <c r="AF635" s="14"/>
      <c r="AG635" s="19"/>
      <c r="AH635" s="20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</row>
    <row r="636" ht="15.75" customHeight="1">
      <c r="A636" s="5"/>
      <c r="B636" s="5"/>
      <c r="C636" s="5"/>
      <c r="D636" s="5"/>
      <c r="E636" s="14"/>
      <c r="F636" s="15"/>
      <c r="G636" s="14"/>
      <c r="H636" s="16"/>
      <c r="I636" s="14"/>
      <c r="J636" s="16"/>
      <c r="K636" s="14"/>
      <c r="L636" s="16"/>
      <c r="M636" s="14"/>
      <c r="N636" s="16"/>
      <c r="O636" s="14"/>
      <c r="P636" s="16"/>
      <c r="Q636" s="14"/>
      <c r="R636" s="5"/>
      <c r="S636" s="14"/>
      <c r="T636" s="16"/>
      <c r="U636" s="16"/>
      <c r="V636" s="17"/>
      <c r="W636" s="6"/>
      <c r="X636" s="22"/>
      <c r="Y636" s="14"/>
      <c r="Z636" s="14"/>
      <c r="AA636" s="14"/>
      <c r="AB636" s="14"/>
      <c r="AC636" s="14"/>
      <c r="AD636" s="14"/>
      <c r="AE636" s="14"/>
      <c r="AF636" s="14"/>
      <c r="AG636" s="19"/>
      <c r="AH636" s="20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</row>
    <row r="637" ht="15.75" customHeight="1">
      <c r="A637" s="5"/>
      <c r="B637" s="5"/>
      <c r="C637" s="5"/>
      <c r="D637" s="5"/>
      <c r="E637" s="14"/>
      <c r="F637" s="15"/>
      <c r="G637" s="14"/>
      <c r="H637" s="16"/>
      <c r="I637" s="14"/>
      <c r="J637" s="16"/>
      <c r="K637" s="14"/>
      <c r="L637" s="16"/>
      <c r="M637" s="14"/>
      <c r="N637" s="16"/>
      <c r="O637" s="14"/>
      <c r="P637" s="16"/>
      <c r="Q637" s="14"/>
      <c r="R637" s="5"/>
      <c r="S637" s="14"/>
      <c r="T637" s="16"/>
      <c r="U637" s="16"/>
      <c r="V637" s="17"/>
      <c r="W637" s="6"/>
      <c r="X637" s="22"/>
      <c r="Y637" s="14"/>
      <c r="Z637" s="14"/>
      <c r="AA637" s="14"/>
      <c r="AB637" s="14"/>
      <c r="AC637" s="14"/>
      <c r="AD637" s="14"/>
      <c r="AE637" s="14"/>
      <c r="AF637" s="14"/>
      <c r="AG637" s="19"/>
      <c r="AH637" s="20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</row>
    <row r="638" ht="15.75" customHeight="1">
      <c r="A638" s="5"/>
      <c r="B638" s="5"/>
      <c r="C638" s="5"/>
      <c r="D638" s="5"/>
      <c r="E638" s="14"/>
      <c r="F638" s="15"/>
      <c r="G638" s="14"/>
      <c r="H638" s="16"/>
      <c r="I638" s="14"/>
      <c r="J638" s="16"/>
      <c r="K638" s="14"/>
      <c r="L638" s="16"/>
      <c r="M638" s="14"/>
      <c r="N638" s="16"/>
      <c r="O638" s="14"/>
      <c r="P638" s="16"/>
      <c r="Q638" s="14"/>
      <c r="R638" s="5"/>
      <c r="S638" s="14"/>
      <c r="T638" s="16"/>
      <c r="U638" s="16"/>
      <c r="V638" s="17"/>
      <c r="W638" s="6"/>
      <c r="X638" s="22"/>
      <c r="Y638" s="14"/>
      <c r="Z638" s="14"/>
      <c r="AA638" s="14"/>
      <c r="AB638" s="14"/>
      <c r="AC638" s="14"/>
      <c r="AD638" s="14"/>
      <c r="AE638" s="14"/>
      <c r="AF638" s="14"/>
      <c r="AG638" s="19"/>
      <c r="AH638" s="20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</row>
    <row r="639" ht="15.75" customHeight="1">
      <c r="A639" s="5"/>
      <c r="B639" s="5"/>
      <c r="C639" s="5"/>
      <c r="D639" s="5"/>
      <c r="E639" s="14"/>
      <c r="F639" s="15"/>
      <c r="G639" s="14"/>
      <c r="H639" s="16"/>
      <c r="I639" s="14"/>
      <c r="J639" s="16"/>
      <c r="K639" s="14"/>
      <c r="L639" s="16"/>
      <c r="M639" s="14"/>
      <c r="N639" s="16"/>
      <c r="O639" s="14"/>
      <c r="P639" s="16"/>
      <c r="Q639" s="14"/>
      <c r="R639" s="5"/>
      <c r="S639" s="14"/>
      <c r="T639" s="16"/>
      <c r="U639" s="16"/>
      <c r="V639" s="17"/>
      <c r="W639" s="6"/>
      <c r="X639" s="22"/>
      <c r="Y639" s="14"/>
      <c r="Z639" s="14"/>
      <c r="AA639" s="14"/>
      <c r="AB639" s="14"/>
      <c r="AC639" s="14"/>
      <c r="AD639" s="14"/>
      <c r="AE639" s="14"/>
      <c r="AF639" s="14"/>
      <c r="AG639" s="19"/>
      <c r="AH639" s="20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</row>
    <row r="640" ht="15.75" customHeight="1">
      <c r="A640" s="5"/>
      <c r="B640" s="5"/>
      <c r="C640" s="5"/>
      <c r="D640" s="5"/>
      <c r="E640" s="14"/>
      <c r="F640" s="15"/>
      <c r="G640" s="14"/>
      <c r="H640" s="16"/>
      <c r="I640" s="14"/>
      <c r="J640" s="16"/>
      <c r="K640" s="14"/>
      <c r="L640" s="16"/>
      <c r="M640" s="14"/>
      <c r="N640" s="16"/>
      <c r="O640" s="14"/>
      <c r="P640" s="16"/>
      <c r="Q640" s="14"/>
      <c r="R640" s="5"/>
      <c r="S640" s="14"/>
      <c r="T640" s="16"/>
      <c r="U640" s="16"/>
      <c r="V640" s="17"/>
      <c r="W640" s="6"/>
      <c r="X640" s="22"/>
      <c r="Y640" s="14"/>
      <c r="Z640" s="14"/>
      <c r="AA640" s="14"/>
      <c r="AB640" s="14"/>
      <c r="AC640" s="14"/>
      <c r="AD640" s="14"/>
      <c r="AE640" s="14"/>
      <c r="AF640" s="14"/>
      <c r="AG640" s="19"/>
      <c r="AH640" s="20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</row>
    <row r="641" ht="15.75" customHeight="1">
      <c r="A641" s="5"/>
      <c r="B641" s="5"/>
      <c r="C641" s="5"/>
      <c r="D641" s="5"/>
      <c r="E641" s="14"/>
      <c r="F641" s="15"/>
      <c r="G641" s="14"/>
      <c r="H641" s="16"/>
      <c r="I641" s="14"/>
      <c r="J641" s="16"/>
      <c r="K641" s="14"/>
      <c r="L641" s="16"/>
      <c r="M641" s="14"/>
      <c r="N641" s="16"/>
      <c r="O641" s="14"/>
      <c r="P641" s="16"/>
      <c r="Q641" s="14"/>
      <c r="R641" s="5"/>
      <c r="S641" s="14"/>
      <c r="T641" s="16"/>
      <c r="U641" s="16"/>
      <c r="V641" s="17"/>
      <c r="W641" s="6"/>
      <c r="X641" s="22"/>
      <c r="Y641" s="14"/>
      <c r="Z641" s="14"/>
      <c r="AA641" s="14"/>
      <c r="AB641" s="14"/>
      <c r="AC641" s="14"/>
      <c r="AD641" s="14"/>
      <c r="AE641" s="14"/>
      <c r="AF641" s="14"/>
      <c r="AG641" s="19"/>
      <c r="AH641" s="20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</row>
    <row r="642" ht="15.75" customHeight="1">
      <c r="A642" s="5"/>
      <c r="B642" s="5"/>
      <c r="C642" s="5"/>
      <c r="D642" s="5"/>
      <c r="E642" s="14"/>
      <c r="F642" s="15"/>
      <c r="G642" s="14"/>
      <c r="H642" s="16"/>
      <c r="I642" s="14"/>
      <c r="J642" s="16"/>
      <c r="K642" s="14"/>
      <c r="L642" s="16"/>
      <c r="M642" s="14"/>
      <c r="N642" s="16"/>
      <c r="O642" s="14"/>
      <c r="P642" s="16"/>
      <c r="Q642" s="14"/>
      <c r="R642" s="5"/>
      <c r="S642" s="14"/>
      <c r="T642" s="16"/>
      <c r="U642" s="16"/>
      <c r="V642" s="17"/>
      <c r="W642" s="6"/>
      <c r="X642" s="22"/>
      <c r="Y642" s="14"/>
      <c r="Z642" s="14"/>
      <c r="AA642" s="14"/>
      <c r="AB642" s="14"/>
      <c r="AC642" s="14"/>
      <c r="AD642" s="14"/>
      <c r="AE642" s="14"/>
      <c r="AF642" s="14"/>
      <c r="AG642" s="19"/>
      <c r="AH642" s="20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</row>
    <row r="643" ht="15.75" customHeight="1">
      <c r="A643" s="5"/>
      <c r="B643" s="5"/>
      <c r="C643" s="5"/>
      <c r="D643" s="5"/>
      <c r="E643" s="14"/>
      <c r="F643" s="15"/>
      <c r="G643" s="14"/>
      <c r="H643" s="16"/>
      <c r="I643" s="14"/>
      <c r="J643" s="16"/>
      <c r="K643" s="14"/>
      <c r="L643" s="16"/>
      <c r="M643" s="14"/>
      <c r="N643" s="16"/>
      <c r="O643" s="14"/>
      <c r="P643" s="16"/>
      <c r="Q643" s="14"/>
      <c r="R643" s="5"/>
      <c r="S643" s="14"/>
      <c r="T643" s="16"/>
      <c r="U643" s="16"/>
      <c r="V643" s="17"/>
      <c r="W643" s="6"/>
      <c r="X643" s="22"/>
      <c r="Y643" s="14"/>
      <c r="Z643" s="14"/>
      <c r="AA643" s="14"/>
      <c r="AB643" s="14"/>
      <c r="AC643" s="14"/>
      <c r="AD643" s="14"/>
      <c r="AE643" s="14"/>
      <c r="AF643" s="14"/>
      <c r="AG643" s="19"/>
      <c r="AH643" s="20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</row>
    <row r="644" ht="15.75" customHeight="1">
      <c r="A644" s="5"/>
      <c r="B644" s="5"/>
      <c r="C644" s="5"/>
      <c r="D644" s="5"/>
      <c r="E644" s="14"/>
      <c r="F644" s="15"/>
      <c r="G644" s="14"/>
      <c r="H644" s="16"/>
      <c r="I644" s="14"/>
      <c r="J644" s="16"/>
      <c r="K644" s="14"/>
      <c r="L644" s="16"/>
      <c r="M644" s="14"/>
      <c r="N644" s="16"/>
      <c r="O644" s="14"/>
      <c r="P644" s="16"/>
      <c r="Q644" s="14"/>
      <c r="R644" s="5"/>
      <c r="S644" s="14"/>
      <c r="T644" s="16"/>
      <c r="U644" s="16"/>
      <c r="V644" s="17"/>
      <c r="W644" s="6"/>
      <c r="X644" s="22"/>
      <c r="Y644" s="14"/>
      <c r="Z644" s="14"/>
      <c r="AA644" s="14"/>
      <c r="AB644" s="14"/>
      <c r="AC644" s="14"/>
      <c r="AD644" s="14"/>
      <c r="AE644" s="14"/>
      <c r="AF644" s="14"/>
      <c r="AG644" s="19"/>
      <c r="AH644" s="20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</row>
    <row r="645" ht="15.75" customHeight="1">
      <c r="A645" s="5"/>
      <c r="B645" s="5"/>
      <c r="C645" s="5"/>
      <c r="D645" s="5"/>
      <c r="E645" s="14"/>
      <c r="F645" s="15"/>
      <c r="G645" s="14"/>
      <c r="H645" s="16"/>
      <c r="I645" s="14"/>
      <c r="J645" s="16"/>
      <c r="K645" s="14"/>
      <c r="L645" s="16"/>
      <c r="M645" s="14"/>
      <c r="N645" s="16"/>
      <c r="O645" s="14"/>
      <c r="P645" s="16"/>
      <c r="Q645" s="14"/>
      <c r="R645" s="5"/>
      <c r="S645" s="14"/>
      <c r="T645" s="16"/>
      <c r="U645" s="16"/>
      <c r="V645" s="17"/>
      <c r="W645" s="6"/>
      <c r="X645" s="22"/>
      <c r="Y645" s="14"/>
      <c r="Z645" s="14"/>
      <c r="AA645" s="14"/>
      <c r="AB645" s="14"/>
      <c r="AC645" s="14"/>
      <c r="AD645" s="14"/>
      <c r="AE645" s="14"/>
      <c r="AF645" s="14"/>
      <c r="AG645" s="19"/>
      <c r="AH645" s="20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</row>
    <row r="646" ht="15.75" customHeight="1">
      <c r="A646" s="5"/>
      <c r="B646" s="5"/>
      <c r="C646" s="5"/>
      <c r="D646" s="5"/>
      <c r="E646" s="14"/>
      <c r="F646" s="15"/>
      <c r="G646" s="14"/>
      <c r="H646" s="16"/>
      <c r="I646" s="14"/>
      <c r="J646" s="16"/>
      <c r="K646" s="14"/>
      <c r="L646" s="16"/>
      <c r="M646" s="14"/>
      <c r="N646" s="16"/>
      <c r="O646" s="14"/>
      <c r="P646" s="16"/>
      <c r="Q646" s="14"/>
      <c r="R646" s="5"/>
      <c r="S646" s="14"/>
      <c r="T646" s="16"/>
      <c r="U646" s="16"/>
      <c r="V646" s="17"/>
      <c r="W646" s="6"/>
      <c r="X646" s="22"/>
      <c r="Y646" s="14"/>
      <c r="Z646" s="14"/>
      <c r="AA646" s="14"/>
      <c r="AB646" s="14"/>
      <c r="AC646" s="14"/>
      <c r="AD646" s="14"/>
      <c r="AE646" s="14"/>
      <c r="AF646" s="14"/>
      <c r="AG646" s="19"/>
      <c r="AH646" s="20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</row>
    <row r="647" ht="15.75" customHeight="1">
      <c r="A647" s="5"/>
      <c r="B647" s="5"/>
      <c r="C647" s="5"/>
      <c r="D647" s="5"/>
      <c r="E647" s="14"/>
      <c r="F647" s="15"/>
      <c r="G647" s="14"/>
      <c r="H647" s="16"/>
      <c r="I647" s="14"/>
      <c r="J647" s="16"/>
      <c r="K647" s="14"/>
      <c r="L647" s="16"/>
      <c r="M647" s="14"/>
      <c r="N647" s="16"/>
      <c r="O647" s="14"/>
      <c r="P647" s="16"/>
      <c r="Q647" s="14"/>
      <c r="R647" s="5"/>
      <c r="S647" s="14"/>
      <c r="T647" s="16"/>
      <c r="U647" s="16"/>
      <c r="V647" s="17"/>
      <c r="W647" s="6"/>
      <c r="X647" s="22"/>
      <c r="Y647" s="14"/>
      <c r="Z647" s="14"/>
      <c r="AA647" s="14"/>
      <c r="AB647" s="14"/>
      <c r="AC647" s="14"/>
      <c r="AD647" s="14"/>
      <c r="AE647" s="14"/>
      <c r="AF647" s="14"/>
      <c r="AG647" s="19"/>
      <c r="AH647" s="20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</row>
    <row r="648" ht="15.75" customHeight="1">
      <c r="A648" s="5"/>
      <c r="B648" s="5"/>
      <c r="C648" s="5"/>
      <c r="D648" s="5"/>
      <c r="E648" s="14"/>
      <c r="F648" s="15"/>
      <c r="G648" s="14"/>
      <c r="H648" s="16"/>
      <c r="I648" s="14"/>
      <c r="J648" s="16"/>
      <c r="K648" s="14"/>
      <c r="L648" s="16"/>
      <c r="M648" s="14"/>
      <c r="N648" s="16"/>
      <c r="O648" s="14"/>
      <c r="P648" s="16"/>
      <c r="Q648" s="14"/>
      <c r="R648" s="5"/>
      <c r="S648" s="14"/>
      <c r="T648" s="16"/>
      <c r="U648" s="16"/>
      <c r="V648" s="17"/>
      <c r="W648" s="6"/>
      <c r="X648" s="22"/>
      <c r="Y648" s="14"/>
      <c r="Z648" s="14"/>
      <c r="AA648" s="14"/>
      <c r="AB648" s="14"/>
      <c r="AC648" s="14"/>
      <c r="AD648" s="14"/>
      <c r="AE648" s="14"/>
      <c r="AF648" s="14"/>
      <c r="AG648" s="19"/>
      <c r="AH648" s="20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</row>
    <row r="649" ht="15.75" customHeight="1">
      <c r="A649" s="5"/>
      <c r="B649" s="5"/>
      <c r="C649" s="5"/>
      <c r="D649" s="5"/>
      <c r="E649" s="14"/>
      <c r="F649" s="15"/>
      <c r="G649" s="14"/>
      <c r="H649" s="16"/>
      <c r="I649" s="14"/>
      <c r="J649" s="16"/>
      <c r="K649" s="14"/>
      <c r="L649" s="16"/>
      <c r="M649" s="14"/>
      <c r="N649" s="16"/>
      <c r="O649" s="14"/>
      <c r="P649" s="16"/>
      <c r="Q649" s="14"/>
      <c r="R649" s="5"/>
      <c r="S649" s="14"/>
      <c r="T649" s="16"/>
      <c r="U649" s="16"/>
      <c r="V649" s="17"/>
      <c r="W649" s="6"/>
      <c r="X649" s="22"/>
      <c r="Y649" s="14"/>
      <c r="Z649" s="14"/>
      <c r="AA649" s="14"/>
      <c r="AB649" s="14"/>
      <c r="AC649" s="14"/>
      <c r="AD649" s="14"/>
      <c r="AE649" s="14"/>
      <c r="AF649" s="14"/>
      <c r="AG649" s="19"/>
      <c r="AH649" s="20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</row>
    <row r="650" ht="15.75" customHeight="1">
      <c r="A650" s="5"/>
      <c r="B650" s="5"/>
      <c r="C650" s="5"/>
      <c r="D650" s="5"/>
      <c r="E650" s="14"/>
      <c r="F650" s="15"/>
      <c r="G650" s="14"/>
      <c r="H650" s="16"/>
      <c r="I650" s="14"/>
      <c r="J650" s="16"/>
      <c r="K650" s="14"/>
      <c r="L650" s="16"/>
      <c r="M650" s="14"/>
      <c r="N650" s="16"/>
      <c r="O650" s="14"/>
      <c r="P650" s="16"/>
      <c r="Q650" s="14"/>
      <c r="R650" s="5"/>
      <c r="S650" s="14"/>
      <c r="T650" s="16"/>
      <c r="U650" s="16"/>
      <c r="V650" s="17"/>
      <c r="W650" s="6"/>
      <c r="X650" s="22"/>
      <c r="Y650" s="14"/>
      <c r="Z650" s="14"/>
      <c r="AA650" s="14"/>
      <c r="AB650" s="14"/>
      <c r="AC650" s="14"/>
      <c r="AD650" s="14"/>
      <c r="AE650" s="14"/>
      <c r="AF650" s="14"/>
      <c r="AG650" s="19"/>
      <c r="AH650" s="20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</row>
    <row r="651" ht="15.75" customHeight="1">
      <c r="A651" s="5"/>
      <c r="B651" s="5"/>
      <c r="C651" s="5"/>
      <c r="D651" s="5"/>
      <c r="E651" s="14"/>
      <c r="F651" s="15"/>
      <c r="G651" s="14"/>
      <c r="H651" s="16"/>
      <c r="I651" s="14"/>
      <c r="J651" s="16"/>
      <c r="K651" s="14"/>
      <c r="L651" s="16"/>
      <c r="M651" s="14"/>
      <c r="N651" s="16"/>
      <c r="O651" s="14"/>
      <c r="P651" s="16"/>
      <c r="Q651" s="14"/>
      <c r="R651" s="5"/>
      <c r="S651" s="14"/>
      <c r="T651" s="16"/>
      <c r="U651" s="16"/>
      <c r="V651" s="17"/>
      <c r="W651" s="6"/>
      <c r="X651" s="22"/>
      <c r="Y651" s="14"/>
      <c r="Z651" s="14"/>
      <c r="AA651" s="14"/>
      <c r="AB651" s="14"/>
      <c r="AC651" s="14"/>
      <c r="AD651" s="14"/>
      <c r="AE651" s="14"/>
      <c r="AF651" s="14"/>
      <c r="AG651" s="19"/>
      <c r="AH651" s="20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</row>
    <row r="652" ht="15.75" customHeight="1">
      <c r="A652" s="5"/>
      <c r="B652" s="5"/>
      <c r="C652" s="5"/>
      <c r="D652" s="5"/>
      <c r="E652" s="14"/>
      <c r="F652" s="15"/>
      <c r="G652" s="14"/>
      <c r="H652" s="16"/>
      <c r="I652" s="14"/>
      <c r="J652" s="16"/>
      <c r="K652" s="14"/>
      <c r="L652" s="16"/>
      <c r="M652" s="14"/>
      <c r="N652" s="16"/>
      <c r="O652" s="14"/>
      <c r="P652" s="16"/>
      <c r="Q652" s="14"/>
      <c r="R652" s="5"/>
      <c r="S652" s="14"/>
      <c r="T652" s="16"/>
      <c r="U652" s="16"/>
      <c r="V652" s="17"/>
      <c r="W652" s="6"/>
      <c r="X652" s="22"/>
      <c r="Y652" s="14"/>
      <c r="Z652" s="14"/>
      <c r="AA652" s="14"/>
      <c r="AB652" s="14"/>
      <c r="AC652" s="14"/>
      <c r="AD652" s="14"/>
      <c r="AE652" s="14"/>
      <c r="AF652" s="14"/>
      <c r="AG652" s="19"/>
      <c r="AH652" s="20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</row>
    <row r="653" ht="15.75" customHeight="1">
      <c r="A653" s="5"/>
      <c r="B653" s="5"/>
      <c r="C653" s="5"/>
      <c r="D653" s="5"/>
      <c r="E653" s="14"/>
      <c r="F653" s="15"/>
      <c r="G653" s="14"/>
      <c r="H653" s="16"/>
      <c r="I653" s="14"/>
      <c r="J653" s="16"/>
      <c r="K653" s="14"/>
      <c r="L653" s="16"/>
      <c r="M653" s="14"/>
      <c r="N653" s="16"/>
      <c r="O653" s="14"/>
      <c r="P653" s="16"/>
      <c r="Q653" s="14"/>
      <c r="R653" s="5"/>
      <c r="S653" s="14"/>
      <c r="T653" s="16"/>
      <c r="U653" s="16"/>
      <c r="V653" s="17"/>
      <c r="W653" s="6"/>
      <c r="X653" s="22"/>
      <c r="Y653" s="14"/>
      <c r="Z653" s="14"/>
      <c r="AA653" s="14"/>
      <c r="AB653" s="14"/>
      <c r="AC653" s="14"/>
      <c r="AD653" s="14"/>
      <c r="AE653" s="14"/>
      <c r="AF653" s="14"/>
      <c r="AG653" s="19"/>
      <c r="AH653" s="20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</row>
    <row r="654" ht="15.75" customHeight="1">
      <c r="A654" s="5"/>
      <c r="B654" s="5"/>
      <c r="C654" s="5"/>
      <c r="D654" s="5"/>
      <c r="E654" s="14"/>
      <c r="F654" s="15"/>
      <c r="G654" s="14"/>
      <c r="H654" s="16"/>
      <c r="I654" s="14"/>
      <c r="J654" s="16"/>
      <c r="K654" s="14"/>
      <c r="L654" s="16"/>
      <c r="M654" s="14"/>
      <c r="N654" s="16"/>
      <c r="O654" s="14"/>
      <c r="P654" s="16"/>
      <c r="Q654" s="14"/>
      <c r="R654" s="5"/>
      <c r="S654" s="14"/>
      <c r="T654" s="16"/>
      <c r="U654" s="16"/>
      <c r="V654" s="17"/>
      <c r="W654" s="6"/>
      <c r="X654" s="22"/>
      <c r="Y654" s="14"/>
      <c r="Z654" s="14"/>
      <c r="AA654" s="14"/>
      <c r="AB654" s="14"/>
      <c r="AC654" s="14"/>
      <c r="AD654" s="14"/>
      <c r="AE654" s="14"/>
      <c r="AF654" s="14"/>
      <c r="AG654" s="19"/>
      <c r="AH654" s="20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</row>
    <row r="655" ht="15.75" customHeight="1">
      <c r="A655" s="5"/>
      <c r="B655" s="5"/>
      <c r="C655" s="5"/>
      <c r="D655" s="5"/>
      <c r="E655" s="14"/>
      <c r="F655" s="15"/>
      <c r="G655" s="14"/>
      <c r="H655" s="16"/>
      <c r="I655" s="14"/>
      <c r="J655" s="16"/>
      <c r="K655" s="14"/>
      <c r="L655" s="16"/>
      <c r="M655" s="14"/>
      <c r="N655" s="16"/>
      <c r="O655" s="14"/>
      <c r="P655" s="16"/>
      <c r="Q655" s="14"/>
      <c r="R655" s="5"/>
      <c r="S655" s="14"/>
      <c r="T655" s="16"/>
      <c r="U655" s="16"/>
      <c r="V655" s="17"/>
      <c r="W655" s="6"/>
      <c r="X655" s="22"/>
      <c r="Y655" s="14"/>
      <c r="Z655" s="14"/>
      <c r="AA655" s="14"/>
      <c r="AB655" s="14"/>
      <c r="AC655" s="14"/>
      <c r="AD655" s="14"/>
      <c r="AE655" s="14"/>
      <c r="AF655" s="14"/>
      <c r="AG655" s="19"/>
      <c r="AH655" s="20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</row>
    <row r="656" ht="15.75" customHeight="1">
      <c r="A656" s="5"/>
      <c r="B656" s="5"/>
      <c r="C656" s="5"/>
      <c r="D656" s="5"/>
      <c r="E656" s="14"/>
      <c r="F656" s="15"/>
      <c r="G656" s="14"/>
      <c r="H656" s="16"/>
      <c r="I656" s="14"/>
      <c r="J656" s="16"/>
      <c r="K656" s="14"/>
      <c r="L656" s="16"/>
      <c r="M656" s="14"/>
      <c r="N656" s="16"/>
      <c r="O656" s="14"/>
      <c r="P656" s="16"/>
      <c r="Q656" s="14"/>
      <c r="R656" s="5"/>
      <c r="S656" s="14"/>
      <c r="T656" s="16"/>
      <c r="U656" s="16"/>
      <c r="V656" s="17"/>
      <c r="W656" s="6"/>
      <c r="X656" s="22"/>
      <c r="Y656" s="14"/>
      <c r="Z656" s="14"/>
      <c r="AA656" s="14"/>
      <c r="AB656" s="14"/>
      <c r="AC656" s="14"/>
      <c r="AD656" s="14"/>
      <c r="AE656" s="14"/>
      <c r="AF656" s="14"/>
      <c r="AG656" s="19"/>
      <c r="AH656" s="20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</row>
    <row r="657" ht="15.75" customHeight="1">
      <c r="A657" s="5"/>
      <c r="B657" s="5"/>
      <c r="C657" s="5"/>
      <c r="D657" s="5"/>
      <c r="E657" s="14"/>
      <c r="F657" s="15"/>
      <c r="G657" s="14"/>
      <c r="H657" s="16"/>
      <c r="I657" s="14"/>
      <c r="J657" s="16"/>
      <c r="K657" s="14"/>
      <c r="L657" s="16"/>
      <c r="M657" s="14"/>
      <c r="N657" s="16"/>
      <c r="O657" s="14"/>
      <c r="P657" s="16"/>
      <c r="Q657" s="14"/>
      <c r="R657" s="5"/>
      <c r="S657" s="14"/>
      <c r="T657" s="16"/>
      <c r="U657" s="16"/>
      <c r="V657" s="17"/>
      <c r="W657" s="6"/>
      <c r="X657" s="22"/>
      <c r="Y657" s="14"/>
      <c r="Z657" s="14"/>
      <c r="AA657" s="14"/>
      <c r="AB657" s="14"/>
      <c r="AC657" s="14"/>
      <c r="AD657" s="14"/>
      <c r="AE657" s="14"/>
      <c r="AF657" s="14"/>
      <c r="AG657" s="19"/>
      <c r="AH657" s="20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</row>
    <row r="658" ht="15.75" customHeight="1">
      <c r="A658" s="5"/>
      <c r="B658" s="5"/>
      <c r="C658" s="5"/>
      <c r="D658" s="5"/>
      <c r="E658" s="14"/>
      <c r="F658" s="15"/>
      <c r="G658" s="14"/>
      <c r="H658" s="16"/>
      <c r="I658" s="14"/>
      <c r="J658" s="16"/>
      <c r="K658" s="14"/>
      <c r="L658" s="16"/>
      <c r="M658" s="14"/>
      <c r="N658" s="16"/>
      <c r="O658" s="14"/>
      <c r="P658" s="16"/>
      <c r="Q658" s="14"/>
      <c r="R658" s="5"/>
      <c r="S658" s="14"/>
      <c r="T658" s="16"/>
      <c r="U658" s="16"/>
      <c r="V658" s="17"/>
      <c r="W658" s="6"/>
      <c r="X658" s="22"/>
      <c r="Y658" s="14"/>
      <c r="Z658" s="14"/>
      <c r="AA658" s="14"/>
      <c r="AB658" s="14"/>
      <c r="AC658" s="14"/>
      <c r="AD658" s="14"/>
      <c r="AE658" s="14"/>
      <c r="AF658" s="14"/>
      <c r="AG658" s="19"/>
      <c r="AH658" s="20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</row>
    <row r="659" ht="15.75" customHeight="1">
      <c r="A659" s="5"/>
      <c r="B659" s="5"/>
      <c r="C659" s="5"/>
      <c r="D659" s="5"/>
      <c r="E659" s="14"/>
      <c r="F659" s="15"/>
      <c r="G659" s="14"/>
      <c r="H659" s="16"/>
      <c r="I659" s="14"/>
      <c r="J659" s="16"/>
      <c r="K659" s="14"/>
      <c r="L659" s="16"/>
      <c r="M659" s="14"/>
      <c r="N659" s="16"/>
      <c r="O659" s="14"/>
      <c r="P659" s="16"/>
      <c r="Q659" s="14"/>
      <c r="R659" s="5"/>
      <c r="S659" s="14"/>
      <c r="T659" s="16"/>
      <c r="U659" s="16"/>
      <c r="V659" s="17"/>
      <c r="W659" s="6"/>
      <c r="X659" s="22"/>
      <c r="Y659" s="14"/>
      <c r="Z659" s="14"/>
      <c r="AA659" s="14"/>
      <c r="AB659" s="14"/>
      <c r="AC659" s="14"/>
      <c r="AD659" s="14"/>
      <c r="AE659" s="14"/>
      <c r="AF659" s="14"/>
      <c r="AG659" s="19"/>
      <c r="AH659" s="20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</row>
    <row r="660" ht="15.75" customHeight="1">
      <c r="A660" s="5"/>
      <c r="B660" s="5"/>
      <c r="C660" s="5"/>
      <c r="D660" s="5"/>
      <c r="E660" s="14"/>
      <c r="F660" s="15"/>
      <c r="G660" s="14"/>
      <c r="H660" s="16"/>
      <c r="I660" s="14"/>
      <c r="J660" s="16"/>
      <c r="K660" s="14"/>
      <c r="L660" s="16"/>
      <c r="M660" s="14"/>
      <c r="N660" s="16"/>
      <c r="O660" s="14"/>
      <c r="P660" s="16"/>
      <c r="Q660" s="14"/>
      <c r="R660" s="5"/>
      <c r="S660" s="14"/>
      <c r="T660" s="16"/>
      <c r="U660" s="16"/>
      <c r="V660" s="17"/>
      <c r="W660" s="6"/>
      <c r="X660" s="22"/>
      <c r="Y660" s="14"/>
      <c r="Z660" s="14"/>
      <c r="AA660" s="14"/>
      <c r="AB660" s="14"/>
      <c r="AC660" s="14"/>
      <c r="AD660" s="14"/>
      <c r="AE660" s="14"/>
      <c r="AF660" s="14"/>
      <c r="AG660" s="19"/>
      <c r="AH660" s="20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</row>
    <row r="661" ht="15.75" customHeight="1">
      <c r="A661" s="5"/>
      <c r="B661" s="5"/>
      <c r="C661" s="5"/>
      <c r="D661" s="5"/>
      <c r="E661" s="14"/>
      <c r="F661" s="15"/>
      <c r="G661" s="14"/>
      <c r="H661" s="16"/>
      <c r="I661" s="14"/>
      <c r="J661" s="16"/>
      <c r="K661" s="14"/>
      <c r="L661" s="16"/>
      <c r="M661" s="14"/>
      <c r="N661" s="16"/>
      <c r="O661" s="14"/>
      <c r="P661" s="16"/>
      <c r="Q661" s="14"/>
      <c r="R661" s="5"/>
      <c r="S661" s="14"/>
      <c r="T661" s="16"/>
      <c r="U661" s="16"/>
      <c r="V661" s="17"/>
      <c r="W661" s="6"/>
      <c r="X661" s="22"/>
      <c r="Y661" s="14"/>
      <c r="Z661" s="14"/>
      <c r="AA661" s="14"/>
      <c r="AB661" s="14"/>
      <c r="AC661" s="14"/>
      <c r="AD661" s="14"/>
      <c r="AE661" s="14"/>
      <c r="AF661" s="14"/>
      <c r="AG661" s="19"/>
      <c r="AH661" s="20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</row>
    <row r="662" ht="15.75" customHeight="1">
      <c r="A662" s="5"/>
      <c r="B662" s="5"/>
      <c r="C662" s="5"/>
      <c r="D662" s="5"/>
      <c r="E662" s="14"/>
      <c r="F662" s="15"/>
      <c r="G662" s="14"/>
      <c r="H662" s="16"/>
      <c r="I662" s="14"/>
      <c r="J662" s="16"/>
      <c r="K662" s="14"/>
      <c r="L662" s="16"/>
      <c r="M662" s="14"/>
      <c r="N662" s="16"/>
      <c r="O662" s="14"/>
      <c r="P662" s="16"/>
      <c r="Q662" s="14"/>
      <c r="R662" s="5"/>
      <c r="S662" s="14"/>
      <c r="T662" s="16"/>
      <c r="U662" s="16"/>
      <c r="V662" s="17"/>
      <c r="W662" s="6"/>
      <c r="X662" s="22"/>
      <c r="Y662" s="14"/>
      <c r="Z662" s="14"/>
      <c r="AA662" s="14"/>
      <c r="AB662" s="14"/>
      <c r="AC662" s="14"/>
      <c r="AD662" s="14"/>
      <c r="AE662" s="14"/>
      <c r="AF662" s="14"/>
      <c r="AG662" s="19"/>
      <c r="AH662" s="20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</row>
    <row r="663" ht="15.75" customHeight="1">
      <c r="A663" s="5"/>
      <c r="B663" s="5"/>
      <c r="C663" s="5"/>
      <c r="D663" s="5"/>
      <c r="E663" s="14"/>
      <c r="F663" s="15"/>
      <c r="G663" s="14"/>
      <c r="H663" s="16"/>
      <c r="I663" s="14"/>
      <c r="J663" s="16"/>
      <c r="K663" s="14"/>
      <c r="L663" s="16"/>
      <c r="M663" s="14"/>
      <c r="N663" s="16"/>
      <c r="O663" s="14"/>
      <c r="P663" s="16"/>
      <c r="Q663" s="14"/>
      <c r="R663" s="5"/>
      <c r="S663" s="14"/>
      <c r="T663" s="16"/>
      <c r="U663" s="16"/>
      <c r="V663" s="17"/>
      <c r="W663" s="6"/>
      <c r="X663" s="22"/>
      <c r="Y663" s="14"/>
      <c r="Z663" s="14"/>
      <c r="AA663" s="14"/>
      <c r="AB663" s="14"/>
      <c r="AC663" s="14"/>
      <c r="AD663" s="14"/>
      <c r="AE663" s="14"/>
      <c r="AF663" s="14"/>
      <c r="AG663" s="19"/>
      <c r="AH663" s="20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</row>
    <row r="664" ht="15.75" customHeight="1">
      <c r="A664" s="5"/>
      <c r="B664" s="5"/>
      <c r="C664" s="5"/>
      <c r="D664" s="5"/>
      <c r="E664" s="14"/>
      <c r="F664" s="15"/>
      <c r="G664" s="14"/>
      <c r="H664" s="16"/>
      <c r="I664" s="14"/>
      <c r="J664" s="16"/>
      <c r="K664" s="14"/>
      <c r="L664" s="16"/>
      <c r="M664" s="14"/>
      <c r="N664" s="16"/>
      <c r="O664" s="14"/>
      <c r="P664" s="16"/>
      <c r="Q664" s="14"/>
      <c r="R664" s="5"/>
      <c r="S664" s="14"/>
      <c r="T664" s="16"/>
      <c r="U664" s="16"/>
      <c r="V664" s="17"/>
      <c r="W664" s="6"/>
      <c r="X664" s="22"/>
      <c r="Y664" s="14"/>
      <c r="Z664" s="14"/>
      <c r="AA664" s="14"/>
      <c r="AB664" s="14"/>
      <c r="AC664" s="14"/>
      <c r="AD664" s="14"/>
      <c r="AE664" s="14"/>
      <c r="AF664" s="14"/>
      <c r="AG664" s="19"/>
      <c r="AH664" s="20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</row>
    <row r="665" ht="15.75" customHeight="1">
      <c r="A665" s="5"/>
      <c r="B665" s="5"/>
      <c r="C665" s="5"/>
      <c r="D665" s="5"/>
      <c r="E665" s="14"/>
      <c r="F665" s="15"/>
      <c r="G665" s="14"/>
      <c r="H665" s="16"/>
      <c r="I665" s="14"/>
      <c r="J665" s="16"/>
      <c r="K665" s="14"/>
      <c r="L665" s="16"/>
      <c r="M665" s="14"/>
      <c r="N665" s="16"/>
      <c r="O665" s="14"/>
      <c r="P665" s="16"/>
      <c r="Q665" s="14"/>
      <c r="R665" s="5"/>
      <c r="S665" s="14"/>
      <c r="T665" s="16"/>
      <c r="U665" s="16"/>
      <c r="V665" s="17"/>
      <c r="W665" s="6"/>
      <c r="X665" s="22"/>
      <c r="Y665" s="14"/>
      <c r="Z665" s="14"/>
      <c r="AA665" s="14"/>
      <c r="AB665" s="14"/>
      <c r="AC665" s="14"/>
      <c r="AD665" s="14"/>
      <c r="AE665" s="14"/>
      <c r="AF665" s="14"/>
      <c r="AG665" s="19"/>
      <c r="AH665" s="20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</row>
    <row r="666" ht="15.75" customHeight="1">
      <c r="A666" s="5"/>
      <c r="B666" s="5"/>
      <c r="C666" s="5"/>
      <c r="D666" s="5"/>
      <c r="E666" s="14"/>
      <c r="F666" s="15"/>
      <c r="G666" s="14"/>
      <c r="H666" s="16"/>
      <c r="I666" s="14"/>
      <c r="J666" s="16"/>
      <c r="K666" s="14"/>
      <c r="L666" s="16"/>
      <c r="M666" s="14"/>
      <c r="N666" s="16"/>
      <c r="O666" s="14"/>
      <c r="P666" s="16"/>
      <c r="Q666" s="14"/>
      <c r="R666" s="5"/>
      <c r="S666" s="14"/>
      <c r="T666" s="16"/>
      <c r="U666" s="16"/>
      <c r="V666" s="17"/>
      <c r="W666" s="6"/>
      <c r="X666" s="22"/>
      <c r="Y666" s="14"/>
      <c r="Z666" s="14"/>
      <c r="AA666" s="14"/>
      <c r="AB666" s="14"/>
      <c r="AC666" s="14"/>
      <c r="AD666" s="14"/>
      <c r="AE666" s="14"/>
      <c r="AF666" s="14"/>
      <c r="AG666" s="19"/>
      <c r="AH666" s="20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</row>
    <row r="667" ht="15.75" customHeight="1">
      <c r="A667" s="5"/>
      <c r="B667" s="5"/>
      <c r="C667" s="5"/>
      <c r="D667" s="5"/>
      <c r="E667" s="14"/>
      <c r="F667" s="15"/>
      <c r="G667" s="14"/>
      <c r="H667" s="16"/>
      <c r="I667" s="14"/>
      <c r="J667" s="16"/>
      <c r="K667" s="14"/>
      <c r="L667" s="16"/>
      <c r="M667" s="14"/>
      <c r="N667" s="16"/>
      <c r="O667" s="14"/>
      <c r="P667" s="16"/>
      <c r="Q667" s="14"/>
      <c r="R667" s="5"/>
      <c r="S667" s="14"/>
      <c r="T667" s="16"/>
      <c r="U667" s="16"/>
      <c r="V667" s="17"/>
      <c r="W667" s="6"/>
      <c r="X667" s="22"/>
      <c r="Y667" s="14"/>
      <c r="Z667" s="14"/>
      <c r="AA667" s="14"/>
      <c r="AB667" s="14"/>
      <c r="AC667" s="14"/>
      <c r="AD667" s="14"/>
      <c r="AE667" s="14"/>
      <c r="AF667" s="14"/>
      <c r="AG667" s="19"/>
      <c r="AH667" s="20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</row>
    <row r="668" ht="15.75" customHeight="1">
      <c r="A668" s="5"/>
      <c r="B668" s="5"/>
      <c r="C668" s="5"/>
      <c r="D668" s="5"/>
      <c r="E668" s="14"/>
      <c r="F668" s="15"/>
      <c r="G668" s="14"/>
      <c r="H668" s="16"/>
      <c r="I668" s="14"/>
      <c r="J668" s="16"/>
      <c r="K668" s="14"/>
      <c r="L668" s="16"/>
      <c r="M668" s="14"/>
      <c r="N668" s="16"/>
      <c r="O668" s="14"/>
      <c r="P668" s="16"/>
      <c r="Q668" s="14"/>
      <c r="R668" s="5"/>
      <c r="S668" s="14"/>
      <c r="T668" s="16"/>
      <c r="U668" s="16"/>
      <c r="V668" s="17"/>
      <c r="W668" s="6"/>
      <c r="X668" s="22"/>
      <c r="Y668" s="14"/>
      <c r="Z668" s="14"/>
      <c r="AA668" s="14"/>
      <c r="AB668" s="14"/>
      <c r="AC668" s="14"/>
      <c r="AD668" s="14"/>
      <c r="AE668" s="14"/>
      <c r="AF668" s="14"/>
      <c r="AG668" s="19"/>
      <c r="AH668" s="20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</row>
    <row r="669" ht="15.75" customHeight="1">
      <c r="A669" s="5"/>
      <c r="B669" s="5"/>
      <c r="C669" s="5"/>
      <c r="D669" s="5"/>
      <c r="E669" s="14"/>
      <c r="F669" s="15"/>
      <c r="G669" s="14"/>
      <c r="H669" s="16"/>
      <c r="I669" s="14"/>
      <c r="J669" s="16"/>
      <c r="K669" s="14"/>
      <c r="L669" s="16"/>
      <c r="M669" s="14"/>
      <c r="N669" s="16"/>
      <c r="O669" s="14"/>
      <c r="P669" s="16"/>
      <c r="Q669" s="14"/>
      <c r="R669" s="5"/>
      <c r="S669" s="14"/>
      <c r="T669" s="16"/>
      <c r="U669" s="16"/>
      <c r="V669" s="17"/>
      <c r="W669" s="6"/>
      <c r="X669" s="22"/>
      <c r="Y669" s="14"/>
      <c r="Z669" s="14"/>
      <c r="AA669" s="14"/>
      <c r="AB669" s="14"/>
      <c r="AC669" s="14"/>
      <c r="AD669" s="14"/>
      <c r="AE669" s="14"/>
      <c r="AF669" s="14"/>
      <c r="AG669" s="19"/>
      <c r="AH669" s="20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</row>
    <row r="670" ht="15.75" customHeight="1">
      <c r="A670" s="5"/>
      <c r="B670" s="5"/>
      <c r="C670" s="5"/>
      <c r="D670" s="5"/>
      <c r="E670" s="14"/>
      <c r="F670" s="15"/>
      <c r="G670" s="14"/>
      <c r="H670" s="16"/>
      <c r="I670" s="14"/>
      <c r="J670" s="16"/>
      <c r="K670" s="14"/>
      <c r="L670" s="16"/>
      <c r="M670" s="14"/>
      <c r="N670" s="16"/>
      <c r="O670" s="14"/>
      <c r="P670" s="16"/>
      <c r="Q670" s="14"/>
      <c r="R670" s="5"/>
      <c r="S670" s="14"/>
      <c r="T670" s="16"/>
      <c r="U670" s="16"/>
      <c r="V670" s="17"/>
      <c r="W670" s="6"/>
      <c r="X670" s="22"/>
      <c r="Y670" s="14"/>
      <c r="Z670" s="14"/>
      <c r="AA670" s="14"/>
      <c r="AB670" s="14"/>
      <c r="AC670" s="14"/>
      <c r="AD670" s="14"/>
      <c r="AE670" s="14"/>
      <c r="AF670" s="14"/>
      <c r="AG670" s="19"/>
      <c r="AH670" s="20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</row>
    <row r="671" ht="15.75" customHeight="1">
      <c r="A671" s="5"/>
      <c r="B671" s="5"/>
      <c r="C671" s="5"/>
      <c r="D671" s="5"/>
      <c r="E671" s="14"/>
      <c r="F671" s="15"/>
      <c r="G671" s="14"/>
      <c r="H671" s="16"/>
      <c r="I671" s="14"/>
      <c r="J671" s="16"/>
      <c r="K671" s="14"/>
      <c r="L671" s="16"/>
      <c r="M671" s="14"/>
      <c r="N671" s="16"/>
      <c r="O671" s="14"/>
      <c r="P671" s="16"/>
      <c r="Q671" s="14"/>
      <c r="R671" s="5"/>
      <c r="S671" s="14"/>
      <c r="T671" s="16"/>
      <c r="U671" s="16"/>
      <c r="V671" s="17"/>
      <c r="W671" s="6"/>
      <c r="X671" s="22"/>
      <c r="Y671" s="14"/>
      <c r="Z671" s="14"/>
      <c r="AA671" s="14"/>
      <c r="AB671" s="14"/>
      <c r="AC671" s="14"/>
      <c r="AD671" s="14"/>
      <c r="AE671" s="14"/>
      <c r="AF671" s="14"/>
      <c r="AG671" s="19"/>
      <c r="AH671" s="20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</row>
    <row r="672" ht="15.75" customHeight="1">
      <c r="A672" s="5"/>
      <c r="B672" s="5"/>
      <c r="C672" s="5"/>
      <c r="D672" s="5"/>
      <c r="E672" s="14"/>
      <c r="F672" s="15"/>
      <c r="G672" s="14"/>
      <c r="H672" s="16"/>
      <c r="I672" s="14"/>
      <c r="J672" s="16"/>
      <c r="K672" s="14"/>
      <c r="L672" s="16"/>
      <c r="M672" s="14"/>
      <c r="N672" s="16"/>
      <c r="O672" s="14"/>
      <c r="P672" s="16"/>
      <c r="Q672" s="14"/>
      <c r="R672" s="5"/>
      <c r="S672" s="14"/>
      <c r="T672" s="16"/>
      <c r="U672" s="16"/>
      <c r="V672" s="17"/>
      <c r="W672" s="6"/>
      <c r="X672" s="22"/>
      <c r="Y672" s="14"/>
      <c r="Z672" s="14"/>
      <c r="AA672" s="14"/>
      <c r="AB672" s="14"/>
      <c r="AC672" s="14"/>
      <c r="AD672" s="14"/>
      <c r="AE672" s="14"/>
      <c r="AF672" s="14"/>
      <c r="AG672" s="19"/>
      <c r="AH672" s="20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</row>
    <row r="673" ht="15.75" customHeight="1">
      <c r="A673" s="5"/>
      <c r="B673" s="5"/>
      <c r="C673" s="5"/>
      <c r="D673" s="5"/>
      <c r="E673" s="14"/>
      <c r="F673" s="15"/>
      <c r="G673" s="14"/>
      <c r="H673" s="16"/>
      <c r="I673" s="14"/>
      <c r="J673" s="16"/>
      <c r="K673" s="14"/>
      <c r="L673" s="16"/>
      <c r="M673" s="14"/>
      <c r="N673" s="16"/>
      <c r="O673" s="14"/>
      <c r="P673" s="16"/>
      <c r="Q673" s="14"/>
      <c r="R673" s="5"/>
      <c r="S673" s="14"/>
      <c r="T673" s="16"/>
      <c r="U673" s="16"/>
      <c r="V673" s="17"/>
      <c r="W673" s="6"/>
      <c r="X673" s="22"/>
      <c r="Y673" s="14"/>
      <c r="Z673" s="14"/>
      <c r="AA673" s="14"/>
      <c r="AB673" s="14"/>
      <c r="AC673" s="14"/>
      <c r="AD673" s="14"/>
      <c r="AE673" s="14"/>
      <c r="AF673" s="14"/>
      <c r="AG673" s="19"/>
      <c r="AH673" s="20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</row>
    <row r="674" ht="15.75" customHeight="1">
      <c r="A674" s="5"/>
      <c r="B674" s="5"/>
      <c r="C674" s="5"/>
      <c r="D674" s="5"/>
      <c r="E674" s="14"/>
      <c r="F674" s="15"/>
      <c r="G674" s="14"/>
      <c r="H674" s="16"/>
      <c r="I674" s="14"/>
      <c r="J674" s="16"/>
      <c r="K674" s="14"/>
      <c r="L674" s="16"/>
      <c r="M674" s="14"/>
      <c r="N674" s="16"/>
      <c r="O674" s="14"/>
      <c r="P674" s="16"/>
      <c r="Q674" s="14"/>
      <c r="R674" s="5"/>
      <c r="S674" s="14"/>
      <c r="T674" s="16"/>
      <c r="U674" s="16"/>
      <c r="V674" s="17"/>
      <c r="W674" s="6"/>
      <c r="X674" s="22"/>
      <c r="Y674" s="14"/>
      <c r="Z674" s="14"/>
      <c r="AA674" s="14"/>
      <c r="AB674" s="14"/>
      <c r="AC674" s="14"/>
      <c r="AD674" s="14"/>
      <c r="AE674" s="14"/>
      <c r="AF674" s="14"/>
      <c r="AG674" s="19"/>
      <c r="AH674" s="20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</row>
    <row r="675" ht="15.75" customHeight="1">
      <c r="A675" s="5"/>
      <c r="B675" s="5"/>
      <c r="C675" s="5"/>
      <c r="D675" s="5"/>
      <c r="E675" s="14"/>
      <c r="F675" s="15"/>
      <c r="G675" s="14"/>
      <c r="H675" s="16"/>
      <c r="I675" s="14"/>
      <c r="J675" s="16"/>
      <c r="K675" s="14"/>
      <c r="L675" s="16"/>
      <c r="M675" s="14"/>
      <c r="N675" s="16"/>
      <c r="O675" s="14"/>
      <c r="P675" s="16"/>
      <c r="Q675" s="14"/>
      <c r="R675" s="5"/>
      <c r="S675" s="14"/>
      <c r="T675" s="16"/>
      <c r="U675" s="16"/>
      <c r="V675" s="17"/>
      <c r="W675" s="6"/>
      <c r="X675" s="22"/>
      <c r="Y675" s="14"/>
      <c r="Z675" s="14"/>
      <c r="AA675" s="14"/>
      <c r="AB675" s="14"/>
      <c r="AC675" s="14"/>
      <c r="AD675" s="14"/>
      <c r="AE675" s="14"/>
      <c r="AF675" s="14"/>
      <c r="AG675" s="19"/>
      <c r="AH675" s="20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</row>
    <row r="676" ht="15.75" customHeight="1">
      <c r="A676" s="5"/>
      <c r="B676" s="5"/>
      <c r="C676" s="5"/>
      <c r="D676" s="5"/>
      <c r="E676" s="14"/>
      <c r="F676" s="15"/>
      <c r="G676" s="14"/>
      <c r="H676" s="16"/>
      <c r="I676" s="14"/>
      <c r="J676" s="16"/>
      <c r="K676" s="14"/>
      <c r="L676" s="16"/>
      <c r="M676" s="14"/>
      <c r="N676" s="16"/>
      <c r="O676" s="14"/>
      <c r="P676" s="16"/>
      <c r="Q676" s="14"/>
      <c r="R676" s="5"/>
      <c r="S676" s="14"/>
      <c r="T676" s="16"/>
      <c r="U676" s="16"/>
      <c r="V676" s="17"/>
      <c r="W676" s="6"/>
      <c r="X676" s="22"/>
      <c r="Y676" s="14"/>
      <c r="Z676" s="14"/>
      <c r="AA676" s="14"/>
      <c r="AB676" s="14"/>
      <c r="AC676" s="14"/>
      <c r="AD676" s="14"/>
      <c r="AE676" s="14"/>
      <c r="AF676" s="14"/>
      <c r="AG676" s="19"/>
      <c r="AH676" s="20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</row>
    <row r="677" ht="15.75" customHeight="1">
      <c r="A677" s="5"/>
      <c r="B677" s="5"/>
      <c r="C677" s="5"/>
      <c r="D677" s="5"/>
      <c r="E677" s="14"/>
      <c r="F677" s="15"/>
      <c r="G677" s="14"/>
      <c r="H677" s="16"/>
      <c r="I677" s="14"/>
      <c r="J677" s="16"/>
      <c r="K677" s="14"/>
      <c r="L677" s="16"/>
      <c r="M677" s="14"/>
      <c r="N677" s="16"/>
      <c r="O677" s="14"/>
      <c r="P677" s="16"/>
      <c r="Q677" s="14"/>
      <c r="R677" s="5"/>
      <c r="S677" s="14"/>
      <c r="T677" s="16"/>
      <c r="U677" s="16"/>
      <c r="V677" s="17"/>
      <c r="W677" s="6"/>
      <c r="X677" s="22"/>
      <c r="Y677" s="14"/>
      <c r="Z677" s="14"/>
      <c r="AA677" s="14"/>
      <c r="AB677" s="14"/>
      <c r="AC677" s="14"/>
      <c r="AD677" s="14"/>
      <c r="AE677" s="14"/>
      <c r="AF677" s="14"/>
      <c r="AG677" s="19"/>
      <c r="AH677" s="20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</row>
    <row r="678" ht="15.75" customHeight="1">
      <c r="A678" s="5"/>
      <c r="B678" s="5"/>
      <c r="C678" s="5"/>
      <c r="D678" s="5"/>
      <c r="E678" s="14"/>
      <c r="F678" s="15"/>
      <c r="G678" s="14"/>
      <c r="H678" s="16"/>
      <c r="I678" s="14"/>
      <c r="J678" s="16"/>
      <c r="K678" s="14"/>
      <c r="L678" s="16"/>
      <c r="M678" s="14"/>
      <c r="N678" s="16"/>
      <c r="O678" s="14"/>
      <c r="P678" s="16"/>
      <c r="Q678" s="14"/>
      <c r="R678" s="5"/>
      <c r="S678" s="14"/>
      <c r="T678" s="16"/>
      <c r="U678" s="16"/>
      <c r="V678" s="17"/>
      <c r="W678" s="6"/>
      <c r="X678" s="22"/>
      <c r="Y678" s="14"/>
      <c r="Z678" s="14"/>
      <c r="AA678" s="14"/>
      <c r="AB678" s="14"/>
      <c r="AC678" s="14"/>
      <c r="AD678" s="14"/>
      <c r="AE678" s="14"/>
      <c r="AF678" s="14"/>
      <c r="AG678" s="19"/>
      <c r="AH678" s="20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</row>
    <row r="679" ht="15.75" customHeight="1">
      <c r="A679" s="5"/>
      <c r="B679" s="5"/>
      <c r="C679" s="5"/>
      <c r="D679" s="5"/>
      <c r="E679" s="14"/>
      <c r="F679" s="15"/>
      <c r="G679" s="14"/>
      <c r="H679" s="16"/>
      <c r="I679" s="14"/>
      <c r="J679" s="16"/>
      <c r="K679" s="14"/>
      <c r="L679" s="16"/>
      <c r="M679" s="14"/>
      <c r="N679" s="16"/>
      <c r="O679" s="14"/>
      <c r="P679" s="16"/>
      <c r="Q679" s="14"/>
      <c r="R679" s="5"/>
      <c r="S679" s="14"/>
      <c r="T679" s="16"/>
      <c r="U679" s="16"/>
      <c r="V679" s="17"/>
      <c r="W679" s="6"/>
      <c r="X679" s="22"/>
      <c r="Y679" s="14"/>
      <c r="Z679" s="14"/>
      <c r="AA679" s="14"/>
      <c r="AB679" s="14"/>
      <c r="AC679" s="14"/>
      <c r="AD679" s="14"/>
      <c r="AE679" s="14"/>
      <c r="AF679" s="14"/>
      <c r="AG679" s="19"/>
      <c r="AH679" s="20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</row>
    <row r="680" ht="15.75" customHeight="1">
      <c r="A680" s="5"/>
      <c r="B680" s="5"/>
      <c r="C680" s="5"/>
      <c r="D680" s="5"/>
      <c r="E680" s="14"/>
      <c r="F680" s="15"/>
      <c r="G680" s="14"/>
      <c r="H680" s="16"/>
      <c r="I680" s="14"/>
      <c r="J680" s="16"/>
      <c r="K680" s="14"/>
      <c r="L680" s="16"/>
      <c r="M680" s="14"/>
      <c r="N680" s="16"/>
      <c r="O680" s="14"/>
      <c r="P680" s="16"/>
      <c r="Q680" s="14"/>
      <c r="R680" s="5"/>
      <c r="S680" s="14"/>
      <c r="T680" s="16"/>
      <c r="U680" s="16"/>
      <c r="V680" s="17"/>
      <c r="W680" s="6"/>
      <c r="X680" s="22"/>
      <c r="Y680" s="14"/>
      <c r="Z680" s="14"/>
      <c r="AA680" s="14"/>
      <c r="AB680" s="14"/>
      <c r="AC680" s="14"/>
      <c r="AD680" s="14"/>
      <c r="AE680" s="14"/>
      <c r="AF680" s="14"/>
      <c r="AG680" s="19"/>
      <c r="AH680" s="20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</row>
    <row r="681" ht="15.75" customHeight="1">
      <c r="A681" s="5"/>
      <c r="B681" s="5"/>
      <c r="C681" s="5"/>
      <c r="D681" s="5"/>
      <c r="E681" s="14"/>
      <c r="F681" s="15"/>
      <c r="G681" s="14"/>
      <c r="H681" s="16"/>
      <c r="I681" s="14"/>
      <c r="J681" s="16"/>
      <c r="K681" s="14"/>
      <c r="L681" s="16"/>
      <c r="M681" s="14"/>
      <c r="N681" s="16"/>
      <c r="O681" s="14"/>
      <c r="P681" s="16"/>
      <c r="Q681" s="14"/>
      <c r="R681" s="5"/>
      <c r="S681" s="14"/>
      <c r="T681" s="16"/>
      <c r="U681" s="16"/>
      <c r="V681" s="17"/>
      <c r="W681" s="6"/>
      <c r="X681" s="22"/>
      <c r="Y681" s="14"/>
      <c r="Z681" s="14"/>
      <c r="AA681" s="14"/>
      <c r="AB681" s="14"/>
      <c r="AC681" s="14"/>
      <c r="AD681" s="14"/>
      <c r="AE681" s="14"/>
      <c r="AF681" s="14"/>
      <c r="AG681" s="19"/>
      <c r="AH681" s="20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</row>
    <row r="682" ht="15.75" customHeight="1">
      <c r="A682" s="5"/>
      <c r="B682" s="5"/>
      <c r="C682" s="5"/>
      <c r="D682" s="5"/>
      <c r="E682" s="14"/>
      <c r="F682" s="15"/>
      <c r="G682" s="14"/>
      <c r="H682" s="16"/>
      <c r="I682" s="14"/>
      <c r="J682" s="16"/>
      <c r="K682" s="14"/>
      <c r="L682" s="16"/>
      <c r="M682" s="14"/>
      <c r="N682" s="16"/>
      <c r="O682" s="14"/>
      <c r="P682" s="16"/>
      <c r="Q682" s="14"/>
      <c r="R682" s="5"/>
      <c r="S682" s="14"/>
      <c r="T682" s="16"/>
      <c r="U682" s="16"/>
      <c r="V682" s="17"/>
      <c r="W682" s="6"/>
      <c r="X682" s="22"/>
      <c r="Y682" s="14"/>
      <c r="Z682" s="14"/>
      <c r="AA682" s="14"/>
      <c r="AB682" s="14"/>
      <c r="AC682" s="14"/>
      <c r="AD682" s="14"/>
      <c r="AE682" s="14"/>
      <c r="AF682" s="14"/>
      <c r="AG682" s="19"/>
      <c r="AH682" s="20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</row>
    <row r="683" ht="15.75" customHeight="1">
      <c r="A683" s="5"/>
      <c r="B683" s="5"/>
      <c r="C683" s="5"/>
      <c r="D683" s="5"/>
      <c r="E683" s="14"/>
      <c r="F683" s="15"/>
      <c r="G683" s="14"/>
      <c r="H683" s="16"/>
      <c r="I683" s="14"/>
      <c r="J683" s="16"/>
      <c r="K683" s="14"/>
      <c r="L683" s="16"/>
      <c r="M683" s="14"/>
      <c r="N683" s="16"/>
      <c r="O683" s="14"/>
      <c r="P683" s="16"/>
      <c r="Q683" s="14"/>
      <c r="R683" s="5"/>
      <c r="S683" s="14"/>
      <c r="T683" s="16"/>
      <c r="U683" s="16"/>
      <c r="V683" s="17"/>
      <c r="W683" s="6"/>
      <c r="X683" s="22"/>
      <c r="Y683" s="14"/>
      <c r="Z683" s="14"/>
      <c r="AA683" s="14"/>
      <c r="AB683" s="14"/>
      <c r="AC683" s="14"/>
      <c r="AD683" s="14"/>
      <c r="AE683" s="14"/>
      <c r="AF683" s="14"/>
      <c r="AG683" s="19"/>
      <c r="AH683" s="20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</row>
    <row r="684" ht="15.75" customHeight="1">
      <c r="A684" s="5"/>
      <c r="B684" s="5"/>
      <c r="C684" s="5"/>
      <c r="D684" s="5"/>
      <c r="E684" s="14"/>
      <c r="F684" s="15"/>
      <c r="G684" s="14"/>
      <c r="H684" s="16"/>
      <c r="I684" s="14"/>
      <c r="J684" s="16"/>
      <c r="K684" s="14"/>
      <c r="L684" s="16"/>
      <c r="M684" s="14"/>
      <c r="N684" s="16"/>
      <c r="O684" s="14"/>
      <c r="P684" s="16"/>
      <c r="Q684" s="14"/>
      <c r="R684" s="5"/>
      <c r="S684" s="14"/>
      <c r="T684" s="16"/>
      <c r="U684" s="16"/>
      <c r="V684" s="17"/>
      <c r="W684" s="6"/>
      <c r="X684" s="22"/>
      <c r="Y684" s="14"/>
      <c r="Z684" s="14"/>
      <c r="AA684" s="14"/>
      <c r="AB684" s="14"/>
      <c r="AC684" s="14"/>
      <c r="AD684" s="14"/>
      <c r="AE684" s="14"/>
      <c r="AF684" s="14"/>
      <c r="AG684" s="19"/>
      <c r="AH684" s="20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</row>
    <row r="685" ht="15.75" customHeight="1">
      <c r="A685" s="5"/>
      <c r="B685" s="5"/>
      <c r="C685" s="5"/>
      <c r="D685" s="5"/>
      <c r="E685" s="14"/>
      <c r="F685" s="15"/>
      <c r="G685" s="14"/>
      <c r="H685" s="16"/>
      <c r="I685" s="14"/>
      <c r="J685" s="16"/>
      <c r="K685" s="14"/>
      <c r="L685" s="16"/>
      <c r="M685" s="14"/>
      <c r="N685" s="16"/>
      <c r="O685" s="14"/>
      <c r="P685" s="16"/>
      <c r="Q685" s="14"/>
      <c r="R685" s="5"/>
      <c r="S685" s="14"/>
      <c r="T685" s="16"/>
      <c r="U685" s="16"/>
      <c r="V685" s="17"/>
      <c r="W685" s="6"/>
      <c r="X685" s="22"/>
      <c r="Y685" s="14"/>
      <c r="Z685" s="14"/>
      <c r="AA685" s="14"/>
      <c r="AB685" s="14"/>
      <c r="AC685" s="14"/>
      <c r="AD685" s="14"/>
      <c r="AE685" s="14"/>
      <c r="AF685" s="14"/>
      <c r="AG685" s="19"/>
      <c r="AH685" s="20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</row>
    <row r="686" ht="15.75" customHeight="1">
      <c r="A686" s="5"/>
      <c r="B686" s="5"/>
      <c r="C686" s="5"/>
      <c r="D686" s="5"/>
      <c r="E686" s="14"/>
      <c r="F686" s="15"/>
      <c r="G686" s="14"/>
      <c r="H686" s="16"/>
      <c r="I686" s="14"/>
      <c r="J686" s="16"/>
      <c r="K686" s="14"/>
      <c r="L686" s="16"/>
      <c r="M686" s="14"/>
      <c r="N686" s="16"/>
      <c r="O686" s="14"/>
      <c r="P686" s="16"/>
      <c r="Q686" s="14"/>
      <c r="R686" s="5"/>
      <c r="S686" s="14"/>
      <c r="T686" s="16"/>
      <c r="U686" s="16"/>
      <c r="V686" s="17"/>
      <c r="W686" s="6"/>
      <c r="X686" s="22"/>
      <c r="Y686" s="14"/>
      <c r="Z686" s="14"/>
      <c r="AA686" s="14"/>
      <c r="AB686" s="14"/>
      <c r="AC686" s="14"/>
      <c r="AD686" s="14"/>
      <c r="AE686" s="14"/>
      <c r="AF686" s="14"/>
      <c r="AG686" s="19"/>
      <c r="AH686" s="20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</row>
    <row r="687" ht="15.75" customHeight="1">
      <c r="A687" s="5"/>
      <c r="B687" s="5"/>
      <c r="C687" s="5"/>
      <c r="D687" s="5"/>
      <c r="E687" s="14"/>
      <c r="F687" s="15"/>
      <c r="G687" s="14"/>
      <c r="H687" s="16"/>
      <c r="I687" s="14"/>
      <c r="J687" s="16"/>
      <c r="K687" s="14"/>
      <c r="L687" s="16"/>
      <c r="M687" s="14"/>
      <c r="N687" s="16"/>
      <c r="O687" s="14"/>
      <c r="P687" s="16"/>
      <c r="Q687" s="14"/>
      <c r="R687" s="5"/>
      <c r="S687" s="14"/>
      <c r="T687" s="16"/>
      <c r="U687" s="16"/>
      <c r="V687" s="17"/>
      <c r="W687" s="6"/>
      <c r="X687" s="22"/>
      <c r="Y687" s="14"/>
      <c r="Z687" s="14"/>
      <c r="AA687" s="14"/>
      <c r="AB687" s="14"/>
      <c r="AC687" s="14"/>
      <c r="AD687" s="14"/>
      <c r="AE687" s="14"/>
      <c r="AF687" s="14"/>
      <c r="AG687" s="19"/>
      <c r="AH687" s="20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</row>
    <row r="688" ht="15.75" customHeight="1">
      <c r="A688" s="5"/>
      <c r="B688" s="5"/>
      <c r="C688" s="5"/>
      <c r="D688" s="5"/>
      <c r="E688" s="14"/>
      <c r="F688" s="15"/>
      <c r="G688" s="14"/>
      <c r="H688" s="16"/>
      <c r="I688" s="14"/>
      <c r="J688" s="16"/>
      <c r="K688" s="14"/>
      <c r="L688" s="16"/>
      <c r="M688" s="14"/>
      <c r="N688" s="16"/>
      <c r="O688" s="14"/>
      <c r="P688" s="16"/>
      <c r="Q688" s="14"/>
      <c r="R688" s="5"/>
      <c r="S688" s="14"/>
      <c r="T688" s="16"/>
      <c r="U688" s="16"/>
      <c r="V688" s="17"/>
      <c r="W688" s="6"/>
      <c r="X688" s="22"/>
      <c r="Y688" s="14"/>
      <c r="Z688" s="14"/>
      <c r="AA688" s="14"/>
      <c r="AB688" s="14"/>
      <c r="AC688" s="14"/>
      <c r="AD688" s="14"/>
      <c r="AE688" s="14"/>
      <c r="AF688" s="14"/>
      <c r="AG688" s="19"/>
      <c r="AH688" s="20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</row>
    <row r="689" ht="15.75" customHeight="1">
      <c r="A689" s="5"/>
      <c r="B689" s="5"/>
      <c r="C689" s="5"/>
      <c r="D689" s="5"/>
      <c r="E689" s="14"/>
      <c r="F689" s="15"/>
      <c r="G689" s="14"/>
      <c r="H689" s="16"/>
      <c r="I689" s="14"/>
      <c r="J689" s="16"/>
      <c r="K689" s="14"/>
      <c r="L689" s="16"/>
      <c r="M689" s="14"/>
      <c r="N689" s="16"/>
      <c r="O689" s="14"/>
      <c r="P689" s="16"/>
      <c r="Q689" s="14"/>
      <c r="R689" s="5"/>
      <c r="S689" s="14"/>
      <c r="T689" s="16"/>
      <c r="U689" s="16"/>
      <c r="V689" s="17"/>
      <c r="W689" s="6"/>
      <c r="X689" s="22"/>
      <c r="Y689" s="14"/>
      <c r="Z689" s="14"/>
      <c r="AA689" s="14"/>
      <c r="AB689" s="14"/>
      <c r="AC689" s="14"/>
      <c r="AD689" s="14"/>
      <c r="AE689" s="14"/>
      <c r="AF689" s="14"/>
      <c r="AG689" s="19"/>
      <c r="AH689" s="20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</row>
    <row r="690" ht="15.75" customHeight="1">
      <c r="A690" s="5"/>
      <c r="B690" s="5"/>
      <c r="C690" s="5"/>
      <c r="D690" s="5"/>
      <c r="E690" s="14"/>
      <c r="F690" s="15"/>
      <c r="G690" s="14"/>
      <c r="H690" s="16"/>
      <c r="I690" s="14"/>
      <c r="J690" s="16"/>
      <c r="K690" s="14"/>
      <c r="L690" s="16"/>
      <c r="M690" s="14"/>
      <c r="N690" s="16"/>
      <c r="O690" s="14"/>
      <c r="P690" s="16"/>
      <c r="Q690" s="14"/>
      <c r="R690" s="5"/>
      <c r="S690" s="14"/>
      <c r="T690" s="16"/>
      <c r="U690" s="16"/>
      <c r="V690" s="17"/>
      <c r="W690" s="6"/>
      <c r="X690" s="22"/>
      <c r="Y690" s="14"/>
      <c r="Z690" s="14"/>
      <c r="AA690" s="14"/>
      <c r="AB690" s="14"/>
      <c r="AC690" s="14"/>
      <c r="AD690" s="14"/>
      <c r="AE690" s="14"/>
      <c r="AF690" s="14"/>
      <c r="AG690" s="19"/>
      <c r="AH690" s="20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</row>
    <row r="691" ht="15.75" customHeight="1">
      <c r="A691" s="5"/>
      <c r="B691" s="5"/>
      <c r="C691" s="5"/>
      <c r="D691" s="5"/>
      <c r="E691" s="14"/>
      <c r="F691" s="15"/>
      <c r="G691" s="14"/>
      <c r="H691" s="16"/>
      <c r="I691" s="14"/>
      <c r="J691" s="16"/>
      <c r="K691" s="14"/>
      <c r="L691" s="16"/>
      <c r="M691" s="14"/>
      <c r="N691" s="16"/>
      <c r="O691" s="14"/>
      <c r="P691" s="16"/>
      <c r="Q691" s="14"/>
      <c r="R691" s="5"/>
      <c r="S691" s="14"/>
      <c r="T691" s="16"/>
      <c r="U691" s="16"/>
      <c r="V691" s="17"/>
      <c r="W691" s="6"/>
      <c r="X691" s="22"/>
      <c r="Y691" s="14"/>
      <c r="Z691" s="14"/>
      <c r="AA691" s="14"/>
      <c r="AB691" s="14"/>
      <c r="AC691" s="14"/>
      <c r="AD691" s="14"/>
      <c r="AE691" s="14"/>
      <c r="AF691" s="14"/>
      <c r="AG691" s="19"/>
      <c r="AH691" s="20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</row>
    <row r="692" ht="15.75" customHeight="1">
      <c r="A692" s="5"/>
      <c r="B692" s="5"/>
      <c r="C692" s="5"/>
      <c r="D692" s="5"/>
      <c r="E692" s="14"/>
      <c r="F692" s="15"/>
      <c r="G692" s="14"/>
      <c r="H692" s="16"/>
      <c r="I692" s="14"/>
      <c r="J692" s="16"/>
      <c r="K692" s="14"/>
      <c r="L692" s="16"/>
      <c r="M692" s="14"/>
      <c r="N692" s="16"/>
      <c r="O692" s="14"/>
      <c r="P692" s="16"/>
      <c r="Q692" s="14"/>
      <c r="R692" s="5"/>
      <c r="S692" s="14"/>
      <c r="T692" s="16"/>
      <c r="U692" s="16"/>
      <c r="V692" s="17"/>
      <c r="W692" s="6"/>
      <c r="X692" s="22"/>
      <c r="Y692" s="14"/>
      <c r="Z692" s="14"/>
      <c r="AA692" s="14"/>
      <c r="AB692" s="14"/>
      <c r="AC692" s="14"/>
      <c r="AD692" s="14"/>
      <c r="AE692" s="14"/>
      <c r="AF692" s="14"/>
      <c r="AG692" s="19"/>
      <c r="AH692" s="20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</row>
    <row r="693" ht="15.75" customHeight="1">
      <c r="A693" s="5"/>
      <c r="B693" s="5"/>
      <c r="C693" s="5"/>
      <c r="D693" s="5"/>
      <c r="E693" s="14"/>
      <c r="F693" s="15"/>
      <c r="G693" s="14"/>
      <c r="H693" s="16"/>
      <c r="I693" s="14"/>
      <c r="J693" s="16"/>
      <c r="K693" s="14"/>
      <c r="L693" s="16"/>
      <c r="M693" s="14"/>
      <c r="N693" s="16"/>
      <c r="O693" s="14"/>
      <c r="P693" s="16"/>
      <c r="Q693" s="14"/>
      <c r="R693" s="5"/>
      <c r="S693" s="14"/>
      <c r="T693" s="16"/>
      <c r="U693" s="16"/>
      <c r="V693" s="17"/>
      <c r="W693" s="6"/>
      <c r="X693" s="22"/>
      <c r="Y693" s="14"/>
      <c r="Z693" s="14"/>
      <c r="AA693" s="14"/>
      <c r="AB693" s="14"/>
      <c r="AC693" s="14"/>
      <c r="AD693" s="14"/>
      <c r="AE693" s="14"/>
      <c r="AF693" s="14"/>
      <c r="AG693" s="19"/>
      <c r="AH693" s="20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</row>
    <row r="694" ht="15.75" customHeight="1">
      <c r="A694" s="5"/>
      <c r="B694" s="5"/>
      <c r="C694" s="5"/>
      <c r="D694" s="5"/>
      <c r="E694" s="14"/>
      <c r="F694" s="15"/>
      <c r="G694" s="14"/>
      <c r="H694" s="16"/>
      <c r="I694" s="14"/>
      <c r="J694" s="16"/>
      <c r="K694" s="14"/>
      <c r="L694" s="16"/>
      <c r="M694" s="14"/>
      <c r="N694" s="16"/>
      <c r="O694" s="14"/>
      <c r="P694" s="16"/>
      <c r="Q694" s="14"/>
      <c r="R694" s="5"/>
      <c r="S694" s="14"/>
      <c r="T694" s="16"/>
      <c r="U694" s="16"/>
      <c r="V694" s="17"/>
      <c r="W694" s="6"/>
      <c r="X694" s="22"/>
      <c r="Y694" s="14"/>
      <c r="Z694" s="14"/>
      <c r="AA694" s="14"/>
      <c r="AB694" s="14"/>
      <c r="AC694" s="14"/>
      <c r="AD694" s="14"/>
      <c r="AE694" s="14"/>
      <c r="AF694" s="14"/>
      <c r="AG694" s="19"/>
      <c r="AH694" s="20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</row>
    <row r="695" ht="15.75" customHeight="1">
      <c r="A695" s="5"/>
      <c r="B695" s="5"/>
      <c r="C695" s="5"/>
      <c r="D695" s="5"/>
      <c r="E695" s="14"/>
      <c r="F695" s="15"/>
      <c r="G695" s="14"/>
      <c r="H695" s="16"/>
      <c r="I695" s="14"/>
      <c r="J695" s="16"/>
      <c r="K695" s="14"/>
      <c r="L695" s="16"/>
      <c r="M695" s="14"/>
      <c r="N695" s="16"/>
      <c r="O695" s="14"/>
      <c r="P695" s="16"/>
      <c r="Q695" s="14"/>
      <c r="R695" s="5"/>
      <c r="S695" s="14"/>
      <c r="T695" s="16"/>
      <c r="U695" s="16"/>
      <c r="V695" s="17"/>
      <c r="W695" s="6"/>
      <c r="X695" s="22"/>
      <c r="Y695" s="14"/>
      <c r="Z695" s="14"/>
      <c r="AA695" s="14"/>
      <c r="AB695" s="14"/>
      <c r="AC695" s="14"/>
      <c r="AD695" s="14"/>
      <c r="AE695" s="14"/>
      <c r="AF695" s="14"/>
      <c r="AG695" s="19"/>
      <c r="AH695" s="20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</row>
    <row r="696" ht="15.75" customHeight="1">
      <c r="A696" s="5"/>
      <c r="B696" s="5"/>
      <c r="C696" s="5"/>
      <c r="D696" s="5"/>
      <c r="E696" s="14"/>
      <c r="F696" s="15"/>
      <c r="G696" s="14"/>
      <c r="H696" s="16"/>
      <c r="I696" s="14"/>
      <c r="J696" s="16"/>
      <c r="K696" s="14"/>
      <c r="L696" s="16"/>
      <c r="M696" s="14"/>
      <c r="N696" s="16"/>
      <c r="O696" s="14"/>
      <c r="P696" s="16"/>
      <c r="Q696" s="14"/>
      <c r="R696" s="5"/>
      <c r="S696" s="14"/>
      <c r="T696" s="16"/>
      <c r="U696" s="16"/>
      <c r="V696" s="17"/>
      <c r="W696" s="6"/>
      <c r="X696" s="22"/>
      <c r="Y696" s="14"/>
      <c r="Z696" s="14"/>
      <c r="AA696" s="14"/>
      <c r="AB696" s="14"/>
      <c r="AC696" s="14"/>
      <c r="AD696" s="14"/>
      <c r="AE696" s="14"/>
      <c r="AF696" s="14"/>
      <c r="AG696" s="19"/>
      <c r="AH696" s="20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</row>
    <row r="697" ht="15.75" customHeight="1">
      <c r="A697" s="5"/>
      <c r="B697" s="5"/>
      <c r="C697" s="5"/>
      <c r="D697" s="5"/>
      <c r="E697" s="14"/>
      <c r="F697" s="15"/>
      <c r="G697" s="14"/>
      <c r="H697" s="16"/>
      <c r="I697" s="14"/>
      <c r="J697" s="16"/>
      <c r="K697" s="14"/>
      <c r="L697" s="16"/>
      <c r="M697" s="14"/>
      <c r="N697" s="16"/>
      <c r="O697" s="14"/>
      <c r="P697" s="16"/>
      <c r="Q697" s="14"/>
      <c r="R697" s="5"/>
      <c r="S697" s="14"/>
      <c r="T697" s="16"/>
      <c r="U697" s="16"/>
      <c r="V697" s="17"/>
      <c r="W697" s="6"/>
      <c r="X697" s="22"/>
      <c r="Y697" s="14"/>
      <c r="Z697" s="14"/>
      <c r="AA697" s="14"/>
      <c r="AB697" s="14"/>
      <c r="AC697" s="14"/>
      <c r="AD697" s="14"/>
      <c r="AE697" s="14"/>
      <c r="AF697" s="14"/>
      <c r="AG697" s="19"/>
      <c r="AH697" s="20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</row>
    <row r="698" ht="15.75" customHeight="1">
      <c r="A698" s="5"/>
      <c r="B698" s="5"/>
      <c r="C698" s="5"/>
      <c r="D698" s="5"/>
      <c r="E698" s="14"/>
      <c r="F698" s="15"/>
      <c r="G698" s="14"/>
      <c r="H698" s="16"/>
      <c r="I698" s="14"/>
      <c r="J698" s="16"/>
      <c r="K698" s="14"/>
      <c r="L698" s="16"/>
      <c r="M698" s="14"/>
      <c r="N698" s="16"/>
      <c r="O698" s="14"/>
      <c r="P698" s="16"/>
      <c r="Q698" s="14"/>
      <c r="R698" s="5"/>
      <c r="S698" s="14"/>
      <c r="T698" s="16"/>
      <c r="U698" s="16"/>
      <c r="V698" s="17"/>
      <c r="W698" s="6"/>
      <c r="X698" s="22"/>
      <c r="Y698" s="14"/>
      <c r="Z698" s="14"/>
      <c r="AA698" s="14"/>
      <c r="AB698" s="14"/>
      <c r="AC698" s="14"/>
      <c r="AD698" s="14"/>
      <c r="AE698" s="14"/>
      <c r="AF698" s="14"/>
      <c r="AG698" s="19"/>
      <c r="AH698" s="20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</row>
    <row r="699" ht="15.75" customHeight="1">
      <c r="A699" s="5"/>
      <c r="B699" s="5"/>
      <c r="C699" s="5"/>
      <c r="D699" s="5"/>
      <c r="E699" s="14"/>
      <c r="F699" s="15"/>
      <c r="G699" s="14"/>
      <c r="H699" s="16"/>
      <c r="I699" s="14"/>
      <c r="J699" s="16"/>
      <c r="K699" s="14"/>
      <c r="L699" s="16"/>
      <c r="M699" s="14"/>
      <c r="N699" s="16"/>
      <c r="O699" s="14"/>
      <c r="P699" s="16"/>
      <c r="Q699" s="14"/>
      <c r="R699" s="5"/>
      <c r="S699" s="14"/>
      <c r="T699" s="16"/>
      <c r="U699" s="16"/>
      <c r="V699" s="17"/>
      <c r="W699" s="6"/>
      <c r="X699" s="22"/>
      <c r="Y699" s="14"/>
      <c r="Z699" s="14"/>
      <c r="AA699" s="14"/>
      <c r="AB699" s="14"/>
      <c r="AC699" s="14"/>
      <c r="AD699" s="14"/>
      <c r="AE699" s="14"/>
      <c r="AF699" s="14"/>
      <c r="AG699" s="19"/>
      <c r="AH699" s="20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</row>
    <row r="700" ht="15.75" customHeight="1">
      <c r="A700" s="5"/>
      <c r="B700" s="5"/>
      <c r="C700" s="5"/>
      <c r="D700" s="5"/>
      <c r="E700" s="14"/>
      <c r="F700" s="15"/>
      <c r="G700" s="14"/>
      <c r="H700" s="16"/>
      <c r="I700" s="14"/>
      <c r="J700" s="16"/>
      <c r="K700" s="14"/>
      <c r="L700" s="16"/>
      <c r="M700" s="14"/>
      <c r="N700" s="16"/>
      <c r="O700" s="14"/>
      <c r="P700" s="16"/>
      <c r="Q700" s="14"/>
      <c r="R700" s="5"/>
      <c r="S700" s="14"/>
      <c r="T700" s="16"/>
      <c r="U700" s="16"/>
      <c r="V700" s="17"/>
      <c r="W700" s="6"/>
      <c r="X700" s="22"/>
      <c r="Y700" s="14"/>
      <c r="Z700" s="14"/>
      <c r="AA700" s="14"/>
      <c r="AB700" s="14"/>
      <c r="AC700" s="14"/>
      <c r="AD700" s="14"/>
      <c r="AE700" s="14"/>
      <c r="AF700" s="14"/>
      <c r="AG700" s="19"/>
      <c r="AH700" s="20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</row>
    <row r="701" ht="15.75" customHeight="1">
      <c r="A701" s="5"/>
      <c r="B701" s="5"/>
      <c r="C701" s="5"/>
      <c r="D701" s="5"/>
      <c r="E701" s="14"/>
      <c r="F701" s="15"/>
      <c r="G701" s="14"/>
      <c r="H701" s="16"/>
      <c r="I701" s="14"/>
      <c r="J701" s="16"/>
      <c r="K701" s="14"/>
      <c r="L701" s="16"/>
      <c r="M701" s="14"/>
      <c r="N701" s="16"/>
      <c r="O701" s="14"/>
      <c r="P701" s="16"/>
      <c r="Q701" s="14"/>
      <c r="R701" s="5"/>
      <c r="S701" s="14"/>
      <c r="T701" s="16"/>
      <c r="U701" s="16"/>
      <c r="V701" s="17"/>
      <c r="W701" s="6"/>
      <c r="X701" s="22"/>
      <c r="Y701" s="14"/>
      <c r="Z701" s="14"/>
      <c r="AA701" s="14"/>
      <c r="AB701" s="14"/>
      <c r="AC701" s="14"/>
      <c r="AD701" s="14"/>
      <c r="AE701" s="14"/>
      <c r="AF701" s="14"/>
      <c r="AG701" s="19"/>
      <c r="AH701" s="20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</row>
    <row r="702" ht="15.75" customHeight="1">
      <c r="A702" s="5"/>
      <c r="B702" s="5"/>
      <c r="C702" s="5"/>
      <c r="D702" s="5"/>
      <c r="E702" s="14"/>
      <c r="F702" s="15"/>
      <c r="G702" s="14"/>
      <c r="H702" s="16"/>
      <c r="I702" s="14"/>
      <c r="J702" s="16"/>
      <c r="K702" s="14"/>
      <c r="L702" s="16"/>
      <c r="M702" s="14"/>
      <c r="N702" s="16"/>
      <c r="O702" s="14"/>
      <c r="P702" s="16"/>
      <c r="Q702" s="14"/>
      <c r="R702" s="5"/>
      <c r="S702" s="14"/>
      <c r="T702" s="16"/>
      <c r="U702" s="16"/>
      <c r="V702" s="17"/>
      <c r="W702" s="6"/>
      <c r="X702" s="22"/>
      <c r="Y702" s="14"/>
      <c r="Z702" s="14"/>
      <c r="AA702" s="14"/>
      <c r="AB702" s="14"/>
      <c r="AC702" s="14"/>
      <c r="AD702" s="14"/>
      <c r="AE702" s="14"/>
      <c r="AF702" s="14"/>
      <c r="AG702" s="19"/>
      <c r="AH702" s="20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</row>
    <row r="703" ht="15.75" customHeight="1">
      <c r="A703" s="5"/>
      <c r="B703" s="5"/>
      <c r="C703" s="5"/>
      <c r="D703" s="5"/>
      <c r="E703" s="14"/>
      <c r="F703" s="15"/>
      <c r="G703" s="14"/>
      <c r="H703" s="16"/>
      <c r="I703" s="14"/>
      <c r="J703" s="16"/>
      <c r="K703" s="14"/>
      <c r="L703" s="16"/>
      <c r="M703" s="14"/>
      <c r="N703" s="16"/>
      <c r="O703" s="14"/>
      <c r="P703" s="16"/>
      <c r="Q703" s="14"/>
      <c r="R703" s="5"/>
      <c r="S703" s="14"/>
      <c r="T703" s="16"/>
      <c r="U703" s="16"/>
      <c r="V703" s="17"/>
      <c r="W703" s="6"/>
      <c r="X703" s="22"/>
      <c r="Y703" s="14"/>
      <c r="Z703" s="14"/>
      <c r="AA703" s="14"/>
      <c r="AB703" s="14"/>
      <c r="AC703" s="14"/>
      <c r="AD703" s="14"/>
      <c r="AE703" s="14"/>
      <c r="AF703" s="14"/>
      <c r="AG703" s="19"/>
      <c r="AH703" s="20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</row>
    <row r="704" ht="15.75" customHeight="1">
      <c r="A704" s="5"/>
      <c r="B704" s="5"/>
      <c r="C704" s="5"/>
      <c r="D704" s="5"/>
      <c r="E704" s="14"/>
      <c r="F704" s="15"/>
      <c r="G704" s="14"/>
      <c r="H704" s="16"/>
      <c r="I704" s="14"/>
      <c r="J704" s="16"/>
      <c r="K704" s="14"/>
      <c r="L704" s="16"/>
      <c r="M704" s="14"/>
      <c r="N704" s="16"/>
      <c r="O704" s="14"/>
      <c r="P704" s="16"/>
      <c r="Q704" s="14"/>
      <c r="R704" s="5"/>
      <c r="S704" s="14"/>
      <c r="T704" s="16"/>
      <c r="U704" s="16"/>
      <c r="V704" s="17"/>
      <c r="W704" s="6"/>
      <c r="X704" s="22"/>
      <c r="Y704" s="14"/>
      <c r="Z704" s="14"/>
      <c r="AA704" s="14"/>
      <c r="AB704" s="14"/>
      <c r="AC704" s="14"/>
      <c r="AD704" s="14"/>
      <c r="AE704" s="14"/>
      <c r="AF704" s="14"/>
      <c r="AG704" s="19"/>
      <c r="AH704" s="20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</row>
    <row r="705" ht="15.75" customHeight="1">
      <c r="A705" s="5"/>
      <c r="B705" s="5"/>
      <c r="C705" s="5"/>
      <c r="D705" s="5"/>
      <c r="E705" s="14"/>
      <c r="F705" s="15"/>
      <c r="G705" s="14"/>
      <c r="H705" s="16"/>
      <c r="I705" s="14"/>
      <c r="J705" s="16"/>
      <c r="K705" s="14"/>
      <c r="L705" s="16"/>
      <c r="M705" s="14"/>
      <c r="N705" s="16"/>
      <c r="O705" s="14"/>
      <c r="P705" s="16"/>
      <c r="Q705" s="14"/>
      <c r="R705" s="5"/>
      <c r="S705" s="14"/>
      <c r="T705" s="16"/>
      <c r="U705" s="16"/>
      <c r="V705" s="17"/>
      <c r="W705" s="6"/>
      <c r="X705" s="22"/>
      <c r="Y705" s="14"/>
      <c r="Z705" s="14"/>
      <c r="AA705" s="14"/>
      <c r="AB705" s="14"/>
      <c r="AC705" s="14"/>
      <c r="AD705" s="14"/>
      <c r="AE705" s="14"/>
      <c r="AF705" s="14"/>
      <c r="AG705" s="19"/>
      <c r="AH705" s="20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</row>
    <row r="706" ht="15.75" customHeight="1">
      <c r="A706" s="5"/>
      <c r="B706" s="5"/>
      <c r="C706" s="5"/>
      <c r="D706" s="5"/>
      <c r="E706" s="14"/>
      <c r="F706" s="15"/>
      <c r="G706" s="14"/>
      <c r="H706" s="16"/>
      <c r="I706" s="14"/>
      <c r="J706" s="16"/>
      <c r="K706" s="14"/>
      <c r="L706" s="16"/>
      <c r="M706" s="14"/>
      <c r="N706" s="16"/>
      <c r="O706" s="14"/>
      <c r="P706" s="16"/>
      <c r="Q706" s="14"/>
      <c r="R706" s="5"/>
      <c r="S706" s="14"/>
      <c r="T706" s="16"/>
      <c r="U706" s="16"/>
      <c r="V706" s="17"/>
      <c r="W706" s="6"/>
      <c r="X706" s="22"/>
      <c r="Y706" s="14"/>
      <c r="Z706" s="14"/>
      <c r="AA706" s="14"/>
      <c r="AB706" s="14"/>
      <c r="AC706" s="14"/>
      <c r="AD706" s="14"/>
      <c r="AE706" s="14"/>
      <c r="AF706" s="14"/>
      <c r="AG706" s="19"/>
      <c r="AH706" s="20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</row>
    <row r="707" ht="15.75" customHeight="1">
      <c r="A707" s="5"/>
      <c r="B707" s="5"/>
      <c r="C707" s="5"/>
      <c r="D707" s="5"/>
      <c r="E707" s="14"/>
      <c r="F707" s="15"/>
      <c r="G707" s="14"/>
      <c r="H707" s="16"/>
      <c r="I707" s="14"/>
      <c r="J707" s="16"/>
      <c r="K707" s="14"/>
      <c r="L707" s="16"/>
      <c r="M707" s="14"/>
      <c r="N707" s="16"/>
      <c r="O707" s="14"/>
      <c r="P707" s="16"/>
      <c r="Q707" s="14"/>
      <c r="R707" s="5"/>
      <c r="S707" s="14"/>
      <c r="T707" s="16"/>
      <c r="U707" s="16"/>
      <c r="V707" s="17"/>
      <c r="W707" s="6"/>
      <c r="X707" s="22"/>
      <c r="Y707" s="14"/>
      <c r="Z707" s="14"/>
      <c r="AA707" s="14"/>
      <c r="AB707" s="14"/>
      <c r="AC707" s="14"/>
      <c r="AD707" s="14"/>
      <c r="AE707" s="14"/>
      <c r="AF707" s="14"/>
      <c r="AG707" s="19"/>
      <c r="AH707" s="20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</row>
    <row r="708" ht="15.75" customHeight="1">
      <c r="A708" s="5"/>
      <c r="B708" s="5"/>
      <c r="C708" s="5"/>
      <c r="D708" s="5"/>
      <c r="E708" s="14"/>
      <c r="F708" s="15"/>
      <c r="G708" s="14"/>
      <c r="H708" s="16"/>
      <c r="I708" s="14"/>
      <c r="J708" s="16"/>
      <c r="K708" s="14"/>
      <c r="L708" s="16"/>
      <c r="M708" s="14"/>
      <c r="N708" s="16"/>
      <c r="O708" s="14"/>
      <c r="P708" s="16"/>
      <c r="Q708" s="14"/>
      <c r="R708" s="5"/>
      <c r="S708" s="14"/>
      <c r="T708" s="16"/>
      <c r="U708" s="16"/>
      <c r="V708" s="17"/>
      <c r="W708" s="6"/>
      <c r="X708" s="22"/>
      <c r="Y708" s="14"/>
      <c r="Z708" s="14"/>
      <c r="AA708" s="14"/>
      <c r="AB708" s="14"/>
      <c r="AC708" s="14"/>
      <c r="AD708" s="14"/>
      <c r="AE708" s="14"/>
      <c r="AF708" s="14"/>
      <c r="AG708" s="19"/>
      <c r="AH708" s="20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</row>
    <row r="709" ht="15.75" customHeight="1">
      <c r="A709" s="5"/>
      <c r="B709" s="5"/>
      <c r="C709" s="5"/>
      <c r="D709" s="5"/>
      <c r="E709" s="14"/>
      <c r="F709" s="15"/>
      <c r="G709" s="14"/>
      <c r="H709" s="16"/>
      <c r="I709" s="14"/>
      <c r="J709" s="16"/>
      <c r="K709" s="14"/>
      <c r="L709" s="16"/>
      <c r="M709" s="14"/>
      <c r="N709" s="16"/>
      <c r="O709" s="14"/>
      <c r="P709" s="16"/>
      <c r="Q709" s="14"/>
      <c r="R709" s="5"/>
      <c r="S709" s="14"/>
      <c r="T709" s="16"/>
      <c r="U709" s="16"/>
      <c r="V709" s="17"/>
      <c r="W709" s="6"/>
      <c r="X709" s="22"/>
      <c r="Y709" s="14"/>
      <c r="Z709" s="14"/>
      <c r="AA709" s="14"/>
      <c r="AB709" s="14"/>
      <c r="AC709" s="14"/>
      <c r="AD709" s="14"/>
      <c r="AE709" s="14"/>
      <c r="AF709" s="14"/>
      <c r="AG709" s="19"/>
      <c r="AH709" s="20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</row>
    <row r="710" ht="15.75" customHeight="1">
      <c r="A710" s="5"/>
      <c r="B710" s="5"/>
      <c r="C710" s="5"/>
      <c r="D710" s="5"/>
      <c r="E710" s="14"/>
      <c r="F710" s="15"/>
      <c r="G710" s="14"/>
      <c r="H710" s="16"/>
      <c r="I710" s="14"/>
      <c r="J710" s="16"/>
      <c r="K710" s="14"/>
      <c r="L710" s="16"/>
      <c r="M710" s="14"/>
      <c r="N710" s="16"/>
      <c r="O710" s="14"/>
      <c r="P710" s="16"/>
      <c r="Q710" s="14"/>
      <c r="R710" s="5"/>
      <c r="S710" s="14"/>
      <c r="T710" s="16"/>
      <c r="U710" s="16"/>
      <c r="V710" s="17"/>
      <c r="W710" s="6"/>
      <c r="X710" s="22"/>
      <c r="Y710" s="14"/>
      <c r="Z710" s="14"/>
      <c r="AA710" s="14"/>
      <c r="AB710" s="14"/>
      <c r="AC710" s="14"/>
      <c r="AD710" s="14"/>
      <c r="AE710" s="14"/>
      <c r="AF710" s="14"/>
      <c r="AG710" s="19"/>
      <c r="AH710" s="20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</row>
    <row r="711" ht="15.75" customHeight="1">
      <c r="A711" s="5"/>
      <c r="B711" s="5"/>
      <c r="C711" s="5"/>
      <c r="D711" s="5"/>
      <c r="E711" s="14"/>
      <c r="F711" s="15"/>
      <c r="G711" s="14"/>
      <c r="H711" s="16"/>
      <c r="I711" s="14"/>
      <c r="J711" s="16"/>
      <c r="K711" s="14"/>
      <c r="L711" s="16"/>
      <c r="M711" s="14"/>
      <c r="N711" s="16"/>
      <c r="O711" s="14"/>
      <c r="P711" s="16"/>
      <c r="Q711" s="14"/>
      <c r="R711" s="5"/>
      <c r="S711" s="14"/>
      <c r="T711" s="16"/>
      <c r="U711" s="16"/>
      <c r="V711" s="17"/>
      <c r="W711" s="6"/>
      <c r="X711" s="22"/>
      <c r="Y711" s="14"/>
      <c r="Z711" s="14"/>
      <c r="AA711" s="14"/>
      <c r="AB711" s="14"/>
      <c r="AC711" s="14"/>
      <c r="AD711" s="14"/>
      <c r="AE711" s="14"/>
      <c r="AF711" s="14"/>
      <c r="AG711" s="19"/>
      <c r="AH711" s="20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</row>
    <row r="712" ht="15.75" customHeight="1">
      <c r="A712" s="5"/>
      <c r="B712" s="5"/>
      <c r="C712" s="5"/>
      <c r="D712" s="5"/>
      <c r="E712" s="14"/>
      <c r="F712" s="15"/>
      <c r="G712" s="14"/>
      <c r="H712" s="16"/>
      <c r="I712" s="14"/>
      <c r="J712" s="16"/>
      <c r="K712" s="14"/>
      <c r="L712" s="16"/>
      <c r="M712" s="14"/>
      <c r="N712" s="16"/>
      <c r="O712" s="14"/>
      <c r="P712" s="16"/>
      <c r="Q712" s="14"/>
      <c r="R712" s="5"/>
      <c r="S712" s="14"/>
      <c r="T712" s="16"/>
      <c r="U712" s="16"/>
      <c r="V712" s="17"/>
      <c r="W712" s="6"/>
      <c r="X712" s="22"/>
      <c r="Y712" s="14"/>
      <c r="Z712" s="14"/>
      <c r="AA712" s="14"/>
      <c r="AB712" s="14"/>
      <c r="AC712" s="14"/>
      <c r="AD712" s="14"/>
      <c r="AE712" s="14"/>
      <c r="AF712" s="14"/>
      <c r="AG712" s="19"/>
      <c r="AH712" s="20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</row>
    <row r="713" ht="15.75" customHeight="1">
      <c r="A713" s="5"/>
      <c r="B713" s="5"/>
      <c r="C713" s="5"/>
      <c r="D713" s="5"/>
      <c r="E713" s="14"/>
      <c r="F713" s="15"/>
      <c r="G713" s="14"/>
      <c r="H713" s="16"/>
      <c r="I713" s="14"/>
      <c r="J713" s="16"/>
      <c r="K713" s="14"/>
      <c r="L713" s="16"/>
      <c r="M713" s="14"/>
      <c r="N713" s="16"/>
      <c r="O713" s="14"/>
      <c r="P713" s="16"/>
      <c r="Q713" s="14"/>
      <c r="R713" s="5"/>
      <c r="S713" s="14"/>
      <c r="T713" s="16"/>
      <c r="U713" s="16"/>
      <c r="V713" s="17"/>
      <c r="W713" s="6"/>
      <c r="X713" s="22"/>
      <c r="Y713" s="14"/>
      <c r="Z713" s="14"/>
      <c r="AA713" s="14"/>
      <c r="AB713" s="14"/>
      <c r="AC713" s="14"/>
      <c r="AD713" s="14"/>
      <c r="AE713" s="14"/>
      <c r="AF713" s="14"/>
      <c r="AG713" s="19"/>
      <c r="AH713" s="20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</row>
    <row r="714" ht="15.75" customHeight="1">
      <c r="A714" s="5"/>
      <c r="B714" s="5"/>
      <c r="C714" s="5"/>
      <c r="D714" s="5"/>
      <c r="E714" s="14"/>
      <c r="F714" s="15"/>
      <c r="G714" s="14"/>
      <c r="H714" s="16"/>
      <c r="I714" s="14"/>
      <c r="J714" s="16"/>
      <c r="K714" s="14"/>
      <c r="L714" s="16"/>
      <c r="M714" s="14"/>
      <c r="N714" s="16"/>
      <c r="O714" s="14"/>
      <c r="P714" s="16"/>
      <c r="Q714" s="14"/>
      <c r="R714" s="5"/>
      <c r="S714" s="14"/>
      <c r="T714" s="16"/>
      <c r="U714" s="16"/>
      <c r="V714" s="17"/>
      <c r="W714" s="6"/>
      <c r="X714" s="22"/>
      <c r="Y714" s="14"/>
      <c r="Z714" s="14"/>
      <c r="AA714" s="14"/>
      <c r="AB714" s="14"/>
      <c r="AC714" s="14"/>
      <c r="AD714" s="14"/>
      <c r="AE714" s="14"/>
      <c r="AF714" s="14"/>
      <c r="AG714" s="19"/>
      <c r="AH714" s="20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</row>
    <row r="715" ht="15.75" customHeight="1">
      <c r="A715" s="5"/>
      <c r="B715" s="5"/>
      <c r="C715" s="5"/>
      <c r="D715" s="5"/>
      <c r="E715" s="14"/>
      <c r="F715" s="15"/>
      <c r="G715" s="14"/>
      <c r="H715" s="16"/>
      <c r="I715" s="14"/>
      <c r="J715" s="16"/>
      <c r="K715" s="14"/>
      <c r="L715" s="16"/>
      <c r="M715" s="14"/>
      <c r="N715" s="16"/>
      <c r="O715" s="14"/>
      <c r="P715" s="16"/>
      <c r="Q715" s="14"/>
      <c r="R715" s="5"/>
      <c r="S715" s="14"/>
      <c r="T715" s="16"/>
      <c r="U715" s="16"/>
      <c r="V715" s="17"/>
      <c r="W715" s="6"/>
      <c r="X715" s="22"/>
      <c r="Y715" s="14"/>
      <c r="Z715" s="14"/>
      <c r="AA715" s="14"/>
      <c r="AB715" s="14"/>
      <c r="AC715" s="14"/>
      <c r="AD715" s="14"/>
      <c r="AE715" s="14"/>
      <c r="AF715" s="14"/>
      <c r="AG715" s="19"/>
      <c r="AH715" s="20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</row>
    <row r="716" ht="15.75" customHeight="1">
      <c r="A716" s="5"/>
      <c r="B716" s="5"/>
      <c r="C716" s="5"/>
      <c r="D716" s="5"/>
      <c r="E716" s="14"/>
      <c r="F716" s="15"/>
      <c r="G716" s="14"/>
      <c r="H716" s="16"/>
      <c r="I716" s="14"/>
      <c r="J716" s="16"/>
      <c r="K716" s="14"/>
      <c r="L716" s="16"/>
      <c r="M716" s="14"/>
      <c r="N716" s="16"/>
      <c r="O716" s="14"/>
      <c r="P716" s="16"/>
      <c r="Q716" s="14"/>
      <c r="R716" s="5"/>
      <c r="S716" s="14"/>
      <c r="T716" s="16"/>
      <c r="U716" s="16"/>
      <c r="V716" s="17"/>
      <c r="W716" s="6"/>
      <c r="X716" s="22"/>
      <c r="Y716" s="14"/>
      <c r="Z716" s="14"/>
      <c r="AA716" s="14"/>
      <c r="AB716" s="14"/>
      <c r="AC716" s="14"/>
      <c r="AD716" s="14"/>
      <c r="AE716" s="14"/>
      <c r="AF716" s="14"/>
      <c r="AG716" s="19"/>
      <c r="AH716" s="20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</row>
    <row r="717" ht="15.75" customHeight="1">
      <c r="A717" s="5"/>
      <c r="B717" s="5"/>
      <c r="C717" s="5"/>
      <c r="D717" s="5"/>
      <c r="E717" s="14"/>
      <c r="F717" s="15"/>
      <c r="G717" s="14"/>
      <c r="H717" s="16"/>
      <c r="I717" s="14"/>
      <c r="J717" s="16"/>
      <c r="K717" s="14"/>
      <c r="L717" s="16"/>
      <c r="M717" s="14"/>
      <c r="N717" s="16"/>
      <c r="O717" s="14"/>
      <c r="P717" s="16"/>
      <c r="Q717" s="14"/>
      <c r="R717" s="5"/>
      <c r="S717" s="14"/>
      <c r="T717" s="16"/>
      <c r="U717" s="16"/>
      <c r="V717" s="17"/>
      <c r="W717" s="6"/>
      <c r="X717" s="22"/>
      <c r="Y717" s="14"/>
      <c r="Z717" s="14"/>
      <c r="AA717" s="14"/>
      <c r="AB717" s="14"/>
      <c r="AC717" s="14"/>
      <c r="AD717" s="14"/>
      <c r="AE717" s="14"/>
      <c r="AF717" s="14"/>
      <c r="AG717" s="19"/>
      <c r="AH717" s="20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</row>
    <row r="718" ht="15.75" customHeight="1">
      <c r="A718" s="5"/>
      <c r="B718" s="5"/>
      <c r="C718" s="5"/>
      <c r="D718" s="5"/>
      <c r="E718" s="14"/>
      <c r="F718" s="15"/>
      <c r="G718" s="14"/>
      <c r="H718" s="16"/>
      <c r="I718" s="14"/>
      <c r="J718" s="16"/>
      <c r="K718" s="14"/>
      <c r="L718" s="16"/>
      <c r="M718" s="14"/>
      <c r="N718" s="16"/>
      <c r="O718" s="14"/>
      <c r="P718" s="16"/>
      <c r="Q718" s="14"/>
      <c r="R718" s="5"/>
      <c r="S718" s="14"/>
      <c r="T718" s="16"/>
      <c r="U718" s="16"/>
      <c r="V718" s="17"/>
      <c r="W718" s="6"/>
      <c r="X718" s="22"/>
      <c r="Y718" s="14"/>
      <c r="Z718" s="14"/>
      <c r="AA718" s="14"/>
      <c r="AB718" s="14"/>
      <c r="AC718" s="14"/>
      <c r="AD718" s="14"/>
      <c r="AE718" s="14"/>
      <c r="AF718" s="14"/>
      <c r="AG718" s="19"/>
      <c r="AH718" s="20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</row>
    <row r="719" ht="15.75" customHeight="1">
      <c r="A719" s="5"/>
      <c r="B719" s="5"/>
      <c r="C719" s="5"/>
      <c r="D719" s="5"/>
      <c r="E719" s="14"/>
      <c r="F719" s="15"/>
      <c r="G719" s="14"/>
      <c r="H719" s="16"/>
      <c r="I719" s="14"/>
      <c r="J719" s="16"/>
      <c r="K719" s="14"/>
      <c r="L719" s="16"/>
      <c r="M719" s="14"/>
      <c r="N719" s="16"/>
      <c r="O719" s="14"/>
      <c r="P719" s="16"/>
      <c r="Q719" s="14"/>
      <c r="R719" s="5"/>
      <c r="S719" s="14"/>
      <c r="T719" s="16"/>
      <c r="U719" s="16"/>
      <c r="V719" s="17"/>
      <c r="W719" s="6"/>
      <c r="X719" s="22"/>
      <c r="Y719" s="14"/>
      <c r="Z719" s="14"/>
      <c r="AA719" s="14"/>
      <c r="AB719" s="14"/>
      <c r="AC719" s="14"/>
      <c r="AD719" s="14"/>
      <c r="AE719" s="14"/>
      <c r="AF719" s="14"/>
      <c r="AG719" s="19"/>
      <c r="AH719" s="20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</row>
    <row r="720" ht="15.75" customHeight="1">
      <c r="A720" s="5"/>
      <c r="B720" s="5"/>
      <c r="C720" s="5"/>
      <c r="D720" s="5"/>
      <c r="E720" s="14"/>
      <c r="F720" s="15"/>
      <c r="G720" s="14"/>
      <c r="H720" s="16"/>
      <c r="I720" s="14"/>
      <c r="J720" s="16"/>
      <c r="K720" s="14"/>
      <c r="L720" s="16"/>
      <c r="M720" s="14"/>
      <c r="N720" s="16"/>
      <c r="O720" s="14"/>
      <c r="P720" s="16"/>
      <c r="Q720" s="14"/>
      <c r="R720" s="5"/>
      <c r="S720" s="14"/>
      <c r="T720" s="16"/>
      <c r="U720" s="16"/>
      <c r="V720" s="17"/>
      <c r="W720" s="6"/>
      <c r="X720" s="22"/>
      <c r="Y720" s="14"/>
      <c r="Z720" s="14"/>
      <c r="AA720" s="14"/>
      <c r="AB720" s="14"/>
      <c r="AC720" s="14"/>
      <c r="AD720" s="14"/>
      <c r="AE720" s="14"/>
      <c r="AF720" s="14"/>
      <c r="AG720" s="19"/>
      <c r="AH720" s="20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</row>
    <row r="721" ht="15.75" customHeight="1">
      <c r="A721" s="5"/>
      <c r="B721" s="5"/>
      <c r="C721" s="5"/>
      <c r="D721" s="5"/>
      <c r="E721" s="14"/>
      <c r="F721" s="15"/>
      <c r="G721" s="14"/>
      <c r="H721" s="16"/>
      <c r="I721" s="14"/>
      <c r="J721" s="16"/>
      <c r="K721" s="14"/>
      <c r="L721" s="16"/>
      <c r="M721" s="14"/>
      <c r="N721" s="16"/>
      <c r="O721" s="14"/>
      <c r="P721" s="16"/>
      <c r="Q721" s="14"/>
      <c r="R721" s="5"/>
      <c r="S721" s="14"/>
      <c r="T721" s="16"/>
      <c r="U721" s="16"/>
      <c r="V721" s="17"/>
      <c r="W721" s="6"/>
      <c r="X721" s="22"/>
      <c r="Y721" s="14"/>
      <c r="Z721" s="14"/>
      <c r="AA721" s="14"/>
      <c r="AB721" s="14"/>
      <c r="AC721" s="14"/>
      <c r="AD721" s="14"/>
      <c r="AE721" s="14"/>
      <c r="AF721" s="14"/>
      <c r="AG721" s="19"/>
      <c r="AH721" s="20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</row>
    <row r="722" ht="15.75" customHeight="1">
      <c r="A722" s="5"/>
      <c r="B722" s="5"/>
      <c r="C722" s="5"/>
      <c r="D722" s="5"/>
      <c r="E722" s="14"/>
      <c r="F722" s="15"/>
      <c r="G722" s="14"/>
      <c r="H722" s="16"/>
      <c r="I722" s="14"/>
      <c r="J722" s="16"/>
      <c r="K722" s="14"/>
      <c r="L722" s="16"/>
      <c r="M722" s="14"/>
      <c r="N722" s="16"/>
      <c r="O722" s="14"/>
      <c r="P722" s="16"/>
      <c r="Q722" s="14"/>
      <c r="R722" s="5"/>
      <c r="S722" s="14"/>
      <c r="T722" s="16"/>
      <c r="U722" s="16"/>
      <c r="V722" s="17"/>
      <c r="W722" s="6"/>
      <c r="X722" s="22"/>
      <c r="Y722" s="14"/>
      <c r="Z722" s="14"/>
      <c r="AA722" s="14"/>
      <c r="AB722" s="14"/>
      <c r="AC722" s="14"/>
      <c r="AD722" s="14"/>
      <c r="AE722" s="14"/>
      <c r="AF722" s="14"/>
      <c r="AG722" s="19"/>
      <c r="AH722" s="20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</row>
    <row r="723" ht="15.75" customHeight="1">
      <c r="A723" s="5"/>
      <c r="B723" s="5"/>
      <c r="C723" s="5"/>
      <c r="D723" s="5"/>
      <c r="E723" s="14"/>
      <c r="F723" s="15"/>
      <c r="G723" s="14"/>
      <c r="H723" s="16"/>
      <c r="I723" s="14"/>
      <c r="J723" s="16"/>
      <c r="K723" s="14"/>
      <c r="L723" s="16"/>
      <c r="M723" s="14"/>
      <c r="N723" s="16"/>
      <c r="O723" s="14"/>
      <c r="P723" s="16"/>
      <c r="Q723" s="14"/>
      <c r="R723" s="5"/>
      <c r="S723" s="14"/>
      <c r="T723" s="16"/>
      <c r="U723" s="16"/>
      <c r="V723" s="17"/>
      <c r="W723" s="6"/>
      <c r="X723" s="22"/>
      <c r="Y723" s="14"/>
      <c r="Z723" s="14"/>
      <c r="AA723" s="14"/>
      <c r="AB723" s="14"/>
      <c r="AC723" s="14"/>
      <c r="AD723" s="14"/>
      <c r="AE723" s="14"/>
      <c r="AF723" s="14"/>
      <c r="AG723" s="19"/>
      <c r="AH723" s="20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</row>
    <row r="724" ht="15.75" customHeight="1">
      <c r="A724" s="5"/>
      <c r="B724" s="5"/>
      <c r="C724" s="5"/>
      <c r="D724" s="5"/>
      <c r="E724" s="14"/>
      <c r="F724" s="15"/>
      <c r="G724" s="14"/>
      <c r="H724" s="16"/>
      <c r="I724" s="14"/>
      <c r="J724" s="16"/>
      <c r="K724" s="14"/>
      <c r="L724" s="16"/>
      <c r="M724" s="14"/>
      <c r="N724" s="16"/>
      <c r="O724" s="14"/>
      <c r="P724" s="16"/>
      <c r="Q724" s="14"/>
      <c r="R724" s="5"/>
      <c r="S724" s="14"/>
      <c r="T724" s="16"/>
      <c r="U724" s="16"/>
      <c r="V724" s="17"/>
      <c r="W724" s="6"/>
      <c r="X724" s="22"/>
      <c r="Y724" s="14"/>
      <c r="Z724" s="14"/>
      <c r="AA724" s="14"/>
      <c r="AB724" s="14"/>
      <c r="AC724" s="14"/>
      <c r="AD724" s="14"/>
      <c r="AE724" s="14"/>
      <c r="AF724" s="14"/>
      <c r="AG724" s="19"/>
      <c r="AH724" s="20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</row>
    <row r="725" ht="15.75" customHeight="1">
      <c r="A725" s="5"/>
      <c r="B725" s="5"/>
      <c r="C725" s="5"/>
      <c r="D725" s="5"/>
      <c r="E725" s="14"/>
      <c r="F725" s="15"/>
      <c r="G725" s="14"/>
      <c r="H725" s="16"/>
      <c r="I725" s="14"/>
      <c r="J725" s="16"/>
      <c r="K725" s="14"/>
      <c r="L725" s="16"/>
      <c r="M725" s="14"/>
      <c r="N725" s="16"/>
      <c r="O725" s="14"/>
      <c r="P725" s="16"/>
      <c r="Q725" s="14"/>
      <c r="R725" s="5"/>
      <c r="S725" s="14"/>
      <c r="T725" s="16"/>
      <c r="U725" s="16"/>
      <c r="V725" s="17"/>
      <c r="W725" s="6"/>
      <c r="X725" s="22"/>
      <c r="Y725" s="14"/>
      <c r="Z725" s="14"/>
      <c r="AA725" s="14"/>
      <c r="AB725" s="14"/>
      <c r="AC725" s="14"/>
      <c r="AD725" s="14"/>
      <c r="AE725" s="14"/>
      <c r="AF725" s="14"/>
      <c r="AG725" s="19"/>
      <c r="AH725" s="20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</row>
    <row r="726" ht="15.75" customHeight="1">
      <c r="A726" s="5"/>
      <c r="B726" s="5"/>
      <c r="C726" s="5"/>
      <c r="D726" s="5"/>
      <c r="E726" s="14"/>
      <c r="F726" s="15"/>
      <c r="G726" s="14"/>
      <c r="H726" s="16"/>
      <c r="I726" s="14"/>
      <c r="J726" s="16"/>
      <c r="K726" s="14"/>
      <c r="L726" s="16"/>
      <c r="M726" s="14"/>
      <c r="N726" s="16"/>
      <c r="O726" s="14"/>
      <c r="P726" s="16"/>
      <c r="Q726" s="14"/>
      <c r="R726" s="5"/>
      <c r="S726" s="14"/>
      <c r="T726" s="16"/>
      <c r="U726" s="16"/>
      <c r="V726" s="17"/>
      <c r="W726" s="6"/>
      <c r="X726" s="22"/>
      <c r="Y726" s="14"/>
      <c r="Z726" s="14"/>
      <c r="AA726" s="14"/>
      <c r="AB726" s="14"/>
      <c r="AC726" s="14"/>
      <c r="AD726" s="14"/>
      <c r="AE726" s="14"/>
      <c r="AF726" s="14"/>
      <c r="AG726" s="19"/>
      <c r="AH726" s="20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</row>
    <row r="727" ht="15.75" customHeight="1">
      <c r="A727" s="5"/>
      <c r="B727" s="5"/>
      <c r="C727" s="5"/>
      <c r="D727" s="5"/>
      <c r="E727" s="14"/>
      <c r="F727" s="15"/>
      <c r="G727" s="14"/>
      <c r="H727" s="16"/>
      <c r="I727" s="14"/>
      <c r="J727" s="16"/>
      <c r="K727" s="14"/>
      <c r="L727" s="16"/>
      <c r="M727" s="14"/>
      <c r="N727" s="16"/>
      <c r="O727" s="14"/>
      <c r="P727" s="16"/>
      <c r="Q727" s="14"/>
      <c r="R727" s="5"/>
      <c r="S727" s="14"/>
      <c r="T727" s="16"/>
      <c r="U727" s="16"/>
      <c r="V727" s="17"/>
      <c r="W727" s="6"/>
      <c r="X727" s="22"/>
      <c r="Y727" s="14"/>
      <c r="Z727" s="14"/>
      <c r="AA727" s="14"/>
      <c r="AB727" s="14"/>
      <c r="AC727" s="14"/>
      <c r="AD727" s="14"/>
      <c r="AE727" s="14"/>
      <c r="AF727" s="14"/>
      <c r="AG727" s="19"/>
      <c r="AH727" s="20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</row>
    <row r="728" ht="15.75" customHeight="1">
      <c r="A728" s="5"/>
      <c r="B728" s="5"/>
      <c r="C728" s="5"/>
      <c r="D728" s="5"/>
      <c r="E728" s="14"/>
      <c r="F728" s="15"/>
      <c r="G728" s="14"/>
      <c r="H728" s="16"/>
      <c r="I728" s="14"/>
      <c r="J728" s="16"/>
      <c r="K728" s="14"/>
      <c r="L728" s="16"/>
      <c r="M728" s="14"/>
      <c r="N728" s="16"/>
      <c r="O728" s="14"/>
      <c r="P728" s="16"/>
      <c r="Q728" s="14"/>
      <c r="R728" s="5"/>
      <c r="S728" s="14"/>
      <c r="T728" s="16"/>
      <c r="U728" s="16"/>
      <c r="V728" s="17"/>
      <c r="W728" s="6"/>
      <c r="X728" s="22"/>
      <c r="Y728" s="14"/>
      <c r="Z728" s="14"/>
      <c r="AA728" s="14"/>
      <c r="AB728" s="14"/>
      <c r="AC728" s="14"/>
      <c r="AD728" s="14"/>
      <c r="AE728" s="14"/>
      <c r="AF728" s="14"/>
      <c r="AG728" s="19"/>
      <c r="AH728" s="20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</row>
    <row r="729" ht="15.75" customHeight="1">
      <c r="A729" s="5"/>
      <c r="B729" s="5"/>
      <c r="C729" s="5"/>
      <c r="D729" s="5"/>
      <c r="E729" s="14"/>
      <c r="F729" s="15"/>
      <c r="G729" s="14"/>
      <c r="H729" s="16"/>
      <c r="I729" s="14"/>
      <c r="J729" s="16"/>
      <c r="K729" s="14"/>
      <c r="L729" s="16"/>
      <c r="M729" s="14"/>
      <c r="N729" s="16"/>
      <c r="O729" s="14"/>
      <c r="P729" s="16"/>
      <c r="Q729" s="14"/>
      <c r="R729" s="5"/>
      <c r="S729" s="14"/>
      <c r="T729" s="16"/>
      <c r="U729" s="16"/>
      <c r="V729" s="17"/>
      <c r="W729" s="6"/>
      <c r="X729" s="22"/>
      <c r="Y729" s="14"/>
      <c r="Z729" s="14"/>
      <c r="AA729" s="14"/>
      <c r="AB729" s="14"/>
      <c r="AC729" s="14"/>
      <c r="AD729" s="14"/>
      <c r="AE729" s="14"/>
      <c r="AF729" s="14"/>
      <c r="AG729" s="19"/>
      <c r="AH729" s="20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</row>
    <row r="730" ht="15.75" customHeight="1">
      <c r="A730" s="5"/>
      <c r="B730" s="5"/>
      <c r="C730" s="5"/>
      <c r="D730" s="5"/>
      <c r="E730" s="14"/>
      <c r="F730" s="15"/>
      <c r="G730" s="14"/>
      <c r="H730" s="16"/>
      <c r="I730" s="14"/>
      <c r="J730" s="16"/>
      <c r="K730" s="14"/>
      <c r="L730" s="16"/>
      <c r="M730" s="14"/>
      <c r="N730" s="16"/>
      <c r="O730" s="14"/>
      <c r="P730" s="16"/>
      <c r="Q730" s="14"/>
      <c r="R730" s="5"/>
      <c r="S730" s="14"/>
      <c r="T730" s="16"/>
      <c r="U730" s="16"/>
      <c r="V730" s="17"/>
      <c r="W730" s="6"/>
      <c r="X730" s="22"/>
      <c r="Y730" s="14"/>
      <c r="Z730" s="14"/>
      <c r="AA730" s="14"/>
      <c r="AB730" s="14"/>
      <c r="AC730" s="14"/>
      <c r="AD730" s="14"/>
      <c r="AE730" s="14"/>
      <c r="AF730" s="14"/>
      <c r="AG730" s="19"/>
      <c r="AH730" s="20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</row>
    <row r="731" ht="15.75" customHeight="1">
      <c r="A731" s="5"/>
      <c r="B731" s="5"/>
      <c r="C731" s="5"/>
      <c r="D731" s="5"/>
      <c r="E731" s="14"/>
      <c r="F731" s="15"/>
      <c r="G731" s="14"/>
      <c r="H731" s="16"/>
      <c r="I731" s="14"/>
      <c r="J731" s="16"/>
      <c r="K731" s="14"/>
      <c r="L731" s="16"/>
      <c r="M731" s="14"/>
      <c r="N731" s="16"/>
      <c r="O731" s="14"/>
      <c r="P731" s="16"/>
      <c r="Q731" s="14"/>
      <c r="R731" s="5"/>
      <c r="S731" s="14"/>
      <c r="T731" s="16"/>
      <c r="U731" s="16"/>
      <c r="V731" s="17"/>
      <c r="W731" s="6"/>
      <c r="X731" s="22"/>
      <c r="Y731" s="14"/>
      <c r="Z731" s="14"/>
      <c r="AA731" s="14"/>
      <c r="AB731" s="14"/>
      <c r="AC731" s="14"/>
      <c r="AD731" s="14"/>
      <c r="AE731" s="14"/>
      <c r="AF731" s="14"/>
      <c r="AG731" s="19"/>
      <c r="AH731" s="20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</row>
    <row r="732" ht="15.75" customHeight="1">
      <c r="A732" s="5"/>
      <c r="B732" s="5"/>
      <c r="C732" s="5"/>
      <c r="D732" s="5"/>
      <c r="E732" s="14"/>
      <c r="F732" s="15"/>
      <c r="G732" s="14"/>
      <c r="H732" s="16"/>
      <c r="I732" s="14"/>
      <c r="J732" s="16"/>
      <c r="K732" s="14"/>
      <c r="L732" s="16"/>
      <c r="M732" s="14"/>
      <c r="N732" s="16"/>
      <c r="O732" s="14"/>
      <c r="P732" s="16"/>
      <c r="Q732" s="14"/>
      <c r="R732" s="5"/>
      <c r="S732" s="14"/>
      <c r="T732" s="16"/>
      <c r="U732" s="16"/>
      <c r="V732" s="17"/>
      <c r="W732" s="6"/>
      <c r="X732" s="22"/>
      <c r="Y732" s="14"/>
      <c r="Z732" s="14"/>
      <c r="AA732" s="14"/>
      <c r="AB732" s="14"/>
      <c r="AC732" s="14"/>
      <c r="AD732" s="14"/>
      <c r="AE732" s="14"/>
      <c r="AF732" s="14"/>
      <c r="AG732" s="19"/>
      <c r="AH732" s="20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</row>
    <row r="733" ht="15.75" customHeight="1">
      <c r="A733" s="5"/>
      <c r="B733" s="5"/>
      <c r="C733" s="5"/>
      <c r="D733" s="5"/>
      <c r="E733" s="14"/>
      <c r="F733" s="15"/>
      <c r="G733" s="14"/>
      <c r="H733" s="16"/>
      <c r="I733" s="14"/>
      <c r="J733" s="16"/>
      <c r="K733" s="14"/>
      <c r="L733" s="16"/>
      <c r="M733" s="14"/>
      <c r="N733" s="16"/>
      <c r="O733" s="14"/>
      <c r="P733" s="16"/>
      <c r="Q733" s="14"/>
      <c r="R733" s="5"/>
      <c r="S733" s="14"/>
      <c r="T733" s="16"/>
      <c r="U733" s="16"/>
      <c r="V733" s="17"/>
      <c r="W733" s="6"/>
      <c r="X733" s="22"/>
      <c r="Y733" s="14"/>
      <c r="Z733" s="14"/>
      <c r="AA733" s="14"/>
      <c r="AB733" s="14"/>
      <c r="AC733" s="14"/>
      <c r="AD733" s="14"/>
      <c r="AE733" s="14"/>
      <c r="AF733" s="14"/>
      <c r="AG733" s="19"/>
      <c r="AH733" s="20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</row>
    <row r="734" ht="15.75" customHeight="1">
      <c r="A734" s="5"/>
      <c r="B734" s="5"/>
      <c r="C734" s="5"/>
      <c r="D734" s="5"/>
      <c r="E734" s="14"/>
      <c r="F734" s="15"/>
      <c r="G734" s="14"/>
      <c r="H734" s="16"/>
      <c r="I734" s="14"/>
      <c r="J734" s="16"/>
      <c r="K734" s="14"/>
      <c r="L734" s="16"/>
      <c r="M734" s="14"/>
      <c r="N734" s="16"/>
      <c r="O734" s="14"/>
      <c r="P734" s="16"/>
      <c r="Q734" s="14"/>
      <c r="R734" s="5"/>
      <c r="S734" s="14"/>
      <c r="T734" s="16"/>
      <c r="U734" s="16"/>
      <c r="V734" s="17"/>
      <c r="W734" s="6"/>
      <c r="X734" s="22"/>
      <c r="Y734" s="14"/>
      <c r="Z734" s="14"/>
      <c r="AA734" s="14"/>
      <c r="AB734" s="14"/>
      <c r="AC734" s="14"/>
      <c r="AD734" s="14"/>
      <c r="AE734" s="14"/>
      <c r="AF734" s="14"/>
      <c r="AG734" s="19"/>
      <c r="AH734" s="20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</row>
    <row r="735" ht="15.75" customHeight="1">
      <c r="A735" s="5"/>
      <c r="B735" s="5"/>
      <c r="C735" s="5"/>
      <c r="D735" s="5"/>
      <c r="E735" s="14"/>
      <c r="F735" s="15"/>
      <c r="G735" s="14"/>
      <c r="H735" s="16"/>
      <c r="I735" s="14"/>
      <c r="J735" s="16"/>
      <c r="K735" s="14"/>
      <c r="L735" s="16"/>
      <c r="M735" s="14"/>
      <c r="N735" s="16"/>
      <c r="O735" s="14"/>
      <c r="P735" s="16"/>
      <c r="Q735" s="14"/>
      <c r="R735" s="5"/>
      <c r="S735" s="14"/>
      <c r="T735" s="16"/>
      <c r="U735" s="16"/>
      <c r="V735" s="17"/>
      <c r="W735" s="6"/>
      <c r="X735" s="22"/>
      <c r="Y735" s="14"/>
      <c r="Z735" s="14"/>
      <c r="AA735" s="14"/>
      <c r="AB735" s="14"/>
      <c r="AC735" s="14"/>
      <c r="AD735" s="14"/>
      <c r="AE735" s="14"/>
      <c r="AF735" s="14"/>
      <c r="AG735" s="19"/>
      <c r="AH735" s="20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</row>
    <row r="736" ht="15.75" customHeight="1">
      <c r="A736" s="5"/>
      <c r="B736" s="5"/>
      <c r="C736" s="5"/>
      <c r="D736" s="5"/>
      <c r="E736" s="14"/>
      <c r="F736" s="15"/>
      <c r="G736" s="14"/>
      <c r="H736" s="16"/>
      <c r="I736" s="14"/>
      <c r="J736" s="16"/>
      <c r="K736" s="14"/>
      <c r="L736" s="16"/>
      <c r="M736" s="14"/>
      <c r="N736" s="16"/>
      <c r="O736" s="14"/>
      <c r="P736" s="16"/>
      <c r="Q736" s="14"/>
      <c r="R736" s="5"/>
      <c r="S736" s="14"/>
      <c r="T736" s="16"/>
      <c r="U736" s="16"/>
      <c r="V736" s="17"/>
      <c r="W736" s="6"/>
      <c r="X736" s="22"/>
      <c r="Y736" s="14"/>
      <c r="Z736" s="14"/>
      <c r="AA736" s="14"/>
      <c r="AB736" s="14"/>
      <c r="AC736" s="14"/>
      <c r="AD736" s="14"/>
      <c r="AE736" s="14"/>
      <c r="AF736" s="14"/>
      <c r="AG736" s="19"/>
      <c r="AH736" s="20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</row>
    <row r="737" ht="15.75" customHeight="1">
      <c r="A737" s="5"/>
      <c r="B737" s="5"/>
      <c r="C737" s="5"/>
      <c r="D737" s="5"/>
      <c r="E737" s="14"/>
      <c r="F737" s="15"/>
      <c r="G737" s="14"/>
      <c r="H737" s="16"/>
      <c r="I737" s="14"/>
      <c r="J737" s="16"/>
      <c r="K737" s="14"/>
      <c r="L737" s="16"/>
      <c r="M737" s="14"/>
      <c r="N737" s="16"/>
      <c r="O737" s="14"/>
      <c r="P737" s="16"/>
      <c r="Q737" s="14"/>
      <c r="R737" s="5"/>
      <c r="S737" s="14"/>
      <c r="T737" s="16"/>
      <c r="U737" s="16"/>
      <c r="V737" s="17"/>
      <c r="W737" s="6"/>
      <c r="X737" s="22"/>
      <c r="Y737" s="14"/>
      <c r="Z737" s="14"/>
      <c r="AA737" s="14"/>
      <c r="AB737" s="14"/>
      <c r="AC737" s="14"/>
      <c r="AD737" s="14"/>
      <c r="AE737" s="14"/>
      <c r="AF737" s="14"/>
      <c r="AG737" s="19"/>
      <c r="AH737" s="20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</row>
    <row r="738" ht="15.75" customHeight="1">
      <c r="A738" s="5"/>
      <c r="B738" s="5"/>
      <c r="C738" s="5"/>
      <c r="D738" s="5"/>
      <c r="E738" s="14"/>
      <c r="F738" s="15"/>
      <c r="G738" s="14"/>
      <c r="H738" s="16"/>
      <c r="I738" s="14"/>
      <c r="J738" s="16"/>
      <c r="K738" s="14"/>
      <c r="L738" s="16"/>
      <c r="M738" s="14"/>
      <c r="N738" s="16"/>
      <c r="O738" s="14"/>
      <c r="P738" s="16"/>
      <c r="Q738" s="14"/>
      <c r="R738" s="5"/>
      <c r="S738" s="14"/>
      <c r="T738" s="16"/>
      <c r="U738" s="16"/>
      <c r="V738" s="17"/>
      <c r="W738" s="6"/>
      <c r="X738" s="22"/>
      <c r="Y738" s="14"/>
      <c r="Z738" s="14"/>
      <c r="AA738" s="14"/>
      <c r="AB738" s="14"/>
      <c r="AC738" s="14"/>
      <c r="AD738" s="14"/>
      <c r="AE738" s="14"/>
      <c r="AF738" s="14"/>
      <c r="AG738" s="19"/>
      <c r="AH738" s="20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</row>
    <row r="739" ht="15.75" customHeight="1">
      <c r="A739" s="5"/>
      <c r="B739" s="5"/>
      <c r="C739" s="5"/>
      <c r="D739" s="5"/>
      <c r="E739" s="14"/>
      <c r="F739" s="15"/>
      <c r="G739" s="14"/>
      <c r="H739" s="16"/>
      <c r="I739" s="14"/>
      <c r="J739" s="16"/>
      <c r="K739" s="14"/>
      <c r="L739" s="16"/>
      <c r="M739" s="14"/>
      <c r="N739" s="16"/>
      <c r="O739" s="14"/>
      <c r="P739" s="16"/>
      <c r="Q739" s="14"/>
      <c r="R739" s="5"/>
      <c r="S739" s="14"/>
      <c r="T739" s="16"/>
      <c r="U739" s="16"/>
      <c r="V739" s="17"/>
      <c r="W739" s="6"/>
      <c r="X739" s="22"/>
      <c r="Y739" s="14"/>
      <c r="Z739" s="14"/>
      <c r="AA739" s="14"/>
      <c r="AB739" s="14"/>
      <c r="AC739" s="14"/>
      <c r="AD739" s="14"/>
      <c r="AE739" s="14"/>
      <c r="AF739" s="14"/>
      <c r="AG739" s="19"/>
      <c r="AH739" s="20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</row>
    <row r="740" ht="15.75" customHeight="1">
      <c r="A740" s="5"/>
      <c r="B740" s="5"/>
      <c r="C740" s="5"/>
      <c r="D740" s="5"/>
      <c r="E740" s="14"/>
      <c r="F740" s="15"/>
      <c r="G740" s="14"/>
      <c r="H740" s="16"/>
      <c r="I740" s="14"/>
      <c r="J740" s="16"/>
      <c r="K740" s="14"/>
      <c r="L740" s="16"/>
      <c r="M740" s="14"/>
      <c r="N740" s="16"/>
      <c r="O740" s="14"/>
      <c r="P740" s="16"/>
      <c r="Q740" s="14"/>
      <c r="R740" s="5"/>
      <c r="S740" s="14"/>
      <c r="T740" s="16"/>
      <c r="U740" s="16"/>
      <c r="V740" s="17"/>
      <c r="W740" s="6"/>
      <c r="X740" s="22"/>
      <c r="Y740" s="14"/>
      <c r="Z740" s="14"/>
      <c r="AA740" s="14"/>
      <c r="AB740" s="14"/>
      <c r="AC740" s="14"/>
      <c r="AD740" s="14"/>
      <c r="AE740" s="14"/>
      <c r="AF740" s="14"/>
      <c r="AG740" s="19"/>
      <c r="AH740" s="20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</row>
    <row r="741" ht="15.75" customHeight="1">
      <c r="A741" s="5"/>
      <c r="B741" s="5"/>
      <c r="C741" s="5"/>
      <c r="D741" s="5"/>
      <c r="E741" s="14"/>
      <c r="F741" s="15"/>
      <c r="G741" s="14"/>
      <c r="H741" s="16"/>
      <c r="I741" s="14"/>
      <c r="J741" s="16"/>
      <c r="K741" s="14"/>
      <c r="L741" s="16"/>
      <c r="M741" s="14"/>
      <c r="N741" s="16"/>
      <c r="O741" s="14"/>
      <c r="P741" s="16"/>
      <c r="Q741" s="14"/>
      <c r="R741" s="5"/>
      <c r="S741" s="14"/>
      <c r="T741" s="16"/>
      <c r="U741" s="16"/>
      <c r="V741" s="17"/>
      <c r="W741" s="6"/>
      <c r="X741" s="22"/>
      <c r="Y741" s="14"/>
      <c r="Z741" s="14"/>
      <c r="AA741" s="14"/>
      <c r="AB741" s="14"/>
      <c r="AC741" s="14"/>
      <c r="AD741" s="14"/>
      <c r="AE741" s="14"/>
      <c r="AF741" s="14"/>
      <c r="AG741" s="19"/>
      <c r="AH741" s="20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</row>
    <row r="742" ht="15.75" customHeight="1">
      <c r="A742" s="5"/>
      <c r="B742" s="5"/>
      <c r="C742" s="5"/>
      <c r="D742" s="5"/>
      <c r="E742" s="14"/>
      <c r="F742" s="15"/>
      <c r="G742" s="14"/>
      <c r="H742" s="16"/>
      <c r="I742" s="14"/>
      <c r="J742" s="16"/>
      <c r="K742" s="14"/>
      <c r="L742" s="16"/>
      <c r="M742" s="14"/>
      <c r="N742" s="16"/>
      <c r="O742" s="14"/>
      <c r="P742" s="16"/>
      <c r="Q742" s="14"/>
      <c r="R742" s="5"/>
      <c r="S742" s="14"/>
      <c r="T742" s="16"/>
      <c r="U742" s="16"/>
      <c r="V742" s="17"/>
      <c r="W742" s="6"/>
      <c r="X742" s="22"/>
      <c r="Y742" s="14"/>
      <c r="Z742" s="14"/>
      <c r="AA742" s="14"/>
      <c r="AB742" s="14"/>
      <c r="AC742" s="14"/>
      <c r="AD742" s="14"/>
      <c r="AE742" s="14"/>
      <c r="AF742" s="14"/>
      <c r="AG742" s="19"/>
      <c r="AH742" s="20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</row>
    <row r="743" ht="15.75" customHeight="1">
      <c r="A743" s="5"/>
      <c r="B743" s="5"/>
      <c r="C743" s="5"/>
      <c r="D743" s="5"/>
      <c r="E743" s="14"/>
      <c r="F743" s="15"/>
      <c r="G743" s="14"/>
      <c r="H743" s="16"/>
      <c r="I743" s="14"/>
      <c r="J743" s="16"/>
      <c r="K743" s="14"/>
      <c r="L743" s="16"/>
      <c r="M743" s="14"/>
      <c r="N743" s="16"/>
      <c r="O743" s="14"/>
      <c r="P743" s="16"/>
      <c r="Q743" s="14"/>
      <c r="R743" s="5"/>
      <c r="S743" s="14"/>
      <c r="T743" s="16"/>
      <c r="U743" s="16"/>
      <c r="V743" s="17"/>
      <c r="W743" s="6"/>
      <c r="X743" s="22"/>
      <c r="Y743" s="14"/>
      <c r="Z743" s="14"/>
      <c r="AA743" s="14"/>
      <c r="AB743" s="14"/>
      <c r="AC743" s="14"/>
      <c r="AD743" s="14"/>
      <c r="AE743" s="14"/>
      <c r="AF743" s="14"/>
      <c r="AG743" s="19"/>
      <c r="AH743" s="20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</row>
    <row r="744" ht="15.75" customHeight="1">
      <c r="A744" s="5"/>
      <c r="B744" s="5"/>
      <c r="C744" s="5"/>
      <c r="D744" s="5"/>
      <c r="E744" s="14"/>
      <c r="F744" s="15"/>
      <c r="G744" s="14"/>
      <c r="H744" s="16"/>
      <c r="I744" s="14"/>
      <c r="J744" s="16"/>
      <c r="K744" s="14"/>
      <c r="L744" s="16"/>
      <c r="M744" s="14"/>
      <c r="N744" s="16"/>
      <c r="O744" s="14"/>
      <c r="P744" s="16"/>
      <c r="Q744" s="14"/>
      <c r="R744" s="5"/>
      <c r="S744" s="14"/>
      <c r="T744" s="16"/>
      <c r="U744" s="16"/>
      <c r="V744" s="17"/>
      <c r="W744" s="6"/>
      <c r="X744" s="22"/>
      <c r="Y744" s="14"/>
      <c r="Z744" s="14"/>
      <c r="AA744" s="14"/>
      <c r="AB744" s="14"/>
      <c r="AC744" s="14"/>
      <c r="AD744" s="14"/>
      <c r="AE744" s="14"/>
      <c r="AF744" s="14"/>
      <c r="AG744" s="19"/>
      <c r="AH744" s="20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</row>
    <row r="745" ht="15.75" customHeight="1">
      <c r="A745" s="5"/>
      <c r="B745" s="5"/>
      <c r="C745" s="5"/>
      <c r="D745" s="5"/>
      <c r="E745" s="14"/>
      <c r="F745" s="15"/>
      <c r="G745" s="14"/>
      <c r="H745" s="16"/>
      <c r="I745" s="14"/>
      <c r="J745" s="16"/>
      <c r="K745" s="14"/>
      <c r="L745" s="16"/>
      <c r="M745" s="14"/>
      <c r="N745" s="16"/>
      <c r="O745" s="14"/>
      <c r="P745" s="16"/>
      <c r="Q745" s="14"/>
      <c r="R745" s="5"/>
      <c r="S745" s="14"/>
      <c r="T745" s="16"/>
      <c r="U745" s="16"/>
      <c r="V745" s="17"/>
      <c r="W745" s="6"/>
      <c r="X745" s="22"/>
      <c r="Y745" s="14"/>
      <c r="Z745" s="14"/>
      <c r="AA745" s="14"/>
      <c r="AB745" s="14"/>
      <c r="AC745" s="14"/>
      <c r="AD745" s="14"/>
      <c r="AE745" s="14"/>
      <c r="AF745" s="14"/>
      <c r="AG745" s="19"/>
      <c r="AH745" s="20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</row>
    <row r="746" ht="15.75" customHeight="1">
      <c r="A746" s="5"/>
      <c r="B746" s="5"/>
      <c r="C746" s="5"/>
      <c r="D746" s="5"/>
      <c r="E746" s="14"/>
      <c r="F746" s="15"/>
      <c r="G746" s="14"/>
      <c r="H746" s="16"/>
      <c r="I746" s="14"/>
      <c r="J746" s="16"/>
      <c r="K746" s="14"/>
      <c r="L746" s="16"/>
      <c r="M746" s="14"/>
      <c r="N746" s="16"/>
      <c r="O746" s="14"/>
      <c r="P746" s="16"/>
      <c r="Q746" s="14"/>
      <c r="R746" s="5"/>
      <c r="S746" s="14"/>
      <c r="T746" s="16"/>
      <c r="U746" s="16"/>
      <c r="V746" s="17"/>
      <c r="W746" s="6"/>
      <c r="X746" s="22"/>
      <c r="Y746" s="14"/>
      <c r="Z746" s="14"/>
      <c r="AA746" s="14"/>
      <c r="AB746" s="14"/>
      <c r="AC746" s="14"/>
      <c r="AD746" s="14"/>
      <c r="AE746" s="14"/>
      <c r="AF746" s="14"/>
      <c r="AG746" s="19"/>
      <c r="AH746" s="20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</row>
    <row r="747" ht="15.75" customHeight="1">
      <c r="A747" s="5"/>
      <c r="B747" s="5"/>
      <c r="C747" s="5"/>
      <c r="D747" s="5"/>
      <c r="E747" s="14"/>
      <c r="F747" s="15"/>
      <c r="G747" s="14"/>
      <c r="H747" s="16"/>
      <c r="I747" s="14"/>
      <c r="J747" s="16"/>
      <c r="K747" s="14"/>
      <c r="L747" s="16"/>
      <c r="M747" s="14"/>
      <c r="N747" s="16"/>
      <c r="O747" s="14"/>
      <c r="P747" s="16"/>
      <c r="Q747" s="14"/>
      <c r="R747" s="5"/>
      <c r="S747" s="14"/>
      <c r="T747" s="16"/>
      <c r="U747" s="16"/>
      <c r="V747" s="17"/>
      <c r="W747" s="6"/>
      <c r="X747" s="22"/>
      <c r="Y747" s="14"/>
      <c r="Z747" s="14"/>
      <c r="AA747" s="14"/>
      <c r="AB747" s="14"/>
      <c r="AC747" s="14"/>
      <c r="AD747" s="14"/>
      <c r="AE747" s="14"/>
      <c r="AF747" s="14"/>
      <c r="AG747" s="19"/>
      <c r="AH747" s="20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</row>
    <row r="748" ht="15.75" customHeight="1">
      <c r="A748" s="5"/>
      <c r="B748" s="5"/>
      <c r="C748" s="5"/>
      <c r="D748" s="5"/>
      <c r="E748" s="14"/>
      <c r="F748" s="15"/>
      <c r="G748" s="14"/>
      <c r="H748" s="16"/>
      <c r="I748" s="14"/>
      <c r="J748" s="16"/>
      <c r="K748" s="14"/>
      <c r="L748" s="16"/>
      <c r="M748" s="14"/>
      <c r="N748" s="16"/>
      <c r="O748" s="14"/>
      <c r="P748" s="16"/>
      <c r="Q748" s="14"/>
      <c r="R748" s="5"/>
      <c r="S748" s="14"/>
      <c r="T748" s="16"/>
      <c r="U748" s="16"/>
      <c r="V748" s="17"/>
      <c r="W748" s="6"/>
      <c r="X748" s="22"/>
      <c r="Y748" s="14"/>
      <c r="Z748" s="14"/>
      <c r="AA748" s="14"/>
      <c r="AB748" s="14"/>
      <c r="AC748" s="14"/>
      <c r="AD748" s="14"/>
      <c r="AE748" s="14"/>
      <c r="AF748" s="14"/>
      <c r="AG748" s="19"/>
      <c r="AH748" s="20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</row>
    <row r="749" ht="15.75" customHeight="1">
      <c r="A749" s="5"/>
      <c r="B749" s="5"/>
      <c r="C749" s="5"/>
      <c r="D749" s="5"/>
      <c r="E749" s="14"/>
      <c r="F749" s="15"/>
      <c r="G749" s="14"/>
      <c r="H749" s="16"/>
      <c r="I749" s="14"/>
      <c r="J749" s="16"/>
      <c r="K749" s="14"/>
      <c r="L749" s="16"/>
      <c r="M749" s="14"/>
      <c r="N749" s="16"/>
      <c r="O749" s="14"/>
      <c r="P749" s="16"/>
      <c r="Q749" s="14"/>
      <c r="R749" s="5"/>
      <c r="S749" s="14"/>
      <c r="T749" s="16"/>
      <c r="U749" s="16"/>
      <c r="V749" s="17"/>
      <c r="W749" s="6"/>
      <c r="X749" s="22"/>
      <c r="Y749" s="14"/>
      <c r="Z749" s="14"/>
      <c r="AA749" s="14"/>
      <c r="AB749" s="14"/>
      <c r="AC749" s="14"/>
      <c r="AD749" s="14"/>
      <c r="AE749" s="14"/>
      <c r="AF749" s="14"/>
      <c r="AG749" s="19"/>
      <c r="AH749" s="20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</row>
    <row r="750" ht="15.75" customHeight="1">
      <c r="A750" s="5"/>
      <c r="B750" s="5"/>
      <c r="C750" s="5"/>
      <c r="D750" s="5"/>
      <c r="E750" s="14"/>
      <c r="F750" s="15"/>
      <c r="G750" s="14"/>
      <c r="H750" s="16"/>
      <c r="I750" s="14"/>
      <c r="J750" s="16"/>
      <c r="K750" s="14"/>
      <c r="L750" s="16"/>
      <c r="M750" s="14"/>
      <c r="N750" s="16"/>
      <c r="O750" s="14"/>
      <c r="P750" s="16"/>
      <c r="Q750" s="14"/>
      <c r="R750" s="5"/>
      <c r="S750" s="14"/>
      <c r="T750" s="16"/>
      <c r="U750" s="16"/>
      <c r="V750" s="17"/>
      <c r="W750" s="6"/>
      <c r="X750" s="22"/>
      <c r="Y750" s="14"/>
      <c r="Z750" s="14"/>
      <c r="AA750" s="14"/>
      <c r="AB750" s="14"/>
      <c r="AC750" s="14"/>
      <c r="AD750" s="14"/>
      <c r="AE750" s="14"/>
      <c r="AF750" s="14"/>
      <c r="AG750" s="19"/>
      <c r="AH750" s="20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</row>
    <row r="751" ht="15.75" customHeight="1">
      <c r="A751" s="5"/>
      <c r="B751" s="5"/>
      <c r="C751" s="5"/>
      <c r="D751" s="5"/>
      <c r="E751" s="14"/>
      <c r="F751" s="15"/>
      <c r="G751" s="14"/>
      <c r="H751" s="16"/>
      <c r="I751" s="14"/>
      <c r="J751" s="16"/>
      <c r="K751" s="14"/>
      <c r="L751" s="16"/>
      <c r="M751" s="14"/>
      <c r="N751" s="16"/>
      <c r="O751" s="14"/>
      <c r="P751" s="16"/>
      <c r="Q751" s="14"/>
      <c r="R751" s="5"/>
      <c r="S751" s="14"/>
      <c r="T751" s="16"/>
      <c r="U751" s="16"/>
      <c r="V751" s="17"/>
      <c r="W751" s="6"/>
      <c r="X751" s="22"/>
      <c r="Y751" s="14"/>
      <c r="Z751" s="14"/>
      <c r="AA751" s="14"/>
      <c r="AB751" s="14"/>
      <c r="AC751" s="14"/>
      <c r="AD751" s="14"/>
      <c r="AE751" s="14"/>
      <c r="AF751" s="14"/>
      <c r="AG751" s="19"/>
      <c r="AH751" s="20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</row>
    <row r="752" ht="15.75" customHeight="1">
      <c r="A752" s="5"/>
      <c r="B752" s="5"/>
      <c r="C752" s="5"/>
      <c r="D752" s="5"/>
      <c r="E752" s="14"/>
      <c r="F752" s="15"/>
      <c r="G752" s="14"/>
      <c r="H752" s="16"/>
      <c r="I752" s="14"/>
      <c r="J752" s="16"/>
      <c r="K752" s="14"/>
      <c r="L752" s="16"/>
      <c r="M752" s="14"/>
      <c r="N752" s="16"/>
      <c r="O752" s="14"/>
      <c r="P752" s="16"/>
      <c r="Q752" s="14"/>
      <c r="R752" s="5"/>
      <c r="S752" s="14"/>
      <c r="T752" s="16"/>
      <c r="U752" s="16"/>
      <c r="V752" s="17"/>
      <c r="W752" s="6"/>
      <c r="X752" s="22"/>
      <c r="Y752" s="14"/>
      <c r="Z752" s="14"/>
      <c r="AA752" s="14"/>
      <c r="AB752" s="14"/>
      <c r="AC752" s="14"/>
      <c r="AD752" s="14"/>
      <c r="AE752" s="14"/>
      <c r="AF752" s="14"/>
      <c r="AG752" s="19"/>
      <c r="AH752" s="20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</row>
    <row r="753" ht="15.75" customHeight="1">
      <c r="A753" s="5"/>
      <c r="B753" s="5"/>
      <c r="C753" s="5"/>
      <c r="D753" s="5"/>
      <c r="E753" s="14"/>
      <c r="F753" s="15"/>
      <c r="G753" s="14"/>
      <c r="H753" s="16"/>
      <c r="I753" s="14"/>
      <c r="J753" s="16"/>
      <c r="K753" s="14"/>
      <c r="L753" s="16"/>
      <c r="M753" s="14"/>
      <c r="N753" s="16"/>
      <c r="O753" s="14"/>
      <c r="P753" s="16"/>
      <c r="Q753" s="14"/>
      <c r="R753" s="5"/>
      <c r="S753" s="14"/>
      <c r="T753" s="16"/>
      <c r="U753" s="16"/>
      <c r="V753" s="17"/>
      <c r="W753" s="6"/>
      <c r="X753" s="22"/>
      <c r="Y753" s="14"/>
      <c r="Z753" s="14"/>
      <c r="AA753" s="14"/>
      <c r="AB753" s="14"/>
      <c r="AC753" s="14"/>
      <c r="AD753" s="14"/>
      <c r="AE753" s="14"/>
      <c r="AF753" s="14"/>
      <c r="AG753" s="19"/>
      <c r="AH753" s="20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</row>
    <row r="754" ht="15.75" customHeight="1">
      <c r="A754" s="5"/>
      <c r="B754" s="5"/>
      <c r="C754" s="5"/>
      <c r="D754" s="5"/>
      <c r="E754" s="14"/>
      <c r="F754" s="15"/>
      <c r="G754" s="14"/>
      <c r="H754" s="16"/>
      <c r="I754" s="14"/>
      <c r="J754" s="16"/>
      <c r="K754" s="14"/>
      <c r="L754" s="16"/>
      <c r="M754" s="14"/>
      <c r="N754" s="16"/>
      <c r="O754" s="14"/>
      <c r="P754" s="16"/>
      <c r="Q754" s="14"/>
      <c r="R754" s="5"/>
      <c r="S754" s="14"/>
      <c r="T754" s="16"/>
      <c r="U754" s="16"/>
      <c r="V754" s="17"/>
      <c r="W754" s="6"/>
      <c r="X754" s="22"/>
      <c r="Y754" s="14"/>
      <c r="Z754" s="14"/>
      <c r="AA754" s="14"/>
      <c r="AB754" s="14"/>
      <c r="AC754" s="14"/>
      <c r="AD754" s="14"/>
      <c r="AE754" s="14"/>
      <c r="AF754" s="14"/>
      <c r="AG754" s="19"/>
      <c r="AH754" s="20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</row>
    <row r="755" ht="15.75" customHeight="1">
      <c r="A755" s="5"/>
      <c r="B755" s="5"/>
      <c r="C755" s="5"/>
      <c r="D755" s="5"/>
      <c r="E755" s="14"/>
      <c r="F755" s="15"/>
      <c r="G755" s="14"/>
      <c r="H755" s="16"/>
      <c r="I755" s="14"/>
      <c r="J755" s="16"/>
      <c r="K755" s="14"/>
      <c r="L755" s="16"/>
      <c r="M755" s="14"/>
      <c r="N755" s="16"/>
      <c r="O755" s="14"/>
      <c r="P755" s="16"/>
      <c r="Q755" s="14"/>
      <c r="R755" s="5"/>
      <c r="S755" s="14"/>
      <c r="T755" s="16"/>
      <c r="U755" s="16"/>
      <c r="V755" s="17"/>
      <c r="W755" s="6"/>
      <c r="X755" s="22"/>
      <c r="Y755" s="14"/>
      <c r="Z755" s="14"/>
      <c r="AA755" s="14"/>
      <c r="AB755" s="14"/>
      <c r="AC755" s="14"/>
      <c r="AD755" s="14"/>
      <c r="AE755" s="14"/>
      <c r="AF755" s="14"/>
      <c r="AG755" s="19"/>
      <c r="AH755" s="20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</row>
    <row r="756" ht="15.75" customHeight="1">
      <c r="A756" s="5"/>
      <c r="B756" s="5"/>
      <c r="C756" s="5"/>
      <c r="D756" s="5"/>
      <c r="E756" s="14"/>
      <c r="F756" s="15"/>
      <c r="G756" s="14"/>
      <c r="H756" s="16"/>
      <c r="I756" s="14"/>
      <c r="J756" s="16"/>
      <c r="K756" s="14"/>
      <c r="L756" s="16"/>
      <c r="M756" s="14"/>
      <c r="N756" s="16"/>
      <c r="O756" s="14"/>
      <c r="P756" s="16"/>
      <c r="Q756" s="14"/>
      <c r="R756" s="5"/>
      <c r="S756" s="14"/>
      <c r="T756" s="16"/>
      <c r="U756" s="16"/>
      <c r="V756" s="17"/>
      <c r="W756" s="6"/>
      <c r="X756" s="22"/>
      <c r="Y756" s="14"/>
      <c r="Z756" s="14"/>
      <c r="AA756" s="14"/>
      <c r="AB756" s="14"/>
      <c r="AC756" s="14"/>
      <c r="AD756" s="14"/>
      <c r="AE756" s="14"/>
      <c r="AF756" s="14"/>
      <c r="AG756" s="19"/>
      <c r="AH756" s="20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</row>
    <row r="757" ht="15.75" customHeight="1">
      <c r="A757" s="5"/>
      <c r="B757" s="5"/>
      <c r="C757" s="5"/>
      <c r="D757" s="5"/>
      <c r="E757" s="14"/>
      <c r="F757" s="15"/>
      <c r="G757" s="14"/>
      <c r="H757" s="16"/>
      <c r="I757" s="14"/>
      <c r="J757" s="16"/>
      <c r="K757" s="14"/>
      <c r="L757" s="16"/>
      <c r="M757" s="14"/>
      <c r="N757" s="16"/>
      <c r="O757" s="14"/>
      <c r="P757" s="16"/>
      <c r="Q757" s="14"/>
      <c r="R757" s="5"/>
      <c r="S757" s="14"/>
      <c r="T757" s="16"/>
      <c r="U757" s="16"/>
      <c r="V757" s="17"/>
      <c r="W757" s="6"/>
      <c r="X757" s="22"/>
      <c r="Y757" s="14"/>
      <c r="Z757" s="14"/>
      <c r="AA757" s="14"/>
      <c r="AB757" s="14"/>
      <c r="AC757" s="14"/>
      <c r="AD757" s="14"/>
      <c r="AE757" s="14"/>
      <c r="AF757" s="14"/>
      <c r="AG757" s="19"/>
      <c r="AH757" s="20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</row>
    <row r="758" ht="15.75" customHeight="1">
      <c r="A758" s="5"/>
      <c r="B758" s="5"/>
      <c r="C758" s="5"/>
      <c r="D758" s="5"/>
      <c r="E758" s="14"/>
      <c r="F758" s="15"/>
      <c r="G758" s="14"/>
      <c r="H758" s="16"/>
      <c r="I758" s="14"/>
      <c r="J758" s="16"/>
      <c r="K758" s="14"/>
      <c r="L758" s="16"/>
      <c r="M758" s="14"/>
      <c r="N758" s="16"/>
      <c r="O758" s="14"/>
      <c r="P758" s="16"/>
      <c r="Q758" s="14"/>
      <c r="R758" s="5"/>
      <c r="S758" s="14"/>
      <c r="T758" s="16"/>
      <c r="U758" s="16"/>
      <c r="V758" s="17"/>
      <c r="W758" s="6"/>
      <c r="X758" s="22"/>
      <c r="Y758" s="14"/>
      <c r="Z758" s="14"/>
      <c r="AA758" s="14"/>
      <c r="AB758" s="14"/>
      <c r="AC758" s="14"/>
      <c r="AD758" s="14"/>
      <c r="AE758" s="14"/>
      <c r="AF758" s="14"/>
      <c r="AG758" s="19"/>
      <c r="AH758" s="20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</row>
    <row r="759" ht="15.75" customHeight="1">
      <c r="A759" s="5"/>
      <c r="B759" s="5"/>
      <c r="C759" s="5"/>
      <c r="D759" s="5"/>
      <c r="E759" s="14"/>
      <c r="F759" s="15"/>
      <c r="G759" s="14"/>
      <c r="H759" s="16"/>
      <c r="I759" s="14"/>
      <c r="J759" s="16"/>
      <c r="K759" s="14"/>
      <c r="L759" s="16"/>
      <c r="M759" s="14"/>
      <c r="N759" s="16"/>
      <c r="O759" s="14"/>
      <c r="P759" s="16"/>
      <c r="Q759" s="14"/>
      <c r="R759" s="5"/>
      <c r="S759" s="14"/>
      <c r="T759" s="16"/>
      <c r="U759" s="16"/>
      <c r="V759" s="17"/>
      <c r="W759" s="6"/>
      <c r="X759" s="22"/>
      <c r="Y759" s="14"/>
      <c r="Z759" s="14"/>
      <c r="AA759" s="14"/>
      <c r="AB759" s="14"/>
      <c r="AC759" s="14"/>
      <c r="AD759" s="14"/>
      <c r="AE759" s="14"/>
      <c r="AF759" s="14"/>
      <c r="AG759" s="19"/>
      <c r="AH759" s="20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</row>
    <row r="760" ht="15.75" customHeight="1">
      <c r="A760" s="5"/>
      <c r="B760" s="5"/>
      <c r="C760" s="5"/>
      <c r="D760" s="5"/>
      <c r="E760" s="14"/>
      <c r="F760" s="15"/>
      <c r="G760" s="14"/>
      <c r="H760" s="16"/>
      <c r="I760" s="14"/>
      <c r="J760" s="16"/>
      <c r="K760" s="14"/>
      <c r="L760" s="16"/>
      <c r="M760" s="14"/>
      <c r="N760" s="16"/>
      <c r="O760" s="14"/>
      <c r="P760" s="16"/>
      <c r="Q760" s="14"/>
      <c r="R760" s="5"/>
      <c r="S760" s="14"/>
      <c r="T760" s="16"/>
      <c r="U760" s="16"/>
      <c r="V760" s="17"/>
      <c r="W760" s="6"/>
      <c r="X760" s="22"/>
      <c r="Y760" s="14"/>
      <c r="Z760" s="14"/>
      <c r="AA760" s="14"/>
      <c r="AB760" s="14"/>
      <c r="AC760" s="14"/>
      <c r="AD760" s="14"/>
      <c r="AE760" s="14"/>
      <c r="AF760" s="14"/>
      <c r="AG760" s="19"/>
      <c r="AH760" s="20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</row>
    <row r="761" ht="15.75" customHeight="1">
      <c r="A761" s="5"/>
      <c r="B761" s="5"/>
      <c r="C761" s="5"/>
      <c r="D761" s="5"/>
      <c r="E761" s="14"/>
      <c r="F761" s="15"/>
      <c r="G761" s="14"/>
      <c r="H761" s="16"/>
      <c r="I761" s="14"/>
      <c r="J761" s="16"/>
      <c r="K761" s="14"/>
      <c r="L761" s="16"/>
      <c r="M761" s="14"/>
      <c r="N761" s="16"/>
      <c r="O761" s="14"/>
      <c r="P761" s="16"/>
      <c r="Q761" s="14"/>
      <c r="R761" s="5"/>
      <c r="S761" s="14"/>
      <c r="T761" s="16"/>
      <c r="U761" s="16"/>
      <c r="V761" s="17"/>
      <c r="W761" s="6"/>
      <c r="X761" s="22"/>
      <c r="Y761" s="14"/>
      <c r="Z761" s="14"/>
      <c r="AA761" s="14"/>
      <c r="AB761" s="14"/>
      <c r="AC761" s="14"/>
      <c r="AD761" s="14"/>
      <c r="AE761" s="14"/>
      <c r="AF761" s="14"/>
      <c r="AG761" s="19"/>
      <c r="AH761" s="20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</row>
    <row r="762" ht="15.75" customHeight="1">
      <c r="A762" s="5"/>
      <c r="B762" s="5"/>
      <c r="C762" s="5"/>
      <c r="D762" s="5"/>
      <c r="E762" s="14"/>
      <c r="F762" s="15"/>
      <c r="G762" s="14"/>
      <c r="H762" s="16"/>
      <c r="I762" s="14"/>
      <c r="J762" s="16"/>
      <c r="K762" s="14"/>
      <c r="L762" s="16"/>
      <c r="M762" s="14"/>
      <c r="N762" s="16"/>
      <c r="O762" s="14"/>
      <c r="P762" s="16"/>
      <c r="Q762" s="14"/>
      <c r="R762" s="5"/>
      <c r="S762" s="14"/>
      <c r="T762" s="16"/>
      <c r="U762" s="16"/>
      <c r="V762" s="17"/>
      <c r="W762" s="6"/>
      <c r="X762" s="22"/>
      <c r="Y762" s="14"/>
      <c r="Z762" s="14"/>
      <c r="AA762" s="14"/>
      <c r="AB762" s="14"/>
      <c r="AC762" s="14"/>
      <c r="AD762" s="14"/>
      <c r="AE762" s="14"/>
      <c r="AF762" s="14"/>
      <c r="AG762" s="19"/>
      <c r="AH762" s="20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</row>
    <row r="763" ht="15.75" customHeight="1">
      <c r="A763" s="5"/>
      <c r="B763" s="5"/>
      <c r="C763" s="5"/>
      <c r="D763" s="5"/>
      <c r="E763" s="14"/>
      <c r="F763" s="15"/>
      <c r="G763" s="14"/>
      <c r="H763" s="16"/>
      <c r="I763" s="14"/>
      <c r="J763" s="16"/>
      <c r="K763" s="14"/>
      <c r="L763" s="16"/>
      <c r="M763" s="14"/>
      <c r="N763" s="16"/>
      <c r="O763" s="14"/>
      <c r="P763" s="16"/>
      <c r="Q763" s="14"/>
      <c r="R763" s="5"/>
      <c r="S763" s="14"/>
      <c r="T763" s="16"/>
      <c r="U763" s="16"/>
      <c r="V763" s="17"/>
      <c r="W763" s="6"/>
      <c r="X763" s="22"/>
      <c r="Y763" s="14"/>
      <c r="Z763" s="14"/>
      <c r="AA763" s="14"/>
      <c r="AB763" s="14"/>
      <c r="AC763" s="14"/>
      <c r="AD763" s="14"/>
      <c r="AE763" s="14"/>
      <c r="AF763" s="14"/>
      <c r="AG763" s="19"/>
      <c r="AH763" s="20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</row>
    <row r="764" ht="15.75" customHeight="1">
      <c r="A764" s="5"/>
      <c r="B764" s="5"/>
      <c r="C764" s="5"/>
      <c r="D764" s="5"/>
      <c r="E764" s="14"/>
      <c r="F764" s="15"/>
      <c r="G764" s="14"/>
      <c r="H764" s="16"/>
      <c r="I764" s="14"/>
      <c r="J764" s="16"/>
      <c r="K764" s="14"/>
      <c r="L764" s="16"/>
      <c r="M764" s="14"/>
      <c r="N764" s="16"/>
      <c r="O764" s="14"/>
      <c r="P764" s="16"/>
      <c r="Q764" s="14"/>
      <c r="R764" s="5"/>
      <c r="S764" s="14"/>
      <c r="T764" s="16"/>
      <c r="U764" s="16"/>
      <c r="V764" s="17"/>
      <c r="W764" s="6"/>
      <c r="X764" s="22"/>
      <c r="Y764" s="14"/>
      <c r="Z764" s="14"/>
      <c r="AA764" s="14"/>
      <c r="AB764" s="14"/>
      <c r="AC764" s="14"/>
      <c r="AD764" s="14"/>
      <c r="AE764" s="14"/>
      <c r="AF764" s="14"/>
      <c r="AG764" s="19"/>
      <c r="AH764" s="20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</row>
    <row r="765" ht="15.75" customHeight="1">
      <c r="A765" s="5"/>
      <c r="B765" s="5"/>
      <c r="C765" s="5"/>
      <c r="D765" s="5"/>
      <c r="E765" s="14"/>
      <c r="F765" s="15"/>
      <c r="G765" s="14"/>
      <c r="H765" s="16"/>
      <c r="I765" s="14"/>
      <c r="J765" s="16"/>
      <c r="K765" s="14"/>
      <c r="L765" s="16"/>
      <c r="M765" s="14"/>
      <c r="N765" s="16"/>
      <c r="O765" s="14"/>
      <c r="P765" s="16"/>
      <c r="Q765" s="14"/>
      <c r="R765" s="5"/>
      <c r="S765" s="14"/>
      <c r="T765" s="16"/>
      <c r="U765" s="16"/>
      <c r="V765" s="17"/>
      <c r="W765" s="6"/>
      <c r="X765" s="22"/>
      <c r="Y765" s="14"/>
      <c r="Z765" s="14"/>
      <c r="AA765" s="14"/>
      <c r="AB765" s="14"/>
      <c r="AC765" s="14"/>
      <c r="AD765" s="14"/>
      <c r="AE765" s="14"/>
      <c r="AF765" s="14"/>
      <c r="AG765" s="19"/>
      <c r="AH765" s="20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</row>
    <row r="766" ht="15.75" customHeight="1">
      <c r="A766" s="5"/>
      <c r="B766" s="5"/>
      <c r="C766" s="5"/>
      <c r="D766" s="5"/>
      <c r="E766" s="14"/>
      <c r="F766" s="15"/>
      <c r="G766" s="14"/>
      <c r="H766" s="16"/>
      <c r="I766" s="14"/>
      <c r="J766" s="16"/>
      <c r="K766" s="14"/>
      <c r="L766" s="16"/>
      <c r="M766" s="14"/>
      <c r="N766" s="16"/>
      <c r="O766" s="14"/>
      <c r="P766" s="16"/>
      <c r="Q766" s="14"/>
      <c r="R766" s="5"/>
      <c r="S766" s="14"/>
      <c r="T766" s="16"/>
      <c r="U766" s="16"/>
      <c r="V766" s="17"/>
      <c r="W766" s="6"/>
      <c r="X766" s="22"/>
      <c r="Y766" s="14"/>
      <c r="Z766" s="14"/>
      <c r="AA766" s="14"/>
      <c r="AB766" s="14"/>
      <c r="AC766" s="14"/>
      <c r="AD766" s="14"/>
      <c r="AE766" s="14"/>
      <c r="AF766" s="14"/>
      <c r="AG766" s="19"/>
      <c r="AH766" s="20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</row>
    <row r="767" ht="15.75" customHeight="1">
      <c r="A767" s="5"/>
      <c r="B767" s="5"/>
      <c r="C767" s="5"/>
      <c r="D767" s="5"/>
      <c r="E767" s="14"/>
      <c r="F767" s="15"/>
      <c r="G767" s="14"/>
      <c r="H767" s="16"/>
      <c r="I767" s="14"/>
      <c r="J767" s="16"/>
      <c r="K767" s="14"/>
      <c r="L767" s="16"/>
      <c r="M767" s="14"/>
      <c r="N767" s="16"/>
      <c r="O767" s="14"/>
      <c r="P767" s="16"/>
      <c r="Q767" s="14"/>
      <c r="R767" s="5"/>
      <c r="S767" s="14"/>
      <c r="T767" s="16"/>
      <c r="U767" s="16"/>
      <c r="V767" s="17"/>
      <c r="W767" s="6"/>
      <c r="X767" s="22"/>
      <c r="Y767" s="14"/>
      <c r="Z767" s="14"/>
      <c r="AA767" s="14"/>
      <c r="AB767" s="14"/>
      <c r="AC767" s="14"/>
      <c r="AD767" s="14"/>
      <c r="AE767" s="14"/>
      <c r="AF767" s="14"/>
      <c r="AG767" s="19"/>
      <c r="AH767" s="20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</row>
    <row r="768" ht="15.75" customHeight="1">
      <c r="A768" s="5"/>
      <c r="B768" s="5"/>
      <c r="C768" s="5"/>
      <c r="D768" s="5"/>
      <c r="E768" s="14"/>
      <c r="F768" s="15"/>
      <c r="G768" s="14"/>
      <c r="H768" s="16"/>
      <c r="I768" s="14"/>
      <c r="J768" s="16"/>
      <c r="K768" s="14"/>
      <c r="L768" s="16"/>
      <c r="M768" s="14"/>
      <c r="N768" s="16"/>
      <c r="O768" s="14"/>
      <c r="P768" s="16"/>
      <c r="Q768" s="14"/>
      <c r="R768" s="5"/>
      <c r="S768" s="14"/>
      <c r="T768" s="16"/>
      <c r="U768" s="16"/>
      <c r="V768" s="17"/>
      <c r="W768" s="6"/>
      <c r="X768" s="22"/>
      <c r="Y768" s="14"/>
      <c r="Z768" s="14"/>
      <c r="AA768" s="14"/>
      <c r="AB768" s="14"/>
      <c r="AC768" s="14"/>
      <c r="AD768" s="14"/>
      <c r="AE768" s="14"/>
      <c r="AF768" s="14"/>
      <c r="AG768" s="19"/>
      <c r="AH768" s="20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</row>
    <row r="769" ht="15.75" customHeight="1">
      <c r="A769" s="5"/>
      <c r="B769" s="5"/>
      <c r="C769" s="5"/>
      <c r="D769" s="5"/>
      <c r="E769" s="14"/>
      <c r="F769" s="15"/>
      <c r="G769" s="14"/>
      <c r="H769" s="16"/>
      <c r="I769" s="14"/>
      <c r="J769" s="16"/>
      <c r="K769" s="14"/>
      <c r="L769" s="16"/>
      <c r="M769" s="14"/>
      <c r="N769" s="16"/>
      <c r="O769" s="14"/>
      <c r="P769" s="16"/>
      <c r="Q769" s="14"/>
      <c r="R769" s="5"/>
      <c r="S769" s="14"/>
      <c r="T769" s="16"/>
      <c r="U769" s="16"/>
      <c r="V769" s="17"/>
      <c r="W769" s="6"/>
      <c r="X769" s="22"/>
      <c r="Y769" s="14"/>
      <c r="Z769" s="14"/>
      <c r="AA769" s="14"/>
      <c r="AB769" s="14"/>
      <c r="AC769" s="14"/>
      <c r="AD769" s="14"/>
      <c r="AE769" s="14"/>
      <c r="AF769" s="14"/>
      <c r="AG769" s="19"/>
      <c r="AH769" s="20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</row>
    <row r="770" ht="15.75" customHeight="1">
      <c r="A770" s="5"/>
      <c r="B770" s="5"/>
      <c r="C770" s="5"/>
      <c r="D770" s="5"/>
      <c r="E770" s="14"/>
      <c r="F770" s="15"/>
      <c r="G770" s="14"/>
      <c r="H770" s="16"/>
      <c r="I770" s="14"/>
      <c r="J770" s="16"/>
      <c r="K770" s="14"/>
      <c r="L770" s="16"/>
      <c r="M770" s="14"/>
      <c r="N770" s="16"/>
      <c r="O770" s="14"/>
      <c r="P770" s="16"/>
      <c r="Q770" s="14"/>
      <c r="R770" s="5"/>
      <c r="S770" s="14"/>
      <c r="T770" s="16"/>
      <c r="U770" s="16"/>
      <c r="V770" s="17"/>
      <c r="W770" s="6"/>
      <c r="X770" s="22"/>
      <c r="Y770" s="14"/>
      <c r="Z770" s="14"/>
      <c r="AA770" s="14"/>
      <c r="AB770" s="14"/>
      <c r="AC770" s="14"/>
      <c r="AD770" s="14"/>
      <c r="AE770" s="14"/>
      <c r="AF770" s="14"/>
      <c r="AG770" s="19"/>
      <c r="AH770" s="20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</row>
    <row r="771" ht="15.75" customHeight="1">
      <c r="A771" s="5"/>
      <c r="B771" s="5"/>
      <c r="C771" s="5"/>
      <c r="D771" s="5"/>
      <c r="E771" s="14"/>
      <c r="F771" s="15"/>
      <c r="G771" s="14"/>
      <c r="H771" s="16"/>
      <c r="I771" s="14"/>
      <c r="J771" s="16"/>
      <c r="K771" s="14"/>
      <c r="L771" s="16"/>
      <c r="M771" s="14"/>
      <c r="N771" s="16"/>
      <c r="O771" s="14"/>
      <c r="P771" s="16"/>
      <c r="Q771" s="14"/>
      <c r="R771" s="5"/>
      <c r="S771" s="14"/>
      <c r="T771" s="16"/>
      <c r="U771" s="16"/>
      <c r="V771" s="17"/>
      <c r="W771" s="6"/>
      <c r="X771" s="22"/>
      <c r="Y771" s="14"/>
      <c r="Z771" s="14"/>
      <c r="AA771" s="14"/>
      <c r="AB771" s="14"/>
      <c r="AC771" s="14"/>
      <c r="AD771" s="14"/>
      <c r="AE771" s="14"/>
      <c r="AF771" s="14"/>
      <c r="AG771" s="19"/>
      <c r="AH771" s="20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</row>
    <row r="772" ht="15.75" customHeight="1">
      <c r="A772" s="5"/>
      <c r="B772" s="5"/>
      <c r="C772" s="5"/>
      <c r="D772" s="5"/>
      <c r="E772" s="14"/>
      <c r="F772" s="15"/>
      <c r="G772" s="14"/>
      <c r="H772" s="16"/>
      <c r="I772" s="14"/>
      <c r="J772" s="16"/>
      <c r="K772" s="14"/>
      <c r="L772" s="16"/>
      <c r="M772" s="14"/>
      <c r="N772" s="16"/>
      <c r="O772" s="14"/>
      <c r="P772" s="16"/>
      <c r="Q772" s="14"/>
      <c r="R772" s="5"/>
      <c r="S772" s="14"/>
      <c r="T772" s="16"/>
      <c r="U772" s="16"/>
      <c r="V772" s="17"/>
      <c r="W772" s="6"/>
      <c r="X772" s="22"/>
      <c r="Y772" s="14"/>
      <c r="Z772" s="14"/>
      <c r="AA772" s="14"/>
      <c r="AB772" s="14"/>
      <c r="AC772" s="14"/>
      <c r="AD772" s="14"/>
      <c r="AE772" s="14"/>
      <c r="AF772" s="14"/>
      <c r="AG772" s="19"/>
      <c r="AH772" s="20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</row>
    <row r="773" ht="15.75" customHeight="1">
      <c r="A773" s="5"/>
      <c r="B773" s="5"/>
      <c r="C773" s="5"/>
      <c r="D773" s="5"/>
      <c r="E773" s="14"/>
      <c r="F773" s="15"/>
      <c r="G773" s="14"/>
      <c r="H773" s="16"/>
      <c r="I773" s="14"/>
      <c r="J773" s="16"/>
      <c r="K773" s="14"/>
      <c r="L773" s="16"/>
      <c r="M773" s="14"/>
      <c r="N773" s="16"/>
      <c r="O773" s="14"/>
      <c r="P773" s="16"/>
      <c r="Q773" s="14"/>
      <c r="R773" s="5"/>
      <c r="S773" s="14"/>
      <c r="T773" s="16"/>
      <c r="U773" s="16"/>
      <c r="V773" s="17"/>
      <c r="W773" s="6"/>
      <c r="X773" s="22"/>
      <c r="Y773" s="14"/>
      <c r="Z773" s="14"/>
      <c r="AA773" s="14"/>
      <c r="AB773" s="14"/>
      <c r="AC773" s="14"/>
      <c r="AD773" s="14"/>
      <c r="AE773" s="14"/>
      <c r="AF773" s="14"/>
      <c r="AG773" s="19"/>
      <c r="AH773" s="20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</row>
    <row r="774" ht="15.75" customHeight="1">
      <c r="A774" s="5"/>
      <c r="B774" s="5"/>
      <c r="C774" s="5"/>
      <c r="D774" s="5"/>
      <c r="E774" s="14"/>
      <c r="F774" s="15"/>
      <c r="G774" s="14"/>
      <c r="H774" s="16"/>
      <c r="I774" s="14"/>
      <c r="J774" s="16"/>
      <c r="K774" s="14"/>
      <c r="L774" s="16"/>
      <c r="M774" s="14"/>
      <c r="N774" s="16"/>
      <c r="O774" s="14"/>
      <c r="P774" s="16"/>
      <c r="Q774" s="14"/>
      <c r="R774" s="5"/>
      <c r="S774" s="14"/>
      <c r="T774" s="16"/>
      <c r="U774" s="16"/>
      <c r="V774" s="17"/>
      <c r="W774" s="6"/>
      <c r="X774" s="22"/>
      <c r="Y774" s="14"/>
      <c r="Z774" s="14"/>
      <c r="AA774" s="14"/>
      <c r="AB774" s="14"/>
      <c r="AC774" s="14"/>
      <c r="AD774" s="14"/>
      <c r="AE774" s="14"/>
      <c r="AF774" s="14"/>
      <c r="AG774" s="19"/>
      <c r="AH774" s="20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</row>
    <row r="775" ht="15.75" customHeight="1">
      <c r="A775" s="5"/>
      <c r="B775" s="5"/>
      <c r="C775" s="5"/>
      <c r="D775" s="5"/>
      <c r="E775" s="14"/>
      <c r="F775" s="15"/>
      <c r="G775" s="14"/>
      <c r="H775" s="16"/>
      <c r="I775" s="14"/>
      <c r="J775" s="16"/>
      <c r="K775" s="14"/>
      <c r="L775" s="16"/>
      <c r="M775" s="14"/>
      <c r="N775" s="16"/>
      <c r="O775" s="14"/>
      <c r="P775" s="16"/>
      <c r="Q775" s="14"/>
      <c r="R775" s="5"/>
      <c r="S775" s="14"/>
      <c r="T775" s="16"/>
      <c r="U775" s="16"/>
      <c r="V775" s="17"/>
      <c r="W775" s="6"/>
      <c r="X775" s="22"/>
      <c r="Y775" s="14"/>
      <c r="Z775" s="14"/>
      <c r="AA775" s="14"/>
      <c r="AB775" s="14"/>
      <c r="AC775" s="14"/>
      <c r="AD775" s="14"/>
      <c r="AE775" s="14"/>
      <c r="AF775" s="14"/>
      <c r="AG775" s="19"/>
      <c r="AH775" s="20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</row>
    <row r="776" ht="15.75" customHeight="1">
      <c r="A776" s="5"/>
      <c r="B776" s="5"/>
      <c r="C776" s="5"/>
      <c r="D776" s="5"/>
      <c r="E776" s="14"/>
      <c r="F776" s="15"/>
      <c r="G776" s="14"/>
      <c r="H776" s="16"/>
      <c r="I776" s="14"/>
      <c r="J776" s="16"/>
      <c r="K776" s="14"/>
      <c r="L776" s="16"/>
      <c r="M776" s="14"/>
      <c r="N776" s="16"/>
      <c r="O776" s="14"/>
      <c r="P776" s="16"/>
      <c r="Q776" s="14"/>
      <c r="R776" s="5"/>
      <c r="S776" s="14"/>
      <c r="T776" s="16"/>
      <c r="U776" s="16"/>
      <c r="V776" s="17"/>
      <c r="W776" s="6"/>
      <c r="X776" s="22"/>
      <c r="Y776" s="14"/>
      <c r="Z776" s="14"/>
      <c r="AA776" s="14"/>
      <c r="AB776" s="14"/>
      <c r="AC776" s="14"/>
      <c r="AD776" s="14"/>
      <c r="AE776" s="14"/>
      <c r="AF776" s="14"/>
      <c r="AG776" s="19"/>
      <c r="AH776" s="20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</row>
    <row r="777" ht="15.75" customHeight="1">
      <c r="A777" s="5"/>
      <c r="B777" s="5"/>
      <c r="C777" s="5"/>
      <c r="D777" s="5"/>
      <c r="E777" s="14"/>
      <c r="F777" s="15"/>
      <c r="G777" s="14"/>
      <c r="H777" s="16"/>
      <c r="I777" s="14"/>
      <c r="J777" s="16"/>
      <c r="K777" s="14"/>
      <c r="L777" s="16"/>
      <c r="M777" s="14"/>
      <c r="N777" s="16"/>
      <c r="O777" s="14"/>
      <c r="P777" s="16"/>
      <c r="Q777" s="14"/>
      <c r="R777" s="5"/>
      <c r="S777" s="14"/>
      <c r="T777" s="16"/>
      <c r="U777" s="16"/>
      <c r="V777" s="17"/>
      <c r="W777" s="6"/>
      <c r="X777" s="22"/>
      <c r="Y777" s="14"/>
      <c r="Z777" s="14"/>
      <c r="AA777" s="14"/>
      <c r="AB777" s="14"/>
      <c r="AC777" s="14"/>
      <c r="AD777" s="14"/>
      <c r="AE777" s="14"/>
      <c r="AF777" s="14"/>
      <c r="AG777" s="19"/>
      <c r="AH777" s="20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</row>
    <row r="778" ht="15.75" customHeight="1">
      <c r="A778" s="5"/>
      <c r="B778" s="5"/>
      <c r="C778" s="5"/>
      <c r="D778" s="5"/>
      <c r="E778" s="14"/>
      <c r="F778" s="15"/>
      <c r="G778" s="14"/>
      <c r="H778" s="16"/>
      <c r="I778" s="14"/>
      <c r="J778" s="16"/>
      <c r="K778" s="14"/>
      <c r="L778" s="16"/>
      <c r="M778" s="14"/>
      <c r="N778" s="16"/>
      <c r="O778" s="14"/>
      <c r="P778" s="16"/>
      <c r="Q778" s="14"/>
      <c r="R778" s="5"/>
      <c r="S778" s="14"/>
      <c r="T778" s="16"/>
      <c r="U778" s="16"/>
      <c r="V778" s="17"/>
      <c r="W778" s="6"/>
      <c r="X778" s="22"/>
      <c r="Y778" s="14"/>
      <c r="Z778" s="14"/>
      <c r="AA778" s="14"/>
      <c r="AB778" s="14"/>
      <c r="AC778" s="14"/>
      <c r="AD778" s="14"/>
      <c r="AE778" s="14"/>
      <c r="AF778" s="14"/>
      <c r="AG778" s="19"/>
      <c r="AH778" s="20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</row>
    <row r="779" ht="15.75" customHeight="1">
      <c r="A779" s="5"/>
      <c r="B779" s="5"/>
      <c r="C779" s="5"/>
      <c r="D779" s="5"/>
      <c r="E779" s="14"/>
      <c r="F779" s="15"/>
      <c r="G779" s="14"/>
      <c r="H779" s="16"/>
      <c r="I779" s="14"/>
      <c r="J779" s="16"/>
      <c r="K779" s="14"/>
      <c r="L779" s="16"/>
      <c r="M779" s="14"/>
      <c r="N779" s="16"/>
      <c r="O779" s="14"/>
      <c r="P779" s="16"/>
      <c r="Q779" s="14"/>
      <c r="R779" s="5"/>
      <c r="S779" s="14"/>
      <c r="T779" s="16"/>
      <c r="U779" s="16"/>
      <c r="V779" s="17"/>
      <c r="W779" s="6"/>
      <c r="X779" s="22"/>
      <c r="Y779" s="14"/>
      <c r="Z779" s="14"/>
      <c r="AA779" s="14"/>
      <c r="AB779" s="14"/>
      <c r="AC779" s="14"/>
      <c r="AD779" s="14"/>
      <c r="AE779" s="14"/>
      <c r="AF779" s="14"/>
      <c r="AG779" s="19"/>
      <c r="AH779" s="20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</row>
    <row r="780" ht="15.75" customHeight="1">
      <c r="A780" s="5"/>
      <c r="B780" s="5"/>
      <c r="C780" s="5"/>
      <c r="D780" s="5"/>
      <c r="E780" s="14"/>
      <c r="F780" s="15"/>
      <c r="G780" s="14"/>
      <c r="H780" s="16"/>
      <c r="I780" s="14"/>
      <c r="J780" s="16"/>
      <c r="K780" s="14"/>
      <c r="L780" s="16"/>
      <c r="M780" s="14"/>
      <c r="N780" s="16"/>
      <c r="O780" s="14"/>
      <c r="P780" s="16"/>
      <c r="Q780" s="14"/>
      <c r="R780" s="5"/>
      <c r="S780" s="14"/>
      <c r="T780" s="16"/>
      <c r="U780" s="16"/>
      <c r="V780" s="17"/>
      <c r="W780" s="6"/>
      <c r="X780" s="22"/>
      <c r="Y780" s="14"/>
      <c r="Z780" s="14"/>
      <c r="AA780" s="14"/>
      <c r="AB780" s="14"/>
      <c r="AC780" s="14"/>
      <c r="AD780" s="14"/>
      <c r="AE780" s="14"/>
      <c r="AF780" s="14"/>
      <c r="AG780" s="19"/>
      <c r="AH780" s="20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</row>
    <row r="781" ht="15.75" customHeight="1">
      <c r="A781" s="5"/>
      <c r="B781" s="5"/>
      <c r="C781" s="5"/>
      <c r="D781" s="5"/>
      <c r="E781" s="14"/>
      <c r="F781" s="15"/>
      <c r="G781" s="14"/>
      <c r="H781" s="16"/>
      <c r="I781" s="14"/>
      <c r="J781" s="16"/>
      <c r="K781" s="14"/>
      <c r="L781" s="16"/>
      <c r="M781" s="14"/>
      <c r="N781" s="16"/>
      <c r="O781" s="14"/>
      <c r="P781" s="16"/>
      <c r="Q781" s="14"/>
      <c r="R781" s="5"/>
      <c r="S781" s="14"/>
      <c r="T781" s="16"/>
      <c r="U781" s="16"/>
      <c r="V781" s="17"/>
      <c r="W781" s="6"/>
      <c r="X781" s="22"/>
      <c r="Y781" s="14"/>
      <c r="Z781" s="14"/>
      <c r="AA781" s="14"/>
      <c r="AB781" s="14"/>
      <c r="AC781" s="14"/>
      <c r="AD781" s="14"/>
      <c r="AE781" s="14"/>
      <c r="AF781" s="14"/>
      <c r="AG781" s="19"/>
      <c r="AH781" s="20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</row>
    <row r="782" ht="15.75" customHeight="1">
      <c r="A782" s="5"/>
      <c r="B782" s="5"/>
      <c r="C782" s="5"/>
      <c r="D782" s="5"/>
      <c r="E782" s="14"/>
      <c r="F782" s="15"/>
      <c r="G782" s="14"/>
      <c r="H782" s="16"/>
      <c r="I782" s="14"/>
      <c r="J782" s="16"/>
      <c r="K782" s="14"/>
      <c r="L782" s="16"/>
      <c r="M782" s="14"/>
      <c r="N782" s="16"/>
      <c r="O782" s="14"/>
      <c r="P782" s="16"/>
      <c r="Q782" s="14"/>
      <c r="R782" s="5"/>
      <c r="S782" s="14"/>
      <c r="T782" s="16"/>
      <c r="U782" s="16"/>
      <c r="V782" s="17"/>
      <c r="W782" s="6"/>
      <c r="X782" s="22"/>
      <c r="Y782" s="14"/>
      <c r="Z782" s="14"/>
      <c r="AA782" s="14"/>
      <c r="AB782" s="14"/>
      <c r="AC782" s="14"/>
      <c r="AD782" s="14"/>
      <c r="AE782" s="14"/>
      <c r="AF782" s="14"/>
      <c r="AG782" s="19"/>
      <c r="AH782" s="20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</row>
    <row r="783" ht="15.75" customHeight="1">
      <c r="A783" s="5"/>
      <c r="B783" s="5"/>
      <c r="C783" s="5"/>
      <c r="D783" s="5"/>
      <c r="E783" s="14"/>
      <c r="F783" s="15"/>
      <c r="G783" s="14"/>
      <c r="H783" s="16"/>
      <c r="I783" s="14"/>
      <c r="J783" s="16"/>
      <c r="K783" s="14"/>
      <c r="L783" s="16"/>
      <c r="M783" s="14"/>
      <c r="N783" s="16"/>
      <c r="O783" s="14"/>
      <c r="P783" s="16"/>
      <c r="Q783" s="14"/>
      <c r="R783" s="5"/>
      <c r="S783" s="14"/>
      <c r="T783" s="16"/>
      <c r="U783" s="16"/>
      <c r="V783" s="17"/>
      <c r="W783" s="6"/>
      <c r="X783" s="22"/>
      <c r="Y783" s="14"/>
      <c r="Z783" s="14"/>
      <c r="AA783" s="14"/>
      <c r="AB783" s="14"/>
      <c r="AC783" s="14"/>
      <c r="AD783" s="14"/>
      <c r="AE783" s="14"/>
      <c r="AF783" s="14"/>
      <c r="AG783" s="19"/>
      <c r="AH783" s="20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</row>
    <row r="784" ht="15.75" customHeight="1">
      <c r="A784" s="5"/>
      <c r="B784" s="5"/>
      <c r="C784" s="5"/>
      <c r="D784" s="5"/>
      <c r="E784" s="14"/>
      <c r="F784" s="15"/>
      <c r="G784" s="14"/>
      <c r="H784" s="16"/>
      <c r="I784" s="14"/>
      <c r="J784" s="16"/>
      <c r="K784" s="14"/>
      <c r="L784" s="16"/>
      <c r="M784" s="14"/>
      <c r="N784" s="16"/>
      <c r="O784" s="14"/>
      <c r="P784" s="16"/>
      <c r="Q784" s="14"/>
      <c r="R784" s="5"/>
      <c r="S784" s="14"/>
      <c r="T784" s="16"/>
      <c r="U784" s="16"/>
      <c r="V784" s="17"/>
      <c r="W784" s="6"/>
      <c r="X784" s="22"/>
      <c r="Y784" s="14"/>
      <c r="Z784" s="14"/>
      <c r="AA784" s="14"/>
      <c r="AB784" s="14"/>
      <c r="AC784" s="14"/>
      <c r="AD784" s="14"/>
      <c r="AE784" s="14"/>
      <c r="AF784" s="14"/>
      <c r="AG784" s="19"/>
      <c r="AH784" s="20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</row>
    <row r="785" ht="15.75" customHeight="1">
      <c r="A785" s="5"/>
      <c r="B785" s="5"/>
      <c r="C785" s="5"/>
      <c r="D785" s="5"/>
      <c r="E785" s="14"/>
      <c r="F785" s="15"/>
      <c r="G785" s="14"/>
      <c r="H785" s="16"/>
      <c r="I785" s="14"/>
      <c r="J785" s="16"/>
      <c r="K785" s="14"/>
      <c r="L785" s="16"/>
      <c r="M785" s="14"/>
      <c r="N785" s="16"/>
      <c r="O785" s="14"/>
      <c r="P785" s="16"/>
      <c r="Q785" s="14"/>
      <c r="R785" s="5"/>
      <c r="S785" s="14"/>
      <c r="T785" s="16"/>
      <c r="U785" s="16"/>
      <c r="V785" s="17"/>
      <c r="W785" s="6"/>
      <c r="X785" s="22"/>
      <c r="Y785" s="14"/>
      <c r="Z785" s="14"/>
      <c r="AA785" s="14"/>
      <c r="AB785" s="14"/>
      <c r="AC785" s="14"/>
      <c r="AD785" s="14"/>
      <c r="AE785" s="14"/>
      <c r="AF785" s="14"/>
      <c r="AG785" s="19"/>
      <c r="AH785" s="20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</row>
    <row r="786" ht="15.75" customHeight="1">
      <c r="A786" s="5"/>
      <c r="B786" s="5"/>
      <c r="C786" s="5"/>
      <c r="D786" s="5"/>
      <c r="E786" s="14"/>
      <c r="F786" s="15"/>
      <c r="G786" s="14"/>
      <c r="H786" s="16"/>
      <c r="I786" s="14"/>
      <c r="J786" s="16"/>
      <c r="K786" s="14"/>
      <c r="L786" s="16"/>
      <c r="M786" s="14"/>
      <c r="N786" s="16"/>
      <c r="O786" s="14"/>
      <c r="P786" s="16"/>
      <c r="Q786" s="14"/>
      <c r="R786" s="5"/>
      <c r="S786" s="14"/>
      <c r="T786" s="16"/>
      <c r="U786" s="16"/>
      <c r="V786" s="17"/>
      <c r="W786" s="6"/>
      <c r="X786" s="22"/>
      <c r="Y786" s="14"/>
      <c r="Z786" s="14"/>
      <c r="AA786" s="14"/>
      <c r="AB786" s="14"/>
      <c r="AC786" s="14"/>
      <c r="AD786" s="14"/>
      <c r="AE786" s="14"/>
      <c r="AF786" s="14"/>
      <c r="AG786" s="19"/>
      <c r="AH786" s="20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</row>
    <row r="787" ht="15.75" customHeight="1">
      <c r="A787" s="5"/>
      <c r="B787" s="5"/>
      <c r="C787" s="5"/>
      <c r="D787" s="5"/>
      <c r="E787" s="14"/>
      <c r="F787" s="15"/>
      <c r="G787" s="14"/>
      <c r="H787" s="16"/>
      <c r="I787" s="14"/>
      <c r="J787" s="16"/>
      <c r="K787" s="14"/>
      <c r="L787" s="16"/>
      <c r="M787" s="14"/>
      <c r="N787" s="16"/>
      <c r="O787" s="14"/>
      <c r="P787" s="16"/>
      <c r="Q787" s="14"/>
      <c r="R787" s="5"/>
      <c r="S787" s="14"/>
      <c r="T787" s="16"/>
      <c r="U787" s="16"/>
      <c r="V787" s="17"/>
      <c r="W787" s="6"/>
      <c r="X787" s="22"/>
      <c r="Y787" s="14"/>
      <c r="Z787" s="14"/>
      <c r="AA787" s="14"/>
      <c r="AB787" s="14"/>
      <c r="AC787" s="14"/>
      <c r="AD787" s="14"/>
      <c r="AE787" s="14"/>
      <c r="AF787" s="14"/>
      <c r="AG787" s="19"/>
      <c r="AH787" s="20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</row>
    <row r="788" ht="15.75" customHeight="1">
      <c r="A788" s="5"/>
      <c r="B788" s="5"/>
      <c r="C788" s="5"/>
      <c r="D788" s="5"/>
      <c r="E788" s="14"/>
      <c r="F788" s="15"/>
      <c r="G788" s="14"/>
      <c r="H788" s="16"/>
      <c r="I788" s="14"/>
      <c r="J788" s="16"/>
      <c r="K788" s="14"/>
      <c r="L788" s="16"/>
      <c r="M788" s="14"/>
      <c r="N788" s="16"/>
      <c r="O788" s="14"/>
      <c r="P788" s="16"/>
      <c r="Q788" s="14"/>
      <c r="R788" s="5"/>
      <c r="S788" s="14"/>
      <c r="T788" s="16"/>
      <c r="U788" s="16"/>
      <c r="V788" s="17"/>
      <c r="W788" s="6"/>
      <c r="X788" s="22"/>
      <c r="Y788" s="14"/>
      <c r="Z788" s="14"/>
      <c r="AA788" s="14"/>
      <c r="AB788" s="14"/>
      <c r="AC788" s="14"/>
      <c r="AD788" s="14"/>
      <c r="AE788" s="14"/>
      <c r="AF788" s="14"/>
      <c r="AG788" s="19"/>
      <c r="AH788" s="20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</row>
    <row r="789" ht="15.75" customHeight="1">
      <c r="A789" s="5"/>
      <c r="B789" s="5"/>
      <c r="C789" s="5"/>
      <c r="D789" s="5"/>
      <c r="E789" s="14"/>
      <c r="F789" s="15"/>
      <c r="G789" s="14"/>
      <c r="H789" s="16"/>
      <c r="I789" s="14"/>
      <c r="J789" s="16"/>
      <c r="K789" s="14"/>
      <c r="L789" s="16"/>
      <c r="M789" s="14"/>
      <c r="N789" s="16"/>
      <c r="O789" s="14"/>
      <c r="P789" s="16"/>
      <c r="Q789" s="14"/>
      <c r="R789" s="5"/>
      <c r="S789" s="14"/>
      <c r="T789" s="16"/>
      <c r="U789" s="16"/>
      <c r="V789" s="17"/>
      <c r="W789" s="6"/>
      <c r="X789" s="22"/>
      <c r="Y789" s="14"/>
      <c r="Z789" s="14"/>
      <c r="AA789" s="14"/>
      <c r="AB789" s="14"/>
      <c r="AC789" s="14"/>
      <c r="AD789" s="14"/>
      <c r="AE789" s="14"/>
      <c r="AF789" s="14"/>
      <c r="AG789" s="19"/>
      <c r="AH789" s="20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</row>
    <row r="790" ht="15.75" customHeight="1">
      <c r="A790" s="5"/>
      <c r="B790" s="5"/>
      <c r="C790" s="5"/>
      <c r="D790" s="5"/>
      <c r="E790" s="14"/>
      <c r="F790" s="15"/>
      <c r="G790" s="14"/>
      <c r="H790" s="16"/>
      <c r="I790" s="14"/>
      <c r="J790" s="16"/>
      <c r="K790" s="14"/>
      <c r="L790" s="16"/>
      <c r="M790" s="14"/>
      <c r="N790" s="16"/>
      <c r="O790" s="14"/>
      <c r="P790" s="16"/>
      <c r="Q790" s="14"/>
      <c r="R790" s="5"/>
      <c r="S790" s="14"/>
      <c r="T790" s="16"/>
      <c r="U790" s="16"/>
      <c r="V790" s="17"/>
      <c r="W790" s="6"/>
      <c r="X790" s="22"/>
      <c r="Y790" s="14"/>
      <c r="Z790" s="14"/>
      <c r="AA790" s="14"/>
      <c r="AB790" s="14"/>
      <c r="AC790" s="14"/>
      <c r="AD790" s="14"/>
      <c r="AE790" s="14"/>
      <c r="AF790" s="14"/>
      <c r="AG790" s="19"/>
      <c r="AH790" s="20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</row>
    <row r="791" ht="15.75" customHeight="1">
      <c r="A791" s="5"/>
      <c r="B791" s="5"/>
      <c r="C791" s="5"/>
      <c r="D791" s="5"/>
      <c r="E791" s="14"/>
      <c r="F791" s="15"/>
      <c r="G791" s="14"/>
      <c r="H791" s="16"/>
      <c r="I791" s="14"/>
      <c r="J791" s="16"/>
      <c r="K791" s="14"/>
      <c r="L791" s="16"/>
      <c r="M791" s="14"/>
      <c r="N791" s="16"/>
      <c r="O791" s="14"/>
      <c r="P791" s="16"/>
      <c r="Q791" s="14"/>
      <c r="R791" s="5"/>
      <c r="S791" s="14"/>
      <c r="T791" s="16"/>
      <c r="U791" s="16"/>
      <c r="V791" s="17"/>
      <c r="W791" s="6"/>
      <c r="X791" s="22"/>
      <c r="Y791" s="14"/>
      <c r="Z791" s="14"/>
      <c r="AA791" s="14"/>
      <c r="AB791" s="14"/>
      <c r="AC791" s="14"/>
      <c r="AD791" s="14"/>
      <c r="AE791" s="14"/>
      <c r="AF791" s="14"/>
      <c r="AG791" s="19"/>
      <c r="AH791" s="20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</row>
    <row r="792" ht="15.75" customHeight="1">
      <c r="A792" s="5"/>
      <c r="B792" s="5"/>
      <c r="C792" s="5"/>
      <c r="D792" s="5"/>
      <c r="E792" s="14"/>
      <c r="F792" s="15"/>
      <c r="G792" s="14"/>
      <c r="H792" s="16"/>
      <c r="I792" s="14"/>
      <c r="J792" s="16"/>
      <c r="K792" s="14"/>
      <c r="L792" s="16"/>
      <c r="M792" s="14"/>
      <c r="N792" s="16"/>
      <c r="O792" s="14"/>
      <c r="P792" s="16"/>
      <c r="Q792" s="14"/>
      <c r="R792" s="5"/>
      <c r="S792" s="14"/>
      <c r="T792" s="16"/>
      <c r="U792" s="16"/>
      <c r="V792" s="17"/>
      <c r="W792" s="6"/>
      <c r="X792" s="22"/>
      <c r="Y792" s="14"/>
      <c r="Z792" s="14"/>
      <c r="AA792" s="14"/>
      <c r="AB792" s="14"/>
      <c r="AC792" s="14"/>
      <c r="AD792" s="14"/>
      <c r="AE792" s="14"/>
      <c r="AF792" s="14"/>
      <c r="AG792" s="19"/>
      <c r="AH792" s="20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</row>
    <row r="793" ht="15.75" customHeight="1">
      <c r="A793" s="5"/>
      <c r="B793" s="5"/>
      <c r="C793" s="5"/>
      <c r="D793" s="5"/>
      <c r="E793" s="14"/>
      <c r="F793" s="15"/>
      <c r="G793" s="14"/>
      <c r="H793" s="16"/>
      <c r="I793" s="14"/>
      <c r="J793" s="16"/>
      <c r="K793" s="14"/>
      <c r="L793" s="16"/>
      <c r="M793" s="14"/>
      <c r="N793" s="16"/>
      <c r="O793" s="14"/>
      <c r="P793" s="16"/>
      <c r="Q793" s="14"/>
      <c r="R793" s="5"/>
      <c r="S793" s="14"/>
      <c r="T793" s="16"/>
      <c r="U793" s="16"/>
      <c r="V793" s="17"/>
      <c r="W793" s="6"/>
      <c r="X793" s="22"/>
      <c r="Y793" s="14"/>
      <c r="Z793" s="14"/>
      <c r="AA793" s="14"/>
      <c r="AB793" s="14"/>
      <c r="AC793" s="14"/>
      <c r="AD793" s="14"/>
      <c r="AE793" s="14"/>
      <c r="AF793" s="14"/>
      <c r="AG793" s="19"/>
      <c r="AH793" s="20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</row>
    <row r="794" ht="15.75" customHeight="1">
      <c r="A794" s="5"/>
      <c r="B794" s="5"/>
      <c r="C794" s="5"/>
      <c r="D794" s="5"/>
      <c r="E794" s="14"/>
      <c r="F794" s="15"/>
      <c r="G794" s="14"/>
      <c r="H794" s="16"/>
      <c r="I794" s="14"/>
      <c r="J794" s="16"/>
      <c r="K794" s="14"/>
      <c r="L794" s="16"/>
      <c r="M794" s="14"/>
      <c r="N794" s="16"/>
      <c r="O794" s="14"/>
      <c r="P794" s="16"/>
      <c r="Q794" s="14"/>
      <c r="R794" s="5"/>
      <c r="S794" s="14"/>
      <c r="T794" s="16"/>
      <c r="U794" s="16"/>
      <c r="V794" s="17"/>
      <c r="W794" s="6"/>
      <c r="X794" s="22"/>
      <c r="Y794" s="14"/>
      <c r="Z794" s="14"/>
      <c r="AA794" s="14"/>
      <c r="AB794" s="14"/>
      <c r="AC794" s="14"/>
      <c r="AD794" s="14"/>
      <c r="AE794" s="14"/>
      <c r="AF794" s="14"/>
      <c r="AG794" s="19"/>
      <c r="AH794" s="20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</row>
    <row r="795" ht="15.75" customHeight="1">
      <c r="A795" s="5"/>
      <c r="B795" s="5"/>
      <c r="C795" s="5"/>
      <c r="D795" s="5"/>
      <c r="E795" s="14"/>
      <c r="F795" s="15"/>
      <c r="G795" s="14"/>
      <c r="H795" s="16"/>
      <c r="I795" s="14"/>
      <c r="J795" s="16"/>
      <c r="K795" s="14"/>
      <c r="L795" s="16"/>
      <c r="M795" s="14"/>
      <c r="N795" s="16"/>
      <c r="O795" s="14"/>
      <c r="P795" s="16"/>
      <c r="Q795" s="14"/>
      <c r="R795" s="5"/>
      <c r="S795" s="14"/>
      <c r="T795" s="16"/>
      <c r="U795" s="16"/>
      <c r="V795" s="17"/>
      <c r="W795" s="6"/>
      <c r="X795" s="22"/>
      <c r="Y795" s="14"/>
      <c r="Z795" s="14"/>
      <c r="AA795" s="14"/>
      <c r="AB795" s="14"/>
      <c r="AC795" s="14"/>
      <c r="AD795" s="14"/>
      <c r="AE795" s="14"/>
      <c r="AF795" s="14"/>
      <c r="AG795" s="19"/>
      <c r="AH795" s="20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</row>
    <row r="796" ht="15.75" customHeight="1">
      <c r="A796" s="5"/>
      <c r="B796" s="5"/>
      <c r="C796" s="5"/>
      <c r="D796" s="5"/>
      <c r="E796" s="14"/>
      <c r="F796" s="15"/>
      <c r="G796" s="14"/>
      <c r="H796" s="16"/>
      <c r="I796" s="14"/>
      <c r="J796" s="16"/>
      <c r="K796" s="14"/>
      <c r="L796" s="16"/>
      <c r="M796" s="14"/>
      <c r="N796" s="16"/>
      <c r="O796" s="14"/>
      <c r="P796" s="16"/>
      <c r="Q796" s="14"/>
      <c r="R796" s="5"/>
      <c r="S796" s="14"/>
      <c r="T796" s="16"/>
      <c r="U796" s="16"/>
      <c r="V796" s="17"/>
      <c r="W796" s="6"/>
      <c r="X796" s="22"/>
      <c r="Y796" s="14"/>
      <c r="Z796" s="14"/>
      <c r="AA796" s="14"/>
      <c r="AB796" s="14"/>
      <c r="AC796" s="14"/>
      <c r="AD796" s="14"/>
      <c r="AE796" s="14"/>
      <c r="AF796" s="14"/>
      <c r="AG796" s="19"/>
      <c r="AH796" s="20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</row>
    <row r="797" ht="15.75" customHeight="1">
      <c r="A797" s="5"/>
      <c r="B797" s="5"/>
      <c r="C797" s="5"/>
      <c r="D797" s="5"/>
      <c r="E797" s="14"/>
      <c r="F797" s="15"/>
      <c r="G797" s="14"/>
      <c r="H797" s="16"/>
      <c r="I797" s="14"/>
      <c r="J797" s="16"/>
      <c r="K797" s="14"/>
      <c r="L797" s="16"/>
      <c r="M797" s="14"/>
      <c r="N797" s="16"/>
      <c r="O797" s="14"/>
      <c r="P797" s="16"/>
      <c r="Q797" s="14"/>
      <c r="R797" s="5"/>
      <c r="S797" s="14"/>
      <c r="T797" s="16"/>
      <c r="U797" s="16"/>
      <c r="V797" s="17"/>
      <c r="W797" s="6"/>
      <c r="X797" s="22"/>
      <c r="Y797" s="14"/>
      <c r="Z797" s="14"/>
      <c r="AA797" s="14"/>
      <c r="AB797" s="14"/>
      <c r="AC797" s="14"/>
      <c r="AD797" s="14"/>
      <c r="AE797" s="14"/>
      <c r="AF797" s="14"/>
      <c r="AG797" s="19"/>
      <c r="AH797" s="20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</row>
    <row r="798" ht="15.75" customHeight="1">
      <c r="A798" s="5"/>
      <c r="B798" s="5"/>
      <c r="C798" s="5"/>
      <c r="D798" s="5"/>
      <c r="E798" s="14"/>
      <c r="F798" s="15"/>
      <c r="G798" s="14"/>
      <c r="H798" s="16"/>
      <c r="I798" s="14"/>
      <c r="J798" s="16"/>
      <c r="K798" s="14"/>
      <c r="L798" s="16"/>
      <c r="M798" s="14"/>
      <c r="N798" s="16"/>
      <c r="O798" s="14"/>
      <c r="P798" s="16"/>
      <c r="Q798" s="14"/>
      <c r="R798" s="5"/>
      <c r="S798" s="14"/>
      <c r="T798" s="16"/>
      <c r="U798" s="16"/>
      <c r="V798" s="17"/>
      <c r="W798" s="6"/>
      <c r="X798" s="22"/>
      <c r="Y798" s="14"/>
      <c r="Z798" s="14"/>
      <c r="AA798" s="14"/>
      <c r="AB798" s="14"/>
      <c r="AC798" s="14"/>
      <c r="AD798" s="14"/>
      <c r="AE798" s="14"/>
      <c r="AF798" s="14"/>
      <c r="AG798" s="19"/>
      <c r="AH798" s="20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</row>
    <row r="799" ht="15.75" customHeight="1">
      <c r="A799" s="5"/>
      <c r="B799" s="5"/>
      <c r="C799" s="5"/>
      <c r="D799" s="5"/>
      <c r="E799" s="14"/>
      <c r="F799" s="15"/>
      <c r="G799" s="14"/>
      <c r="H799" s="16"/>
      <c r="I799" s="14"/>
      <c r="J799" s="16"/>
      <c r="K799" s="14"/>
      <c r="L799" s="16"/>
      <c r="M799" s="14"/>
      <c r="N799" s="16"/>
      <c r="O799" s="14"/>
      <c r="P799" s="16"/>
      <c r="Q799" s="14"/>
      <c r="R799" s="5"/>
      <c r="S799" s="14"/>
      <c r="T799" s="16"/>
      <c r="U799" s="16"/>
      <c r="V799" s="17"/>
      <c r="W799" s="6"/>
      <c r="X799" s="22"/>
      <c r="Y799" s="14"/>
      <c r="Z799" s="14"/>
      <c r="AA799" s="14"/>
      <c r="AB799" s="14"/>
      <c r="AC799" s="14"/>
      <c r="AD799" s="14"/>
      <c r="AE799" s="14"/>
      <c r="AF799" s="14"/>
      <c r="AG799" s="19"/>
      <c r="AH799" s="20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</row>
    <row r="800" ht="15.75" customHeight="1">
      <c r="A800" s="5"/>
      <c r="B800" s="5"/>
      <c r="C800" s="5"/>
      <c r="D800" s="5"/>
      <c r="E800" s="14"/>
      <c r="F800" s="15"/>
      <c r="G800" s="14"/>
      <c r="H800" s="16"/>
      <c r="I800" s="14"/>
      <c r="J800" s="16"/>
      <c r="K800" s="14"/>
      <c r="L800" s="16"/>
      <c r="M800" s="14"/>
      <c r="N800" s="16"/>
      <c r="O800" s="14"/>
      <c r="P800" s="16"/>
      <c r="Q800" s="14"/>
      <c r="R800" s="5"/>
      <c r="S800" s="14"/>
      <c r="T800" s="16"/>
      <c r="U800" s="16"/>
      <c r="V800" s="17"/>
      <c r="W800" s="6"/>
      <c r="X800" s="22"/>
      <c r="Y800" s="14"/>
      <c r="Z800" s="14"/>
      <c r="AA800" s="14"/>
      <c r="AB800" s="14"/>
      <c r="AC800" s="14"/>
      <c r="AD800" s="14"/>
      <c r="AE800" s="14"/>
      <c r="AF800" s="14"/>
      <c r="AG800" s="19"/>
      <c r="AH800" s="20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</row>
    <row r="801" ht="15.75" customHeight="1">
      <c r="A801" s="5"/>
      <c r="B801" s="5"/>
      <c r="C801" s="5"/>
      <c r="D801" s="5"/>
      <c r="E801" s="14"/>
      <c r="F801" s="15"/>
      <c r="G801" s="14"/>
      <c r="H801" s="16"/>
      <c r="I801" s="14"/>
      <c r="J801" s="16"/>
      <c r="K801" s="14"/>
      <c r="L801" s="16"/>
      <c r="M801" s="14"/>
      <c r="N801" s="16"/>
      <c r="O801" s="14"/>
      <c r="P801" s="16"/>
      <c r="Q801" s="14"/>
      <c r="R801" s="5"/>
      <c r="S801" s="14"/>
      <c r="T801" s="16"/>
      <c r="U801" s="16"/>
      <c r="V801" s="17"/>
      <c r="W801" s="6"/>
      <c r="X801" s="22"/>
      <c r="Y801" s="14"/>
      <c r="Z801" s="14"/>
      <c r="AA801" s="14"/>
      <c r="AB801" s="14"/>
      <c r="AC801" s="14"/>
      <c r="AD801" s="14"/>
      <c r="AE801" s="14"/>
      <c r="AF801" s="14"/>
      <c r="AG801" s="19"/>
      <c r="AH801" s="20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</row>
    <row r="802" ht="15.75" customHeight="1">
      <c r="A802" s="5"/>
      <c r="B802" s="5"/>
      <c r="C802" s="5"/>
      <c r="D802" s="5"/>
      <c r="E802" s="14"/>
      <c r="F802" s="15"/>
      <c r="G802" s="14"/>
      <c r="H802" s="16"/>
      <c r="I802" s="14"/>
      <c r="J802" s="16"/>
      <c r="K802" s="14"/>
      <c r="L802" s="16"/>
      <c r="M802" s="14"/>
      <c r="N802" s="16"/>
      <c r="O802" s="14"/>
      <c r="P802" s="16"/>
      <c r="Q802" s="14"/>
      <c r="R802" s="5"/>
      <c r="S802" s="14"/>
      <c r="T802" s="16"/>
      <c r="U802" s="16"/>
      <c r="V802" s="17"/>
      <c r="W802" s="6"/>
      <c r="X802" s="22"/>
      <c r="Y802" s="14"/>
      <c r="Z802" s="14"/>
      <c r="AA802" s="14"/>
      <c r="AB802" s="14"/>
      <c r="AC802" s="14"/>
      <c r="AD802" s="14"/>
      <c r="AE802" s="14"/>
      <c r="AF802" s="14"/>
      <c r="AG802" s="19"/>
      <c r="AH802" s="20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</row>
    <row r="803" ht="15.75" customHeight="1">
      <c r="A803" s="5"/>
      <c r="B803" s="5"/>
      <c r="C803" s="5"/>
      <c r="D803" s="5"/>
      <c r="E803" s="14"/>
      <c r="F803" s="15"/>
      <c r="G803" s="14"/>
      <c r="H803" s="16"/>
      <c r="I803" s="14"/>
      <c r="J803" s="16"/>
      <c r="K803" s="14"/>
      <c r="L803" s="16"/>
      <c r="M803" s="14"/>
      <c r="N803" s="16"/>
      <c r="O803" s="14"/>
      <c r="P803" s="16"/>
      <c r="Q803" s="14"/>
      <c r="R803" s="5"/>
      <c r="S803" s="14"/>
      <c r="T803" s="16"/>
      <c r="U803" s="16"/>
      <c r="V803" s="17"/>
      <c r="W803" s="6"/>
      <c r="X803" s="22"/>
      <c r="Y803" s="14"/>
      <c r="Z803" s="14"/>
      <c r="AA803" s="14"/>
      <c r="AB803" s="14"/>
      <c r="AC803" s="14"/>
      <c r="AD803" s="14"/>
      <c r="AE803" s="14"/>
      <c r="AF803" s="14"/>
      <c r="AG803" s="19"/>
      <c r="AH803" s="20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</row>
    <row r="804" ht="15.75" customHeight="1">
      <c r="A804" s="5"/>
      <c r="B804" s="5"/>
      <c r="C804" s="5"/>
      <c r="D804" s="5"/>
      <c r="E804" s="14"/>
      <c r="F804" s="15"/>
      <c r="G804" s="14"/>
      <c r="H804" s="16"/>
      <c r="I804" s="14"/>
      <c r="J804" s="16"/>
      <c r="K804" s="14"/>
      <c r="L804" s="16"/>
      <c r="M804" s="14"/>
      <c r="N804" s="16"/>
      <c r="O804" s="14"/>
      <c r="P804" s="16"/>
      <c r="Q804" s="14"/>
      <c r="R804" s="5"/>
      <c r="S804" s="14"/>
      <c r="T804" s="16"/>
      <c r="U804" s="16"/>
      <c r="V804" s="17"/>
      <c r="W804" s="6"/>
      <c r="X804" s="22"/>
      <c r="Y804" s="14"/>
      <c r="Z804" s="14"/>
      <c r="AA804" s="14"/>
      <c r="AB804" s="14"/>
      <c r="AC804" s="14"/>
      <c r="AD804" s="14"/>
      <c r="AE804" s="14"/>
      <c r="AF804" s="14"/>
      <c r="AG804" s="19"/>
      <c r="AH804" s="20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</row>
    <row r="805" ht="15.75" customHeight="1">
      <c r="A805" s="5"/>
      <c r="B805" s="5"/>
      <c r="C805" s="5"/>
      <c r="D805" s="5"/>
      <c r="E805" s="14"/>
      <c r="F805" s="15"/>
      <c r="G805" s="14"/>
      <c r="H805" s="16"/>
      <c r="I805" s="14"/>
      <c r="J805" s="16"/>
      <c r="K805" s="14"/>
      <c r="L805" s="16"/>
      <c r="M805" s="14"/>
      <c r="N805" s="16"/>
      <c r="O805" s="14"/>
      <c r="P805" s="16"/>
      <c r="Q805" s="14"/>
      <c r="R805" s="5"/>
      <c r="S805" s="14"/>
      <c r="T805" s="16"/>
      <c r="U805" s="16"/>
      <c r="V805" s="17"/>
      <c r="W805" s="6"/>
      <c r="X805" s="22"/>
      <c r="Y805" s="14"/>
      <c r="Z805" s="14"/>
      <c r="AA805" s="14"/>
      <c r="AB805" s="14"/>
      <c r="AC805" s="14"/>
      <c r="AD805" s="14"/>
      <c r="AE805" s="14"/>
      <c r="AF805" s="14"/>
      <c r="AG805" s="19"/>
      <c r="AH805" s="20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</row>
    <row r="806" ht="15.75" customHeight="1">
      <c r="A806" s="5"/>
      <c r="B806" s="5"/>
      <c r="C806" s="5"/>
      <c r="D806" s="5"/>
      <c r="E806" s="14"/>
      <c r="F806" s="15"/>
      <c r="G806" s="14"/>
      <c r="H806" s="16"/>
      <c r="I806" s="14"/>
      <c r="J806" s="16"/>
      <c r="K806" s="14"/>
      <c r="L806" s="16"/>
      <c r="M806" s="14"/>
      <c r="N806" s="16"/>
      <c r="O806" s="14"/>
      <c r="P806" s="16"/>
      <c r="Q806" s="14"/>
      <c r="R806" s="5"/>
      <c r="S806" s="14"/>
      <c r="T806" s="16"/>
      <c r="U806" s="16"/>
      <c r="V806" s="17"/>
      <c r="W806" s="6"/>
      <c r="X806" s="22"/>
      <c r="Y806" s="14"/>
      <c r="Z806" s="14"/>
      <c r="AA806" s="14"/>
      <c r="AB806" s="14"/>
      <c r="AC806" s="14"/>
      <c r="AD806" s="14"/>
      <c r="AE806" s="14"/>
      <c r="AF806" s="14"/>
      <c r="AG806" s="19"/>
      <c r="AH806" s="20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</row>
    <row r="807" ht="15.75" customHeight="1">
      <c r="A807" s="5"/>
      <c r="B807" s="5"/>
      <c r="C807" s="5"/>
      <c r="D807" s="5"/>
      <c r="E807" s="14"/>
      <c r="F807" s="15"/>
      <c r="G807" s="14"/>
      <c r="H807" s="16"/>
      <c r="I807" s="14"/>
      <c r="J807" s="16"/>
      <c r="K807" s="14"/>
      <c r="L807" s="16"/>
      <c r="M807" s="14"/>
      <c r="N807" s="16"/>
      <c r="O807" s="14"/>
      <c r="P807" s="16"/>
      <c r="Q807" s="14"/>
      <c r="R807" s="5"/>
      <c r="S807" s="14"/>
      <c r="T807" s="16"/>
      <c r="U807" s="16"/>
      <c r="V807" s="17"/>
      <c r="W807" s="6"/>
      <c r="X807" s="22"/>
      <c r="Y807" s="14"/>
      <c r="Z807" s="14"/>
      <c r="AA807" s="14"/>
      <c r="AB807" s="14"/>
      <c r="AC807" s="14"/>
      <c r="AD807" s="14"/>
      <c r="AE807" s="14"/>
      <c r="AF807" s="14"/>
      <c r="AG807" s="19"/>
      <c r="AH807" s="20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</row>
    <row r="808" ht="15.75" customHeight="1">
      <c r="A808" s="5"/>
      <c r="B808" s="5"/>
      <c r="C808" s="5"/>
      <c r="D808" s="5"/>
      <c r="E808" s="14"/>
      <c r="F808" s="15"/>
      <c r="G808" s="14"/>
      <c r="H808" s="16"/>
      <c r="I808" s="14"/>
      <c r="J808" s="16"/>
      <c r="K808" s="14"/>
      <c r="L808" s="16"/>
      <c r="M808" s="14"/>
      <c r="N808" s="16"/>
      <c r="O808" s="14"/>
      <c r="P808" s="16"/>
      <c r="Q808" s="14"/>
      <c r="R808" s="5"/>
      <c r="S808" s="14"/>
      <c r="T808" s="16"/>
      <c r="U808" s="16"/>
      <c r="V808" s="17"/>
      <c r="W808" s="6"/>
      <c r="X808" s="22"/>
      <c r="Y808" s="14"/>
      <c r="Z808" s="14"/>
      <c r="AA808" s="14"/>
      <c r="AB808" s="14"/>
      <c r="AC808" s="14"/>
      <c r="AD808" s="14"/>
      <c r="AE808" s="14"/>
      <c r="AF808" s="14"/>
      <c r="AG808" s="19"/>
      <c r="AH808" s="20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</row>
    <row r="809" ht="15.75" customHeight="1">
      <c r="A809" s="5"/>
      <c r="B809" s="5"/>
      <c r="C809" s="5"/>
      <c r="D809" s="5"/>
      <c r="E809" s="14"/>
      <c r="F809" s="15"/>
      <c r="G809" s="14"/>
      <c r="H809" s="16"/>
      <c r="I809" s="14"/>
      <c r="J809" s="16"/>
      <c r="K809" s="14"/>
      <c r="L809" s="16"/>
      <c r="M809" s="14"/>
      <c r="N809" s="16"/>
      <c r="O809" s="14"/>
      <c r="P809" s="16"/>
      <c r="Q809" s="14"/>
      <c r="R809" s="5"/>
      <c r="S809" s="14"/>
      <c r="T809" s="16"/>
      <c r="U809" s="16"/>
      <c r="V809" s="17"/>
      <c r="W809" s="6"/>
      <c r="X809" s="22"/>
      <c r="Y809" s="14"/>
      <c r="Z809" s="14"/>
      <c r="AA809" s="14"/>
      <c r="AB809" s="14"/>
      <c r="AC809" s="14"/>
      <c r="AD809" s="14"/>
      <c r="AE809" s="14"/>
      <c r="AF809" s="14"/>
      <c r="AG809" s="19"/>
      <c r="AH809" s="20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</row>
    <row r="810" ht="15.75" customHeight="1">
      <c r="A810" s="5"/>
      <c r="B810" s="5"/>
      <c r="C810" s="5"/>
      <c r="D810" s="5"/>
      <c r="E810" s="14"/>
      <c r="F810" s="15"/>
      <c r="G810" s="14"/>
      <c r="H810" s="16"/>
      <c r="I810" s="14"/>
      <c r="J810" s="16"/>
      <c r="K810" s="14"/>
      <c r="L810" s="16"/>
      <c r="M810" s="14"/>
      <c r="N810" s="16"/>
      <c r="O810" s="14"/>
      <c r="P810" s="16"/>
      <c r="Q810" s="14"/>
      <c r="R810" s="5"/>
      <c r="S810" s="14"/>
      <c r="T810" s="16"/>
      <c r="U810" s="16"/>
      <c r="V810" s="17"/>
      <c r="W810" s="6"/>
      <c r="X810" s="22"/>
      <c r="Y810" s="14"/>
      <c r="Z810" s="14"/>
      <c r="AA810" s="14"/>
      <c r="AB810" s="14"/>
      <c r="AC810" s="14"/>
      <c r="AD810" s="14"/>
      <c r="AE810" s="14"/>
      <c r="AF810" s="14"/>
      <c r="AG810" s="19"/>
      <c r="AH810" s="20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</row>
    <row r="811" ht="15.75" customHeight="1">
      <c r="A811" s="5"/>
      <c r="B811" s="5"/>
      <c r="C811" s="5"/>
      <c r="D811" s="5"/>
      <c r="E811" s="14"/>
      <c r="F811" s="15"/>
      <c r="G811" s="14"/>
      <c r="H811" s="16"/>
      <c r="I811" s="14"/>
      <c r="J811" s="16"/>
      <c r="K811" s="14"/>
      <c r="L811" s="16"/>
      <c r="M811" s="14"/>
      <c r="N811" s="16"/>
      <c r="O811" s="14"/>
      <c r="P811" s="16"/>
      <c r="Q811" s="14"/>
      <c r="R811" s="5"/>
      <c r="S811" s="14"/>
      <c r="T811" s="16"/>
      <c r="U811" s="16"/>
      <c r="V811" s="17"/>
      <c r="W811" s="6"/>
      <c r="X811" s="22"/>
      <c r="Y811" s="14"/>
      <c r="Z811" s="14"/>
      <c r="AA811" s="14"/>
      <c r="AB811" s="14"/>
      <c r="AC811" s="14"/>
      <c r="AD811" s="14"/>
      <c r="AE811" s="14"/>
      <c r="AF811" s="14"/>
      <c r="AG811" s="19"/>
      <c r="AH811" s="20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</row>
    <row r="812" ht="15.75" customHeight="1">
      <c r="A812" s="5"/>
      <c r="B812" s="5"/>
      <c r="C812" s="5"/>
      <c r="D812" s="5"/>
      <c r="E812" s="14"/>
      <c r="F812" s="15"/>
      <c r="G812" s="14"/>
      <c r="H812" s="16"/>
      <c r="I812" s="14"/>
      <c r="J812" s="16"/>
      <c r="K812" s="14"/>
      <c r="L812" s="16"/>
      <c r="M812" s="14"/>
      <c r="N812" s="16"/>
      <c r="O812" s="14"/>
      <c r="P812" s="16"/>
      <c r="Q812" s="14"/>
      <c r="R812" s="5"/>
      <c r="S812" s="14"/>
      <c r="T812" s="16"/>
      <c r="U812" s="16"/>
      <c r="V812" s="17"/>
      <c r="W812" s="6"/>
      <c r="X812" s="22"/>
      <c r="Y812" s="14"/>
      <c r="Z812" s="14"/>
      <c r="AA812" s="14"/>
      <c r="AB812" s="14"/>
      <c r="AC812" s="14"/>
      <c r="AD812" s="14"/>
      <c r="AE812" s="14"/>
      <c r="AF812" s="14"/>
      <c r="AG812" s="19"/>
      <c r="AH812" s="20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</row>
    <row r="813" ht="15.75" customHeight="1">
      <c r="A813" s="5"/>
      <c r="B813" s="5"/>
      <c r="C813" s="5"/>
      <c r="D813" s="5"/>
      <c r="E813" s="14"/>
      <c r="F813" s="15"/>
      <c r="G813" s="14"/>
      <c r="H813" s="16"/>
      <c r="I813" s="14"/>
      <c r="J813" s="16"/>
      <c r="K813" s="14"/>
      <c r="L813" s="16"/>
      <c r="M813" s="14"/>
      <c r="N813" s="16"/>
      <c r="O813" s="14"/>
      <c r="P813" s="16"/>
      <c r="Q813" s="14"/>
      <c r="R813" s="5"/>
      <c r="S813" s="14"/>
      <c r="T813" s="16"/>
      <c r="U813" s="16"/>
      <c r="V813" s="17"/>
      <c r="W813" s="6"/>
      <c r="X813" s="22"/>
      <c r="Y813" s="14"/>
      <c r="Z813" s="14"/>
      <c r="AA813" s="14"/>
      <c r="AB813" s="14"/>
      <c r="AC813" s="14"/>
      <c r="AD813" s="14"/>
      <c r="AE813" s="14"/>
      <c r="AF813" s="14"/>
      <c r="AG813" s="19"/>
      <c r="AH813" s="20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</row>
    <row r="814" ht="15.75" customHeight="1">
      <c r="A814" s="5"/>
      <c r="B814" s="5"/>
      <c r="C814" s="5"/>
      <c r="D814" s="5"/>
      <c r="E814" s="14"/>
      <c r="F814" s="15"/>
      <c r="G814" s="14"/>
      <c r="H814" s="16"/>
      <c r="I814" s="14"/>
      <c r="J814" s="16"/>
      <c r="K814" s="14"/>
      <c r="L814" s="16"/>
      <c r="M814" s="14"/>
      <c r="N814" s="16"/>
      <c r="O814" s="14"/>
      <c r="P814" s="16"/>
      <c r="Q814" s="14"/>
      <c r="R814" s="5"/>
      <c r="S814" s="14"/>
      <c r="T814" s="16"/>
      <c r="U814" s="16"/>
      <c r="V814" s="17"/>
      <c r="W814" s="6"/>
      <c r="X814" s="22"/>
      <c r="Y814" s="14"/>
      <c r="Z814" s="14"/>
      <c r="AA814" s="14"/>
      <c r="AB814" s="14"/>
      <c r="AC814" s="14"/>
      <c r="AD814" s="14"/>
      <c r="AE814" s="14"/>
      <c r="AF814" s="14"/>
      <c r="AG814" s="19"/>
      <c r="AH814" s="20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</row>
    <row r="815" ht="15.75" customHeight="1">
      <c r="A815" s="5"/>
      <c r="B815" s="5"/>
      <c r="C815" s="5"/>
      <c r="D815" s="5"/>
      <c r="E815" s="14"/>
      <c r="F815" s="15"/>
      <c r="G815" s="14"/>
      <c r="H815" s="16"/>
      <c r="I815" s="14"/>
      <c r="J815" s="16"/>
      <c r="K815" s="14"/>
      <c r="L815" s="16"/>
      <c r="M815" s="14"/>
      <c r="N815" s="16"/>
      <c r="O815" s="14"/>
      <c r="P815" s="16"/>
      <c r="Q815" s="14"/>
      <c r="R815" s="5"/>
      <c r="S815" s="14"/>
      <c r="T815" s="16"/>
      <c r="U815" s="16"/>
      <c r="V815" s="17"/>
      <c r="W815" s="6"/>
      <c r="X815" s="22"/>
      <c r="Y815" s="14"/>
      <c r="Z815" s="14"/>
      <c r="AA815" s="14"/>
      <c r="AB815" s="14"/>
      <c r="AC815" s="14"/>
      <c r="AD815" s="14"/>
      <c r="AE815" s="14"/>
      <c r="AF815" s="14"/>
      <c r="AG815" s="19"/>
      <c r="AH815" s="20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</row>
    <row r="816" ht="15.75" customHeight="1">
      <c r="A816" s="5"/>
      <c r="B816" s="5"/>
      <c r="C816" s="5"/>
      <c r="D816" s="5"/>
      <c r="E816" s="14"/>
      <c r="F816" s="15"/>
      <c r="G816" s="14"/>
      <c r="H816" s="16"/>
      <c r="I816" s="14"/>
      <c r="J816" s="16"/>
      <c r="K816" s="14"/>
      <c r="L816" s="16"/>
      <c r="M816" s="14"/>
      <c r="N816" s="16"/>
      <c r="O816" s="14"/>
      <c r="P816" s="16"/>
      <c r="Q816" s="14"/>
      <c r="R816" s="5"/>
      <c r="S816" s="14"/>
      <c r="T816" s="16"/>
      <c r="U816" s="16"/>
      <c r="V816" s="17"/>
      <c r="W816" s="6"/>
      <c r="X816" s="22"/>
      <c r="Y816" s="14"/>
      <c r="Z816" s="14"/>
      <c r="AA816" s="14"/>
      <c r="AB816" s="14"/>
      <c r="AC816" s="14"/>
      <c r="AD816" s="14"/>
      <c r="AE816" s="14"/>
      <c r="AF816" s="14"/>
      <c r="AG816" s="19"/>
      <c r="AH816" s="20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</row>
    <row r="817" ht="15.75" customHeight="1">
      <c r="A817" s="5"/>
      <c r="B817" s="5"/>
      <c r="C817" s="5"/>
      <c r="D817" s="5"/>
      <c r="E817" s="14"/>
      <c r="F817" s="15"/>
      <c r="G817" s="14"/>
      <c r="H817" s="16"/>
      <c r="I817" s="14"/>
      <c r="J817" s="16"/>
      <c r="K817" s="14"/>
      <c r="L817" s="16"/>
      <c r="M817" s="14"/>
      <c r="N817" s="16"/>
      <c r="O817" s="14"/>
      <c r="P817" s="16"/>
      <c r="Q817" s="14"/>
      <c r="R817" s="5"/>
      <c r="S817" s="14"/>
      <c r="T817" s="16"/>
      <c r="U817" s="16"/>
      <c r="V817" s="17"/>
      <c r="W817" s="6"/>
      <c r="X817" s="22"/>
      <c r="Y817" s="14"/>
      <c r="Z817" s="14"/>
      <c r="AA817" s="14"/>
      <c r="AB817" s="14"/>
      <c r="AC817" s="14"/>
      <c r="AD817" s="14"/>
      <c r="AE817" s="14"/>
      <c r="AF817" s="14"/>
      <c r="AG817" s="19"/>
      <c r="AH817" s="20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</row>
    <row r="818" ht="15.75" customHeight="1">
      <c r="A818" s="5"/>
      <c r="B818" s="5"/>
      <c r="C818" s="5"/>
      <c r="D818" s="5"/>
      <c r="E818" s="14"/>
      <c r="F818" s="15"/>
      <c r="G818" s="14"/>
      <c r="H818" s="16"/>
      <c r="I818" s="14"/>
      <c r="J818" s="16"/>
      <c r="K818" s="14"/>
      <c r="L818" s="16"/>
      <c r="M818" s="14"/>
      <c r="N818" s="16"/>
      <c r="O818" s="14"/>
      <c r="P818" s="16"/>
      <c r="Q818" s="14"/>
      <c r="R818" s="5"/>
      <c r="S818" s="14"/>
      <c r="T818" s="16"/>
      <c r="U818" s="16"/>
      <c r="V818" s="17"/>
      <c r="W818" s="6"/>
      <c r="X818" s="22"/>
      <c r="Y818" s="14"/>
      <c r="Z818" s="14"/>
      <c r="AA818" s="14"/>
      <c r="AB818" s="14"/>
      <c r="AC818" s="14"/>
      <c r="AD818" s="14"/>
      <c r="AE818" s="14"/>
      <c r="AF818" s="14"/>
      <c r="AG818" s="19"/>
      <c r="AH818" s="20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</row>
    <row r="819" ht="15.75" customHeight="1">
      <c r="A819" s="5"/>
      <c r="B819" s="5"/>
      <c r="C819" s="5"/>
      <c r="D819" s="5"/>
      <c r="E819" s="14"/>
      <c r="F819" s="15"/>
      <c r="G819" s="14"/>
      <c r="H819" s="16"/>
      <c r="I819" s="14"/>
      <c r="J819" s="16"/>
      <c r="K819" s="14"/>
      <c r="L819" s="16"/>
      <c r="M819" s="14"/>
      <c r="N819" s="16"/>
      <c r="O819" s="14"/>
      <c r="P819" s="16"/>
      <c r="Q819" s="14"/>
      <c r="R819" s="5"/>
      <c r="S819" s="14"/>
      <c r="T819" s="16"/>
      <c r="U819" s="16"/>
      <c r="V819" s="17"/>
      <c r="W819" s="6"/>
      <c r="X819" s="22"/>
      <c r="Y819" s="14"/>
      <c r="Z819" s="14"/>
      <c r="AA819" s="14"/>
      <c r="AB819" s="14"/>
      <c r="AC819" s="14"/>
      <c r="AD819" s="14"/>
      <c r="AE819" s="14"/>
      <c r="AF819" s="14"/>
      <c r="AG819" s="19"/>
      <c r="AH819" s="20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</row>
    <row r="820" ht="15.75" customHeight="1">
      <c r="A820" s="5"/>
      <c r="B820" s="5"/>
      <c r="C820" s="5"/>
      <c r="D820" s="5"/>
      <c r="E820" s="14"/>
      <c r="F820" s="15"/>
      <c r="G820" s="14"/>
      <c r="H820" s="16"/>
      <c r="I820" s="14"/>
      <c r="J820" s="16"/>
      <c r="K820" s="14"/>
      <c r="L820" s="16"/>
      <c r="M820" s="14"/>
      <c r="N820" s="16"/>
      <c r="O820" s="14"/>
      <c r="P820" s="16"/>
      <c r="Q820" s="14"/>
      <c r="R820" s="5"/>
      <c r="S820" s="14"/>
      <c r="T820" s="16"/>
      <c r="U820" s="16"/>
      <c r="V820" s="17"/>
      <c r="W820" s="6"/>
      <c r="X820" s="22"/>
      <c r="Y820" s="14"/>
      <c r="Z820" s="14"/>
      <c r="AA820" s="14"/>
      <c r="AB820" s="14"/>
      <c r="AC820" s="14"/>
      <c r="AD820" s="14"/>
      <c r="AE820" s="14"/>
      <c r="AF820" s="14"/>
      <c r="AG820" s="19"/>
      <c r="AH820" s="20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</row>
    <row r="821" ht="15.75" customHeight="1">
      <c r="A821" s="5"/>
      <c r="B821" s="5"/>
      <c r="C821" s="5"/>
      <c r="D821" s="5"/>
      <c r="E821" s="14"/>
      <c r="F821" s="15"/>
      <c r="G821" s="14"/>
      <c r="H821" s="16"/>
      <c r="I821" s="14"/>
      <c r="J821" s="16"/>
      <c r="K821" s="14"/>
      <c r="L821" s="16"/>
      <c r="M821" s="14"/>
      <c r="N821" s="16"/>
      <c r="O821" s="14"/>
      <c r="P821" s="16"/>
      <c r="Q821" s="14"/>
      <c r="R821" s="5"/>
      <c r="S821" s="14"/>
      <c r="T821" s="16"/>
      <c r="U821" s="16"/>
      <c r="V821" s="17"/>
      <c r="W821" s="6"/>
      <c r="X821" s="22"/>
      <c r="Y821" s="14"/>
      <c r="Z821" s="14"/>
      <c r="AA821" s="14"/>
      <c r="AB821" s="14"/>
      <c r="AC821" s="14"/>
      <c r="AD821" s="14"/>
      <c r="AE821" s="14"/>
      <c r="AF821" s="14"/>
      <c r="AG821" s="19"/>
      <c r="AH821" s="20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</row>
    <row r="822" ht="15.75" customHeight="1">
      <c r="A822" s="5"/>
      <c r="B822" s="5"/>
      <c r="C822" s="5"/>
      <c r="D822" s="5"/>
      <c r="E822" s="14"/>
      <c r="F822" s="15"/>
      <c r="G822" s="14"/>
      <c r="H822" s="16"/>
      <c r="I822" s="14"/>
      <c r="J822" s="16"/>
      <c r="K822" s="14"/>
      <c r="L822" s="16"/>
      <c r="M822" s="14"/>
      <c r="N822" s="16"/>
      <c r="O822" s="14"/>
      <c r="P822" s="16"/>
      <c r="Q822" s="14"/>
      <c r="R822" s="5"/>
      <c r="S822" s="14"/>
      <c r="T822" s="16"/>
      <c r="U822" s="16"/>
      <c r="V822" s="17"/>
      <c r="W822" s="6"/>
      <c r="X822" s="22"/>
      <c r="Y822" s="14"/>
      <c r="Z822" s="14"/>
      <c r="AA822" s="14"/>
      <c r="AB822" s="14"/>
      <c r="AC822" s="14"/>
      <c r="AD822" s="14"/>
      <c r="AE822" s="14"/>
      <c r="AF822" s="14"/>
      <c r="AG822" s="19"/>
      <c r="AH822" s="20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</row>
    <row r="823" ht="15.75" customHeight="1">
      <c r="A823" s="5"/>
      <c r="B823" s="5"/>
      <c r="C823" s="5"/>
      <c r="D823" s="5"/>
      <c r="E823" s="14"/>
      <c r="F823" s="15"/>
      <c r="G823" s="14"/>
      <c r="H823" s="16"/>
      <c r="I823" s="14"/>
      <c r="J823" s="16"/>
      <c r="K823" s="14"/>
      <c r="L823" s="16"/>
      <c r="M823" s="14"/>
      <c r="N823" s="16"/>
      <c r="O823" s="14"/>
      <c r="P823" s="16"/>
      <c r="Q823" s="14"/>
      <c r="R823" s="5"/>
      <c r="S823" s="14"/>
      <c r="T823" s="16"/>
      <c r="U823" s="16"/>
      <c r="V823" s="17"/>
      <c r="W823" s="6"/>
      <c r="X823" s="22"/>
      <c r="Y823" s="14"/>
      <c r="Z823" s="14"/>
      <c r="AA823" s="14"/>
      <c r="AB823" s="14"/>
      <c r="AC823" s="14"/>
      <c r="AD823" s="14"/>
      <c r="AE823" s="14"/>
      <c r="AF823" s="14"/>
      <c r="AG823" s="19"/>
      <c r="AH823" s="20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</row>
    <row r="824" ht="15.75" customHeight="1">
      <c r="A824" s="5"/>
      <c r="B824" s="5"/>
      <c r="C824" s="5"/>
      <c r="D824" s="5"/>
      <c r="E824" s="14"/>
      <c r="F824" s="15"/>
      <c r="G824" s="14"/>
      <c r="H824" s="16"/>
      <c r="I824" s="14"/>
      <c r="J824" s="16"/>
      <c r="K824" s="14"/>
      <c r="L824" s="16"/>
      <c r="M824" s="14"/>
      <c r="N824" s="16"/>
      <c r="O824" s="14"/>
      <c r="P824" s="16"/>
      <c r="Q824" s="14"/>
      <c r="R824" s="5"/>
      <c r="S824" s="14"/>
      <c r="T824" s="16"/>
      <c r="U824" s="16"/>
      <c r="V824" s="17"/>
      <c r="W824" s="6"/>
      <c r="X824" s="22"/>
      <c r="Y824" s="14"/>
      <c r="Z824" s="14"/>
      <c r="AA824" s="14"/>
      <c r="AB824" s="14"/>
      <c r="AC824" s="14"/>
      <c r="AD824" s="14"/>
      <c r="AE824" s="14"/>
      <c r="AF824" s="14"/>
      <c r="AG824" s="19"/>
      <c r="AH824" s="20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</row>
    <row r="825" ht="15.75" customHeight="1">
      <c r="A825" s="5"/>
      <c r="B825" s="5"/>
      <c r="C825" s="5"/>
      <c r="D825" s="5"/>
      <c r="E825" s="14"/>
      <c r="F825" s="15"/>
      <c r="G825" s="14"/>
      <c r="H825" s="16"/>
      <c r="I825" s="14"/>
      <c r="J825" s="16"/>
      <c r="K825" s="14"/>
      <c r="L825" s="16"/>
      <c r="M825" s="14"/>
      <c r="N825" s="16"/>
      <c r="O825" s="14"/>
      <c r="P825" s="16"/>
      <c r="Q825" s="14"/>
      <c r="R825" s="5"/>
      <c r="S825" s="14"/>
      <c r="T825" s="16"/>
      <c r="U825" s="16"/>
      <c r="V825" s="17"/>
      <c r="W825" s="6"/>
      <c r="X825" s="22"/>
      <c r="Y825" s="14"/>
      <c r="Z825" s="14"/>
      <c r="AA825" s="14"/>
      <c r="AB825" s="14"/>
      <c r="AC825" s="14"/>
      <c r="AD825" s="14"/>
      <c r="AE825" s="14"/>
      <c r="AF825" s="14"/>
      <c r="AG825" s="19"/>
      <c r="AH825" s="20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</row>
    <row r="826" ht="15.75" customHeight="1">
      <c r="A826" s="5"/>
      <c r="B826" s="5"/>
      <c r="C826" s="5"/>
      <c r="D826" s="5"/>
      <c r="E826" s="14"/>
      <c r="F826" s="15"/>
      <c r="G826" s="14"/>
      <c r="H826" s="16"/>
      <c r="I826" s="14"/>
      <c r="J826" s="16"/>
      <c r="K826" s="14"/>
      <c r="L826" s="16"/>
      <c r="M826" s="14"/>
      <c r="N826" s="16"/>
      <c r="O826" s="14"/>
      <c r="P826" s="16"/>
      <c r="Q826" s="14"/>
      <c r="R826" s="5"/>
      <c r="S826" s="14"/>
      <c r="T826" s="16"/>
      <c r="U826" s="16"/>
      <c r="V826" s="17"/>
      <c r="W826" s="6"/>
      <c r="X826" s="22"/>
      <c r="Y826" s="14"/>
      <c r="Z826" s="14"/>
      <c r="AA826" s="14"/>
      <c r="AB826" s="14"/>
      <c r="AC826" s="14"/>
      <c r="AD826" s="14"/>
      <c r="AE826" s="14"/>
      <c r="AF826" s="14"/>
      <c r="AG826" s="19"/>
      <c r="AH826" s="20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</row>
    <row r="827" ht="15.75" customHeight="1">
      <c r="A827" s="5"/>
      <c r="B827" s="5"/>
      <c r="C827" s="5"/>
      <c r="D827" s="5"/>
      <c r="E827" s="14"/>
      <c r="F827" s="15"/>
      <c r="G827" s="14"/>
      <c r="H827" s="16"/>
      <c r="I827" s="14"/>
      <c r="J827" s="16"/>
      <c r="K827" s="14"/>
      <c r="L827" s="16"/>
      <c r="M827" s="14"/>
      <c r="N827" s="16"/>
      <c r="O827" s="14"/>
      <c r="P827" s="16"/>
      <c r="Q827" s="14"/>
      <c r="R827" s="5"/>
      <c r="S827" s="14"/>
      <c r="T827" s="16"/>
      <c r="U827" s="16"/>
      <c r="V827" s="17"/>
      <c r="W827" s="6"/>
      <c r="X827" s="22"/>
      <c r="Y827" s="14"/>
      <c r="Z827" s="14"/>
      <c r="AA827" s="14"/>
      <c r="AB827" s="14"/>
      <c r="AC827" s="14"/>
      <c r="AD827" s="14"/>
      <c r="AE827" s="14"/>
      <c r="AF827" s="14"/>
      <c r="AG827" s="19"/>
      <c r="AH827" s="20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</row>
    <row r="828" ht="15.75" customHeight="1">
      <c r="A828" s="5"/>
      <c r="B828" s="5"/>
      <c r="C828" s="5"/>
      <c r="D828" s="5"/>
      <c r="E828" s="14"/>
      <c r="F828" s="15"/>
      <c r="G828" s="14"/>
      <c r="H828" s="16"/>
      <c r="I828" s="14"/>
      <c r="J828" s="16"/>
      <c r="K828" s="14"/>
      <c r="L828" s="16"/>
      <c r="M828" s="14"/>
      <c r="N828" s="16"/>
      <c r="O828" s="14"/>
      <c r="P828" s="16"/>
      <c r="Q828" s="14"/>
      <c r="R828" s="5"/>
      <c r="S828" s="14"/>
      <c r="T828" s="16"/>
      <c r="U828" s="16"/>
      <c r="V828" s="17"/>
      <c r="W828" s="6"/>
      <c r="X828" s="22"/>
      <c r="Y828" s="14"/>
      <c r="Z828" s="14"/>
      <c r="AA828" s="14"/>
      <c r="AB828" s="14"/>
      <c r="AC828" s="14"/>
      <c r="AD828" s="14"/>
      <c r="AE828" s="14"/>
      <c r="AF828" s="14"/>
      <c r="AG828" s="19"/>
      <c r="AH828" s="20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</row>
    <row r="829" ht="15.75" customHeight="1">
      <c r="A829" s="5"/>
      <c r="B829" s="5"/>
      <c r="C829" s="5"/>
      <c r="D829" s="5"/>
      <c r="E829" s="14"/>
      <c r="F829" s="15"/>
      <c r="G829" s="14"/>
      <c r="H829" s="16"/>
      <c r="I829" s="14"/>
      <c r="J829" s="16"/>
      <c r="K829" s="14"/>
      <c r="L829" s="16"/>
      <c r="M829" s="14"/>
      <c r="N829" s="16"/>
      <c r="O829" s="14"/>
      <c r="P829" s="16"/>
      <c r="Q829" s="14"/>
      <c r="R829" s="5"/>
      <c r="S829" s="14"/>
      <c r="T829" s="16"/>
      <c r="U829" s="16"/>
      <c r="V829" s="17"/>
      <c r="W829" s="6"/>
      <c r="X829" s="22"/>
      <c r="Y829" s="14"/>
      <c r="Z829" s="14"/>
      <c r="AA829" s="14"/>
      <c r="AB829" s="14"/>
      <c r="AC829" s="14"/>
      <c r="AD829" s="14"/>
      <c r="AE829" s="14"/>
      <c r="AF829" s="14"/>
      <c r="AG829" s="19"/>
      <c r="AH829" s="20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</row>
    <row r="830" ht="15.75" customHeight="1">
      <c r="A830" s="5"/>
      <c r="B830" s="5"/>
      <c r="C830" s="5"/>
      <c r="D830" s="5"/>
      <c r="E830" s="14"/>
      <c r="F830" s="15"/>
      <c r="G830" s="14"/>
      <c r="H830" s="16"/>
      <c r="I830" s="14"/>
      <c r="J830" s="16"/>
      <c r="K830" s="14"/>
      <c r="L830" s="16"/>
      <c r="M830" s="14"/>
      <c r="N830" s="16"/>
      <c r="O830" s="14"/>
      <c r="P830" s="16"/>
      <c r="Q830" s="14"/>
      <c r="R830" s="5"/>
      <c r="S830" s="14"/>
      <c r="T830" s="16"/>
      <c r="U830" s="16"/>
      <c r="V830" s="17"/>
      <c r="W830" s="6"/>
      <c r="X830" s="22"/>
      <c r="Y830" s="14"/>
      <c r="Z830" s="14"/>
      <c r="AA830" s="14"/>
      <c r="AB830" s="14"/>
      <c r="AC830" s="14"/>
      <c r="AD830" s="14"/>
      <c r="AE830" s="14"/>
      <c r="AF830" s="14"/>
      <c r="AG830" s="19"/>
      <c r="AH830" s="20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</row>
    <row r="831" ht="15.75" customHeight="1">
      <c r="A831" s="5"/>
      <c r="B831" s="5"/>
      <c r="C831" s="5"/>
      <c r="D831" s="5"/>
      <c r="E831" s="14"/>
      <c r="F831" s="15"/>
      <c r="G831" s="14"/>
      <c r="H831" s="16"/>
      <c r="I831" s="14"/>
      <c r="J831" s="16"/>
      <c r="K831" s="14"/>
      <c r="L831" s="16"/>
      <c r="M831" s="14"/>
      <c r="N831" s="16"/>
      <c r="O831" s="14"/>
      <c r="P831" s="16"/>
      <c r="Q831" s="14"/>
      <c r="R831" s="5"/>
      <c r="S831" s="14"/>
      <c r="T831" s="16"/>
      <c r="U831" s="16"/>
      <c r="V831" s="17"/>
      <c r="W831" s="6"/>
      <c r="X831" s="22"/>
      <c r="Y831" s="14"/>
      <c r="Z831" s="14"/>
      <c r="AA831" s="14"/>
      <c r="AB831" s="14"/>
      <c r="AC831" s="14"/>
      <c r="AD831" s="14"/>
      <c r="AE831" s="14"/>
      <c r="AF831" s="14"/>
      <c r="AG831" s="19"/>
      <c r="AH831" s="20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</row>
    <row r="832" ht="15.75" customHeight="1">
      <c r="A832" s="5"/>
      <c r="B832" s="5"/>
      <c r="C832" s="5"/>
      <c r="D832" s="5"/>
      <c r="E832" s="14"/>
      <c r="F832" s="15"/>
      <c r="G832" s="14"/>
      <c r="H832" s="16"/>
      <c r="I832" s="14"/>
      <c r="J832" s="16"/>
      <c r="K832" s="14"/>
      <c r="L832" s="16"/>
      <c r="M832" s="14"/>
      <c r="N832" s="16"/>
      <c r="O832" s="14"/>
      <c r="P832" s="16"/>
      <c r="Q832" s="14"/>
      <c r="R832" s="5"/>
      <c r="S832" s="14"/>
      <c r="T832" s="16"/>
      <c r="U832" s="16"/>
      <c r="V832" s="17"/>
      <c r="W832" s="6"/>
      <c r="X832" s="22"/>
      <c r="Y832" s="14"/>
      <c r="Z832" s="14"/>
      <c r="AA832" s="14"/>
      <c r="AB832" s="14"/>
      <c r="AC832" s="14"/>
      <c r="AD832" s="14"/>
      <c r="AE832" s="14"/>
      <c r="AF832" s="14"/>
      <c r="AG832" s="19"/>
      <c r="AH832" s="20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</row>
    <row r="833" ht="15.75" customHeight="1">
      <c r="A833" s="5"/>
      <c r="B833" s="5"/>
      <c r="C833" s="5"/>
      <c r="D833" s="5"/>
      <c r="E833" s="14"/>
      <c r="F833" s="15"/>
      <c r="G833" s="14"/>
      <c r="H833" s="16"/>
      <c r="I833" s="14"/>
      <c r="J833" s="16"/>
      <c r="K833" s="14"/>
      <c r="L833" s="16"/>
      <c r="M833" s="14"/>
      <c r="N833" s="16"/>
      <c r="O833" s="14"/>
      <c r="P833" s="16"/>
      <c r="Q833" s="14"/>
      <c r="R833" s="5"/>
      <c r="S833" s="14"/>
      <c r="T833" s="16"/>
      <c r="U833" s="16"/>
      <c r="V833" s="17"/>
      <c r="W833" s="6"/>
      <c r="X833" s="22"/>
      <c r="Y833" s="14"/>
      <c r="Z833" s="14"/>
      <c r="AA833" s="14"/>
      <c r="AB833" s="14"/>
      <c r="AC833" s="14"/>
      <c r="AD833" s="14"/>
      <c r="AE833" s="14"/>
      <c r="AF833" s="14"/>
      <c r="AG833" s="19"/>
      <c r="AH833" s="20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</row>
    <row r="834" ht="15.75" customHeight="1">
      <c r="A834" s="5"/>
      <c r="B834" s="5"/>
      <c r="C834" s="5"/>
      <c r="D834" s="5"/>
      <c r="E834" s="14"/>
      <c r="F834" s="15"/>
      <c r="G834" s="14"/>
      <c r="H834" s="16"/>
      <c r="I834" s="14"/>
      <c r="J834" s="16"/>
      <c r="K834" s="14"/>
      <c r="L834" s="16"/>
      <c r="M834" s="14"/>
      <c r="N834" s="16"/>
      <c r="O834" s="14"/>
      <c r="P834" s="16"/>
      <c r="Q834" s="14"/>
      <c r="R834" s="5"/>
      <c r="S834" s="14"/>
      <c r="T834" s="16"/>
      <c r="U834" s="16"/>
      <c r="V834" s="17"/>
      <c r="W834" s="6"/>
      <c r="X834" s="22"/>
      <c r="Y834" s="14"/>
      <c r="Z834" s="14"/>
      <c r="AA834" s="14"/>
      <c r="AB834" s="14"/>
      <c r="AC834" s="14"/>
      <c r="AD834" s="14"/>
      <c r="AE834" s="14"/>
      <c r="AF834" s="14"/>
      <c r="AG834" s="19"/>
      <c r="AH834" s="20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</row>
    <row r="835" ht="15.75" customHeight="1">
      <c r="A835" s="5"/>
      <c r="B835" s="5"/>
      <c r="C835" s="5"/>
      <c r="D835" s="5"/>
      <c r="E835" s="14"/>
      <c r="F835" s="15"/>
      <c r="G835" s="14"/>
      <c r="H835" s="16"/>
      <c r="I835" s="14"/>
      <c r="J835" s="16"/>
      <c r="K835" s="14"/>
      <c r="L835" s="16"/>
      <c r="M835" s="14"/>
      <c r="N835" s="16"/>
      <c r="O835" s="14"/>
      <c r="P835" s="16"/>
      <c r="Q835" s="14"/>
      <c r="R835" s="5"/>
      <c r="S835" s="14"/>
      <c r="T835" s="16"/>
      <c r="U835" s="16"/>
      <c r="V835" s="17"/>
      <c r="W835" s="6"/>
      <c r="X835" s="22"/>
      <c r="Y835" s="14"/>
      <c r="Z835" s="14"/>
      <c r="AA835" s="14"/>
      <c r="AB835" s="14"/>
      <c r="AC835" s="14"/>
      <c r="AD835" s="14"/>
      <c r="AE835" s="14"/>
      <c r="AF835" s="14"/>
      <c r="AG835" s="19"/>
      <c r="AH835" s="20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</row>
    <row r="836" ht="15.75" customHeight="1">
      <c r="A836" s="5"/>
      <c r="B836" s="5"/>
      <c r="C836" s="5"/>
      <c r="D836" s="5"/>
      <c r="E836" s="14"/>
      <c r="F836" s="15"/>
      <c r="G836" s="14"/>
      <c r="H836" s="16"/>
      <c r="I836" s="14"/>
      <c r="J836" s="16"/>
      <c r="K836" s="14"/>
      <c r="L836" s="16"/>
      <c r="M836" s="14"/>
      <c r="N836" s="16"/>
      <c r="O836" s="14"/>
      <c r="P836" s="16"/>
      <c r="Q836" s="14"/>
      <c r="R836" s="5"/>
      <c r="S836" s="14"/>
      <c r="T836" s="16"/>
      <c r="U836" s="16"/>
      <c r="V836" s="17"/>
      <c r="W836" s="6"/>
      <c r="X836" s="22"/>
      <c r="Y836" s="14"/>
      <c r="Z836" s="14"/>
      <c r="AA836" s="14"/>
      <c r="AB836" s="14"/>
      <c r="AC836" s="14"/>
      <c r="AD836" s="14"/>
      <c r="AE836" s="14"/>
      <c r="AF836" s="14"/>
      <c r="AG836" s="19"/>
      <c r="AH836" s="20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</row>
    <row r="837" ht="15.75" customHeight="1">
      <c r="A837" s="5"/>
      <c r="B837" s="5"/>
      <c r="C837" s="5"/>
      <c r="D837" s="5"/>
      <c r="E837" s="14"/>
      <c r="F837" s="15"/>
      <c r="G837" s="14"/>
      <c r="H837" s="16"/>
      <c r="I837" s="14"/>
      <c r="J837" s="16"/>
      <c r="K837" s="14"/>
      <c r="L837" s="16"/>
      <c r="M837" s="14"/>
      <c r="N837" s="16"/>
      <c r="O837" s="14"/>
      <c r="P837" s="16"/>
      <c r="Q837" s="14"/>
      <c r="R837" s="5"/>
      <c r="S837" s="14"/>
      <c r="T837" s="16"/>
      <c r="U837" s="16"/>
      <c r="V837" s="17"/>
      <c r="W837" s="6"/>
      <c r="X837" s="22"/>
      <c r="Y837" s="14"/>
      <c r="Z837" s="14"/>
      <c r="AA837" s="14"/>
      <c r="AB837" s="14"/>
      <c r="AC837" s="14"/>
      <c r="AD837" s="14"/>
      <c r="AE837" s="14"/>
      <c r="AF837" s="14"/>
      <c r="AG837" s="19"/>
      <c r="AH837" s="20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</row>
    <row r="838" ht="15.75" customHeight="1">
      <c r="A838" s="5"/>
      <c r="B838" s="5"/>
      <c r="C838" s="5"/>
      <c r="D838" s="5"/>
      <c r="E838" s="14"/>
      <c r="F838" s="15"/>
      <c r="G838" s="14"/>
      <c r="H838" s="16"/>
      <c r="I838" s="14"/>
      <c r="J838" s="16"/>
      <c r="K838" s="14"/>
      <c r="L838" s="16"/>
      <c r="M838" s="14"/>
      <c r="N838" s="16"/>
      <c r="O838" s="14"/>
      <c r="P838" s="16"/>
      <c r="Q838" s="14"/>
      <c r="R838" s="5"/>
      <c r="S838" s="14"/>
      <c r="T838" s="16"/>
      <c r="U838" s="16"/>
      <c r="V838" s="17"/>
      <c r="W838" s="6"/>
      <c r="X838" s="22"/>
      <c r="Y838" s="14"/>
      <c r="Z838" s="14"/>
      <c r="AA838" s="14"/>
      <c r="AB838" s="14"/>
      <c r="AC838" s="14"/>
      <c r="AD838" s="14"/>
      <c r="AE838" s="14"/>
      <c r="AF838" s="14"/>
      <c r="AG838" s="19"/>
      <c r="AH838" s="20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</row>
    <row r="839" ht="15.75" customHeight="1">
      <c r="A839" s="5"/>
      <c r="B839" s="5"/>
      <c r="C839" s="5"/>
      <c r="D839" s="5"/>
      <c r="E839" s="14"/>
      <c r="F839" s="15"/>
      <c r="G839" s="14"/>
      <c r="H839" s="16"/>
      <c r="I839" s="14"/>
      <c r="J839" s="16"/>
      <c r="K839" s="14"/>
      <c r="L839" s="16"/>
      <c r="M839" s="14"/>
      <c r="N839" s="16"/>
      <c r="O839" s="14"/>
      <c r="P839" s="16"/>
      <c r="Q839" s="14"/>
      <c r="R839" s="5"/>
      <c r="S839" s="14"/>
      <c r="T839" s="16"/>
      <c r="U839" s="16"/>
      <c r="V839" s="17"/>
      <c r="W839" s="6"/>
      <c r="X839" s="22"/>
      <c r="Y839" s="14"/>
      <c r="Z839" s="14"/>
      <c r="AA839" s="14"/>
      <c r="AB839" s="14"/>
      <c r="AC839" s="14"/>
      <c r="AD839" s="14"/>
      <c r="AE839" s="14"/>
      <c r="AF839" s="14"/>
      <c r="AG839" s="19"/>
      <c r="AH839" s="20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</row>
    <row r="840" ht="15.75" customHeight="1">
      <c r="A840" s="5"/>
      <c r="B840" s="5"/>
      <c r="C840" s="5"/>
      <c r="D840" s="5"/>
      <c r="E840" s="14"/>
      <c r="F840" s="15"/>
      <c r="G840" s="14"/>
      <c r="H840" s="16"/>
      <c r="I840" s="14"/>
      <c r="J840" s="16"/>
      <c r="K840" s="14"/>
      <c r="L840" s="16"/>
      <c r="M840" s="14"/>
      <c r="N840" s="16"/>
      <c r="O840" s="14"/>
      <c r="P840" s="16"/>
      <c r="Q840" s="14"/>
      <c r="R840" s="5"/>
      <c r="S840" s="14"/>
      <c r="T840" s="16"/>
      <c r="U840" s="16"/>
      <c r="V840" s="17"/>
      <c r="W840" s="6"/>
      <c r="X840" s="22"/>
      <c r="Y840" s="14"/>
      <c r="Z840" s="14"/>
      <c r="AA840" s="14"/>
      <c r="AB840" s="14"/>
      <c r="AC840" s="14"/>
      <c r="AD840" s="14"/>
      <c r="AE840" s="14"/>
      <c r="AF840" s="14"/>
      <c r="AG840" s="19"/>
      <c r="AH840" s="20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</row>
    <row r="841" ht="15.75" customHeight="1">
      <c r="A841" s="5"/>
      <c r="B841" s="5"/>
      <c r="C841" s="5"/>
      <c r="D841" s="5"/>
      <c r="E841" s="14"/>
      <c r="F841" s="15"/>
      <c r="G841" s="14"/>
      <c r="H841" s="16"/>
      <c r="I841" s="14"/>
      <c r="J841" s="16"/>
      <c r="K841" s="14"/>
      <c r="L841" s="16"/>
      <c r="M841" s="14"/>
      <c r="N841" s="16"/>
      <c r="O841" s="14"/>
      <c r="P841" s="16"/>
      <c r="Q841" s="14"/>
      <c r="R841" s="5"/>
      <c r="S841" s="14"/>
      <c r="T841" s="16"/>
      <c r="U841" s="16"/>
      <c r="V841" s="17"/>
      <c r="W841" s="6"/>
      <c r="X841" s="22"/>
      <c r="Y841" s="14"/>
      <c r="Z841" s="14"/>
      <c r="AA841" s="14"/>
      <c r="AB841" s="14"/>
      <c r="AC841" s="14"/>
      <c r="AD841" s="14"/>
      <c r="AE841" s="14"/>
      <c r="AF841" s="14"/>
      <c r="AG841" s="19"/>
      <c r="AH841" s="20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</row>
    <row r="842" ht="15.75" customHeight="1">
      <c r="A842" s="5"/>
      <c r="B842" s="5"/>
      <c r="C842" s="5"/>
      <c r="D842" s="5"/>
      <c r="E842" s="14"/>
      <c r="F842" s="15"/>
      <c r="G842" s="14"/>
      <c r="H842" s="16"/>
      <c r="I842" s="14"/>
      <c r="J842" s="16"/>
      <c r="K842" s="14"/>
      <c r="L842" s="16"/>
      <c r="M842" s="14"/>
      <c r="N842" s="16"/>
      <c r="O842" s="14"/>
      <c r="P842" s="16"/>
      <c r="Q842" s="14"/>
      <c r="R842" s="5"/>
      <c r="S842" s="14"/>
      <c r="T842" s="16"/>
      <c r="U842" s="16"/>
      <c r="V842" s="17"/>
      <c r="W842" s="6"/>
      <c r="X842" s="22"/>
      <c r="Y842" s="14"/>
      <c r="Z842" s="14"/>
      <c r="AA842" s="14"/>
      <c r="AB842" s="14"/>
      <c r="AC842" s="14"/>
      <c r="AD842" s="14"/>
      <c r="AE842" s="14"/>
      <c r="AF842" s="14"/>
      <c r="AG842" s="19"/>
      <c r="AH842" s="20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</row>
    <row r="843" ht="15.75" customHeight="1">
      <c r="A843" s="5"/>
      <c r="B843" s="5"/>
      <c r="C843" s="5"/>
      <c r="D843" s="5"/>
      <c r="E843" s="14"/>
      <c r="F843" s="15"/>
      <c r="G843" s="14"/>
      <c r="H843" s="16"/>
      <c r="I843" s="14"/>
      <c r="J843" s="16"/>
      <c r="K843" s="14"/>
      <c r="L843" s="16"/>
      <c r="M843" s="14"/>
      <c r="N843" s="16"/>
      <c r="O843" s="14"/>
      <c r="P843" s="16"/>
      <c r="Q843" s="14"/>
      <c r="R843" s="5"/>
      <c r="S843" s="14"/>
      <c r="T843" s="16"/>
      <c r="U843" s="16"/>
      <c r="V843" s="17"/>
      <c r="W843" s="6"/>
      <c r="X843" s="22"/>
      <c r="Y843" s="14"/>
      <c r="Z843" s="14"/>
      <c r="AA843" s="14"/>
      <c r="AB843" s="14"/>
      <c r="AC843" s="14"/>
      <c r="AD843" s="14"/>
      <c r="AE843" s="14"/>
      <c r="AF843" s="14"/>
      <c r="AG843" s="19"/>
      <c r="AH843" s="20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</row>
    <row r="844" ht="15.75" customHeight="1">
      <c r="A844" s="5"/>
      <c r="B844" s="5"/>
      <c r="C844" s="5"/>
      <c r="D844" s="5"/>
      <c r="E844" s="14"/>
      <c r="F844" s="15"/>
      <c r="G844" s="14"/>
      <c r="H844" s="16"/>
      <c r="I844" s="14"/>
      <c r="J844" s="16"/>
      <c r="K844" s="14"/>
      <c r="L844" s="16"/>
      <c r="M844" s="14"/>
      <c r="N844" s="16"/>
      <c r="O844" s="14"/>
      <c r="P844" s="16"/>
      <c r="Q844" s="14"/>
      <c r="R844" s="5"/>
      <c r="S844" s="14"/>
      <c r="T844" s="16"/>
      <c r="U844" s="16"/>
      <c r="V844" s="17"/>
      <c r="W844" s="6"/>
      <c r="X844" s="22"/>
      <c r="Y844" s="14"/>
      <c r="Z844" s="14"/>
      <c r="AA844" s="14"/>
      <c r="AB844" s="14"/>
      <c r="AC844" s="14"/>
      <c r="AD844" s="14"/>
      <c r="AE844" s="14"/>
      <c r="AF844" s="14"/>
      <c r="AG844" s="19"/>
      <c r="AH844" s="20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</row>
    <row r="845" ht="15.75" customHeight="1">
      <c r="A845" s="5"/>
      <c r="B845" s="5"/>
      <c r="C845" s="5"/>
      <c r="D845" s="5"/>
      <c r="E845" s="14"/>
      <c r="F845" s="15"/>
      <c r="G845" s="14"/>
      <c r="H845" s="16"/>
      <c r="I845" s="14"/>
      <c r="J845" s="16"/>
      <c r="K845" s="14"/>
      <c r="L845" s="16"/>
      <c r="M845" s="14"/>
      <c r="N845" s="16"/>
      <c r="O845" s="14"/>
      <c r="P845" s="16"/>
      <c r="Q845" s="14"/>
      <c r="R845" s="5"/>
      <c r="S845" s="14"/>
      <c r="T845" s="16"/>
      <c r="U845" s="16"/>
      <c r="V845" s="17"/>
      <c r="W845" s="6"/>
      <c r="X845" s="22"/>
      <c r="Y845" s="14"/>
      <c r="Z845" s="14"/>
      <c r="AA845" s="14"/>
      <c r="AB845" s="14"/>
      <c r="AC845" s="14"/>
      <c r="AD845" s="14"/>
      <c r="AE845" s="14"/>
      <c r="AF845" s="14"/>
      <c r="AG845" s="19"/>
      <c r="AH845" s="20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</row>
    <row r="846" ht="15.75" customHeight="1">
      <c r="A846" s="5"/>
      <c r="B846" s="5"/>
      <c r="C846" s="5"/>
      <c r="D846" s="5"/>
      <c r="E846" s="14"/>
      <c r="F846" s="15"/>
      <c r="G846" s="14"/>
      <c r="H846" s="16"/>
      <c r="I846" s="14"/>
      <c r="J846" s="16"/>
      <c r="K846" s="14"/>
      <c r="L846" s="16"/>
      <c r="M846" s="14"/>
      <c r="N846" s="16"/>
      <c r="O846" s="14"/>
      <c r="P846" s="16"/>
      <c r="Q846" s="14"/>
      <c r="R846" s="5"/>
      <c r="S846" s="14"/>
      <c r="T846" s="16"/>
      <c r="U846" s="16"/>
      <c r="V846" s="17"/>
      <c r="W846" s="6"/>
      <c r="X846" s="22"/>
      <c r="Y846" s="14"/>
      <c r="Z846" s="14"/>
      <c r="AA846" s="14"/>
      <c r="AB846" s="14"/>
      <c r="AC846" s="14"/>
      <c r="AD846" s="14"/>
      <c r="AE846" s="14"/>
      <c r="AF846" s="14"/>
      <c r="AG846" s="19"/>
      <c r="AH846" s="20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</row>
    <row r="847" ht="15.75" customHeight="1">
      <c r="A847" s="5"/>
      <c r="B847" s="5"/>
      <c r="C847" s="5"/>
      <c r="D847" s="5"/>
      <c r="E847" s="14"/>
      <c r="F847" s="15"/>
      <c r="G847" s="14"/>
      <c r="H847" s="16"/>
      <c r="I847" s="14"/>
      <c r="J847" s="16"/>
      <c r="K847" s="14"/>
      <c r="L847" s="16"/>
      <c r="M847" s="14"/>
      <c r="N847" s="16"/>
      <c r="O847" s="14"/>
      <c r="P847" s="16"/>
      <c r="Q847" s="14"/>
      <c r="R847" s="5"/>
      <c r="S847" s="14"/>
      <c r="T847" s="16"/>
      <c r="U847" s="16"/>
      <c r="V847" s="17"/>
      <c r="W847" s="6"/>
      <c r="X847" s="22"/>
      <c r="Y847" s="14"/>
      <c r="Z847" s="14"/>
      <c r="AA847" s="14"/>
      <c r="AB847" s="14"/>
      <c r="AC847" s="14"/>
      <c r="AD847" s="14"/>
      <c r="AE847" s="14"/>
      <c r="AF847" s="14"/>
      <c r="AG847" s="19"/>
      <c r="AH847" s="20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</row>
    <row r="848" ht="15.75" customHeight="1">
      <c r="A848" s="5"/>
      <c r="B848" s="5"/>
      <c r="C848" s="5"/>
      <c r="D848" s="5"/>
      <c r="E848" s="14"/>
      <c r="F848" s="15"/>
      <c r="G848" s="14"/>
      <c r="H848" s="16"/>
      <c r="I848" s="14"/>
      <c r="J848" s="16"/>
      <c r="K848" s="14"/>
      <c r="L848" s="16"/>
      <c r="M848" s="14"/>
      <c r="N848" s="16"/>
      <c r="O848" s="14"/>
      <c r="P848" s="16"/>
      <c r="Q848" s="14"/>
      <c r="R848" s="5"/>
      <c r="S848" s="14"/>
      <c r="T848" s="16"/>
      <c r="U848" s="16"/>
      <c r="V848" s="17"/>
      <c r="W848" s="6"/>
      <c r="X848" s="22"/>
      <c r="Y848" s="14"/>
      <c r="Z848" s="14"/>
      <c r="AA848" s="14"/>
      <c r="AB848" s="14"/>
      <c r="AC848" s="14"/>
      <c r="AD848" s="14"/>
      <c r="AE848" s="14"/>
      <c r="AF848" s="14"/>
      <c r="AG848" s="19"/>
      <c r="AH848" s="20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</row>
    <row r="849" ht="15.75" customHeight="1">
      <c r="A849" s="5"/>
      <c r="B849" s="5"/>
      <c r="C849" s="5"/>
      <c r="D849" s="5"/>
      <c r="E849" s="14"/>
      <c r="F849" s="15"/>
      <c r="G849" s="14"/>
      <c r="H849" s="16"/>
      <c r="I849" s="14"/>
      <c r="J849" s="16"/>
      <c r="K849" s="14"/>
      <c r="L849" s="16"/>
      <c r="M849" s="14"/>
      <c r="N849" s="16"/>
      <c r="O849" s="14"/>
      <c r="P849" s="16"/>
      <c r="Q849" s="14"/>
      <c r="R849" s="5"/>
      <c r="S849" s="14"/>
      <c r="T849" s="16"/>
      <c r="U849" s="16"/>
      <c r="V849" s="17"/>
      <c r="W849" s="6"/>
      <c r="X849" s="22"/>
      <c r="Y849" s="14"/>
      <c r="Z849" s="14"/>
      <c r="AA849" s="14"/>
      <c r="AB849" s="14"/>
      <c r="AC849" s="14"/>
      <c r="AD849" s="14"/>
      <c r="AE849" s="14"/>
      <c r="AF849" s="14"/>
      <c r="AG849" s="19"/>
      <c r="AH849" s="20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</row>
    <row r="850" ht="15.75" customHeight="1">
      <c r="A850" s="5"/>
      <c r="B850" s="5"/>
      <c r="C850" s="5"/>
      <c r="D850" s="5"/>
      <c r="E850" s="14"/>
      <c r="F850" s="15"/>
      <c r="G850" s="14"/>
      <c r="H850" s="16"/>
      <c r="I850" s="14"/>
      <c r="J850" s="16"/>
      <c r="K850" s="14"/>
      <c r="L850" s="16"/>
      <c r="M850" s="14"/>
      <c r="N850" s="16"/>
      <c r="O850" s="14"/>
      <c r="P850" s="16"/>
      <c r="Q850" s="14"/>
      <c r="R850" s="5"/>
      <c r="S850" s="14"/>
      <c r="T850" s="16"/>
      <c r="U850" s="16"/>
      <c r="V850" s="17"/>
      <c r="W850" s="6"/>
      <c r="X850" s="22"/>
      <c r="Y850" s="14"/>
      <c r="Z850" s="14"/>
      <c r="AA850" s="14"/>
      <c r="AB850" s="14"/>
      <c r="AC850" s="14"/>
      <c r="AD850" s="14"/>
      <c r="AE850" s="14"/>
      <c r="AF850" s="14"/>
      <c r="AG850" s="19"/>
      <c r="AH850" s="20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</row>
    <row r="851" ht="15.75" customHeight="1">
      <c r="A851" s="5"/>
      <c r="B851" s="5"/>
      <c r="C851" s="5"/>
      <c r="D851" s="5"/>
      <c r="E851" s="14"/>
      <c r="F851" s="15"/>
      <c r="G851" s="14"/>
      <c r="H851" s="16"/>
      <c r="I851" s="14"/>
      <c r="J851" s="16"/>
      <c r="K851" s="14"/>
      <c r="L851" s="16"/>
      <c r="M851" s="14"/>
      <c r="N851" s="16"/>
      <c r="O851" s="14"/>
      <c r="P851" s="16"/>
      <c r="Q851" s="14"/>
      <c r="R851" s="5"/>
      <c r="S851" s="14"/>
      <c r="T851" s="16"/>
      <c r="U851" s="16"/>
      <c r="V851" s="17"/>
      <c r="W851" s="6"/>
      <c r="X851" s="22"/>
      <c r="Y851" s="14"/>
      <c r="Z851" s="14"/>
      <c r="AA851" s="14"/>
      <c r="AB851" s="14"/>
      <c r="AC851" s="14"/>
      <c r="AD851" s="14"/>
      <c r="AE851" s="14"/>
      <c r="AF851" s="14"/>
      <c r="AG851" s="19"/>
      <c r="AH851" s="20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</row>
    <row r="852" ht="15.75" customHeight="1">
      <c r="A852" s="5"/>
      <c r="B852" s="5"/>
      <c r="C852" s="5"/>
      <c r="D852" s="5"/>
      <c r="E852" s="14"/>
      <c r="F852" s="15"/>
      <c r="G852" s="14"/>
      <c r="H852" s="16"/>
      <c r="I852" s="14"/>
      <c r="J852" s="16"/>
      <c r="K852" s="14"/>
      <c r="L852" s="16"/>
      <c r="M852" s="14"/>
      <c r="N852" s="16"/>
      <c r="O852" s="14"/>
      <c r="P852" s="16"/>
      <c r="Q852" s="14"/>
      <c r="R852" s="5"/>
      <c r="S852" s="14"/>
      <c r="T852" s="16"/>
      <c r="U852" s="16"/>
      <c r="V852" s="17"/>
      <c r="W852" s="6"/>
      <c r="X852" s="22"/>
      <c r="Y852" s="14"/>
      <c r="Z852" s="14"/>
      <c r="AA852" s="14"/>
      <c r="AB852" s="14"/>
      <c r="AC852" s="14"/>
      <c r="AD852" s="14"/>
      <c r="AE852" s="14"/>
      <c r="AF852" s="14"/>
      <c r="AG852" s="19"/>
      <c r="AH852" s="20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</row>
    <row r="853" ht="15.75" customHeight="1">
      <c r="A853" s="5"/>
      <c r="B853" s="5"/>
      <c r="C853" s="5"/>
      <c r="D853" s="5"/>
      <c r="E853" s="14"/>
      <c r="F853" s="15"/>
      <c r="G853" s="14"/>
      <c r="H853" s="16"/>
      <c r="I853" s="14"/>
      <c r="J853" s="16"/>
      <c r="K853" s="14"/>
      <c r="L853" s="16"/>
      <c r="M853" s="14"/>
      <c r="N853" s="16"/>
      <c r="O853" s="14"/>
      <c r="P853" s="16"/>
      <c r="Q853" s="14"/>
      <c r="R853" s="5"/>
      <c r="S853" s="14"/>
      <c r="T853" s="16"/>
      <c r="U853" s="16"/>
      <c r="V853" s="17"/>
      <c r="W853" s="6"/>
      <c r="X853" s="22"/>
      <c r="Y853" s="14"/>
      <c r="Z853" s="14"/>
      <c r="AA853" s="14"/>
      <c r="AB853" s="14"/>
      <c r="AC853" s="14"/>
      <c r="AD853" s="14"/>
      <c r="AE853" s="14"/>
      <c r="AF853" s="14"/>
      <c r="AG853" s="19"/>
      <c r="AH853" s="20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</row>
    <row r="854" ht="15.75" customHeight="1">
      <c r="A854" s="5"/>
      <c r="B854" s="5"/>
      <c r="C854" s="5"/>
      <c r="D854" s="5"/>
      <c r="E854" s="14"/>
      <c r="F854" s="15"/>
      <c r="G854" s="14"/>
      <c r="H854" s="16"/>
      <c r="I854" s="14"/>
      <c r="J854" s="16"/>
      <c r="K854" s="14"/>
      <c r="L854" s="16"/>
      <c r="M854" s="14"/>
      <c r="N854" s="16"/>
      <c r="O854" s="14"/>
      <c r="P854" s="16"/>
      <c r="Q854" s="14"/>
      <c r="R854" s="5"/>
      <c r="S854" s="14"/>
      <c r="T854" s="16"/>
      <c r="U854" s="16"/>
      <c r="V854" s="17"/>
      <c r="W854" s="6"/>
      <c r="X854" s="22"/>
      <c r="Y854" s="14"/>
      <c r="Z854" s="14"/>
      <c r="AA854" s="14"/>
      <c r="AB854" s="14"/>
      <c r="AC854" s="14"/>
      <c r="AD854" s="14"/>
      <c r="AE854" s="14"/>
      <c r="AF854" s="14"/>
      <c r="AG854" s="19"/>
      <c r="AH854" s="20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</row>
    <row r="855" ht="15.75" customHeight="1">
      <c r="A855" s="5"/>
      <c r="B855" s="5"/>
      <c r="C855" s="5"/>
      <c r="D855" s="5"/>
      <c r="E855" s="14"/>
      <c r="F855" s="15"/>
      <c r="G855" s="14"/>
      <c r="H855" s="16"/>
      <c r="I855" s="14"/>
      <c r="J855" s="16"/>
      <c r="K855" s="14"/>
      <c r="L855" s="16"/>
      <c r="M855" s="14"/>
      <c r="N855" s="16"/>
      <c r="O855" s="14"/>
      <c r="P855" s="16"/>
      <c r="Q855" s="14"/>
      <c r="R855" s="5"/>
      <c r="S855" s="14"/>
      <c r="T855" s="16"/>
      <c r="U855" s="16"/>
      <c r="V855" s="17"/>
      <c r="W855" s="6"/>
      <c r="X855" s="22"/>
      <c r="Y855" s="14"/>
      <c r="Z855" s="14"/>
      <c r="AA855" s="14"/>
      <c r="AB855" s="14"/>
      <c r="AC855" s="14"/>
      <c r="AD855" s="14"/>
      <c r="AE855" s="14"/>
      <c r="AF855" s="14"/>
      <c r="AG855" s="19"/>
      <c r="AH855" s="20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</row>
    <row r="856" ht="15.75" customHeight="1">
      <c r="A856" s="5"/>
      <c r="B856" s="5"/>
      <c r="C856" s="5"/>
      <c r="D856" s="5"/>
      <c r="E856" s="14"/>
      <c r="F856" s="15"/>
      <c r="G856" s="14"/>
      <c r="H856" s="16"/>
      <c r="I856" s="14"/>
      <c r="J856" s="16"/>
      <c r="K856" s="14"/>
      <c r="L856" s="16"/>
      <c r="M856" s="14"/>
      <c r="N856" s="16"/>
      <c r="O856" s="14"/>
      <c r="P856" s="16"/>
      <c r="Q856" s="14"/>
      <c r="R856" s="5"/>
      <c r="S856" s="14"/>
      <c r="T856" s="16"/>
      <c r="U856" s="16"/>
      <c r="V856" s="17"/>
      <c r="W856" s="6"/>
      <c r="X856" s="22"/>
      <c r="Y856" s="14"/>
      <c r="Z856" s="14"/>
      <c r="AA856" s="14"/>
      <c r="AB856" s="14"/>
      <c r="AC856" s="14"/>
      <c r="AD856" s="14"/>
      <c r="AE856" s="14"/>
      <c r="AF856" s="14"/>
      <c r="AG856" s="19"/>
      <c r="AH856" s="20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</row>
    <row r="857" ht="15.75" customHeight="1">
      <c r="A857" s="5"/>
      <c r="B857" s="5"/>
      <c r="C857" s="5"/>
      <c r="D857" s="5"/>
      <c r="E857" s="14"/>
      <c r="F857" s="15"/>
      <c r="G857" s="14"/>
      <c r="H857" s="16"/>
      <c r="I857" s="14"/>
      <c r="J857" s="16"/>
      <c r="K857" s="14"/>
      <c r="L857" s="16"/>
      <c r="M857" s="14"/>
      <c r="N857" s="16"/>
      <c r="O857" s="14"/>
      <c r="P857" s="16"/>
      <c r="Q857" s="14"/>
      <c r="R857" s="5"/>
      <c r="S857" s="14"/>
      <c r="T857" s="16"/>
      <c r="U857" s="16"/>
      <c r="V857" s="17"/>
      <c r="W857" s="6"/>
      <c r="X857" s="22"/>
      <c r="Y857" s="14"/>
      <c r="Z857" s="14"/>
      <c r="AA857" s="14"/>
      <c r="AB857" s="14"/>
      <c r="AC857" s="14"/>
      <c r="AD857" s="14"/>
      <c r="AE857" s="14"/>
      <c r="AF857" s="14"/>
      <c r="AG857" s="19"/>
      <c r="AH857" s="20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</row>
    <row r="858" ht="15.75" customHeight="1">
      <c r="A858" s="5"/>
      <c r="B858" s="5"/>
      <c r="C858" s="5"/>
      <c r="D858" s="5"/>
      <c r="E858" s="14"/>
      <c r="F858" s="15"/>
      <c r="G858" s="14"/>
      <c r="H858" s="16"/>
      <c r="I858" s="14"/>
      <c r="J858" s="16"/>
      <c r="K858" s="14"/>
      <c r="L858" s="16"/>
      <c r="M858" s="14"/>
      <c r="N858" s="16"/>
      <c r="O858" s="14"/>
      <c r="P858" s="16"/>
      <c r="Q858" s="14"/>
      <c r="R858" s="5"/>
      <c r="S858" s="14"/>
      <c r="T858" s="16"/>
      <c r="U858" s="16"/>
      <c r="V858" s="17"/>
      <c r="W858" s="6"/>
      <c r="X858" s="22"/>
      <c r="Y858" s="14"/>
      <c r="Z858" s="14"/>
      <c r="AA858" s="14"/>
      <c r="AB858" s="14"/>
      <c r="AC858" s="14"/>
      <c r="AD858" s="14"/>
      <c r="AE858" s="14"/>
      <c r="AF858" s="14"/>
      <c r="AG858" s="19"/>
      <c r="AH858" s="20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</row>
    <row r="859" ht="15.75" customHeight="1">
      <c r="A859" s="5"/>
      <c r="B859" s="5"/>
      <c r="C859" s="5"/>
      <c r="D859" s="5"/>
      <c r="E859" s="14"/>
      <c r="F859" s="15"/>
      <c r="G859" s="14"/>
      <c r="H859" s="16"/>
      <c r="I859" s="14"/>
      <c r="J859" s="16"/>
      <c r="K859" s="14"/>
      <c r="L859" s="16"/>
      <c r="M859" s="14"/>
      <c r="N859" s="16"/>
      <c r="O859" s="14"/>
      <c r="P859" s="16"/>
      <c r="Q859" s="14"/>
      <c r="R859" s="5"/>
      <c r="S859" s="14"/>
      <c r="T859" s="16"/>
      <c r="U859" s="16"/>
      <c r="V859" s="17"/>
      <c r="W859" s="6"/>
      <c r="X859" s="22"/>
      <c r="Y859" s="14"/>
      <c r="Z859" s="14"/>
      <c r="AA859" s="14"/>
      <c r="AB859" s="14"/>
      <c r="AC859" s="14"/>
      <c r="AD859" s="14"/>
      <c r="AE859" s="14"/>
      <c r="AF859" s="14"/>
      <c r="AG859" s="19"/>
      <c r="AH859" s="20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</row>
    <row r="860" ht="15.75" customHeight="1">
      <c r="A860" s="5"/>
      <c r="B860" s="5"/>
      <c r="C860" s="5"/>
      <c r="D860" s="5"/>
      <c r="E860" s="14"/>
      <c r="F860" s="15"/>
      <c r="G860" s="14"/>
      <c r="H860" s="16"/>
      <c r="I860" s="14"/>
      <c r="J860" s="16"/>
      <c r="K860" s="14"/>
      <c r="L860" s="16"/>
      <c r="M860" s="14"/>
      <c r="N860" s="16"/>
      <c r="O860" s="14"/>
      <c r="P860" s="16"/>
      <c r="Q860" s="14"/>
      <c r="R860" s="5"/>
      <c r="S860" s="14"/>
      <c r="T860" s="16"/>
      <c r="U860" s="16"/>
      <c r="V860" s="17"/>
      <c r="W860" s="6"/>
      <c r="X860" s="22"/>
      <c r="Y860" s="14"/>
      <c r="Z860" s="14"/>
      <c r="AA860" s="14"/>
      <c r="AB860" s="14"/>
      <c r="AC860" s="14"/>
      <c r="AD860" s="14"/>
      <c r="AE860" s="14"/>
      <c r="AF860" s="14"/>
      <c r="AG860" s="19"/>
      <c r="AH860" s="20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</row>
    <row r="861" ht="15.75" customHeight="1">
      <c r="A861" s="5"/>
      <c r="B861" s="5"/>
      <c r="C861" s="5"/>
      <c r="D861" s="5"/>
      <c r="E861" s="14"/>
      <c r="F861" s="15"/>
      <c r="G861" s="14"/>
      <c r="H861" s="16"/>
      <c r="I861" s="14"/>
      <c r="J861" s="16"/>
      <c r="K861" s="14"/>
      <c r="L861" s="16"/>
      <c r="M861" s="14"/>
      <c r="N861" s="16"/>
      <c r="O861" s="14"/>
      <c r="P861" s="16"/>
      <c r="Q861" s="14"/>
      <c r="R861" s="5"/>
      <c r="S861" s="14"/>
      <c r="T861" s="16"/>
      <c r="U861" s="16"/>
      <c r="V861" s="17"/>
      <c r="W861" s="6"/>
      <c r="X861" s="22"/>
      <c r="Y861" s="14"/>
      <c r="Z861" s="14"/>
      <c r="AA861" s="14"/>
      <c r="AB861" s="14"/>
      <c r="AC861" s="14"/>
      <c r="AD861" s="14"/>
      <c r="AE861" s="14"/>
      <c r="AF861" s="14"/>
      <c r="AG861" s="19"/>
      <c r="AH861" s="20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</row>
    <row r="862" ht="15.75" customHeight="1">
      <c r="A862" s="5"/>
      <c r="B862" s="5"/>
      <c r="C862" s="5"/>
      <c r="D862" s="5"/>
      <c r="E862" s="14"/>
      <c r="F862" s="15"/>
      <c r="G862" s="14"/>
      <c r="H862" s="16"/>
      <c r="I862" s="14"/>
      <c r="J862" s="16"/>
      <c r="K862" s="14"/>
      <c r="L862" s="16"/>
      <c r="M862" s="14"/>
      <c r="N862" s="16"/>
      <c r="O862" s="14"/>
      <c r="P862" s="16"/>
      <c r="Q862" s="14"/>
      <c r="R862" s="5"/>
      <c r="S862" s="14"/>
      <c r="T862" s="16"/>
      <c r="U862" s="16"/>
      <c r="V862" s="17"/>
      <c r="W862" s="6"/>
      <c r="X862" s="22"/>
      <c r="Y862" s="14"/>
      <c r="Z862" s="14"/>
      <c r="AA862" s="14"/>
      <c r="AB862" s="14"/>
      <c r="AC862" s="14"/>
      <c r="AD862" s="14"/>
      <c r="AE862" s="14"/>
      <c r="AF862" s="14"/>
      <c r="AG862" s="19"/>
      <c r="AH862" s="20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</row>
    <row r="863" ht="15.75" customHeight="1">
      <c r="A863" s="5"/>
      <c r="B863" s="5"/>
      <c r="C863" s="5"/>
      <c r="D863" s="5"/>
      <c r="E863" s="14"/>
      <c r="F863" s="15"/>
      <c r="G863" s="14"/>
      <c r="H863" s="16"/>
      <c r="I863" s="14"/>
      <c r="J863" s="16"/>
      <c r="K863" s="14"/>
      <c r="L863" s="16"/>
      <c r="M863" s="14"/>
      <c r="N863" s="16"/>
      <c r="O863" s="14"/>
      <c r="P863" s="16"/>
      <c r="Q863" s="14"/>
      <c r="R863" s="5"/>
      <c r="S863" s="14"/>
      <c r="T863" s="16"/>
      <c r="U863" s="16"/>
      <c r="V863" s="17"/>
      <c r="W863" s="6"/>
      <c r="X863" s="22"/>
      <c r="Y863" s="14"/>
      <c r="Z863" s="14"/>
      <c r="AA863" s="14"/>
      <c r="AB863" s="14"/>
      <c r="AC863" s="14"/>
      <c r="AD863" s="14"/>
      <c r="AE863" s="14"/>
      <c r="AF863" s="14"/>
      <c r="AG863" s="19"/>
      <c r="AH863" s="20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</row>
    <row r="864" ht="15.75" customHeight="1">
      <c r="A864" s="5"/>
      <c r="B864" s="5"/>
      <c r="C864" s="5"/>
      <c r="D864" s="5"/>
      <c r="E864" s="14"/>
      <c r="F864" s="15"/>
      <c r="G864" s="14"/>
      <c r="H864" s="16"/>
      <c r="I864" s="14"/>
      <c r="J864" s="16"/>
      <c r="K864" s="14"/>
      <c r="L864" s="16"/>
      <c r="M864" s="14"/>
      <c r="N864" s="16"/>
      <c r="O864" s="14"/>
      <c r="P864" s="16"/>
      <c r="Q864" s="14"/>
      <c r="R864" s="5"/>
      <c r="S864" s="14"/>
      <c r="T864" s="16"/>
      <c r="U864" s="16"/>
      <c r="V864" s="17"/>
      <c r="W864" s="6"/>
      <c r="X864" s="22"/>
      <c r="Y864" s="14"/>
      <c r="Z864" s="14"/>
      <c r="AA864" s="14"/>
      <c r="AB864" s="14"/>
      <c r="AC864" s="14"/>
      <c r="AD864" s="14"/>
      <c r="AE864" s="14"/>
      <c r="AF864" s="14"/>
      <c r="AG864" s="19"/>
      <c r="AH864" s="20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</row>
    <row r="865" ht="15.75" customHeight="1">
      <c r="A865" s="5"/>
      <c r="B865" s="5"/>
      <c r="C865" s="5"/>
      <c r="D865" s="5"/>
      <c r="E865" s="14"/>
      <c r="F865" s="15"/>
      <c r="G865" s="14"/>
      <c r="H865" s="16"/>
      <c r="I865" s="14"/>
      <c r="J865" s="16"/>
      <c r="K865" s="14"/>
      <c r="L865" s="16"/>
      <c r="M865" s="14"/>
      <c r="N865" s="16"/>
      <c r="O865" s="14"/>
      <c r="P865" s="16"/>
      <c r="Q865" s="14"/>
      <c r="R865" s="5"/>
      <c r="S865" s="14"/>
      <c r="T865" s="16"/>
      <c r="U865" s="16"/>
      <c r="V865" s="17"/>
      <c r="W865" s="6"/>
      <c r="X865" s="22"/>
      <c r="Y865" s="14"/>
      <c r="Z865" s="14"/>
      <c r="AA865" s="14"/>
      <c r="AB865" s="14"/>
      <c r="AC865" s="14"/>
      <c r="AD865" s="14"/>
      <c r="AE865" s="14"/>
      <c r="AF865" s="14"/>
      <c r="AG865" s="19"/>
      <c r="AH865" s="20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</row>
    <row r="866" ht="15.75" customHeight="1">
      <c r="A866" s="5"/>
      <c r="B866" s="5"/>
      <c r="C866" s="5"/>
      <c r="D866" s="5"/>
      <c r="E866" s="14"/>
      <c r="F866" s="15"/>
      <c r="G866" s="14"/>
      <c r="H866" s="16"/>
      <c r="I866" s="14"/>
      <c r="J866" s="16"/>
      <c r="K866" s="14"/>
      <c r="L866" s="16"/>
      <c r="M866" s="14"/>
      <c r="N866" s="16"/>
      <c r="O866" s="14"/>
      <c r="P866" s="16"/>
      <c r="Q866" s="14"/>
      <c r="R866" s="5"/>
      <c r="S866" s="14"/>
      <c r="T866" s="16"/>
      <c r="U866" s="16"/>
      <c r="V866" s="17"/>
      <c r="W866" s="6"/>
      <c r="X866" s="22"/>
      <c r="Y866" s="14"/>
      <c r="Z866" s="14"/>
      <c r="AA866" s="14"/>
      <c r="AB866" s="14"/>
      <c r="AC866" s="14"/>
      <c r="AD866" s="14"/>
      <c r="AE866" s="14"/>
      <c r="AF866" s="14"/>
      <c r="AG866" s="19"/>
      <c r="AH866" s="20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</row>
    <row r="867" ht="15.75" customHeight="1">
      <c r="A867" s="5"/>
      <c r="B867" s="5"/>
      <c r="C867" s="5"/>
      <c r="D867" s="5"/>
      <c r="E867" s="14"/>
      <c r="F867" s="15"/>
      <c r="G867" s="14"/>
      <c r="H867" s="16"/>
      <c r="I867" s="14"/>
      <c r="J867" s="16"/>
      <c r="K867" s="14"/>
      <c r="L867" s="16"/>
      <c r="M867" s="14"/>
      <c r="N867" s="16"/>
      <c r="O867" s="14"/>
      <c r="P867" s="16"/>
      <c r="Q867" s="14"/>
      <c r="R867" s="5"/>
      <c r="S867" s="14"/>
      <c r="T867" s="16"/>
      <c r="U867" s="16"/>
      <c r="V867" s="17"/>
      <c r="W867" s="6"/>
      <c r="X867" s="22"/>
      <c r="Y867" s="14"/>
      <c r="Z867" s="14"/>
      <c r="AA867" s="14"/>
      <c r="AB867" s="14"/>
      <c r="AC867" s="14"/>
      <c r="AD867" s="14"/>
      <c r="AE867" s="14"/>
      <c r="AF867" s="14"/>
      <c r="AG867" s="19"/>
      <c r="AH867" s="20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</row>
    <row r="868" ht="15.75" customHeight="1">
      <c r="A868" s="5"/>
      <c r="B868" s="5"/>
      <c r="C868" s="5"/>
      <c r="D868" s="5"/>
      <c r="E868" s="14"/>
      <c r="F868" s="15"/>
      <c r="G868" s="14"/>
      <c r="H868" s="16"/>
      <c r="I868" s="14"/>
      <c r="J868" s="16"/>
      <c r="K868" s="14"/>
      <c r="L868" s="16"/>
      <c r="M868" s="14"/>
      <c r="N868" s="16"/>
      <c r="O868" s="14"/>
      <c r="P868" s="16"/>
      <c r="Q868" s="14"/>
      <c r="R868" s="5"/>
      <c r="S868" s="14"/>
      <c r="T868" s="16"/>
      <c r="U868" s="16"/>
      <c r="V868" s="17"/>
      <c r="W868" s="6"/>
      <c r="X868" s="22"/>
      <c r="Y868" s="14"/>
      <c r="Z868" s="14"/>
      <c r="AA868" s="14"/>
      <c r="AB868" s="14"/>
      <c r="AC868" s="14"/>
      <c r="AD868" s="14"/>
      <c r="AE868" s="14"/>
      <c r="AF868" s="14"/>
      <c r="AG868" s="19"/>
      <c r="AH868" s="20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</row>
    <row r="869" ht="15.75" customHeight="1">
      <c r="A869" s="5"/>
      <c r="B869" s="5"/>
      <c r="C869" s="5"/>
      <c r="D869" s="5"/>
      <c r="E869" s="14"/>
      <c r="F869" s="15"/>
      <c r="G869" s="14"/>
      <c r="H869" s="16"/>
      <c r="I869" s="14"/>
      <c r="J869" s="16"/>
      <c r="K869" s="14"/>
      <c r="L869" s="16"/>
      <c r="M869" s="14"/>
      <c r="N869" s="16"/>
      <c r="O869" s="14"/>
      <c r="P869" s="16"/>
      <c r="Q869" s="14"/>
      <c r="R869" s="5"/>
      <c r="S869" s="14"/>
      <c r="T869" s="16"/>
      <c r="U869" s="16"/>
      <c r="V869" s="17"/>
      <c r="W869" s="6"/>
      <c r="X869" s="22"/>
      <c r="Y869" s="14"/>
      <c r="Z869" s="14"/>
      <c r="AA869" s="14"/>
      <c r="AB869" s="14"/>
      <c r="AC869" s="14"/>
      <c r="AD869" s="14"/>
      <c r="AE869" s="14"/>
      <c r="AF869" s="14"/>
      <c r="AG869" s="19"/>
      <c r="AH869" s="20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</row>
    <row r="870" ht="15.75" customHeight="1">
      <c r="A870" s="5"/>
      <c r="B870" s="5"/>
      <c r="C870" s="5"/>
      <c r="D870" s="5"/>
      <c r="E870" s="14"/>
      <c r="F870" s="15"/>
      <c r="G870" s="14"/>
      <c r="H870" s="16"/>
      <c r="I870" s="14"/>
      <c r="J870" s="16"/>
      <c r="K870" s="14"/>
      <c r="L870" s="16"/>
      <c r="M870" s="14"/>
      <c r="N870" s="16"/>
      <c r="O870" s="14"/>
      <c r="P870" s="16"/>
      <c r="Q870" s="14"/>
      <c r="R870" s="5"/>
      <c r="S870" s="14"/>
      <c r="T870" s="16"/>
      <c r="U870" s="16"/>
      <c r="V870" s="17"/>
      <c r="W870" s="6"/>
      <c r="X870" s="22"/>
      <c r="Y870" s="14"/>
      <c r="Z870" s="14"/>
      <c r="AA870" s="14"/>
      <c r="AB870" s="14"/>
      <c r="AC870" s="14"/>
      <c r="AD870" s="14"/>
      <c r="AE870" s="14"/>
      <c r="AF870" s="14"/>
      <c r="AG870" s="19"/>
      <c r="AH870" s="20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</row>
    <row r="871" ht="15.75" customHeight="1">
      <c r="A871" s="5"/>
      <c r="B871" s="5"/>
      <c r="C871" s="5"/>
      <c r="D871" s="5"/>
      <c r="E871" s="14"/>
      <c r="F871" s="15"/>
      <c r="G871" s="14"/>
      <c r="H871" s="16"/>
      <c r="I871" s="14"/>
      <c r="J871" s="16"/>
      <c r="K871" s="14"/>
      <c r="L871" s="16"/>
      <c r="M871" s="14"/>
      <c r="N871" s="16"/>
      <c r="O871" s="14"/>
      <c r="P871" s="16"/>
      <c r="Q871" s="14"/>
      <c r="R871" s="5"/>
      <c r="S871" s="14"/>
      <c r="T871" s="16"/>
      <c r="U871" s="16"/>
      <c r="V871" s="17"/>
      <c r="W871" s="6"/>
      <c r="X871" s="22"/>
      <c r="Y871" s="14"/>
      <c r="Z871" s="14"/>
      <c r="AA871" s="14"/>
      <c r="AB871" s="14"/>
      <c r="AC871" s="14"/>
      <c r="AD871" s="14"/>
      <c r="AE871" s="14"/>
      <c r="AF871" s="14"/>
      <c r="AG871" s="19"/>
      <c r="AH871" s="20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</row>
    <row r="872" ht="15.75" customHeight="1">
      <c r="A872" s="5"/>
      <c r="B872" s="5"/>
      <c r="C872" s="5"/>
      <c r="D872" s="5"/>
      <c r="E872" s="14"/>
      <c r="F872" s="15"/>
      <c r="G872" s="14"/>
      <c r="H872" s="16"/>
      <c r="I872" s="14"/>
      <c r="J872" s="16"/>
      <c r="K872" s="14"/>
      <c r="L872" s="16"/>
      <c r="M872" s="14"/>
      <c r="N872" s="16"/>
      <c r="O872" s="14"/>
      <c r="P872" s="16"/>
      <c r="Q872" s="14"/>
      <c r="R872" s="5"/>
      <c r="S872" s="14"/>
      <c r="T872" s="16"/>
      <c r="U872" s="16"/>
      <c r="V872" s="17"/>
      <c r="W872" s="6"/>
      <c r="X872" s="22"/>
      <c r="Y872" s="14"/>
      <c r="Z872" s="14"/>
      <c r="AA872" s="14"/>
      <c r="AB872" s="14"/>
      <c r="AC872" s="14"/>
      <c r="AD872" s="14"/>
      <c r="AE872" s="14"/>
      <c r="AF872" s="14"/>
      <c r="AG872" s="19"/>
      <c r="AH872" s="20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</row>
    <row r="873" ht="15.75" customHeight="1">
      <c r="A873" s="5"/>
      <c r="B873" s="5"/>
      <c r="C873" s="5"/>
      <c r="D873" s="5"/>
      <c r="E873" s="14"/>
      <c r="F873" s="15"/>
      <c r="G873" s="14"/>
      <c r="H873" s="16"/>
      <c r="I873" s="14"/>
      <c r="J873" s="16"/>
      <c r="K873" s="14"/>
      <c r="L873" s="16"/>
      <c r="M873" s="14"/>
      <c r="N873" s="16"/>
      <c r="O873" s="14"/>
      <c r="P873" s="16"/>
      <c r="Q873" s="14"/>
      <c r="R873" s="5"/>
      <c r="S873" s="14"/>
      <c r="T873" s="16"/>
      <c r="U873" s="16"/>
      <c r="V873" s="17"/>
      <c r="W873" s="6"/>
      <c r="X873" s="22"/>
      <c r="Y873" s="14"/>
      <c r="Z873" s="14"/>
      <c r="AA873" s="14"/>
      <c r="AB873" s="14"/>
      <c r="AC873" s="14"/>
      <c r="AD873" s="14"/>
      <c r="AE873" s="14"/>
      <c r="AF873" s="14"/>
      <c r="AG873" s="19"/>
      <c r="AH873" s="20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</row>
    <row r="874" ht="15.75" customHeight="1">
      <c r="A874" s="5"/>
      <c r="B874" s="5"/>
      <c r="C874" s="5"/>
      <c r="D874" s="5"/>
      <c r="E874" s="14"/>
      <c r="F874" s="15"/>
      <c r="G874" s="14"/>
      <c r="H874" s="16"/>
      <c r="I874" s="14"/>
      <c r="J874" s="16"/>
      <c r="K874" s="14"/>
      <c r="L874" s="16"/>
      <c r="M874" s="14"/>
      <c r="N874" s="16"/>
      <c r="O874" s="14"/>
      <c r="P874" s="16"/>
      <c r="Q874" s="14"/>
      <c r="R874" s="5"/>
      <c r="S874" s="14"/>
      <c r="T874" s="16"/>
      <c r="U874" s="16"/>
      <c r="V874" s="17"/>
      <c r="W874" s="6"/>
      <c r="X874" s="22"/>
      <c r="Y874" s="14"/>
      <c r="Z874" s="14"/>
      <c r="AA874" s="14"/>
      <c r="AB874" s="14"/>
      <c r="AC874" s="14"/>
      <c r="AD874" s="14"/>
      <c r="AE874" s="14"/>
      <c r="AF874" s="14"/>
      <c r="AG874" s="19"/>
      <c r="AH874" s="20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</row>
    <row r="875" ht="15.75" customHeight="1">
      <c r="A875" s="5"/>
      <c r="B875" s="5"/>
      <c r="C875" s="5"/>
      <c r="D875" s="5"/>
      <c r="E875" s="14"/>
      <c r="F875" s="15"/>
      <c r="G875" s="14"/>
      <c r="H875" s="16"/>
      <c r="I875" s="14"/>
      <c r="J875" s="16"/>
      <c r="K875" s="14"/>
      <c r="L875" s="16"/>
      <c r="M875" s="14"/>
      <c r="N875" s="16"/>
      <c r="O875" s="14"/>
      <c r="P875" s="16"/>
      <c r="Q875" s="14"/>
      <c r="R875" s="5"/>
      <c r="S875" s="14"/>
      <c r="T875" s="16"/>
      <c r="U875" s="16"/>
      <c r="V875" s="17"/>
      <c r="W875" s="6"/>
      <c r="X875" s="22"/>
      <c r="Y875" s="14"/>
      <c r="Z875" s="14"/>
      <c r="AA875" s="14"/>
      <c r="AB875" s="14"/>
      <c r="AC875" s="14"/>
      <c r="AD875" s="14"/>
      <c r="AE875" s="14"/>
      <c r="AF875" s="14"/>
      <c r="AG875" s="19"/>
      <c r="AH875" s="20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</row>
    <row r="876" ht="15.75" customHeight="1">
      <c r="A876" s="5"/>
      <c r="B876" s="5"/>
      <c r="C876" s="5"/>
      <c r="D876" s="5"/>
      <c r="E876" s="14"/>
      <c r="F876" s="15"/>
      <c r="G876" s="14"/>
      <c r="H876" s="16"/>
      <c r="I876" s="14"/>
      <c r="J876" s="16"/>
      <c r="K876" s="14"/>
      <c r="L876" s="16"/>
      <c r="M876" s="14"/>
      <c r="N876" s="16"/>
      <c r="O876" s="14"/>
      <c r="P876" s="16"/>
      <c r="Q876" s="14"/>
      <c r="R876" s="5"/>
      <c r="S876" s="14"/>
      <c r="T876" s="16"/>
      <c r="U876" s="16"/>
      <c r="V876" s="17"/>
      <c r="W876" s="6"/>
      <c r="X876" s="22"/>
      <c r="Y876" s="14"/>
      <c r="Z876" s="14"/>
      <c r="AA876" s="14"/>
      <c r="AB876" s="14"/>
      <c r="AC876" s="14"/>
      <c r="AD876" s="14"/>
      <c r="AE876" s="14"/>
      <c r="AF876" s="14"/>
      <c r="AG876" s="19"/>
      <c r="AH876" s="20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</row>
    <row r="877" ht="15.75" customHeight="1">
      <c r="A877" s="5"/>
      <c r="B877" s="5"/>
      <c r="C877" s="5"/>
      <c r="D877" s="5"/>
      <c r="E877" s="14"/>
      <c r="F877" s="15"/>
      <c r="G877" s="14"/>
      <c r="H877" s="16"/>
      <c r="I877" s="14"/>
      <c r="J877" s="16"/>
      <c r="K877" s="14"/>
      <c r="L877" s="16"/>
      <c r="M877" s="14"/>
      <c r="N877" s="16"/>
      <c r="O877" s="14"/>
      <c r="P877" s="16"/>
      <c r="Q877" s="14"/>
      <c r="R877" s="5"/>
      <c r="S877" s="14"/>
      <c r="T877" s="16"/>
      <c r="U877" s="16"/>
      <c r="V877" s="17"/>
      <c r="W877" s="6"/>
      <c r="X877" s="22"/>
      <c r="Y877" s="14"/>
      <c r="Z877" s="14"/>
      <c r="AA877" s="14"/>
      <c r="AB877" s="14"/>
      <c r="AC877" s="14"/>
      <c r="AD877" s="14"/>
      <c r="AE877" s="14"/>
      <c r="AF877" s="14"/>
      <c r="AG877" s="19"/>
      <c r="AH877" s="20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</row>
    <row r="878" ht="15.75" customHeight="1">
      <c r="A878" s="5"/>
      <c r="B878" s="5"/>
      <c r="C878" s="5"/>
      <c r="D878" s="5"/>
      <c r="E878" s="14"/>
      <c r="F878" s="15"/>
      <c r="G878" s="14"/>
      <c r="H878" s="16"/>
      <c r="I878" s="14"/>
      <c r="J878" s="16"/>
      <c r="K878" s="14"/>
      <c r="L878" s="16"/>
      <c r="M878" s="14"/>
      <c r="N878" s="16"/>
      <c r="O878" s="14"/>
      <c r="P878" s="16"/>
      <c r="Q878" s="14"/>
      <c r="R878" s="5"/>
      <c r="S878" s="14"/>
      <c r="T878" s="16"/>
      <c r="U878" s="16"/>
      <c r="V878" s="17"/>
      <c r="W878" s="6"/>
      <c r="X878" s="22"/>
      <c r="Y878" s="14"/>
      <c r="Z878" s="14"/>
      <c r="AA878" s="14"/>
      <c r="AB878" s="14"/>
      <c r="AC878" s="14"/>
      <c r="AD878" s="14"/>
      <c r="AE878" s="14"/>
      <c r="AF878" s="14"/>
      <c r="AG878" s="19"/>
      <c r="AH878" s="20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</row>
    <row r="879" ht="15.75" customHeight="1">
      <c r="A879" s="5"/>
      <c r="B879" s="5"/>
      <c r="C879" s="5"/>
      <c r="D879" s="5"/>
      <c r="E879" s="14"/>
      <c r="F879" s="15"/>
      <c r="G879" s="14"/>
      <c r="H879" s="16"/>
      <c r="I879" s="14"/>
      <c r="J879" s="16"/>
      <c r="K879" s="14"/>
      <c r="L879" s="16"/>
      <c r="M879" s="14"/>
      <c r="N879" s="16"/>
      <c r="O879" s="14"/>
      <c r="P879" s="16"/>
      <c r="Q879" s="14"/>
      <c r="R879" s="5"/>
      <c r="S879" s="14"/>
      <c r="T879" s="16"/>
      <c r="U879" s="16"/>
      <c r="V879" s="17"/>
      <c r="W879" s="6"/>
      <c r="X879" s="22"/>
      <c r="Y879" s="14"/>
      <c r="Z879" s="14"/>
      <c r="AA879" s="14"/>
      <c r="AB879" s="14"/>
      <c r="AC879" s="14"/>
      <c r="AD879" s="14"/>
      <c r="AE879" s="14"/>
      <c r="AF879" s="14"/>
      <c r="AG879" s="19"/>
      <c r="AH879" s="20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</row>
    <row r="880" ht="15.75" customHeight="1">
      <c r="A880" s="5"/>
      <c r="B880" s="5"/>
      <c r="C880" s="5"/>
      <c r="D880" s="5"/>
      <c r="E880" s="14"/>
      <c r="F880" s="15"/>
      <c r="G880" s="14"/>
      <c r="H880" s="16"/>
      <c r="I880" s="14"/>
      <c r="J880" s="16"/>
      <c r="K880" s="14"/>
      <c r="L880" s="16"/>
      <c r="M880" s="14"/>
      <c r="N880" s="16"/>
      <c r="O880" s="14"/>
      <c r="P880" s="16"/>
      <c r="Q880" s="14"/>
      <c r="R880" s="5"/>
      <c r="S880" s="14"/>
      <c r="T880" s="16"/>
      <c r="U880" s="16"/>
      <c r="V880" s="17"/>
      <c r="W880" s="6"/>
      <c r="X880" s="22"/>
      <c r="Y880" s="14"/>
      <c r="Z880" s="14"/>
      <c r="AA880" s="14"/>
      <c r="AB880" s="14"/>
      <c r="AC880" s="14"/>
      <c r="AD880" s="14"/>
      <c r="AE880" s="14"/>
      <c r="AF880" s="14"/>
      <c r="AG880" s="19"/>
      <c r="AH880" s="20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</row>
    <row r="881" ht="15.75" customHeight="1">
      <c r="A881" s="5"/>
      <c r="B881" s="5"/>
      <c r="C881" s="5"/>
      <c r="D881" s="5"/>
      <c r="E881" s="14"/>
      <c r="F881" s="15"/>
      <c r="G881" s="14"/>
      <c r="H881" s="16"/>
      <c r="I881" s="14"/>
      <c r="J881" s="16"/>
      <c r="K881" s="14"/>
      <c r="L881" s="16"/>
      <c r="M881" s="14"/>
      <c r="N881" s="16"/>
      <c r="O881" s="14"/>
      <c r="P881" s="16"/>
      <c r="Q881" s="14"/>
      <c r="R881" s="5"/>
      <c r="S881" s="14"/>
      <c r="T881" s="16"/>
      <c r="U881" s="16"/>
      <c r="V881" s="17"/>
      <c r="W881" s="6"/>
      <c r="X881" s="22"/>
      <c r="Y881" s="14"/>
      <c r="Z881" s="14"/>
      <c r="AA881" s="14"/>
      <c r="AB881" s="14"/>
      <c r="AC881" s="14"/>
      <c r="AD881" s="14"/>
      <c r="AE881" s="14"/>
      <c r="AF881" s="14"/>
      <c r="AG881" s="19"/>
      <c r="AH881" s="20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</row>
    <row r="882" ht="15.75" customHeight="1">
      <c r="A882" s="5"/>
      <c r="B882" s="5"/>
      <c r="C882" s="5"/>
      <c r="D882" s="5"/>
      <c r="E882" s="14"/>
      <c r="F882" s="15"/>
      <c r="G882" s="14"/>
      <c r="H882" s="16"/>
      <c r="I882" s="14"/>
      <c r="J882" s="16"/>
      <c r="K882" s="14"/>
      <c r="L882" s="16"/>
      <c r="M882" s="14"/>
      <c r="N882" s="16"/>
      <c r="O882" s="14"/>
      <c r="P882" s="16"/>
      <c r="Q882" s="14"/>
      <c r="R882" s="5"/>
      <c r="S882" s="14"/>
      <c r="T882" s="16"/>
      <c r="U882" s="16"/>
      <c r="V882" s="17"/>
      <c r="W882" s="6"/>
      <c r="X882" s="22"/>
      <c r="Y882" s="14"/>
      <c r="Z882" s="14"/>
      <c r="AA882" s="14"/>
      <c r="AB882" s="14"/>
      <c r="AC882" s="14"/>
      <c r="AD882" s="14"/>
      <c r="AE882" s="14"/>
      <c r="AF882" s="14"/>
      <c r="AG882" s="19"/>
      <c r="AH882" s="20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</row>
    <row r="883" ht="15.75" customHeight="1">
      <c r="A883" s="5"/>
      <c r="B883" s="5"/>
      <c r="C883" s="5"/>
      <c r="D883" s="5"/>
      <c r="E883" s="14"/>
      <c r="F883" s="15"/>
      <c r="G883" s="14"/>
      <c r="H883" s="16"/>
      <c r="I883" s="14"/>
      <c r="J883" s="16"/>
      <c r="K883" s="14"/>
      <c r="L883" s="16"/>
      <c r="M883" s="14"/>
      <c r="N883" s="16"/>
      <c r="O883" s="14"/>
      <c r="P883" s="16"/>
      <c r="Q883" s="14"/>
      <c r="R883" s="5"/>
      <c r="S883" s="14"/>
      <c r="T883" s="16"/>
      <c r="U883" s="16"/>
      <c r="V883" s="17"/>
      <c r="W883" s="6"/>
      <c r="X883" s="22"/>
      <c r="Y883" s="14"/>
      <c r="Z883" s="14"/>
      <c r="AA883" s="14"/>
      <c r="AB883" s="14"/>
      <c r="AC883" s="14"/>
      <c r="AD883" s="14"/>
      <c r="AE883" s="14"/>
      <c r="AF883" s="14"/>
      <c r="AG883" s="19"/>
      <c r="AH883" s="20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</row>
    <row r="884" ht="15.75" customHeight="1">
      <c r="A884" s="5"/>
      <c r="B884" s="5"/>
      <c r="C884" s="5"/>
      <c r="D884" s="5"/>
      <c r="E884" s="14"/>
      <c r="F884" s="15"/>
      <c r="G884" s="14"/>
      <c r="H884" s="16"/>
      <c r="I884" s="14"/>
      <c r="J884" s="16"/>
      <c r="K884" s="14"/>
      <c r="L884" s="16"/>
      <c r="M884" s="14"/>
      <c r="N884" s="16"/>
      <c r="O884" s="14"/>
      <c r="P884" s="16"/>
      <c r="Q884" s="14"/>
      <c r="R884" s="5"/>
      <c r="S884" s="14"/>
      <c r="T884" s="16"/>
      <c r="U884" s="16"/>
      <c r="V884" s="17"/>
      <c r="W884" s="6"/>
      <c r="X884" s="22"/>
      <c r="Y884" s="14"/>
      <c r="Z884" s="14"/>
      <c r="AA884" s="14"/>
      <c r="AB884" s="14"/>
      <c r="AC884" s="14"/>
      <c r="AD884" s="14"/>
      <c r="AE884" s="14"/>
      <c r="AF884" s="14"/>
      <c r="AG884" s="19"/>
      <c r="AH884" s="20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</row>
    <row r="885" ht="15.75" customHeight="1">
      <c r="A885" s="5"/>
      <c r="B885" s="5"/>
      <c r="C885" s="5"/>
      <c r="D885" s="5"/>
      <c r="E885" s="14"/>
      <c r="F885" s="15"/>
      <c r="G885" s="14"/>
      <c r="H885" s="16"/>
      <c r="I885" s="14"/>
      <c r="J885" s="16"/>
      <c r="K885" s="14"/>
      <c r="L885" s="16"/>
      <c r="M885" s="14"/>
      <c r="N885" s="16"/>
      <c r="O885" s="14"/>
      <c r="P885" s="16"/>
      <c r="Q885" s="14"/>
      <c r="R885" s="5"/>
      <c r="S885" s="14"/>
      <c r="T885" s="16"/>
      <c r="U885" s="16"/>
      <c r="V885" s="17"/>
      <c r="W885" s="6"/>
      <c r="X885" s="22"/>
      <c r="Y885" s="14"/>
      <c r="Z885" s="14"/>
      <c r="AA885" s="14"/>
      <c r="AB885" s="14"/>
      <c r="AC885" s="14"/>
      <c r="AD885" s="14"/>
      <c r="AE885" s="14"/>
      <c r="AF885" s="14"/>
      <c r="AG885" s="19"/>
      <c r="AH885" s="20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</row>
    <row r="886" ht="15.75" customHeight="1">
      <c r="A886" s="5"/>
      <c r="B886" s="5"/>
      <c r="C886" s="5"/>
      <c r="D886" s="5"/>
      <c r="E886" s="14"/>
      <c r="F886" s="15"/>
      <c r="G886" s="14"/>
      <c r="H886" s="16"/>
      <c r="I886" s="14"/>
      <c r="J886" s="16"/>
      <c r="K886" s="14"/>
      <c r="L886" s="16"/>
      <c r="M886" s="14"/>
      <c r="N886" s="16"/>
      <c r="O886" s="14"/>
      <c r="P886" s="16"/>
      <c r="Q886" s="14"/>
      <c r="R886" s="5"/>
      <c r="S886" s="14"/>
      <c r="T886" s="16"/>
      <c r="U886" s="16"/>
      <c r="V886" s="17"/>
      <c r="W886" s="6"/>
      <c r="X886" s="22"/>
      <c r="Y886" s="14"/>
      <c r="Z886" s="14"/>
      <c r="AA886" s="14"/>
      <c r="AB886" s="14"/>
      <c r="AC886" s="14"/>
      <c r="AD886" s="14"/>
      <c r="AE886" s="14"/>
      <c r="AF886" s="14"/>
      <c r="AG886" s="19"/>
      <c r="AH886" s="20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</row>
    <row r="887" ht="15.75" customHeight="1">
      <c r="A887" s="5"/>
      <c r="B887" s="5"/>
      <c r="C887" s="5"/>
      <c r="D887" s="5"/>
      <c r="E887" s="14"/>
      <c r="F887" s="15"/>
      <c r="G887" s="14"/>
      <c r="H887" s="16"/>
      <c r="I887" s="14"/>
      <c r="J887" s="16"/>
      <c r="K887" s="14"/>
      <c r="L887" s="16"/>
      <c r="M887" s="14"/>
      <c r="N887" s="16"/>
      <c r="O887" s="14"/>
      <c r="P887" s="16"/>
      <c r="Q887" s="14"/>
      <c r="R887" s="5"/>
      <c r="S887" s="14"/>
      <c r="T887" s="16"/>
      <c r="U887" s="16"/>
      <c r="V887" s="17"/>
      <c r="W887" s="6"/>
      <c r="X887" s="22"/>
      <c r="Y887" s="14"/>
      <c r="Z887" s="14"/>
      <c r="AA887" s="14"/>
      <c r="AB887" s="14"/>
      <c r="AC887" s="14"/>
      <c r="AD887" s="14"/>
      <c r="AE887" s="14"/>
      <c r="AF887" s="14"/>
      <c r="AG887" s="19"/>
      <c r="AH887" s="20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</row>
    <row r="888" ht="15.75" customHeight="1">
      <c r="A888" s="5"/>
      <c r="B888" s="5"/>
      <c r="C888" s="5"/>
      <c r="D888" s="5"/>
      <c r="E888" s="14"/>
      <c r="F888" s="15"/>
      <c r="G888" s="14"/>
      <c r="H888" s="16"/>
      <c r="I888" s="14"/>
      <c r="J888" s="16"/>
      <c r="K888" s="14"/>
      <c r="L888" s="16"/>
      <c r="M888" s="14"/>
      <c r="N888" s="16"/>
      <c r="O888" s="14"/>
      <c r="P888" s="16"/>
      <c r="Q888" s="14"/>
      <c r="R888" s="5"/>
      <c r="S888" s="14"/>
      <c r="T888" s="16"/>
      <c r="U888" s="16"/>
      <c r="V888" s="17"/>
      <c r="W888" s="6"/>
      <c r="X888" s="22"/>
      <c r="Y888" s="14"/>
      <c r="Z888" s="14"/>
      <c r="AA888" s="14"/>
      <c r="AB888" s="14"/>
      <c r="AC888" s="14"/>
      <c r="AD888" s="14"/>
      <c r="AE888" s="14"/>
      <c r="AF888" s="14"/>
      <c r="AG888" s="19"/>
      <c r="AH888" s="20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</row>
    <row r="889" ht="15.75" customHeight="1">
      <c r="A889" s="5"/>
      <c r="B889" s="5"/>
      <c r="C889" s="5"/>
      <c r="D889" s="5"/>
      <c r="E889" s="14"/>
      <c r="F889" s="15"/>
      <c r="G889" s="14"/>
      <c r="H889" s="16"/>
      <c r="I889" s="14"/>
      <c r="J889" s="16"/>
      <c r="K889" s="14"/>
      <c r="L889" s="16"/>
      <c r="M889" s="14"/>
      <c r="N889" s="16"/>
      <c r="O889" s="14"/>
      <c r="P889" s="16"/>
      <c r="Q889" s="14"/>
      <c r="R889" s="5"/>
      <c r="S889" s="14"/>
      <c r="T889" s="16"/>
      <c r="U889" s="16"/>
      <c r="V889" s="17"/>
      <c r="W889" s="6"/>
      <c r="X889" s="22"/>
      <c r="Y889" s="14"/>
      <c r="Z889" s="14"/>
      <c r="AA889" s="14"/>
      <c r="AB889" s="14"/>
      <c r="AC889" s="14"/>
      <c r="AD889" s="14"/>
      <c r="AE889" s="14"/>
      <c r="AF889" s="14"/>
      <c r="AG889" s="19"/>
      <c r="AH889" s="20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</row>
    <row r="890" ht="15.75" customHeight="1">
      <c r="A890" s="5"/>
      <c r="B890" s="5"/>
      <c r="C890" s="5"/>
      <c r="D890" s="5"/>
      <c r="E890" s="14"/>
      <c r="F890" s="15"/>
      <c r="G890" s="14"/>
      <c r="H890" s="16"/>
      <c r="I890" s="14"/>
      <c r="J890" s="16"/>
      <c r="K890" s="14"/>
      <c r="L890" s="16"/>
      <c r="M890" s="14"/>
      <c r="N890" s="16"/>
      <c r="O890" s="14"/>
      <c r="P890" s="16"/>
      <c r="Q890" s="14"/>
      <c r="R890" s="5"/>
      <c r="S890" s="14"/>
      <c r="T890" s="16"/>
      <c r="U890" s="16"/>
      <c r="V890" s="17"/>
      <c r="W890" s="6"/>
      <c r="X890" s="22"/>
      <c r="Y890" s="14"/>
      <c r="Z890" s="14"/>
      <c r="AA890" s="14"/>
      <c r="AB890" s="14"/>
      <c r="AC890" s="14"/>
      <c r="AD890" s="14"/>
      <c r="AE890" s="14"/>
      <c r="AF890" s="14"/>
      <c r="AG890" s="19"/>
      <c r="AH890" s="20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</row>
    <row r="891" ht="15.75" customHeight="1">
      <c r="A891" s="5"/>
      <c r="B891" s="5"/>
      <c r="C891" s="5"/>
      <c r="D891" s="5"/>
      <c r="E891" s="14"/>
      <c r="F891" s="15"/>
      <c r="G891" s="14"/>
      <c r="H891" s="16"/>
      <c r="I891" s="14"/>
      <c r="J891" s="16"/>
      <c r="K891" s="14"/>
      <c r="L891" s="16"/>
      <c r="M891" s="14"/>
      <c r="N891" s="16"/>
      <c r="O891" s="14"/>
      <c r="P891" s="16"/>
      <c r="Q891" s="14"/>
      <c r="R891" s="5"/>
      <c r="S891" s="14"/>
      <c r="T891" s="16"/>
      <c r="U891" s="16"/>
      <c r="V891" s="17"/>
      <c r="W891" s="6"/>
      <c r="X891" s="22"/>
      <c r="Y891" s="14"/>
      <c r="Z891" s="14"/>
      <c r="AA891" s="14"/>
      <c r="AB891" s="14"/>
      <c r="AC891" s="14"/>
      <c r="AD891" s="14"/>
      <c r="AE891" s="14"/>
      <c r="AF891" s="14"/>
      <c r="AG891" s="19"/>
      <c r="AH891" s="20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</row>
    <row r="892" ht="15.75" customHeight="1">
      <c r="A892" s="5"/>
      <c r="B892" s="5"/>
      <c r="C892" s="5"/>
      <c r="D892" s="5"/>
      <c r="E892" s="14"/>
      <c r="F892" s="15"/>
      <c r="G892" s="14"/>
      <c r="H892" s="16"/>
      <c r="I892" s="14"/>
      <c r="J892" s="16"/>
      <c r="K892" s="14"/>
      <c r="L892" s="16"/>
      <c r="M892" s="14"/>
      <c r="N892" s="16"/>
      <c r="O892" s="14"/>
      <c r="P892" s="16"/>
      <c r="Q892" s="14"/>
      <c r="R892" s="5"/>
      <c r="S892" s="14"/>
      <c r="T892" s="16"/>
      <c r="U892" s="16"/>
      <c r="V892" s="17"/>
      <c r="W892" s="6"/>
      <c r="X892" s="22"/>
      <c r="Y892" s="14"/>
      <c r="Z892" s="14"/>
      <c r="AA892" s="14"/>
      <c r="AB892" s="14"/>
      <c r="AC892" s="14"/>
      <c r="AD892" s="14"/>
      <c r="AE892" s="14"/>
      <c r="AF892" s="14"/>
      <c r="AG892" s="19"/>
      <c r="AH892" s="20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</row>
    <row r="893" ht="15.75" customHeight="1">
      <c r="A893" s="5"/>
      <c r="B893" s="5"/>
      <c r="C893" s="5"/>
      <c r="D893" s="5"/>
      <c r="E893" s="14"/>
      <c r="F893" s="15"/>
      <c r="G893" s="14"/>
      <c r="H893" s="16"/>
      <c r="I893" s="14"/>
      <c r="J893" s="16"/>
      <c r="K893" s="14"/>
      <c r="L893" s="16"/>
      <c r="M893" s="14"/>
      <c r="N893" s="16"/>
      <c r="O893" s="14"/>
      <c r="P893" s="16"/>
      <c r="Q893" s="14"/>
      <c r="R893" s="5"/>
      <c r="S893" s="14"/>
      <c r="T893" s="16"/>
      <c r="U893" s="16"/>
      <c r="V893" s="17"/>
      <c r="W893" s="6"/>
      <c r="X893" s="22"/>
      <c r="Y893" s="14"/>
      <c r="Z893" s="14"/>
      <c r="AA893" s="14"/>
      <c r="AB893" s="14"/>
      <c r="AC893" s="14"/>
      <c r="AD893" s="14"/>
      <c r="AE893" s="14"/>
      <c r="AF893" s="14"/>
      <c r="AG893" s="19"/>
      <c r="AH893" s="20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</row>
    <row r="894" ht="15.75" customHeight="1">
      <c r="A894" s="5"/>
      <c r="B894" s="5"/>
      <c r="C894" s="5"/>
      <c r="D894" s="5"/>
      <c r="E894" s="14"/>
      <c r="F894" s="15"/>
      <c r="G894" s="14"/>
      <c r="H894" s="16"/>
      <c r="I894" s="14"/>
      <c r="J894" s="16"/>
      <c r="K894" s="14"/>
      <c r="L894" s="16"/>
      <c r="M894" s="14"/>
      <c r="N894" s="16"/>
      <c r="O894" s="14"/>
      <c r="P894" s="16"/>
      <c r="Q894" s="14"/>
      <c r="R894" s="5"/>
      <c r="S894" s="14"/>
      <c r="T894" s="16"/>
      <c r="U894" s="16"/>
      <c r="V894" s="17"/>
      <c r="W894" s="6"/>
      <c r="X894" s="22"/>
      <c r="Y894" s="14"/>
      <c r="Z894" s="14"/>
      <c r="AA894" s="14"/>
      <c r="AB894" s="14"/>
      <c r="AC894" s="14"/>
      <c r="AD894" s="14"/>
      <c r="AE894" s="14"/>
      <c r="AF894" s="14"/>
      <c r="AG894" s="19"/>
      <c r="AH894" s="20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</row>
    <row r="895" ht="15.75" customHeight="1">
      <c r="A895" s="5"/>
      <c r="B895" s="5"/>
      <c r="C895" s="5"/>
      <c r="D895" s="5"/>
      <c r="E895" s="14"/>
      <c r="F895" s="15"/>
      <c r="G895" s="14"/>
      <c r="H895" s="16"/>
      <c r="I895" s="14"/>
      <c r="J895" s="16"/>
      <c r="K895" s="14"/>
      <c r="L895" s="16"/>
      <c r="M895" s="14"/>
      <c r="N895" s="16"/>
      <c r="O895" s="14"/>
      <c r="P895" s="16"/>
      <c r="Q895" s="14"/>
      <c r="R895" s="5"/>
      <c r="S895" s="14"/>
      <c r="T895" s="16"/>
      <c r="U895" s="16"/>
      <c r="V895" s="17"/>
      <c r="W895" s="6"/>
      <c r="X895" s="22"/>
      <c r="Y895" s="14"/>
      <c r="Z895" s="14"/>
      <c r="AA895" s="14"/>
      <c r="AB895" s="14"/>
      <c r="AC895" s="14"/>
      <c r="AD895" s="14"/>
      <c r="AE895" s="14"/>
      <c r="AF895" s="14"/>
      <c r="AG895" s="19"/>
      <c r="AH895" s="20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</row>
    <row r="896" ht="15.75" customHeight="1">
      <c r="A896" s="5"/>
      <c r="B896" s="5"/>
      <c r="C896" s="5"/>
      <c r="D896" s="5"/>
      <c r="E896" s="14"/>
      <c r="F896" s="15"/>
      <c r="G896" s="14"/>
      <c r="H896" s="16"/>
      <c r="I896" s="14"/>
      <c r="J896" s="16"/>
      <c r="K896" s="14"/>
      <c r="L896" s="16"/>
      <c r="M896" s="14"/>
      <c r="N896" s="16"/>
      <c r="O896" s="14"/>
      <c r="P896" s="16"/>
      <c r="Q896" s="14"/>
      <c r="R896" s="5"/>
      <c r="S896" s="14"/>
      <c r="T896" s="16"/>
      <c r="U896" s="16"/>
      <c r="V896" s="17"/>
      <c r="W896" s="6"/>
      <c r="X896" s="22"/>
      <c r="Y896" s="14"/>
      <c r="Z896" s="14"/>
      <c r="AA896" s="14"/>
      <c r="AB896" s="14"/>
      <c r="AC896" s="14"/>
      <c r="AD896" s="14"/>
      <c r="AE896" s="14"/>
      <c r="AF896" s="14"/>
      <c r="AG896" s="19"/>
      <c r="AH896" s="20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</row>
    <row r="897" ht="15.75" customHeight="1">
      <c r="A897" s="5"/>
      <c r="B897" s="5"/>
      <c r="C897" s="5"/>
      <c r="D897" s="5"/>
      <c r="E897" s="14"/>
      <c r="F897" s="15"/>
      <c r="G897" s="14"/>
      <c r="H897" s="16"/>
      <c r="I897" s="14"/>
      <c r="J897" s="16"/>
      <c r="K897" s="14"/>
      <c r="L897" s="16"/>
      <c r="M897" s="14"/>
      <c r="N897" s="16"/>
      <c r="O897" s="14"/>
      <c r="P897" s="16"/>
      <c r="Q897" s="14"/>
      <c r="R897" s="5"/>
      <c r="S897" s="14"/>
      <c r="T897" s="16"/>
      <c r="U897" s="16"/>
      <c r="V897" s="17"/>
      <c r="W897" s="6"/>
      <c r="X897" s="22"/>
      <c r="Y897" s="14"/>
      <c r="Z897" s="14"/>
      <c r="AA897" s="14"/>
      <c r="AB897" s="14"/>
      <c r="AC897" s="14"/>
      <c r="AD897" s="14"/>
      <c r="AE897" s="14"/>
      <c r="AF897" s="14"/>
      <c r="AG897" s="19"/>
      <c r="AH897" s="20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</row>
    <row r="898" ht="15.75" customHeight="1">
      <c r="A898" s="5"/>
      <c r="B898" s="5"/>
      <c r="C898" s="5"/>
      <c r="D898" s="5"/>
      <c r="E898" s="14"/>
      <c r="F898" s="15"/>
      <c r="G898" s="14"/>
      <c r="H898" s="16"/>
      <c r="I898" s="14"/>
      <c r="J898" s="16"/>
      <c r="K898" s="14"/>
      <c r="L898" s="16"/>
      <c r="M898" s="14"/>
      <c r="N898" s="16"/>
      <c r="O898" s="14"/>
      <c r="P898" s="16"/>
      <c r="Q898" s="14"/>
      <c r="R898" s="5"/>
      <c r="S898" s="14"/>
      <c r="T898" s="16"/>
      <c r="U898" s="16"/>
      <c r="V898" s="17"/>
      <c r="W898" s="6"/>
      <c r="X898" s="22"/>
      <c r="Y898" s="14"/>
      <c r="Z898" s="14"/>
      <c r="AA898" s="14"/>
      <c r="AB898" s="14"/>
      <c r="AC898" s="14"/>
      <c r="AD898" s="14"/>
      <c r="AE898" s="14"/>
      <c r="AF898" s="14"/>
      <c r="AG898" s="19"/>
      <c r="AH898" s="20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</row>
    <row r="899" ht="15.75" customHeight="1">
      <c r="A899" s="5"/>
      <c r="B899" s="5"/>
      <c r="C899" s="5"/>
      <c r="D899" s="5"/>
      <c r="E899" s="14"/>
      <c r="F899" s="15"/>
      <c r="G899" s="14"/>
      <c r="H899" s="16"/>
      <c r="I899" s="14"/>
      <c r="J899" s="16"/>
      <c r="K899" s="14"/>
      <c r="L899" s="16"/>
      <c r="M899" s="14"/>
      <c r="N899" s="16"/>
      <c r="O899" s="14"/>
      <c r="P899" s="16"/>
      <c r="Q899" s="14"/>
      <c r="R899" s="5"/>
      <c r="S899" s="14"/>
      <c r="T899" s="16"/>
      <c r="U899" s="16"/>
      <c r="V899" s="17"/>
      <c r="W899" s="6"/>
      <c r="X899" s="22"/>
      <c r="Y899" s="14"/>
      <c r="Z899" s="14"/>
      <c r="AA899" s="14"/>
      <c r="AB899" s="14"/>
      <c r="AC899" s="14"/>
      <c r="AD899" s="14"/>
      <c r="AE899" s="14"/>
      <c r="AF899" s="14"/>
      <c r="AG899" s="19"/>
      <c r="AH899" s="20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</row>
    <row r="900" ht="15.75" customHeight="1">
      <c r="A900" s="5"/>
      <c r="B900" s="5"/>
      <c r="C900" s="5"/>
      <c r="D900" s="5"/>
      <c r="E900" s="14"/>
      <c r="F900" s="15"/>
      <c r="G900" s="14"/>
      <c r="H900" s="16"/>
      <c r="I900" s="14"/>
      <c r="J900" s="16"/>
      <c r="K900" s="14"/>
      <c r="L900" s="16"/>
      <c r="M900" s="14"/>
      <c r="N900" s="16"/>
      <c r="O900" s="14"/>
      <c r="P900" s="16"/>
      <c r="Q900" s="14"/>
      <c r="R900" s="5"/>
      <c r="S900" s="14"/>
      <c r="T900" s="16"/>
      <c r="U900" s="16"/>
      <c r="V900" s="17"/>
      <c r="W900" s="6"/>
      <c r="X900" s="22"/>
      <c r="Y900" s="14"/>
      <c r="Z900" s="14"/>
      <c r="AA900" s="14"/>
      <c r="AB900" s="14"/>
      <c r="AC900" s="14"/>
      <c r="AD900" s="14"/>
      <c r="AE900" s="14"/>
      <c r="AF900" s="14"/>
      <c r="AG900" s="19"/>
      <c r="AH900" s="20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</row>
    <row r="901" ht="15.75" customHeight="1">
      <c r="A901" s="5"/>
      <c r="B901" s="5"/>
      <c r="C901" s="5"/>
      <c r="D901" s="5"/>
      <c r="E901" s="14"/>
      <c r="F901" s="15"/>
      <c r="G901" s="14"/>
      <c r="H901" s="16"/>
      <c r="I901" s="14"/>
      <c r="J901" s="16"/>
      <c r="K901" s="14"/>
      <c r="L901" s="16"/>
      <c r="M901" s="14"/>
      <c r="N901" s="16"/>
      <c r="O901" s="14"/>
      <c r="P901" s="16"/>
      <c r="Q901" s="14"/>
      <c r="R901" s="5"/>
      <c r="S901" s="14"/>
      <c r="T901" s="16"/>
      <c r="U901" s="16"/>
      <c r="V901" s="17"/>
      <c r="W901" s="6"/>
      <c r="X901" s="22"/>
      <c r="Y901" s="14"/>
      <c r="Z901" s="14"/>
      <c r="AA901" s="14"/>
      <c r="AB901" s="14"/>
      <c r="AC901" s="14"/>
      <c r="AD901" s="14"/>
      <c r="AE901" s="14"/>
      <c r="AF901" s="14"/>
      <c r="AG901" s="19"/>
      <c r="AH901" s="20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</row>
    <row r="902" ht="15.75" customHeight="1">
      <c r="A902" s="5"/>
      <c r="B902" s="5"/>
      <c r="C902" s="5"/>
      <c r="D902" s="5"/>
      <c r="E902" s="14"/>
      <c r="F902" s="15"/>
      <c r="G902" s="14"/>
      <c r="H902" s="16"/>
      <c r="I902" s="14"/>
      <c r="J902" s="16"/>
      <c r="K902" s="14"/>
      <c r="L902" s="16"/>
      <c r="M902" s="14"/>
      <c r="N902" s="16"/>
      <c r="O902" s="14"/>
      <c r="P902" s="16"/>
      <c r="Q902" s="14"/>
      <c r="R902" s="5"/>
      <c r="S902" s="14"/>
      <c r="T902" s="16"/>
      <c r="U902" s="16"/>
      <c r="V902" s="17"/>
      <c r="W902" s="6"/>
      <c r="X902" s="22"/>
      <c r="Y902" s="14"/>
      <c r="Z902" s="14"/>
      <c r="AA902" s="14"/>
      <c r="AB902" s="14"/>
      <c r="AC902" s="14"/>
      <c r="AD902" s="14"/>
      <c r="AE902" s="14"/>
      <c r="AF902" s="14"/>
      <c r="AG902" s="19"/>
      <c r="AH902" s="20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</row>
    <row r="903" ht="15.75" customHeight="1">
      <c r="A903" s="5"/>
      <c r="B903" s="5"/>
      <c r="C903" s="5"/>
      <c r="D903" s="5"/>
      <c r="E903" s="14"/>
      <c r="F903" s="15"/>
      <c r="G903" s="14"/>
      <c r="H903" s="16"/>
      <c r="I903" s="14"/>
      <c r="J903" s="16"/>
      <c r="K903" s="14"/>
      <c r="L903" s="16"/>
      <c r="M903" s="14"/>
      <c r="N903" s="16"/>
      <c r="O903" s="14"/>
      <c r="P903" s="16"/>
      <c r="Q903" s="14"/>
      <c r="R903" s="5"/>
      <c r="S903" s="14"/>
      <c r="T903" s="16"/>
      <c r="U903" s="16"/>
      <c r="V903" s="17"/>
      <c r="W903" s="6"/>
      <c r="X903" s="22"/>
      <c r="Y903" s="14"/>
      <c r="Z903" s="14"/>
      <c r="AA903" s="14"/>
      <c r="AB903" s="14"/>
      <c r="AC903" s="14"/>
      <c r="AD903" s="14"/>
      <c r="AE903" s="14"/>
      <c r="AF903" s="14"/>
      <c r="AG903" s="19"/>
      <c r="AH903" s="20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</row>
    <row r="904" ht="15.75" customHeight="1">
      <c r="A904" s="5"/>
      <c r="B904" s="5"/>
      <c r="C904" s="5"/>
      <c r="D904" s="5"/>
      <c r="E904" s="14"/>
      <c r="F904" s="15"/>
      <c r="G904" s="14"/>
      <c r="H904" s="16"/>
      <c r="I904" s="14"/>
      <c r="J904" s="16"/>
      <c r="K904" s="14"/>
      <c r="L904" s="16"/>
      <c r="M904" s="14"/>
      <c r="N904" s="16"/>
      <c r="O904" s="14"/>
      <c r="P904" s="16"/>
      <c r="Q904" s="14"/>
      <c r="R904" s="5"/>
      <c r="S904" s="14"/>
      <c r="T904" s="16"/>
      <c r="U904" s="16"/>
      <c r="V904" s="17"/>
      <c r="W904" s="6"/>
      <c r="X904" s="22"/>
      <c r="Y904" s="14"/>
      <c r="Z904" s="14"/>
      <c r="AA904" s="14"/>
      <c r="AB904" s="14"/>
      <c r="AC904" s="14"/>
      <c r="AD904" s="14"/>
      <c r="AE904" s="14"/>
      <c r="AF904" s="14"/>
      <c r="AG904" s="19"/>
      <c r="AH904" s="20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</row>
    <row r="905" ht="15.75" customHeight="1">
      <c r="A905" s="5"/>
      <c r="B905" s="5"/>
      <c r="C905" s="5"/>
      <c r="D905" s="5"/>
      <c r="E905" s="14"/>
      <c r="F905" s="15"/>
      <c r="G905" s="14"/>
      <c r="H905" s="16"/>
      <c r="I905" s="14"/>
      <c r="J905" s="16"/>
      <c r="K905" s="14"/>
      <c r="L905" s="16"/>
      <c r="M905" s="14"/>
      <c r="N905" s="16"/>
      <c r="O905" s="14"/>
      <c r="P905" s="16"/>
      <c r="Q905" s="14"/>
      <c r="R905" s="5"/>
      <c r="S905" s="14"/>
      <c r="T905" s="16"/>
      <c r="U905" s="16"/>
      <c r="V905" s="17"/>
      <c r="W905" s="6"/>
      <c r="X905" s="22"/>
      <c r="Y905" s="14"/>
      <c r="Z905" s="14"/>
      <c r="AA905" s="14"/>
      <c r="AB905" s="14"/>
      <c r="AC905" s="14"/>
      <c r="AD905" s="14"/>
      <c r="AE905" s="14"/>
      <c r="AF905" s="14"/>
      <c r="AG905" s="19"/>
      <c r="AH905" s="20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</row>
    <row r="906" ht="15.75" customHeight="1">
      <c r="A906" s="5"/>
      <c r="B906" s="5"/>
      <c r="C906" s="5"/>
      <c r="D906" s="5"/>
      <c r="E906" s="14"/>
      <c r="F906" s="15"/>
      <c r="G906" s="14"/>
      <c r="H906" s="16"/>
      <c r="I906" s="14"/>
      <c r="J906" s="16"/>
      <c r="K906" s="14"/>
      <c r="L906" s="16"/>
      <c r="M906" s="14"/>
      <c r="N906" s="16"/>
      <c r="O906" s="14"/>
      <c r="P906" s="16"/>
      <c r="Q906" s="14"/>
      <c r="R906" s="5"/>
      <c r="S906" s="14"/>
      <c r="T906" s="16"/>
      <c r="U906" s="16"/>
      <c r="V906" s="17"/>
      <c r="W906" s="6"/>
      <c r="X906" s="22"/>
      <c r="Y906" s="14"/>
      <c r="Z906" s="14"/>
      <c r="AA906" s="14"/>
      <c r="AB906" s="14"/>
      <c r="AC906" s="14"/>
      <c r="AD906" s="14"/>
      <c r="AE906" s="14"/>
      <c r="AF906" s="14"/>
      <c r="AG906" s="19"/>
      <c r="AH906" s="20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</row>
    <row r="907" ht="15.75" customHeight="1">
      <c r="A907" s="5"/>
      <c r="B907" s="5"/>
      <c r="C907" s="5"/>
      <c r="D907" s="5"/>
      <c r="E907" s="14"/>
      <c r="F907" s="15"/>
      <c r="G907" s="14"/>
      <c r="H907" s="16"/>
      <c r="I907" s="14"/>
      <c r="J907" s="16"/>
      <c r="K907" s="14"/>
      <c r="L907" s="16"/>
      <c r="M907" s="14"/>
      <c r="N907" s="16"/>
      <c r="O907" s="14"/>
      <c r="P907" s="16"/>
      <c r="Q907" s="14"/>
      <c r="R907" s="5"/>
      <c r="S907" s="14"/>
      <c r="T907" s="16"/>
      <c r="U907" s="16"/>
      <c r="V907" s="17"/>
      <c r="W907" s="6"/>
      <c r="X907" s="22"/>
      <c r="Y907" s="14"/>
      <c r="Z907" s="14"/>
      <c r="AA907" s="14"/>
      <c r="AB907" s="14"/>
      <c r="AC907" s="14"/>
      <c r="AD907" s="14"/>
      <c r="AE907" s="14"/>
      <c r="AF907" s="14"/>
      <c r="AG907" s="19"/>
      <c r="AH907" s="20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</row>
    <row r="908" ht="15.75" customHeight="1">
      <c r="A908" s="5"/>
      <c r="B908" s="5"/>
      <c r="C908" s="5"/>
      <c r="D908" s="5"/>
      <c r="E908" s="14"/>
      <c r="F908" s="15"/>
      <c r="G908" s="14"/>
      <c r="H908" s="16"/>
      <c r="I908" s="14"/>
      <c r="J908" s="16"/>
      <c r="K908" s="14"/>
      <c r="L908" s="16"/>
      <c r="M908" s="14"/>
      <c r="N908" s="16"/>
      <c r="O908" s="14"/>
      <c r="P908" s="16"/>
      <c r="Q908" s="14"/>
      <c r="R908" s="5"/>
      <c r="S908" s="14"/>
      <c r="T908" s="16"/>
      <c r="U908" s="16"/>
      <c r="V908" s="17"/>
      <c r="W908" s="6"/>
      <c r="X908" s="22"/>
      <c r="Y908" s="14"/>
      <c r="Z908" s="14"/>
      <c r="AA908" s="14"/>
      <c r="AB908" s="14"/>
      <c r="AC908" s="14"/>
      <c r="AD908" s="14"/>
      <c r="AE908" s="14"/>
      <c r="AF908" s="14"/>
      <c r="AG908" s="19"/>
      <c r="AH908" s="20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</row>
    <row r="909" ht="15.75" customHeight="1">
      <c r="A909" s="5"/>
      <c r="B909" s="5"/>
      <c r="C909" s="5"/>
      <c r="D909" s="5"/>
      <c r="E909" s="14"/>
      <c r="F909" s="15"/>
      <c r="G909" s="14"/>
      <c r="H909" s="16"/>
      <c r="I909" s="14"/>
      <c r="J909" s="16"/>
      <c r="K909" s="14"/>
      <c r="L909" s="16"/>
      <c r="M909" s="14"/>
      <c r="N909" s="16"/>
      <c r="O909" s="14"/>
      <c r="P909" s="16"/>
      <c r="Q909" s="14"/>
      <c r="R909" s="5"/>
      <c r="S909" s="14"/>
      <c r="T909" s="16"/>
      <c r="U909" s="16"/>
      <c r="V909" s="17"/>
      <c r="W909" s="6"/>
      <c r="X909" s="22"/>
      <c r="Y909" s="14"/>
      <c r="Z909" s="14"/>
      <c r="AA909" s="14"/>
      <c r="AB909" s="14"/>
      <c r="AC909" s="14"/>
      <c r="AD909" s="14"/>
      <c r="AE909" s="14"/>
      <c r="AF909" s="14"/>
      <c r="AG909" s="19"/>
      <c r="AH909" s="20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</row>
    <row r="910" ht="15.75" customHeight="1">
      <c r="A910" s="5"/>
      <c r="B910" s="5"/>
      <c r="C910" s="5"/>
      <c r="D910" s="5"/>
      <c r="E910" s="14"/>
      <c r="F910" s="15"/>
      <c r="G910" s="14"/>
      <c r="H910" s="16"/>
      <c r="I910" s="14"/>
      <c r="J910" s="16"/>
      <c r="K910" s="14"/>
      <c r="L910" s="16"/>
      <c r="M910" s="14"/>
      <c r="N910" s="16"/>
      <c r="O910" s="14"/>
      <c r="P910" s="16"/>
      <c r="Q910" s="14"/>
      <c r="R910" s="5"/>
      <c r="S910" s="14"/>
      <c r="T910" s="16"/>
      <c r="U910" s="16"/>
      <c r="V910" s="17"/>
      <c r="W910" s="6"/>
      <c r="X910" s="22"/>
      <c r="Y910" s="14"/>
      <c r="Z910" s="14"/>
      <c r="AA910" s="14"/>
      <c r="AB910" s="14"/>
      <c r="AC910" s="14"/>
      <c r="AD910" s="14"/>
      <c r="AE910" s="14"/>
      <c r="AF910" s="14"/>
      <c r="AG910" s="19"/>
      <c r="AH910" s="20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</row>
    <row r="911" ht="15.75" customHeight="1">
      <c r="A911" s="5"/>
      <c r="B911" s="5"/>
      <c r="C911" s="5"/>
      <c r="D911" s="5"/>
      <c r="E911" s="14"/>
      <c r="F911" s="15"/>
      <c r="G911" s="14"/>
      <c r="H911" s="16"/>
      <c r="I911" s="14"/>
      <c r="J911" s="16"/>
      <c r="K911" s="14"/>
      <c r="L911" s="16"/>
      <c r="M911" s="14"/>
      <c r="N911" s="16"/>
      <c r="O911" s="14"/>
      <c r="P911" s="16"/>
      <c r="Q911" s="14"/>
      <c r="R911" s="5"/>
      <c r="S911" s="14"/>
      <c r="T911" s="16"/>
      <c r="U911" s="16"/>
      <c r="V911" s="17"/>
      <c r="W911" s="6"/>
      <c r="X911" s="22"/>
      <c r="Y911" s="14"/>
      <c r="Z911" s="14"/>
      <c r="AA911" s="14"/>
      <c r="AB911" s="14"/>
      <c r="AC911" s="14"/>
      <c r="AD911" s="14"/>
      <c r="AE911" s="14"/>
      <c r="AF911" s="14"/>
      <c r="AG911" s="19"/>
      <c r="AH911" s="20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</row>
    <row r="912" ht="15.75" customHeight="1">
      <c r="A912" s="5"/>
      <c r="B912" s="5"/>
      <c r="C912" s="5"/>
      <c r="D912" s="5"/>
      <c r="E912" s="14"/>
      <c r="F912" s="15"/>
      <c r="G912" s="14"/>
      <c r="H912" s="16"/>
      <c r="I912" s="14"/>
      <c r="J912" s="16"/>
      <c r="K912" s="14"/>
      <c r="L912" s="16"/>
      <c r="M912" s="14"/>
      <c r="N912" s="16"/>
      <c r="O912" s="14"/>
      <c r="P912" s="16"/>
      <c r="Q912" s="14"/>
      <c r="R912" s="5"/>
      <c r="S912" s="14"/>
      <c r="T912" s="16"/>
      <c r="U912" s="16"/>
      <c r="V912" s="17"/>
      <c r="W912" s="6"/>
      <c r="X912" s="22"/>
      <c r="Y912" s="14"/>
      <c r="Z912" s="14"/>
      <c r="AA912" s="14"/>
      <c r="AB912" s="14"/>
      <c r="AC912" s="14"/>
      <c r="AD912" s="14"/>
      <c r="AE912" s="14"/>
      <c r="AF912" s="14"/>
      <c r="AG912" s="19"/>
      <c r="AH912" s="20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</row>
    <row r="913" ht="15.75" customHeight="1">
      <c r="A913" s="5"/>
      <c r="B913" s="5"/>
      <c r="C913" s="5"/>
      <c r="D913" s="5"/>
      <c r="E913" s="14"/>
      <c r="F913" s="15"/>
      <c r="G913" s="14"/>
      <c r="H913" s="16"/>
      <c r="I913" s="14"/>
      <c r="J913" s="16"/>
      <c r="K913" s="14"/>
      <c r="L913" s="16"/>
      <c r="M913" s="14"/>
      <c r="N913" s="16"/>
      <c r="O913" s="14"/>
      <c r="P913" s="16"/>
      <c r="Q913" s="14"/>
      <c r="R913" s="5"/>
      <c r="S913" s="14"/>
      <c r="T913" s="16"/>
      <c r="U913" s="16"/>
      <c r="V913" s="17"/>
      <c r="W913" s="6"/>
      <c r="X913" s="22"/>
      <c r="Y913" s="14"/>
      <c r="Z913" s="14"/>
      <c r="AA913" s="14"/>
      <c r="AB913" s="14"/>
      <c r="AC913" s="14"/>
      <c r="AD913" s="14"/>
      <c r="AE913" s="14"/>
      <c r="AF913" s="14"/>
      <c r="AG913" s="19"/>
      <c r="AH913" s="20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</row>
    <row r="914" ht="15.75" customHeight="1">
      <c r="A914" s="5"/>
      <c r="B914" s="5"/>
      <c r="C914" s="5"/>
      <c r="D914" s="5"/>
      <c r="E914" s="14"/>
      <c r="F914" s="15"/>
      <c r="G914" s="14"/>
      <c r="H914" s="16"/>
      <c r="I914" s="14"/>
      <c r="J914" s="16"/>
      <c r="K914" s="14"/>
      <c r="L914" s="16"/>
      <c r="M914" s="14"/>
      <c r="N914" s="16"/>
      <c r="O914" s="14"/>
      <c r="P914" s="16"/>
      <c r="Q914" s="14"/>
      <c r="R914" s="5"/>
      <c r="S914" s="14"/>
      <c r="T914" s="16"/>
      <c r="U914" s="16"/>
      <c r="V914" s="17"/>
      <c r="W914" s="6"/>
      <c r="X914" s="22"/>
      <c r="Y914" s="14"/>
      <c r="Z914" s="14"/>
      <c r="AA914" s="14"/>
      <c r="AB914" s="14"/>
      <c r="AC914" s="14"/>
      <c r="AD914" s="14"/>
      <c r="AE914" s="14"/>
      <c r="AF914" s="14"/>
      <c r="AG914" s="19"/>
      <c r="AH914" s="20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</row>
    <row r="915" ht="15.75" customHeight="1">
      <c r="A915" s="5"/>
      <c r="B915" s="5"/>
      <c r="C915" s="5"/>
      <c r="D915" s="5"/>
      <c r="E915" s="14"/>
      <c r="F915" s="15"/>
      <c r="G915" s="14"/>
      <c r="H915" s="16"/>
      <c r="I915" s="14"/>
      <c r="J915" s="16"/>
      <c r="K915" s="14"/>
      <c r="L915" s="16"/>
      <c r="M915" s="14"/>
      <c r="N915" s="16"/>
      <c r="O915" s="14"/>
      <c r="P915" s="16"/>
      <c r="Q915" s="14"/>
      <c r="R915" s="5"/>
      <c r="S915" s="14"/>
      <c r="T915" s="16"/>
      <c r="U915" s="16"/>
      <c r="V915" s="17"/>
      <c r="W915" s="6"/>
      <c r="X915" s="22"/>
      <c r="Y915" s="14"/>
      <c r="Z915" s="14"/>
      <c r="AA915" s="14"/>
      <c r="AB915" s="14"/>
      <c r="AC915" s="14"/>
      <c r="AD915" s="14"/>
      <c r="AE915" s="14"/>
      <c r="AF915" s="14"/>
      <c r="AG915" s="19"/>
      <c r="AH915" s="20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</row>
    <row r="916" ht="15.75" customHeight="1">
      <c r="A916" s="5"/>
      <c r="B916" s="5"/>
      <c r="C916" s="5"/>
      <c r="D916" s="5"/>
      <c r="E916" s="14"/>
      <c r="F916" s="15"/>
      <c r="G916" s="14"/>
      <c r="H916" s="16"/>
      <c r="I916" s="14"/>
      <c r="J916" s="16"/>
      <c r="K916" s="14"/>
      <c r="L916" s="16"/>
      <c r="M916" s="14"/>
      <c r="N916" s="16"/>
      <c r="O916" s="14"/>
      <c r="P916" s="16"/>
      <c r="Q916" s="14"/>
      <c r="R916" s="5"/>
      <c r="S916" s="14"/>
      <c r="T916" s="16"/>
      <c r="U916" s="16"/>
      <c r="V916" s="17"/>
      <c r="W916" s="6"/>
      <c r="X916" s="22"/>
      <c r="Y916" s="14"/>
      <c r="Z916" s="14"/>
      <c r="AA916" s="14"/>
      <c r="AB916" s="14"/>
      <c r="AC916" s="14"/>
      <c r="AD916" s="14"/>
      <c r="AE916" s="14"/>
      <c r="AF916" s="14"/>
      <c r="AG916" s="19"/>
      <c r="AH916" s="20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</row>
    <row r="917" ht="15.75" customHeight="1">
      <c r="A917" s="5"/>
      <c r="B917" s="5"/>
      <c r="C917" s="5"/>
      <c r="D917" s="5"/>
      <c r="E917" s="14"/>
      <c r="F917" s="15"/>
      <c r="G917" s="14"/>
      <c r="H917" s="16"/>
      <c r="I917" s="14"/>
      <c r="J917" s="16"/>
      <c r="K917" s="14"/>
      <c r="L917" s="16"/>
      <c r="M917" s="14"/>
      <c r="N917" s="16"/>
      <c r="O917" s="14"/>
      <c r="P917" s="16"/>
      <c r="Q917" s="14"/>
      <c r="R917" s="5"/>
      <c r="S917" s="14"/>
      <c r="T917" s="16"/>
      <c r="U917" s="16"/>
      <c r="V917" s="17"/>
      <c r="W917" s="6"/>
      <c r="X917" s="22"/>
      <c r="Y917" s="14"/>
      <c r="Z917" s="14"/>
      <c r="AA917" s="14"/>
      <c r="AB917" s="14"/>
      <c r="AC917" s="14"/>
      <c r="AD917" s="14"/>
      <c r="AE917" s="14"/>
      <c r="AF917" s="14"/>
      <c r="AG917" s="19"/>
      <c r="AH917" s="20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</row>
    <row r="918" ht="15.75" customHeight="1">
      <c r="A918" s="5"/>
      <c r="B918" s="5"/>
      <c r="C918" s="5"/>
      <c r="D918" s="5"/>
      <c r="E918" s="14"/>
      <c r="F918" s="15"/>
      <c r="G918" s="14"/>
      <c r="H918" s="16"/>
      <c r="I918" s="14"/>
      <c r="J918" s="16"/>
      <c r="K918" s="14"/>
      <c r="L918" s="16"/>
      <c r="M918" s="14"/>
      <c r="N918" s="16"/>
      <c r="O918" s="14"/>
      <c r="P918" s="16"/>
      <c r="Q918" s="14"/>
      <c r="R918" s="5"/>
      <c r="S918" s="14"/>
      <c r="T918" s="16"/>
      <c r="U918" s="16"/>
      <c r="V918" s="17"/>
      <c r="W918" s="6"/>
      <c r="X918" s="22"/>
      <c r="Y918" s="14"/>
      <c r="Z918" s="14"/>
      <c r="AA918" s="14"/>
      <c r="AB918" s="14"/>
      <c r="AC918" s="14"/>
      <c r="AD918" s="14"/>
      <c r="AE918" s="14"/>
      <c r="AF918" s="14"/>
      <c r="AG918" s="19"/>
      <c r="AH918" s="20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</row>
    <row r="919" ht="15.75" customHeight="1">
      <c r="A919" s="5"/>
      <c r="B919" s="5"/>
      <c r="C919" s="5"/>
      <c r="D919" s="5"/>
      <c r="E919" s="14"/>
      <c r="F919" s="15"/>
      <c r="G919" s="14"/>
      <c r="H919" s="16"/>
      <c r="I919" s="14"/>
      <c r="J919" s="16"/>
      <c r="K919" s="14"/>
      <c r="L919" s="16"/>
      <c r="M919" s="14"/>
      <c r="N919" s="16"/>
      <c r="O919" s="14"/>
      <c r="P919" s="16"/>
      <c r="Q919" s="14"/>
      <c r="R919" s="5"/>
      <c r="S919" s="14"/>
      <c r="T919" s="16"/>
      <c r="U919" s="16"/>
      <c r="V919" s="17"/>
      <c r="W919" s="6"/>
      <c r="X919" s="22"/>
      <c r="Y919" s="14"/>
      <c r="Z919" s="14"/>
      <c r="AA919" s="14"/>
      <c r="AB919" s="14"/>
      <c r="AC919" s="14"/>
      <c r="AD919" s="14"/>
      <c r="AE919" s="14"/>
      <c r="AF919" s="14"/>
      <c r="AG919" s="19"/>
      <c r="AH919" s="20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</row>
    <row r="920" ht="15.75" customHeight="1">
      <c r="A920" s="5"/>
      <c r="B920" s="5"/>
      <c r="C920" s="5"/>
      <c r="D920" s="5"/>
      <c r="E920" s="14"/>
      <c r="F920" s="15"/>
      <c r="G920" s="14"/>
      <c r="H920" s="16"/>
      <c r="I920" s="14"/>
      <c r="J920" s="16"/>
      <c r="K920" s="14"/>
      <c r="L920" s="16"/>
      <c r="M920" s="14"/>
      <c r="N920" s="16"/>
      <c r="O920" s="14"/>
      <c r="P920" s="16"/>
      <c r="Q920" s="14"/>
      <c r="R920" s="5"/>
      <c r="S920" s="14"/>
      <c r="T920" s="16"/>
      <c r="U920" s="16"/>
      <c r="V920" s="17"/>
      <c r="W920" s="6"/>
      <c r="X920" s="22"/>
      <c r="Y920" s="14"/>
      <c r="Z920" s="14"/>
      <c r="AA920" s="14"/>
      <c r="AB920" s="14"/>
      <c r="AC920" s="14"/>
      <c r="AD920" s="14"/>
      <c r="AE920" s="14"/>
      <c r="AF920" s="14"/>
      <c r="AG920" s="19"/>
      <c r="AH920" s="20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</row>
    <row r="921" ht="15.75" customHeight="1">
      <c r="A921" s="5"/>
      <c r="B921" s="5"/>
      <c r="C921" s="5"/>
      <c r="D921" s="5"/>
      <c r="E921" s="14"/>
      <c r="F921" s="15"/>
      <c r="G921" s="14"/>
      <c r="H921" s="16"/>
      <c r="I921" s="14"/>
      <c r="J921" s="16"/>
      <c r="K921" s="14"/>
      <c r="L921" s="16"/>
      <c r="M921" s="14"/>
      <c r="N921" s="16"/>
      <c r="O921" s="14"/>
      <c r="P921" s="16"/>
      <c r="Q921" s="14"/>
      <c r="R921" s="5"/>
      <c r="S921" s="14"/>
      <c r="T921" s="16"/>
      <c r="U921" s="16"/>
      <c r="V921" s="17"/>
      <c r="W921" s="6"/>
      <c r="X921" s="22"/>
      <c r="Y921" s="14"/>
      <c r="Z921" s="14"/>
      <c r="AA921" s="14"/>
      <c r="AB921" s="14"/>
      <c r="AC921" s="14"/>
      <c r="AD921" s="14"/>
      <c r="AE921" s="14"/>
      <c r="AF921" s="14"/>
      <c r="AG921" s="19"/>
      <c r="AH921" s="20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</row>
    <row r="922" ht="15.75" customHeight="1">
      <c r="A922" s="5"/>
      <c r="B922" s="5"/>
      <c r="C922" s="5"/>
      <c r="D922" s="5"/>
      <c r="E922" s="14"/>
      <c r="F922" s="15"/>
      <c r="G922" s="14"/>
      <c r="H922" s="16"/>
      <c r="I922" s="14"/>
      <c r="J922" s="16"/>
      <c r="K922" s="14"/>
      <c r="L922" s="16"/>
      <c r="M922" s="14"/>
      <c r="N922" s="16"/>
      <c r="O922" s="14"/>
      <c r="P922" s="16"/>
      <c r="Q922" s="14"/>
      <c r="R922" s="5"/>
      <c r="S922" s="14"/>
      <c r="T922" s="16"/>
      <c r="U922" s="16"/>
      <c r="V922" s="17"/>
      <c r="W922" s="6"/>
      <c r="X922" s="22"/>
      <c r="Y922" s="14"/>
      <c r="Z922" s="14"/>
      <c r="AA922" s="14"/>
      <c r="AB922" s="14"/>
      <c r="AC922" s="14"/>
      <c r="AD922" s="14"/>
      <c r="AE922" s="14"/>
      <c r="AF922" s="14"/>
      <c r="AG922" s="19"/>
      <c r="AH922" s="20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</row>
    <row r="923" ht="15.75" customHeight="1">
      <c r="A923" s="5"/>
      <c r="B923" s="5"/>
      <c r="C923" s="5"/>
      <c r="D923" s="5"/>
      <c r="E923" s="14"/>
      <c r="F923" s="15"/>
      <c r="G923" s="14"/>
      <c r="H923" s="16"/>
      <c r="I923" s="14"/>
      <c r="J923" s="16"/>
      <c r="K923" s="14"/>
      <c r="L923" s="16"/>
      <c r="M923" s="14"/>
      <c r="N923" s="16"/>
      <c r="O923" s="14"/>
      <c r="P923" s="16"/>
      <c r="Q923" s="14"/>
      <c r="R923" s="5"/>
      <c r="S923" s="14"/>
      <c r="T923" s="16"/>
      <c r="U923" s="16"/>
      <c r="V923" s="17"/>
      <c r="W923" s="6"/>
      <c r="X923" s="22"/>
      <c r="Y923" s="14"/>
      <c r="Z923" s="14"/>
      <c r="AA923" s="14"/>
      <c r="AB923" s="14"/>
      <c r="AC923" s="14"/>
      <c r="AD923" s="14"/>
      <c r="AE923" s="14"/>
      <c r="AF923" s="14"/>
      <c r="AG923" s="19"/>
      <c r="AH923" s="20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</row>
    <row r="924" ht="15.75" customHeight="1">
      <c r="A924" s="5"/>
      <c r="B924" s="5"/>
      <c r="C924" s="5"/>
      <c r="D924" s="5"/>
      <c r="E924" s="14"/>
      <c r="F924" s="15"/>
      <c r="G924" s="14"/>
      <c r="H924" s="16"/>
      <c r="I924" s="14"/>
      <c r="J924" s="16"/>
      <c r="K924" s="14"/>
      <c r="L924" s="16"/>
      <c r="M924" s="14"/>
      <c r="N924" s="16"/>
      <c r="O924" s="14"/>
      <c r="P924" s="16"/>
      <c r="Q924" s="14"/>
      <c r="R924" s="5"/>
      <c r="S924" s="14"/>
      <c r="T924" s="16"/>
      <c r="U924" s="16"/>
      <c r="V924" s="17"/>
      <c r="W924" s="6"/>
      <c r="X924" s="22"/>
      <c r="Y924" s="14"/>
      <c r="Z924" s="14"/>
      <c r="AA924" s="14"/>
      <c r="AB924" s="14"/>
      <c r="AC924" s="14"/>
      <c r="AD924" s="14"/>
      <c r="AE924" s="14"/>
      <c r="AF924" s="14"/>
      <c r="AG924" s="19"/>
      <c r="AH924" s="20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</row>
    <row r="925" ht="15.75" customHeight="1">
      <c r="A925" s="5"/>
      <c r="B925" s="5"/>
      <c r="C925" s="5"/>
      <c r="D925" s="5"/>
      <c r="E925" s="14"/>
      <c r="F925" s="15"/>
      <c r="G925" s="14"/>
      <c r="H925" s="16"/>
      <c r="I925" s="14"/>
      <c r="J925" s="16"/>
      <c r="K925" s="14"/>
      <c r="L925" s="16"/>
      <c r="M925" s="14"/>
      <c r="N925" s="16"/>
      <c r="O925" s="14"/>
      <c r="P925" s="16"/>
      <c r="Q925" s="14"/>
      <c r="R925" s="5"/>
      <c r="S925" s="14"/>
      <c r="T925" s="16"/>
      <c r="U925" s="16"/>
      <c r="V925" s="17"/>
      <c r="W925" s="6"/>
      <c r="X925" s="22"/>
      <c r="Y925" s="14"/>
      <c r="Z925" s="14"/>
      <c r="AA925" s="14"/>
      <c r="AB925" s="14"/>
      <c r="AC925" s="14"/>
      <c r="AD925" s="14"/>
      <c r="AE925" s="14"/>
      <c r="AF925" s="14"/>
      <c r="AG925" s="19"/>
      <c r="AH925" s="20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</row>
    <row r="926" ht="15.75" customHeight="1">
      <c r="A926" s="5"/>
      <c r="B926" s="5"/>
      <c r="C926" s="5"/>
      <c r="D926" s="5"/>
      <c r="E926" s="14"/>
      <c r="F926" s="15"/>
      <c r="G926" s="14"/>
      <c r="H926" s="16"/>
      <c r="I926" s="14"/>
      <c r="J926" s="16"/>
      <c r="K926" s="14"/>
      <c r="L926" s="16"/>
      <c r="M926" s="14"/>
      <c r="N926" s="16"/>
      <c r="O926" s="14"/>
      <c r="P926" s="16"/>
      <c r="Q926" s="14"/>
      <c r="R926" s="5"/>
      <c r="S926" s="14"/>
      <c r="T926" s="16"/>
      <c r="U926" s="16"/>
      <c r="V926" s="17"/>
      <c r="W926" s="6"/>
      <c r="X926" s="22"/>
      <c r="Y926" s="14"/>
      <c r="Z926" s="14"/>
      <c r="AA926" s="14"/>
      <c r="AB926" s="14"/>
      <c r="AC926" s="14"/>
      <c r="AD926" s="14"/>
      <c r="AE926" s="14"/>
      <c r="AF926" s="14"/>
      <c r="AG926" s="19"/>
      <c r="AH926" s="20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</row>
    <row r="927" ht="15.75" customHeight="1">
      <c r="A927" s="5"/>
      <c r="B927" s="5"/>
      <c r="C927" s="5"/>
      <c r="D927" s="5"/>
      <c r="E927" s="14"/>
      <c r="F927" s="15"/>
      <c r="G927" s="14"/>
      <c r="H927" s="16"/>
      <c r="I927" s="14"/>
      <c r="J927" s="16"/>
      <c r="K927" s="14"/>
      <c r="L927" s="16"/>
      <c r="M927" s="14"/>
      <c r="N927" s="16"/>
      <c r="O927" s="14"/>
      <c r="P927" s="16"/>
      <c r="Q927" s="14"/>
      <c r="R927" s="5"/>
      <c r="S927" s="14"/>
      <c r="T927" s="16"/>
      <c r="U927" s="16"/>
      <c r="V927" s="17"/>
      <c r="W927" s="6"/>
      <c r="X927" s="22"/>
      <c r="Y927" s="14"/>
      <c r="Z927" s="14"/>
      <c r="AA927" s="14"/>
      <c r="AB927" s="14"/>
      <c r="AC927" s="14"/>
      <c r="AD927" s="14"/>
      <c r="AE927" s="14"/>
      <c r="AF927" s="14"/>
      <c r="AG927" s="19"/>
      <c r="AH927" s="20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</row>
    <row r="928" ht="15.75" customHeight="1">
      <c r="A928" s="5"/>
      <c r="B928" s="5"/>
      <c r="C928" s="5"/>
      <c r="D928" s="5"/>
      <c r="E928" s="14"/>
      <c r="F928" s="15"/>
      <c r="G928" s="14"/>
      <c r="H928" s="16"/>
      <c r="I928" s="14"/>
      <c r="J928" s="16"/>
      <c r="K928" s="14"/>
      <c r="L928" s="16"/>
      <c r="M928" s="14"/>
      <c r="N928" s="16"/>
      <c r="O928" s="14"/>
      <c r="P928" s="16"/>
      <c r="Q928" s="14"/>
      <c r="R928" s="5"/>
      <c r="S928" s="14"/>
      <c r="T928" s="16"/>
      <c r="U928" s="16"/>
      <c r="V928" s="17"/>
      <c r="W928" s="6"/>
      <c r="X928" s="22"/>
      <c r="Y928" s="14"/>
      <c r="Z928" s="14"/>
      <c r="AA928" s="14"/>
      <c r="AB928" s="14"/>
      <c r="AC928" s="14"/>
      <c r="AD928" s="14"/>
      <c r="AE928" s="14"/>
      <c r="AF928" s="14"/>
      <c r="AG928" s="19"/>
      <c r="AH928" s="20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</row>
    <row r="929" ht="15.75" customHeight="1">
      <c r="A929" s="5"/>
      <c r="B929" s="5"/>
      <c r="C929" s="5"/>
      <c r="D929" s="5"/>
      <c r="E929" s="14"/>
      <c r="F929" s="15"/>
      <c r="G929" s="14"/>
      <c r="H929" s="16"/>
      <c r="I929" s="14"/>
      <c r="J929" s="16"/>
      <c r="K929" s="14"/>
      <c r="L929" s="16"/>
      <c r="M929" s="14"/>
      <c r="N929" s="16"/>
      <c r="O929" s="14"/>
      <c r="P929" s="16"/>
      <c r="Q929" s="14"/>
      <c r="R929" s="5"/>
      <c r="S929" s="14"/>
      <c r="T929" s="16"/>
      <c r="U929" s="16"/>
      <c r="V929" s="17"/>
      <c r="W929" s="6"/>
      <c r="X929" s="22"/>
      <c r="Y929" s="14"/>
      <c r="Z929" s="14"/>
      <c r="AA929" s="14"/>
      <c r="AB929" s="14"/>
      <c r="AC929" s="14"/>
      <c r="AD929" s="14"/>
      <c r="AE929" s="14"/>
      <c r="AF929" s="14"/>
      <c r="AG929" s="19"/>
      <c r="AH929" s="20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</row>
    <row r="930" ht="15.75" customHeight="1">
      <c r="A930" s="5"/>
      <c r="B930" s="5"/>
      <c r="C930" s="5"/>
      <c r="D930" s="5"/>
      <c r="E930" s="14"/>
      <c r="F930" s="15"/>
      <c r="G930" s="14"/>
      <c r="H930" s="16"/>
      <c r="I930" s="14"/>
      <c r="J930" s="16"/>
      <c r="K930" s="14"/>
      <c r="L930" s="16"/>
      <c r="M930" s="14"/>
      <c r="N930" s="16"/>
      <c r="O930" s="14"/>
      <c r="P930" s="16"/>
      <c r="Q930" s="14"/>
      <c r="R930" s="5"/>
      <c r="S930" s="14"/>
      <c r="T930" s="16"/>
      <c r="U930" s="16"/>
      <c r="V930" s="17"/>
      <c r="W930" s="6"/>
      <c r="X930" s="22"/>
      <c r="Y930" s="14"/>
      <c r="Z930" s="14"/>
      <c r="AA930" s="14"/>
      <c r="AB930" s="14"/>
      <c r="AC930" s="14"/>
      <c r="AD930" s="14"/>
      <c r="AE930" s="14"/>
      <c r="AF930" s="14"/>
      <c r="AG930" s="19"/>
      <c r="AH930" s="20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</row>
    <row r="931" ht="15.75" customHeight="1">
      <c r="A931" s="5"/>
      <c r="B931" s="5"/>
      <c r="C931" s="5"/>
      <c r="D931" s="5"/>
      <c r="E931" s="14"/>
      <c r="F931" s="15"/>
      <c r="G931" s="14"/>
      <c r="H931" s="16"/>
      <c r="I931" s="14"/>
      <c r="J931" s="16"/>
      <c r="K931" s="14"/>
      <c r="L931" s="16"/>
      <c r="M931" s="14"/>
      <c r="N931" s="16"/>
      <c r="O931" s="14"/>
      <c r="P931" s="16"/>
      <c r="Q931" s="14"/>
      <c r="R931" s="5"/>
      <c r="S931" s="14"/>
      <c r="T931" s="16"/>
      <c r="U931" s="16"/>
      <c r="V931" s="17"/>
      <c r="W931" s="6"/>
      <c r="X931" s="22"/>
      <c r="Y931" s="14"/>
      <c r="Z931" s="14"/>
      <c r="AA931" s="14"/>
      <c r="AB931" s="14"/>
      <c r="AC931" s="14"/>
      <c r="AD931" s="14"/>
      <c r="AE931" s="14"/>
      <c r="AF931" s="14"/>
      <c r="AG931" s="19"/>
      <c r="AH931" s="20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</row>
    <row r="932" ht="15.75" customHeight="1">
      <c r="A932" s="5"/>
      <c r="B932" s="5"/>
      <c r="C932" s="5"/>
      <c r="D932" s="5"/>
      <c r="E932" s="14"/>
      <c r="F932" s="15"/>
      <c r="G932" s="14"/>
      <c r="H932" s="16"/>
      <c r="I932" s="14"/>
      <c r="J932" s="16"/>
      <c r="K932" s="14"/>
      <c r="L932" s="16"/>
      <c r="M932" s="14"/>
      <c r="N932" s="16"/>
      <c r="O932" s="14"/>
      <c r="P932" s="16"/>
      <c r="Q932" s="14"/>
      <c r="R932" s="5"/>
      <c r="S932" s="14"/>
      <c r="T932" s="16"/>
      <c r="U932" s="16"/>
      <c r="V932" s="17"/>
      <c r="W932" s="6"/>
      <c r="X932" s="22"/>
      <c r="Y932" s="14"/>
      <c r="Z932" s="14"/>
      <c r="AA932" s="14"/>
      <c r="AB932" s="14"/>
      <c r="AC932" s="14"/>
      <c r="AD932" s="14"/>
      <c r="AE932" s="14"/>
      <c r="AF932" s="14"/>
      <c r="AG932" s="19"/>
      <c r="AH932" s="20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</row>
    <row r="933" ht="15.75" customHeight="1">
      <c r="A933" s="5"/>
      <c r="B933" s="5"/>
      <c r="C933" s="5"/>
      <c r="D933" s="5"/>
      <c r="E933" s="14"/>
      <c r="F933" s="15"/>
      <c r="G933" s="14"/>
      <c r="H933" s="16"/>
      <c r="I933" s="14"/>
      <c r="J933" s="16"/>
      <c r="K933" s="14"/>
      <c r="L933" s="16"/>
      <c r="M933" s="14"/>
      <c r="N933" s="16"/>
      <c r="O933" s="14"/>
      <c r="P933" s="16"/>
      <c r="Q933" s="14"/>
      <c r="R933" s="5"/>
      <c r="S933" s="14"/>
      <c r="T933" s="16"/>
      <c r="U933" s="16"/>
      <c r="V933" s="17"/>
      <c r="W933" s="6"/>
      <c r="X933" s="22"/>
      <c r="Y933" s="14"/>
      <c r="Z933" s="14"/>
      <c r="AA933" s="14"/>
      <c r="AB933" s="14"/>
      <c r="AC933" s="14"/>
      <c r="AD933" s="14"/>
      <c r="AE933" s="14"/>
      <c r="AF933" s="14"/>
      <c r="AG933" s="19"/>
      <c r="AH933" s="20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</row>
    <row r="934" ht="15.75" customHeight="1">
      <c r="A934" s="5"/>
      <c r="B934" s="5"/>
      <c r="C934" s="5"/>
      <c r="D934" s="5"/>
      <c r="E934" s="14"/>
      <c r="F934" s="15"/>
      <c r="G934" s="14"/>
      <c r="H934" s="16"/>
      <c r="I934" s="14"/>
      <c r="J934" s="16"/>
      <c r="K934" s="14"/>
      <c r="L934" s="16"/>
      <c r="M934" s="14"/>
      <c r="N934" s="16"/>
      <c r="O934" s="14"/>
      <c r="P934" s="16"/>
      <c r="Q934" s="14"/>
      <c r="R934" s="5"/>
      <c r="S934" s="14"/>
      <c r="T934" s="16"/>
      <c r="U934" s="16"/>
      <c r="V934" s="17"/>
      <c r="W934" s="6"/>
      <c r="X934" s="22"/>
      <c r="Y934" s="14"/>
      <c r="Z934" s="14"/>
      <c r="AA934" s="14"/>
      <c r="AB934" s="14"/>
      <c r="AC934" s="14"/>
      <c r="AD934" s="14"/>
      <c r="AE934" s="14"/>
      <c r="AF934" s="14"/>
      <c r="AG934" s="19"/>
      <c r="AH934" s="20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</row>
    <row r="935" ht="15.75" customHeight="1">
      <c r="A935" s="5"/>
      <c r="B935" s="5"/>
      <c r="C935" s="5"/>
      <c r="D935" s="5"/>
      <c r="E935" s="14"/>
      <c r="F935" s="15"/>
      <c r="G935" s="14"/>
      <c r="H935" s="16"/>
      <c r="I935" s="14"/>
      <c r="J935" s="16"/>
      <c r="K935" s="14"/>
      <c r="L935" s="16"/>
      <c r="M935" s="14"/>
      <c r="N935" s="16"/>
      <c r="O935" s="14"/>
      <c r="P935" s="16"/>
      <c r="Q935" s="14"/>
      <c r="R935" s="5"/>
      <c r="S935" s="14"/>
      <c r="T935" s="16"/>
      <c r="U935" s="16"/>
      <c r="V935" s="17"/>
      <c r="W935" s="6"/>
      <c r="X935" s="22"/>
      <c r="Y935" s="14"/>
      <c r="Z935" s="14"/>
      <c r="AA935" s="14"/>
      <c r="AB935" s="14"/>
      <c r="AC935" s="14"/>
      <c r="AD935" s="14"/>
      <c r="AE935" s="14"/>
      <c r="AF935" s="14"/>
      <c r="AG935" s="19"/>
      <c r="AH935" s="20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</row>
    <row r="936" ht="15.75" customHeight="1">
      <c r="A936" s="5"/>
      <c r="B936" s="5"/>
      <c r="C936" s="5"/>
      <c r="D936" s="5"/>
      <c r="E936" s="14"/>
      <c r="F936" s="15"/>
      <c r="G936" s="14"/>
      <c r="H936" s="16"/>
      <c r="I936" s="14"/>
      <c r="J936" s="16"/>
      <c r="K936" s="14"/>
      <c r="L936" s="16"/>
      <c r="M936" s="14"/>
      <c r="N936" s="16"/>
      <c r="O936" s="14"/>
      <c r="P936" s="16"/>
      <c r="Q936" s="14"/>
      <c r="R936" s="5"/>
      <c r="S936" s="14"/>
      <c r="T936" s="16"/>
      <c r="U936" s="16"/>
      <c r="V936" s="17"/>
      <c r="W936" s="6"/>
      <c r="X936" s="22"/>
      <c r="Y936" s="14"/>
      <c r="Z936" s="14"/>
      <c r="AA936" s="14"/>
      <c r="AB936" s="14"/>
      <c r="AC936" s="14"/>
      <c r="AD936" s="14"/>
      <c r="AE936" s="14"/>
      <c r="AF936" s="14"/>
      <c r="AG936" s="19"/>
      <c r="AH936" s="20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</row>
    <row r="937" ht="15.75" customHeight="1">
      <c r="A937" s="5"/>
      <c r="B937" s="5"/>
      <c r="C937" s="5"/>
      <c r="D937" s="5"/>
      <c r="E937" s="14"/>
      <c r="F937" s="15"/>
      <c r="G937" s="14"/>
      <c r="H937" s="16"/>
      <c r="I937" s="14"/>
      <c r="J937" s="16"/>
      <c r="K937" s="14"/>
      <c r="L937" s="16"/>
      <c r="M937" s="14"/>
      <c r="N937" s="16"/>
      <c r="O937" s="14"/>
      <c r="P937" s="16"/>
      <c r="Q937" s="14"/>
      <c r="R937" s="5"/>
      <c r="S937" s="14"/>
      <c r="T937" s="16"/>
      <c r="U937" s="16"/>
      <c r="V937" s="17"/>
      <c r="W937" s="6"/>
      <c r="X937" s="22"/>
      <c r="Y937" s="14"/>
      <c r="Z937" s="14"/>
      <c r="AA937" s="14"/>
      <c r="AB937" s="14"/>
      <c r="AC937" s="14"/>
      <c r="AD937" s="14"/>
      <c r="AE937" s="14"/>
      <c r="AF937" s="14"/>
      <c r="AG937" s="19"/>
      <c r="AH937" s="20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</row>
    <row r="938" ht="15.75" customHeight="1">
      <c r="A938" s="5"/>
      <c r="B938" s="5"/>
      <c r="C938" s="5"/>
      <c r="D938" s="5"/>
      <c r="E938" s="14"/>
      <c r="F938" s="15"/>
      <c r="G938" s="14"/>
      <c r="H938" s="16"/>
      <c r="I938" s="14"/>
      <c r="J938" s="16"/>
      <c r="K938" s="14"/>
      <c r="L938" s="16"/>
      <c r="M938" s="14"/>
      <c r="N938" s="16"/>
      <c r="O938" s="14"/>
      <c r="P938" s="16"/>
      <c r="Q938" s="14"/>
      <c r="R938" s="5"/>
      <c r="S938" s="14"/>
      <c r="T938" s="16"/>
      <c r="U938" s="16"/>
      <c r="V938" s="17"/>
      <c r="W938" s="6"/>
      <c r="X938" s="22"/>
      <c r="Y938" s="14"/>
      <c r="Z938" s="14"/>
      <c r="AA938" s="14"/>
      <c r="AB938" s="14"/>
      <c r="AC938" s="14"/>
      <c r="AD938" s="14"/>
      <c r="AE938" s="14"/>
      <c r="AF938" s="14"/>
      <c r="AG938" s="19"/>
      <c r="AH938" s="20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</row>
    <row r="939" ht="15.75" customHeight="1">
      <c r="A939" s="5"/>
      <c r="B939" s="5"/>
      <c r="C939" s="5"/>
      <c r="D939" s="5"/>
      <c r="E939" s="14"/>
      <c r="F939" s="15"/>
      <c r="G939" s="14"/>
      <c r="H939" s="16"/>
      <c r="I939" s="14"/>
      <c r="J939" s="16"/>
      <c r="K939" s="14"/>
      <c r="L939" s="16"/>
      <c r="M939" s="14"/>
      <c r="N939" s="16"/>
      <c r="O939" s="14"/>
      <c r="P939" s="16"/>
      <c r="Q939" s="14"/>
      <c r="R939" s="5"/>
      <c r="S939" s="14"/>
      <c r="T939" s="16"/>
      <c r="U939" s="16"/>
      <c r="V939" s="17"/>
      <c r="W939" s="6"/>
      <c r="X939" s="22"/>
      <c r="Y939" s="14"/>
      <c r="Z939" s="14"/>
      <c r="AA939" s="14"/>
      <c r="AB939" s="14"/>
      <c r="AC939" s="14"/>
      <c r="AD939" s="14"/>
      <c r="AE939" s="14"/>
      <c r="AF939" s="14"/>
      <c r="AG939" s="19"/>
      <c r="AH939" s="20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</row>
    <row r="940" ht="15.75" customHeight="1">
      <c r="A940" s="5"/>
      <c r="B940" s="5"/>
      <c r="C940" s="5"/>
      <c r="D940" s="5"/>
      <c r="E940" s="14"/>
      <c r="F940" s="15"/>
      <c r="G940" s="14"/>
      <c r="H940" s="16"/>
      <c r="I940" s="14"/>
      <c r="J940" s="16"/>
      <c r="K940" s="14"/>
      <c r="L940" s="16"/>
      <c r="M940" s="14"/>
      <c r="N940" s="16"/>
      <c r="O940" s="14"/>
      <c r="P940" s="16"/>
      <c r="Q940" s="14"/>
      <c r="R940" s="5"/>
      <c r="S940" s="14"/>
      <c r="T940" s="16"/>
      <c r="U940" s="16"/>
      <c r="V940" s="17"/>
      <c r="W940" s="6"/>
      <c r="X940" s="22"/>
      <c r="Y940" s="14"/>
      <c r="Z940" s="14"/>
      <c r="AA940" s="14"/>
      <c r="AB940" s="14"/>
      <c r="AC940" s="14"/>
      <c r="AD940" s="14"/>
      <c r="AE940" s="14"/>
      <c r="AF940" s="14"/>
      <c r="AG940" s="19"/>
      <c r="AH940" s="20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</row>
    <row r="941" ht="15.75" customHeight="1">
      <c r="A941" s="5"/>
      <c r="B941" s="5"/>
      <c r="C941" s="5"/>
      <c r="D941" s="5"/>
      <c r="E941" s="14"/>
      <c r="F941" s="15"/>
      <c r="G941" s="14"/>
      <c r="H941" s="16"/>
      <c r="I941" s="14"/>
      <c r="J941" s="16"/>
      <c r="K941" s="14"/>
      <c r="L941" s="16"/>
      <c r="M941" s="14"/>
      <c r="N941" s="16"/>
      <c r="O941" s="14"/>
      <c r="P941" s="16"/>
      <c r="Q941" s="14"/>
      <c r="R941" s="5"/>
      <c r="S941" s="14"/>
      <c r="T941" s="16"/>
      <c r="U941" s="16"/>
      <c r="V941" s="17"/>
      <c r="W941" s="6"/>
      <c r="X941" s="22"/>
      <c r="Y941" s="14"/>
      <c r="Z941" s="14"/>
      <c r="AA941" s="14"/>
      <c r="AB941" s="14"/>
      <c r="AC941" s="14"/>
      <c r="AD941" s="14"/>
      <c r="AE941" s="14"/>
      <c r="AF941" s="14"/>
      <c r="AG941" s="19"/>
      <c r="AH941" s="20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</row>
    <row r="942" ht="15.75" customHeight="1">
      <c r="A942" s="5"/>
      <c r="B942" s="5"/>
      <c r="C942" s="5"/>
      <c r="D942" s="5"/>
      <c r="E942" s="14"/>
      <c r="F942" s="15"/>
      <c r="G942" s="14"/>
      <c r="H942" s="16"/>
      <c r="I942" s="14"/>
      <c r="J942" s="16"/>
      <c r="K942" s="14"/>
      <c r="L942" s="16"/>
      <c r="M942" s="14"/>
      <c r="N942" s="16"/>
      <c r="O942" s="14"/>
      <c r="P942" s="16"/>
      <c r="Q942" s="14"/>
      <c r="R942" s="5"/>
      <c r="S942" s="14"/>
      <c r="T942" s="16"/>
      <c r="U942" s="16"/>
      <c r="V942" s="17"/>
      <c r="W942" s="6"/>
      <c r="X942" s="22"/>
      <c r="Y942" s="14"/>
      <c r="Z942" s="14"/>
      <c r="AA942" s="14"/>
      <c r="AB942" s="14"/>
      <c r="AC942" s="14"/>
      <c r="AD942" s="14"/>
      <c r="AE942" s="14"/>
      <c r="AF942" s="14"/>
      <c r="AG942" s="19"/>
      <c r="AH942" s="20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</row>
    <row r="943" ht="15.75" customHeight="1">
      <c r="A943" s="5"/>
      <c r="B943" s="5"/>
      <c r="C943" s="5"/>
      <c r="D943" s="5"/>
      <c r="E943" s="14"/>
      <c r="F943" s="15"/>
      <c r="G943" s="14"/>
      <c r="H943" s="16"/>
      <c r="I943" s="14"/>
      <c r="J943" s="16"/>
      <c r="K943" s="14"/>
      <c r="L943" s="16"/>
      <c r="M943" s="14"/>
      <c r="N943" s="16"/>
      <c r="O943" s="14"/>
      <c r="P943" s="16"/>
      <c r="Q943" s="14"/>
      <c r="R943" s="5"/>
      <c r="S943" s="14"/>
      <c r="T943" s="16"/>
      <c r="U943" s="16"/>
      <c r="V943" s="17"/>
      <c r="W943" s="6"/>
      <c r="X943" s="22"/>
      <c r="Y943" s="14"/>
      <c r="Z943" s="14"/>
      <c r="AA943" s="14"/>
      <c r="AB943" s="14"/>
      <c r="AC943" s="14"/>
      <c r="AD943" s="14"/>
      <c r="AE943" s="14"/>
      <c r="AF943" s="14"/>
      <c r="AG943" s="19"/>
      <c r="AH943" s="20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</row>
    <row r="944" ht="15.75" customHeight="1">
      <c r="A944" s="5"/>
      <c r="B944" s="5"/>
      <c r="C944" s="5"/>
      <c r="D944" s="5"/>
      <c r="E944" s="14"/>
      <c r="F944" s="15"/>
      <c r="G944" s="14"/>
      <c r="H944" s="16"/>
      <c r="I944" s="14"/>
      <c r="J944" s="16"/>
      <c r="K944" s="14"/>
      <c r="L944" s="16"/>
      <c r="M944" s="14"/>
      <c r="N944" s="16"/>
      <c r="O944" s="14"/>
      <c r="P944" s="16"/>
      <c r="Q944" s="14"/>
      <c r="R944" s="5"/>
      <c r="S944" s="14"/>
      <c r="T944" s="16"/>
      <c r="U944" s="16"/>
      <c r="V944" s="17"/>
      <c r="W944" s="6"/>
      <c r="X944" s="22"/>
      <c r="Y944" s="14"/>
      <c r="Z944" s="14"/>
      <c r="AA944" s="14"/>
      <c r="AB944" s="14"/>
      <c r="AC944" s="14"/>
      <c r="AD944" s="14"/>
      <c r="AE944" s="14"/>
      <c r="AF944" s="14"/>
      <c r="AG944" s="19"/>
      <c r="AH944" s="20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</row>
    <row r="945" ht="15.75" customHeight="1">
      <c r="A945" s="5"/>
      <c r="B945" s="5"/>
      <c r="C945" s="5"/>
      <c r="D945" s="5"/>
      <c r="E945" s="14"/>
      <c r="F945" s="15"/>
      <c r="G945" s="14"/>
      <c r="H945" s="16"/>
      <c r="I945" s="14"/>
      <c r="J945" s="16"/>
      <c r="K945" s="14"/>
      <c r="L945" s="16"/>
      <c r="M945" s="14"/>
      <c r="N945" s="16"/>
      <c r="O945" s="14"/>
      <c r="P945" s="16"/>
      <c r="Q945" s="14"/>
      <c r="R945" s="5"/>
      <c r="S945" s="14"/>
      <c r="T945" s="16"/>
      <c r="U945" s="16"/>
      <c r="V945" s="17"/>
      <c r="W945" s="6"/>
      <c r="X945" s="22"/>
      <c r="Y945" s="14"/>
      <c r="Z945" s="14"/>
      <c r="AA945" s="14"/>
      <c r="AB945" s="14"/>
      <c r="AC945" s="14"/>
      <c r="AD945" s="14"/>
      <c r="AE945" s="14"/>
      <c r="AF945" s="14"/>
      <c r="AG945" s="19"/>
      <c r="AH945" s="20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</row>
    <row r="946" ht="15.75" customHeight="1">
      <c r="A946" s="5"/>
      <c r="B946" s="5"/>
      <c r="C946" s="5"/>
      <c r="D946" s="5"/>
      <c r="E946" s="14"/>
      <c r="F946" s="15"/>
      <c r="G946" s="14"/>
      <c r="H946" s="16"/>
      <c r="I946" s="14"/>
      <c r="J946" s="16"/>
      <c r="K946" s="14"/>
      <c r="L946" s="16"/>
      <c r="M946" s="14"/>
      <c r="N946" s="16"/>
      <c r="O946" s="14"/>
      <c r="P946" s="16"/>
      <c r="Q946" s="14"/>
      <c r="R946" s="5"/>
      <c r="S946" s="14"/>
      <c r="T946" s="16"/>
      <c r="U946" s="16"/>
      <c r="V946" s="17"/>
      <c r="W946" s="6"/>
      <c r="X946" s="22"/>
      <c r="Y946" s="14"/>
      <c r="Z946" s="14"/>
      <c r="AA946" s="14"/>
      <c r="AB946" s="14"/>
      <c r="AC946" s="14"/>
      <c r="AD946" s="14"/>
      <c r="AE946" s="14"/>
      <c r="AF946" s="14"/>
      <c r="AG946" s="19"/>
      <c r="AH946" s="20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</row>
    <row r="947" ht="15.75" customHeight="1">
      <c r="A947" s="5"/>
      <c r="B947" s="5"/>
      <c r="C947" s="5"/>
      <c r="D947" s="5"/>
      <c r="E947" s="14"/>
      <c r="F947" s="15"/>
      <c r="G947" s="14"/>
      <c r="H947" s="16"/>
      <c r="I947" s="14"/>
      <c r="J947" s="16"/>
      <c r="K947" s="14"/>
      <c r="L947" s="16"/>
      <c r="M947" s="14"/>
      <c r="N947" s="16"/>
      <c r="O947" s="14"/>
      <c r="P947" s="16"/>
      <c r="Q947" s="14"/>
      <c r="R947" s="5"/>
      <c r="S947" s="14"/>
      <c r="T947" s="16"/>
      <c r="U947" s="16"/>
      <c r="V947" s="17"/>
      <c r="W947" s="6"/>
      <c r="X947" s="22"/>
      <c r="Y947" s="14"/>
      <c r="Z947" s="14"/>
      <c r="AA947" s="14"/>
      <c r="AB947" s="14"/>
      <c r="AC947" s="14"/>
      <c r="AD947" s="14"/>
      <c r="AE947" s="14"/>
      <c r="AF947" s="14"/>
      <c r="AG947" s="19"/>
      <c r="AH947" s="20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</row>
    <row r="948" ht="15.75" customHeight="1">
      <c r="A948" s="5"/>
      <c r="B948" s="5"/>
      <c r="C948" s="5"/>
      <c r="D948" s="5"/>
      <c r="E948" s="14"/>
      <c r="F948" s="15"/>
      <c r="G948" s="14"/>
      <c r="H948" s="16"/>
      <c r="I948" s="14"/>
      <c r="J948" s="16"/>
      <c r="K948" s="14"/>
      <c r="L948" s="16"/>
      <c r="M948" s="14"/>
      <c r="N948" s="16"/>
      <c r="O948" s="14"/>
      <c r="P948" s="16"/>
      <c r="Q948" s="14"/>
      <c r="R948" s="5"/>
      <c r="S948" s="14"/>
      <c r="T948" s="16"/>
      <c r="U948" s="16"/>
      <c r="V948" s="17"/>
      <c r="W948" s="6"/>
      <c r="X948" s="22"/>
      <c r="Y948" s="14"/>
      <c r="Z948" s="14"/>
      <c r="AA948" s="14"/>
      <c r="AB948" s="14"/>
      <c r="AC948" s="14"/>
      <c r="AD948" s="14"/>
      <c r="AE948" s="14"/>
      <c r="AF948" s="14"/>
      <c r="AG948" s="19"/>
      <c r="AH948" s="20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</row>
    <row r="949" ht="15.75" customHeight="1">
      <c r="A949" s="5"/>
      <c r="B949" s="5"/>
      <c r="C949" s="5"/>
      <c r="D949" s="5"/>
      <c r="E949" s="14"/>
      <c r="F949" s="15"/>
      <c r="G949" s="14"/>
      <c r="H949" s="16"/>
      <c r="I949" s="14"/>
      <c r="J949" s="16"/>
      <c r="K949" s="14"/>
      <c r="L949" s="16"/>
      <c r="M949" s="14"/>
      <c r="N949" s="16"/>
      <c r="O949" s="14"/>
      <c r="P949" s="16"/>
      <c r="Q949" s="14"/>
      <c r="R949" s="5"/>
      <c r="S949" s="14"/>
      <c r="T949" s="16"/>
      <c r="U949" s="16"/>
      <c r="V949" s="17"/>
      <c r="W949" s="6"/>
      <c r="X949" s="22"/>
      <c r="Y949" s="14"/>
      <c r="Z949" s="14"/>
      <c r="AA949" s="14"/>
      <c r="AB949" s="14"/>
      <c r="AC949" s="14"/>
      <c r="AD949" s="14"/>
      <c r="AE949" s="14"/>
      <c r="AF949" s="14"/>
      <c r="AG949" s="19"/>
      <c r="AH949" s="20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</row>
    <row r="950" ht="15.75" customHeight="1">
      <c r="A950" s="5"/>
      <c r="B950" s="5"/>
      <c r="C950" s="5"/>
      <c r="D950" s="5"/>
      <c r="E950" s="14"/>
      <c r="F950" s="15"/>
      <c r="G950" s="14"/>
      <c r="H950" s="16"/>
      <c r="I950" s="14"/>
      <c r="J950" s="16"/>
      <c r="K950" s="14"/>
      <c r="L950" s="16"/>
      <c r="M950" s="14"/>
      <c r="N950" s="16"/>
      <c r="O950" s="14"/>
      <c r="P950" s="16"/>
      <c r="Q950" s="14"/>
      <c r="R950" s="5"/>
      <c r="S950" s="14"/>
      <c r="T950" s="16"/>
      <c r="U950" s="16"/>
      <c r="V950" s="17"/>
      <c r="W950" s="6"/>
      <c r="X950" s="22"/>
      <c r="Y950" s="14"/>
      <c r="Z950" s="14"/>
      <c r="AA950" s="14"/>
      <c r="AB950" s="14"/>
      <c r="AC950" s="14"/>
      <c r="AD950" s="14"/>
      <c r="AE950" s="14"/>
      <c r="AF950" s="14"/>
      <c r="AG950" s="19"/>
      <c r="AH950" s="20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</row>
    <row r="951" ht="15.75" customHeight="1">
      <c r="A951" s="5"/>
      <c r="B951" s="5"/>
      <c r="C951" s="5"/>
      <c r="D951" s="5"/>
      <c r="E951" s="14"/>
      <c r="F951" s="15"/>
      <c r="G951" s="14"/>
      <c r="H951" s="16"/>
      <c r="I951" s="14"/>
      <c r="J951" s="16"/>
      <c r="K951" s="14"/>
      <c r="L951" s="16"/>
      <c r="M951" s="14"/>
      <c r="N951" s="16"/>
      <c r="O951" s="14"/>
      <c r="P951" s="16"/>
      <c r="Q951" s="14"/>
      <c r="R951" s="5"/>
      <c r="S951" s="14"/>
      <c r="T951" s="16"/>
      <c r="U951" s="16"/>
      <c r="V951" s="17"/>
      <c r="W951" s="6"/>
      <c r="X951" s="22"/>
      <c r="Y951" s="14"/>
      <c r="Z951" s="14"/>
      <c r="AA951" s="14"/>
      <c r="AB951" s="14"/>
      <c r="AC951" s="14"/>
      <c r="AD951" s="14"/>
      <c r="AE951" s="14"/>
      <c r="AF951" s="14"/>
      <c r="AG951" s="19"/>
      <c r="AH951" s="20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</row>
    <row r="952" ht="15.75" customHeight="1">
      <c r="A952" s="5"/>
      <c r="B952" s="5"/>
      <c r="C952" s="5"/>
      <c r="D952" s="5"/>
      <c r="E952" s="14"/>
      <c r="F952" s="15"/>
      <c r="G952" s="14"/>
      <c r="H952" s="16"/>
      <c r="I952" s="14"/>
      <c r="J952" s="16"/>
      <c r="K952" s="14"/>
      <c r="L952" s="16"/>
      <c r="M952" s="14"/>
      <c r="N952" s="16"/>
      <c r="O952" s="14"/>
      <c r="P952" s="16"/>
      <c r="Q952" s="14"/>
      <c r="R952" s="5"/>
      <c r="S952" s="14"/>
      <c r="T952" s="16"/>
      <c r="U952" s="16"/>
      <c r="V952" s="17"/>
      <c r="W952" s="6"/>
      <c r="X952" s="22"/>
      <c r="Y952" s="14"/>
      <c r="Z952" s="14"/>
      <c r="AA952" s="14"/>
      <c r="AB952" s="14"/>
      <c r="AC952" s="14"/>
      <c r="AD952" s="14"/>
      <c r="AE952" s="14"/>
      <c r="AF952" s="14"/>
      <c r="AG952" s="19"/>
      <c r="AH952" s="20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</row>
    <row r="953" ht="15.75" customHeight="1">
      <c r="A953" s="5"/>
      <c r="B953" s="5"/>
      <c r="C953" s="5"/>
      <c r="D953" s="5"/>
      <c r="E953" s="14"/>
      <c r="F953" s="15"/>
      <c r="G953" s="14"/>
      <c r="H953" s="16"/>
      <c r="I953" s="14"/>
      <c r="J953" s="16"/>
      <c r="K953" s="14"/>
      <c r="L953" s="16"/>
      <c r="M953" s="14"/>
      <c r="N953" s="16"/>
      <c r="O953" s="14"/>
      <c r="P953" s="16"/>
      <c r="Q953" s="14"/>
      <c r="R953" s="5"/>
      <c r="S953" s="14"/>
      <c r="T953" s="16"/>
      <c r="U953" s="16"/>
      <c r="V953" s="17"/>
      <c r="W953" s="6"/>
      <c r="X953" s="22"/>
      <c r="Y953" s="14"/>
      <c r="Z953" s="14"/>
      <c r="AA953" s="14"/>
      <c r="AB953" s="14"/>
      <c r="AC953" s="14"/>
      <c r="AD953" s="14"/>
      <c r="AE953" s="14"/>
      <c r="AF953" s="14"/>
      <c r="AG953" s="19"/>
      <c r="AH953" s="20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</row>
    <row r="954" ht="15.75" customHeight="1">
      <c r="A954" s="5"/>
      <c r="B954" s="5"/>
      <c r="C954" s="5"/>
      <c r="D954" s="5"/>
      <c r="E954" s="14"/>
      <c r="F954" s="15"/>
      <c r="G954" s="14"/>
      <c r="H954" s="16"/>
      <c r="I954" s="14"/>
      <c r="J954" s="16"/>
      <c r="K954" s="14"/>
      <c r="L954" s="16"/>
      <c r="M954" s="14"/>
      <c r="N954" s="16"/>
      <c r="O954" s="14"/>
      <c r="P954" s="16"/>
      <c r="Q954" s="14"/>
      <c r="R954" s="5"/>
      <c r="S954" s="14"/>
      <c r="T954" s="16"/>
      <c r="U954" s="16"/>
      <c r="V954" s="17"/>
      <c r="W954" s="6"/>
      <c r="X954" s="22"/>
      <c r="Y954" s="14"/>
      <c r="Z954" s="14"/>
      <c r="AA954" s="14"/>
      <c r="AB954" s="14"/>
      <c r="AC954" s="14"/>
      <c r="AD954" s="14"/>
      <c r="AE954" s="14"/>
      <c r="AF954" s="14"/>
      <c r="AG954" s="19"/>
      <c r="AH954" s="20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</row>
    <row r="955" ht="15.75" customHeight="1">
      <c r="A955" s="5"/>
      <c r="B955" s="5"/>
      <c r="C955" s="5"/>
      <c r="D955" s="5"/>
      <c r="E955" s="14"/>
      <c r="F955" s="15"/>
      <c r="G955" s="14"/>
      <c r="H955" s="16"/>
      <c r="I955" s="14"/>
      <c r="J955" s="16"/>
      <c r="K955" s="14"/>
      <c r="L955" s="16"/>
      <c r="M955" s="14"/>
      <c r="N955" s="16"/>
      <c r="O955" s="14"/>
      <c r="P955" s="16"/>
      <c r="Q955" s="14"/>
      <c r="R955" s="5"/>
      <c r="S955" s="14"/>
      <c r="T955" s="16"/>
      <c r="U955" s="16"/>
      <c r="V955" s="17"/>
      <c r="W955" s="6"/>
      <c r="X955" s="22"/>
      <c r="Y955" s="14"/>
      <c r="Z955" s="14"/>
      <c r="AA955" s="14"/>
      <c r="AB955" s="14"/>
      <c r="AC955" s="14"/>
      <c r="AD955" s="14"/>
      <c r="AE955" s="14"/>
      <c r="AF955" s="14"/>
      <c r="AG955" s="19"/>
      <c r="AH955" s="20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</row>
    <row r="956" ht="15.75" customHeight="1">
      <c r="A956" s="5"/>
      <c r="B956" s="5"/>
      <c r="C956" s="5"/>
      <c r="D956" s="5"/>
      <c r="E956" s="14"/>
      <c r="F956" s="15"/>
      <c r="G956" s="14"/>
      <c r="H956" s="16"/>
      <c r="I956" s="14"/>
      <c r="J956" s="16"/>
      <c r="K956" s="14"/>
      <c r="L956" s="16"/>
      <c r="M956" s="14"/>
      <c r="N956" s="16"/>
      <c r="O956" s="14"/>
      <c r="P956" s="16"/>
      <c r="Q956" s="14"/>
      <c r="R956" s="5"/>
      <c r="S956" s="14"/>
      <c r="T956" s="16"/>
      <c r="U956" s="16"/>
      <c r="V956" s="17"/>
      <c r="W956" s="6"/>
      <c r="X956" s="22"/>
      <c r="Y956" s="14"/>
      <c r="Z956" s="14"/>
      <c r="AA956" s="14"/>
      <c r="AB956" s="14"/>
      <c r="AC956" s="14"/>
      <c r="AD956" s="14"/>
      <c r="AE956" s="14"/>
      <c r="AF956" s="14"/>
      <c r="AG956" s="19"/>
      <c r="AH956" s="20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</row>
    <row r="957" ht="15.75" customHeight="1">
      <c r="A957" s="5"/>
      <c r="B957" s="5"/>
      <c r="C957" s="5"/>
      <c r="D957" s="5"/>
      <c r="E957" s="14"/>
      <c r="F957" s="15"/>
      <c r="G957" s="14"/>
      <c r="H957" s="16"/>
      <c r="I957" s="14"/>
      <c r="J957" s="16"/>
      <c r="K957" s="14"/>
      <c r="L957" s="16"/>
      <c r="M957" s="14"/>
      <c r="N957" s="16"/>
      <c r="O957" s="14"/>
      <c r="P957" s="16"/>
      <c r="Q957" s="14"/>
      <c r="R957" s="5"/>
      <c r="S957" s="14"/>
      <c r="T957" s="16"/>
      <c r="U957" s="16"/>
      <c r="V957" s="17"/>
      <c r="W957" s="6"/>
      <c r="X957" s="22"/>
      <c r="Y957" s="14"/>
      <c r="Z957" s="14"/>
      <c r="AA957" s="14"/>
      <c r="AB957" s="14"/>
      <c r="AC957" s="14"/>
      <c r="AD957" s="14"/>
      <c r="AE957" s="14"/>
      <c r="AF957" s="14"/>
      <c r="AG957" s="19"/>
      <c r="AH957" s="20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</row>
    <row r="958" ht="15.75" customHeight="1">
      <c r="A958" s="5"/>
      <c r="B958" s="5"/>
      <c r="C958" s="5"/>
      <c r="D958" s="5"/>
      <c r="E958" s="14"/>
      <c r="F958" s="15"/>
      <c r="G958" s="14"/>
      <c r="H958" s="16"/>
      <c r="I958" s="14"/>
      <c r="J958" s="16"/>
      <c r="K958" s="14"/>
      <c r="L958" s="16"/>
      <c r="M958" s="14"/>
      <c r="N958" s="16"/>
      <c r="O958" s="14"/>
      <c r="P958" s="16"/>
      <c r="Q958" s="14"/>
      <c r="R958" s="5"/>
      <c r="S958" s="14"/>
      <c r="T958" s="16"/>
      <c r="U958" s="16"/>
      <c r="V958" s="17"/>
      <c r="W958" s="6"/>
      <c r="X958" s="22"/>
      <c r="Y958" s="14"/>
      <c r="Z958" s="14"/>
      <c r="AA958" s="14"/>
      <c r="AB958" s="14"/>
      <c r="AC958" s="14"/>
      <c r="AD958" s="14"/>
      <c r="AE958" s="14"/>
      <c r="AF958" s="14"/>
      <c r="AG958" s="19"/>
      <c r="AH958" s="20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</row>
    <row r="959" ht="15.75" customHeight="1">
      <c r="A959" s="5"/>
      <c r="B959" s="5"/>
      <c r="C959" s="5"/>
      <c r="D959" s="5"/>
      <c r="E959" s="14"/>
      <c r="F959" s="15"/>
      <c r="G959" s="14"/>
      <c r="H959" s="16"/>
      <c r="I959" s="14"/>
      <c r="J959" s="16"/>
      <c r="K959" s="14"/>
      <c r="L959" s="16"/>
      <c r="M959" s="14"/>
      <c r="N959" s="16"/>
      <c r="O959" s="14"/>
      <c r="P959" s="16"/>
      <c r="Q959" s="14"/>
      <c r="R959" s="5"/>
      <c r="S959" s="14"/>
      <c r="T959" s="16"/>
      <c r="U959" s="16"/>
      <c r="V959" s="17"/>
      <c r="W959" s="6"/>
      <c r="X959" s="22"/>
      <c r="Y959" s="14"/>
      <c r="Z959" s="14"/>
      <c r="AA959" s="14"/>
      <c r="AB959" s="14"/>
      <c r="AC959" s="14"/>
      <c r="AD959" s="14"/>
      <c r="AE959" s="14"/>
      <c r="AF959" s="14"/>
      <c r="AG959" s="19"/>
      <c r="AH959" s="20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</row>
    <row r="960" ht="15.75" customHeight="1">
      <c r="A960" s="5"/>
      <c r="B960" s="5"/>
      <c r="C960" s="5"/>
      <c r="D960" s="5"/>
      <c r="E960" s="14"/>
      <c r="F960" s="15"/>
      <c r="G960" s="14"/>
      <c r="H960" s="16"/>
      <c r="I960" s="14"/>
      <c r="J960" s="16"/>
      <c r="K960" s="14"/>
      <c r="L960" s="16"/>
      <c r="M960" s="14"/>
      <c r="N960" s="16"/>
      <c r="O960" s="14"/>
      <c r="P960" s="16"/>
      <c r="Q960" s="14"/>
      <c r="R960" s="5"/>
      <c r="S960" s="14"/>
      <c r="T960" s="16"/>
      <c r="U960" s="16"/>
      <c r="V960" s="17"/>
      <c r="W960" s="6"/>
      <c r="X960" s="22"/>
      <c r="Y960" s="14"/>
      <c r="Z960" s="14"/>
      <c r="AA960" s="14"/>
      <c r="AB960" s="14"/>
      <c r="AC960" s="14"/>
      <c r="AD960" s="14"/>
      <c r="AE960" s="14"/>
      <c r="AF960" s="14"/>
      <c r="AG960" s="19"/>
      <c r="AH960" s="20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</row>
    <row r="961" ht="15.75" customHeight="1">
      <c r="A961" s="5"/>
      <c r="B961" s="5"/>
      <c r="C961" s="5"/>
      <c r="D961" s="5"/>
      <c r="E961" s="14"/>
      <c r="F961" s="15"/>
      <c r="G961" s="14"/>
      <c r="H961" s="16"/>
      <c r="I961" s="14"/>
      <c r="J961" s="16"/>
      <c r="K961" s="14"/>
      <c r="L961" s="16"/>
      <c r="M961" s="14"/>
      <c r="N961" s="16"/>
      <c r="O961" s="14"/>
      <c r="P961" s="16"/>
      <c r="Q961" s="14"/>
      <c r="R961" s="5"/>
      <c r="S961" s="14"/>
      <c r="T961" s="16"/>
      <c r="U961" s="16"/>
      <c r="V961" s="17"/>
      <c r="W961" s="6"/>
      <c r="X961" s="22"/>
      <c r="Y961" s="14"/>
      <c r="Z961" s="14"/>
      <c r="AA961" s="14"/>
      <c r="AB961" s="14"/>
      <c r="AC961" s="14"/>
      <c r="AD961" s="14"/>
      <c r="AE961" s="14"/>
      <c r="AF961" s="14"/>
      <c r="AG961" s="19"/>
      <c r="AH961" s="20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</row>
    <row r="962" ht="15.75" customHeight="1">
      <c r="A962" s="5"/>
      <c r="B962" s="5"/>
      <c r="C962" s="5"/>
      <c r="D962" s="5"/>
      <c r="E962" s="14"/>
      <c r="F962" s="15"/>
      <c r="G962" s="14"/>
      <c r="H962" s="16"/>
      <c r="I962" s="14"/>
      <c r="J962" s="16"/>
      <c r="K962" s="14"/>
      <c r="L962" s="16"/>
      <c r="M962" s="14"/>
      <c r="N962" s="16"/>
      <c r="O962" s="14"/>
      <c r="P962" s="16"/>
      <c r="Q962" s="14"/>
      <c r="R962" s="5"/>
      <c r="S962" s="14"/>
      <c r="T962" s="16"/>
      <c r="U962" s="16"/>
      <c r="V962" s="17"/>
      <c r="W962" s="6"/>
      <c r="X962" s="22"/>
      <c r="Y962" s="14"/>
      <c r="Z962" s="14"/>
      <c r="AA962" s="14"/>
      <c r="AB962" s="14"/>
      <c r="AC962" s="14"/>
      <c r="AD962" s="14"/>
      <c r="AE962" s="14"/>
      <c r="AF962" s="14"/>
      <c r="AG962" s="19"/>
      <c r="AH962" s="20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</row>
    <row r="963" ht="15.75" customHeight="1">
      <c r="A963" s="5"/>
      <c r="B963" s="5"/>
      <c r="C963" s="5"/>
      <c r="D963" s="5"/>
      <c r="E963" s="14"/>
      <c r="F963" s="15"/>
      <c r="G963" s="14"/>
      <c r="H963" s="16"/>
      <c r="I963" s="14"/>
      <c r="J963" s="16"/>
      <c r="K963" s="14"/>
      <c r="L963" s="16"/>
      <c r="M963" s="14"/>
      <c r="N963" s="16"/>
      <c r="O963" s="14"/>
      <c r="P963" s="16"/>
      <c r="Q963" s="14"/>
      <c r="R963" s="5"/>
      <c r="S963" s="14"/>
      <c r="T963" s="16"/>
      <c r="U963" s="16"/>
      <c r="V963" s="17"/>
      <c r="W963" s="6"/>
      <c r="X963" s="22"/>
      <c r="Y963" s="14"/>
      <c r="Z963" s="14"/>
      <c r="AA963" s="14"/>
      <c r="AB963" s="14"/>
      <c r="AC963" s="14"/>
      <c r="AD963" s="14"/>
      <c r="AE963" s="14"/>
      <c r="AF963" s="14"/>
      <c r="AG963" s="19"/>
      <c r="AH963" s="20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</row>
    <row r="964" ht="15.75" customHeight="1">
      <c r="A964" s="5"/>
      <c r="B964" s="5"/>
      <c r="C964" s="5"/>
      <c r="D964" s="5"/>
      <c r="E964" s="14"/>
      <c r="F964" s="15"/>
      <c r="G964" s="14"/>
      <c r="H964" s="16"/>
      <c r="I964" s="14"/>
      <c r="J964" s="16"/>
      <c r="K964" s="14"/>
      <c r="L964" s="16"/>
      <c r="M964" s="14"/>
      <c r="N964" s="16"/>
      <c r="O964" s="14"/>
      <c r="P964" s="16"/>
      <c r="Q964" s="14"/>
      <c r="R964" s="5"/>
      <c r="S964" s="14"/>
      <c r="T964" s="16"/>
      <c r="U964" s="16"/>
      <c r="V964" s="17"/>
      <c r="W964" s="6"/>
      <c r="X964" s="22"/>
      <c r="Y964" s="14"/>
      <c r="Z964" s="14"/>
      <c r="AA964" s="14"/>
      <c r="AB964" s="14"/>
      <c r="AC964" s="14"/>
      <c r="AD964" s="14"/>
      <c r="AE964" s="14"/>
      <c r="AF964" s="14"/>
      <c r="AG964" s="19"/>
      <c r="AH964" s="20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</row>
    <row r="965" ht="15.75" customHeight="1">
      <c r="A965" s="5"/>
      <c r="B965" s="5"/>
      <c r="C965" s="5"/>
      <c r="D965" s="5"/>
      <c r="E965" s="14"/>
      <c r="F965" s="15"/>
      <c r="G965" s="14"/>
      <c r="H965" s="16"/>
      <c r="I965" s="14"/>
      <c r="J965" s="16"/>
      <c r="K965" s="14"/>
      <c r="L965" s="16"/>
      <c r="M965" s="14"/>
      <c r="N965" s="16"/>
      <c r="O965" s="14"/>
      <c r="P965" s="16"/>
      <c r="Q965" s="14"/>
      <c r="R965" s="5"/>
      <c r="S965" s="14"/>
      <c r="T965" s="16"/>
      <c r="U965" s="16"/>
      <c r="V965" s="17"/>
      <c r="W965" s="6"/>
      <c r="X965" s="22"/>
      <c r="Y965" s="14"/>
      <c r="Z965" s="14"/>
      <c r="AA965" s="14"/>
      <c r="AB965" s="14"/>
      <c r="AC965" s="14"/>
      <c r="AD965" s="14"/>
      <c r="AE965" s="14"/>
      <c r="AF965" s="14"/>
      <c r="AG965" s="19"/>
      <c r="AH965" s="20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</row>
    <row r="966" ht="15.75" customHeight="1">
      <c r="A966" s="5"/>
      <c r="B966" s="5"/>
      <c r="C966" s="5"/>
      <c r="D966" s="5"/>
      <c r="E966" s="14"/>
      <c r="F966" s="15"/>
      <c r="G966" s="14"/>
      <c r="H966" s="16"/>
      <c r="I966" s="14"/>
      <c r="J966" s="16"/>
      <c r="K966" s="14"/>
      <c r="L966" s="16"/>
      <c r="M966" s="14"/>
      <c r="N966" s="16"/>
      <c r="O966" s="14"/>
      <c r="P966" s="16"/>
      <c r="Q966" s="14"/>
      <c r="R966" s="5"/>
      <c r="S966" s="14"/>
      <c r="T966" s="16"/>
      <c r="U966" s="16"/>
      <c r="V966" s="17"/>
      <c r="W966" s="6"/>
      <c r="X966" s="22"/>
      <c r="Y966" s="14"/>
      <c r="Z966" s="14"/>
      <c r="AA966" s="14"/>
      <c r="AB966" s="14"/>
      <c r="AC966" s="14"/>
      <c r="AD966" s="14"/>
      <c r="AE966" s="14"/>
      <c r="AF966" s="14"/>
      <c r="AG966" s="19"/>
      <c r="AH966" s="20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</row>
    <row r="967" ht="15.75" customHeight="1">
      <c r="A967" s="5"/>
      <c r="B967" s="5"/>
      <c r="C967" s="5"/>
      <c r="D967" s="5"/>
      <c r="E967" s="14"/>
      <c r="F967" s="15"/>
      <c r="G967" s="14"/>
      <c r="H967" s="16"/>
      <c r="I967" s="14"/>
      <c r="J967" s="16"/>
      <c r="K967" s="14"/>
      <c r="L967" s="16"/>
      <c r="M967" s="14"/>
      <c r="N967" s="16"/>
      <c r="O967" s="14"/>
      <c r="P967" s="16"/>
      <c r="Q967" s="14"/>
      <c r="R967" s="5"/>
      <c r="S967" s="14"/>
      <c r="T967" s="16"/>
      <c r="U967" s="16"/>
      <c r="V967" s="17"/>
      <c r="W967" s="6"/>
      <c r="X967" s="22"/>
      <c r="Y967" s="14"/>
      <c r="Z967" s="14"/>
      <c r="AA967" s="14"/>
      <c r="AB967" s="14"/>
      <c r="AC967" s="14"/>
      <c r="AD967" s="14"/>
      <c r="AE967" s="14"/>
      <c r="AF967" s="14"/>
      <c r="AG967" s="19"/>
      <c r="AH967" s="20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</row>
    <row r="968" ht="15.75" customHeight="1">
      <c r="A968" s="5"/>
      <c r="B968" s="5"/>
      <c r="C968" s="5"/>
      <c r="D968" s="5"/>
      <c r="E968" s="14"/>
      <c r="F968" s="15"/>
      <c r="G968" s="14"/>
      <c r="H968" s="16"/>
      <c r="I968" s="14"/>
      <c r="J968" s="16"/>
      <c r="K968" s="14"/>
      <c r="L968" s="16"/>
      <c r="M968" s="14"/>
      <c r="N968" s="16"/>
      <c r="O968" s="14"/>
      <c r="P968" s="16"/>
      <c r="Q968" s="14"/>
      <c r="R968" s="5"/>
      <c r="S968" s="14"/>
      <c r="T968" s="16"/>
      <c r="U968" s="16"/>
      <c r="V968" s="17"/>
      <c r="W968" s="6"/>
      <c r="X968" s="22"/>
      <c r="Y968" s="14"/>
      <c r="Z968" s="14"/>
      <c r="AA968" s="14"/>
      <c r="AB968" s="14"/>
      <c r="AC968" s="14"/>
      <c r="AD968" s="14"/>
      <c r="AE968" s="14"/>
      <c r="AF968" s="14"/>
      <c r="AG968" s="19"/>
      <c r="AH968" s="20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</row>
    <row r="969" ht="15.75" customHeight="1">
      <c r="A969" s="5"/>
      <c r="B969" s="5"/>
      <c r="C969" s="5"/>
      <c r="D969" s="5"/>
      <c r="E969" s="14"/>
      <c r="F969" s="15"/>
      <c r="G969" s="14"/>
      <c r="H969" s="16"/>
      <c r="I969" s="14"/>
      <c r="J969" s="16"/>
      <c r="K969" s="14"/>
      <c r="L969" s="16"/>
      <c r="M969" s="14"/>
      <c r="N969" s="16"/>
      <c r="O969" s="14"/>
      <c r="P969" s="16"/>
      <c r="Q969" s="14"/>
      <c r="R969" s="5"/>
      <c r="S969" s="14"/>
      <c r="T969" s="16"/>
      <c r="U969" s="16"/>
      <c r="V969" s="17"/>
      <c r="W969" s="6"/>
      <c r="X969" s="22"/>
      <c r="Y969" s="14"/>
      <c r="Z969" s="14"/>
      <c r="AA969" s="14"/>
      <c r="AB969" s="14"/>
      <c r="AC969" s="14"/>
      <c r="AD969" s="14"/>
      <c r="AE969" s="14"/>
      <c r="AF969" s="14"/>
      <c r="AG969" s="19"/>
      <c r="AH969" s="20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</row>
    <row r="970" ht="15.75" customHeight="1">
      <c r="A970" s="5"/>
      <c r="B970" s="5"/>
      <c r="C970" s="5"/>
      <c r="D970" s="5"/>
      <c r="E970" s="14"/>
      <c r="F970" s="15"/>
      <c r="G970" s="14"/>
      <c r="H970" s="16"/>
      <c r="I970" s="14"/>
      <c r="J970" s="16"/>
      <c r="K970" s="14"/>
      <c r="L970" s="16"/>
      <c r="M970" s="14"/>
      <c r="N970" s="16"/>
      <c r="O970" s="14"/>
      <c r="P970" s="16"/>
      <c r="Q970" s="14"/>
      <c r="R970" s="5"/>
      <c r="S970" s="14"/>
      <c r="T970" s="16"/>
      <c r="U970" s="16"/>
      <c r="V970" s="17"/>
      <c r="W970" s="6"/>
      <c r="X970" s="22"/>
      <c r="Y970" s="14"/>
      <c r="Z970" s="14"/>
      <c r="AA970" s="14"/>
      <c r="AB970" s="14"/>
      <c r="AC970" s="14"/>
      <c r="AD970" s="14"/>
      <c r="AE970" s="14"/>
      <c r="AF970" s="14"/>
      <c r="AG970" s="19"/>
      <c r="AH970" s="20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</row>
    <row r="971" ht="15.75" customHeight="1">
      <c r="A971" s="5"/>
      <c r="B971" s="5"/>
      <c r="C971" s="5"/>
      <c r="D971" s="5"/>
      <c r="E971" s="14"/>
      <c r="F971" s="15"/>
      <c r="G971" s="14"/>
      <c r="H971" s="16"/>
      <c r="I971" s="14"/>
      <c r="J971" s="16"/>
      <c r="K971" s="14"/>
      <c r="L971" s="16"/>
      <c r="M971" s="14"/>
      <c r="N971" s="16"/>
      <c r="O971" s="14"/>
      <c r="P971" s="16"/>
      <c r="Q971" s="14"/>
      <c r="R971" s="5"/>
      <c r="S971" s="14"/>
      <c r="T971" s="16"/>
      <c r="U971" s="16"/>
      <c r="V971" s="17"/>
      <c r="W971" s="6"/>
      <c r="X971" s="22"/>
      <c r="Y971" s="14"/>
      <c r="Z971" s="14"/>
      <c r="AA971" s="14"/>
      <c r="AB971" s="14"/>
      <c r="AC971" s="14"/>
      <c r="AD971" s="14"/>
      <c r="AE971" s="14"/>
      <c r="AF971" s="14"/>
      <c r="AG971" s="19"/>
      <c r="AH971" s="20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</row>
    <row r="972" ht="15.75" customHeight="1">
      <c r="A972" s="5"/>
      <c r="B972" s="5"/>
      <c r="C972" s="5"/>
      <c r="D972" s="5"/>
      <c r="E972" s="14"/>
      <c r="F972" s="15"/>
      <c r="G972" s="14"/>
      <c r="H972" s="16"/>
      <c r="I972" s="14"/>
      <c r="J972" s="16"/>
      <c r="K972" s="14"/>
      <c r="L972" s="16"/>
      <c r="M972" s="14"/>
      <c r="N972" s="16"/>
      <c r="O972" s="14"/>
      <c r="P972" s="16"/>
      <c r="Q972" s="14"/>
      <c r="R972" s="5"/>
      <c r="S972" s="14"/>
      <c r="T972" s="16"/>
      <c r="U972" s="16"/>
      <c r="V972" s="17"/>
      <c r="W972" s="6"/>
      <c r="X972" s="22"/>
      <c r="Y972" s="14"/>
      <c r="Z972" s="14"/>
      <c r="AA972" s="14"/>
      <c r="AB972" s="14"/>
      <c r="AC972" s="14"/>
      <c r="AD972" s="14"/>
      <c r="AE972" s="14"/>
      <c r="AF972" s="14"/>
      <c r="AG972" s="19"/>
      <c r="AH972" s="20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</row>
    <row r="973" ht="15.75" customHeight="1">
      <c r="A973" s="5"/>
      <c r="B973" s="5"/>
      <c r="C973" s="5"/>
      <c r="D973" s="5"/>
      <c r="E973" s="14"/>
      <c r="F973" s="15"/>
      <c r="G973" s="14"/>
      <c r="H973" s="16"/>
      <c r="I973" s="14"/>
      <c r="J973" s="16"/>
      <c r="K973" s="14"/>
      <c r="L973" s="16"/>
      <c r="M973" s="14"/>
      <c r="N973" s="16"/>
      <c r="O973" s="14"/>
      <c r="P973" s="16"/>
      <c r="Q973" s="14"/>
      <c r="R973" s="5"/>
      <c r="S973" s="14"/>
      <c r="T973" s="16"/>
      <c r="U973" s="16"/>
      <c r="V973" s="17"/>
      <c r="W973" s="6"/>
      <c r="X973" s="22"/>
      <c r="Y973" s="14"/>
      <c r="Z973" s="14"/>
      <c r="AA973" s="14"/>
      <c r="AB973" s="14"/>
      <c r="AC973" s="14"/>
      <c r="AD973" s="14"/>
      <c r="AE973" s="14"/>
      <c r="AF973" s="14"/>
      <c r="AG973" s="19"/>
      <c r="AH973" s="20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</row>
    <row r="974" ht="15.75" customHeight="1">
      <c r="A974" s="5"/>
      <c r="B974" s="5"/>
      <c r="C974" s="5"/>
      <c r="D974" s="5"/>
      <c r="E974" s="14"/>
      <c r="F974" s="15"/>
      <c r="G974" s="14"/>
      <c r="H974" s="16"/>
      <c r="I974" s="14"/>
      <c r="J974" s="16"/>
      <c r="K974" s="14"/>
      <c r="L974" s="16"/>
      <c r="M974" s="14"/>
      <c r="N974" s="16"/>
      <c r="O974" s="14"/>
      <c r="P974" s="16"/>
      <c r="Q974" s="14"/>
      <c r="R974" s="5"/>
      <c r="S974" s="14"/>
      <c r="T974" s="16"/>
      <c r="U974" s="16"/>
      <c r="V974" s="17"/>
      <c r="W974" s="6"/>
      <c r="X974" s="22"/>
      <c r="Y974" s="14"/>
      <c r="Z974" s="14"/>
      <c r="AA974" s="14"/>
      <c r="AB974" s="14"/>
      <c r="AC974" s="14"/>
      <c r="AD974" s="14"/>
      <c r="AE974" s="14"/>
      <c r="AF974" s="14"/>
      <c r="AG974" s="19"/>
      <c r="AH974" s="20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</row>
    <row r="975" ht="15.75" customHeight="1">
      <c r="A975" s="5"/>
      <c r="B975" s="5"/>
      <c r="C975" s="5"/>
      <c r="D975" s="5"/>
      <c r="E975" s="14"/>
      <c r="F975" s="15"/>
      <c r="G975" s="14"/>
      <c r="H975" s="16"/>
      <c r="I975" s="14"/>
      <c r="J975" s="16"/>
      <c r="K975" s="14"/>
      <c r="L975" s="16"/>
      <c r="M975" s="14"/>
      <c r="N975" s="16"/>
      <c r="O975" s="14"/>
      <c r="P975" s="16"/>
      <c r="Q975" s="14"/>
      <c r="R975" s="5"/>
      <c r="S975" s="14"/>
      <c r="T975" s="16"/>
      <c r="U975" s="16"/>
      <c r="V975" s="17"/>
      <c r="W975" s="6"/>
      <c r="X975" s="22"/>
      <c r="Y975" s="14"/>
      <c r="Z975" s="14"/>
      <c r="AA975" s="14"/>
      <c r="AB975" s="14"/>
      <c r="AC975" s="14"/>
      <c r="AD975" s="14"/>
      <c r="AE975" s="14"/>
      <c r="AF975" s="14"/>
      <c r="AG975" s="19"/>
      <c r="AH975" s="20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</row>
    <row r="976" ht="15.75" customHeight="1">
      <c r="A976" s="5"/>
      <c r="B976" s="5"/>
      <c r="C976" s="5"/>
      <c r="D976" s="5"/>
      <c r="E976" s="14"/>
      <c r="F976" s="15"/>
      <c r="G976" s="14"/>
      <c r="H976" s="16"/>
      <c r="I976" s="14"/>
      <c r="J976" s="16"/>
      <c r="K976" s="14"/>
      <c r="L976" s="16"/>
      <c r="M976" s="14"/>
      <c r="N976" s="16"/>
      <c r="O976" s="14"/>
      <c r="P976" s="16"/>
      <c r="Q976" s="14"/>
      <c r="R976" s="5"/>
      <c r="S976" s="14"/>
      <c r="T976" s="16"/>
      <c r="U976" s="16"/>
      <c r="V976" s="17"/>
      <c r="W976" s="6"/>
      <c r="X976" s="22"/>
      <c r="Y976" s="14"/>
      <c r="Z976" s="14"/>
      <c r="AA976" s="14"/>
      <c r="AB976" s="14"/>
      <c r="AC976" s="14"/>
      <c r="AD976" s="14"/>
      <c r="AE976" s="14"/>
      <c r="AF976" s="14"/>
      <c r="AG976" s="19"/>
      <c r="AH976" s="20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</row>
    <row r="977" ht="15.75" customHeight="1">
      <c r="A977" s="5"/>
      <c r="B977" s="5"/>
      <c r="C977" s="5"/>
      <c r="D977" s="5"/>
      <c r="E977" s="14"/>
      <c r="F977" s="15"/>
      <c r="G977" s="14"/>
      <c r="H977" s="16"/>
      <c r="I977" s="14"/>
      <c r="J977" s="16"/>
      <c r="K977" s="14"/>
      <c r="L977" s="16"/>
      <c r="M977" s="14"/>
      <c r="N977" s="16"/>
      <c r="O977" s="14"/>
      <c r="P977" s="16"/>
      <c r="Q977" s="14"/>
      <c r="R977" s="5"/>
      <c r="S977" s="14"/>
      <c r="T977" s="16"/>
      <c r="U977" s="16"/>
      <c r="V977" s="17"/>
      <c r="W977" s="6"/>
      <c r="X977" s="22"/>
      <c r="Y977" s="14"/>
      <c r="Z977" s="14"/>
      <c r="AA977" s="14"/>
      <c r="AB977" s="14"/>
      <c r="AC977" s="14"/>
      <c r="AD977" s="14"/>
      <c r="AE977" s="14"/>
      <c r="AF977" s="14"/>
      <c r="AG977" s="19"/>
      <c r="AH977" s="20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</row>
    <row r="978" ht="15.75" customHeight="1">
      <c r="A978" s="5"/>
      <c r="B978" s="5"/>
      <c r="C978" s="5"/>
      <c r="D978" s="5"/>
      <c r="E978" s="14"/>
      <c r="F978" s="15"/>
      <c r="G978" s="14"/>
      <c r="H978" s="16"/>
      <c r="I978" s="14"/>
      <c r="J978" s="16"/>
      <c r="K978" s="14"/>
      <c r="L978" s="16"/>
      <c r="M978" s="14"/>
      <c r="N978" s="16"/>
      <c r="O978" s="14"/>
      <c r="P978" s="16"/>
      <c r="Q978" s="14"/>
      <c r="R978" s="5"/>
      <c r="S978" s="14"/>
      <c r="T978" s="16"/>
      <c r="U978" s="16"/>
      <c r="V978" s="17"/>
      <c r="W978" s="6"/>
      <c r="X978" s="22"/>
      <c r="Y978" s="14"/>
      <c r="Z978" s="14"/>
      <c r="AA978" s="14"/>
      <c r="AB978" s="14"/>
      <c r="AC978" s="14"/>
      <c r="AD978" s="14"/>
      <c r="AE978" s="14"/>
      <c r="AF978" s="14"/>
      <c r="AG978" s="19"/>
      <c r="AH978" s="20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</row>
    <row r="979" ht="15.75" customHeight="1">
      <c r="A979" s="5"/>
      <c r="B979" s="5"/>
      <c r="C979" s="5"/>
      <c r="D979" s="5"/>
      <c r="E979" s="14"/>
      <c r="F979" s="15"/>
      <c r="G979" s="14"/>
      <c r="H979" s="16"/>
      <c r="I979" s="14"/>
      <c r="J979" s="16"/>
      <c r="K979" s="14"/>
      <c r="L979" s="16"/>
      <c r="M979" s="14"/>
      <c r="N979" s="16"/>
      <c r="O979" s="14"/>
      <c r="P979" s="16"/>
      <c r="Q979" s="14"/>
      <c r="R979" s="5"/>
      <c r="S979" s="14"/>
      <c r="T979" s="16"/>
      <c r="U979" s="16"/>
      <c r="V979" s="17"/>
      <c r="W979" s="6"/>
      <c r="X979" s="22"/>
      <c r="Y979" s="14"/>
      <c r="Z979" s="14"/>
      <c r="AA979" s="14"/>
      <c r="AB979" s="14"/>
      <c r="AC979" s="14"/>
      <c r="AD979" s="14"/>
      <c r="AE979" s="14"/>
      <c r="AF979" s="14"/>
      <c r="AG979" s="19"/>
      <c r="AH979" s="20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</row>
    <row r="980" ht="15.75" customHeight="1">
      <c r="A980" s="5"/>
      <c r="B980" s="5"/>
      <c r="C980" s="5"/>
      <c r="D980" s="5"/>
      <c r="E980" s="14"/>
      <c r="F980" s="15"/>
      <c r="G980" s="14"/>
      <c r="H980" s="16"/>
      <c r="I980" s="14"/>
      <c r="J980" s="16"/>
      <c r="K980" s="14"/>
      <c r="L980" s="16"/>
      <c r="M980" s="14"/>
      <c r="N980" s="16"/>
      <c r="O980" s="14"/>
      <c r="P980" s="16"/>
      <c r="Q980" s="14"/>
      <c r="R980" s="5"/>
      <c r="S980" s="14"/>
      <c r="T980" s="16"/>
      <c r="U980" s="16"/>
      <c r="V980" s="17"/>
      <c r="W980" s="6"/>
      <c r="X980" s="22"/>
      <c r="Y980" s="14"/>
      <c r="Z980" s="14"/>
      <c r="AA980" s="14"/>
      <c r="AB980" s="14"/>
      <c r="AC980" s="14"/>
      <c r="AD980" s="14"/>
      <c r="AE980" s="14"/>
      <c r="AF980" s="14"/>
      <c r="AG980" s="19"/>
      <c r="AH980" s="20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</row>
    <row r="981" ht="15.75" customHeight="1">
      <c r="A981" s="5"/>
      <c r="B981" s="5"/>
      <c r="C981" s="5"/>
      <c r="D981" s="5"/>
      <c r="E981" s="14"/>
      <c r="F981" s="15"/>
      <c r="G981" s="14"/>
      <c r="H981" s="16"/>
      <c r="I981" s="14"/>
      <c r="J981" s="16"/>
      <c r="K981" s="14"/>
      <c r="L981" s="16"/>
      <c r="M981" s="14"/>
      <c r="N981" s="16"/>
      <c r="O981" s="14"/>
      <c r="P981" s="16"/>
      <c r="Q981" s="14"/>
      <c r="R981" s="5"/>
      <c r="S981" s="14"/>
      <c r="T981" s="16"/>
      <c r="U981" s="16"/>
      <c r="V981" s="17"/>
      <c r="W981" s="6"/>
      <c r="X981" s="22"/>
      <c r="Y981" s="14"/>
      <c r="Z981" s="14"/>
      <c r="AA981" s="14"/>
      <c r="AB981" s="14"/>
      <c r="AC981" s="14"/>
      <c r="AD981" s="14"/>
      <c r="AE981" s="14"/>
      <c r="AF981" s="14"/>
      <c r="AG981" s="19"/>
      <c r="AH981" s="20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</row>
    <row r="982" ht="15.75" customHeight="1">
      <c r="A982" s="5"/>
      <c r="B982" s="5"/>
      <c r="C982" s="5"/>
      <c r="D982" s="5"/>
      <c r="E982" s="14"/>
      <c r="F982" s="15"/>
      <c r="G982" s="14"/>
      <c r="H982" s="16"/>
      <c r="I982" s="14"/>
      <c r="J982" s="16"/>
      <c r="K982" s="14"/>
      <c r="L982" s="16"/>
      <c r="M982" s="14"/>
      <c r="N982" s="16"/>
      <c r="O982" s="14"/>
      <c r="P982" s="16"/>
      <c r="Q982" s="14"/>
      <c r="R982" s="5"/>
      <c r="S982" s="14"/>
      <c r="T982" s="16"/>
      <c r="U982" s="16"/>
      <c r="V982" s="17"/>
      <c r="W982" s="6"/>
      <c r="X982" s="22"/>
      <c r="Y982" s="14"/>
      <c r="Z982" s="14"/>
      <c r="AA982" s="14"/>
      <c r="AB982" s="14"/>
      <c r="AC982" s="14"/>
      <c r="AD982" s="14"/>
      <c r="AE982" s="14"/>
      <c r="AF982" s="14"/>
      <c r="AG982" s="19"/>
      <c r="AH982" s="20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</row>
    <row r="983" ht="15.75" customHeight="1">
      <c r="A983" s="5"/>
      <c r="B983" s="5"/>
      <c r="C983" s="5"/>
      <c r="D983" s="5"/>
      <c r="E983" s="14"/>
      <c r="F983" s="15"/>
      <c r="G983" s="14"/>
      <c r="H983" s="16"/>
      <c r="I983" s="14"/>
      <c r="J983" s="16"/>
      <c r="K983" s="14"/>
      <c r="L983" s="16"/>
      <c r="M983" s="14"/>
      <c r="N983" s="16"/>
      <c r="O983" s="14"/>
      <c r="P983" s="16"/>
      <c r="Q983" s="14"/>
      <c r="R983" s="5"/>
      <c r="S983" s="14"/>
      <c r="T983" s="16"/>
      <c r="U983" s="16"/>
      <c r="V983" s="17"/>
      <c r="W983" s="6"/>
      <c r="X983" s="22"/>
      <c r="Y983" s="14"/>
      <c r="Z983" s="14"/>
      <c r="AA983" s="14"/>
      <c r="AB983" s="14"/>
      <c r="AC983" s="14"/>
      <c r="AD983" s="14"/>
      <c r="AE983" s="14"/>
      <c r="AF983" s="14"/>
      <c r="AG983" s="19"/>
      <c r="AH983" s="20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</row>
    <row r="984" ht="15.75" customHeight="1">
      <c r="A984" s="5"/>
      <c r="B984" s="5"/>
      <c r="C984" s="5"/>
      <c r="D984" s="5"/>
      <c r="E984" s="14"/>
      <c r="F984" s="15"/>
      <c r="G984" s="14"/>
      <c r="H984" s="16"/>
      <c r="I984" s="14"/>
      <c r="J984" s="16"/>
      <c r="K984" s="14"/>
      <c r="L984" s="16"/>
      <c r="M984" s="14"/>
      <c r="N984" s="16"/>
      <c r="O984" s="14"/>
      <c r="P984" s="16"/>
      <c r="Q984" s="14"/>
      <c r="R984" s="5"/>
      <c r="S984" s="14"/>
      <c r="T984" s="16"/>
      <c r="U984" s="16"/>
      <c r="V984" s="17"/>
      <c r="W984" s="6"/>
      <c r="X984" s="22"/>
      <c r="Y984" s="14"/>
      <c r="Z984" s="14"/>
      <c r="AA984" s="14"/>
      <c r="AB984" s="14"/>
      <c r="AC984" s="14"/>
      <c r="AD984" s="14"/>
      <c r="AE984" s="14"/>
      <c r="AF984" s="14"/>
      <c r="AG984" s="19"/>
      <c r="AH984" s="20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</row>
    <row r="985" ht="15.75" customHeight="1">
      <c r="A985" s="5"/>
      <c r="B985" s="5"/>
      <c r="C985" s="5"/>
      <c r="D985" s="5"/>
      <c r="E985" s="14"/>
      <c r="F985" s="15"/>
      <c r="G985" s="14"/>
      <c r="H985" s="16"/>
      <c r="I985" s="14"/>
      <c r="J985" s="16"/>
      <c r="K985" s="14"/>
      <c r="L985" s="16"/>
      <c r="M985" s="14"/>
      <c r="N985" s="16"/>
      <c r="O985" s="14"/>
      <c r="P985" s="16"/>
      <c r="Q985" s="14"/>
      <c r="R985" s="5"/>
      <c r="S985" s="14"/>
      <c r="T985" s="16"/>
      <c r="U985" s="16"/>
      <c r="V985" s="17"/>
      <c r="W985" s="6"/>
      <c r="X985" s="22"/>
      <c r="Y985" s="14"/>
      <c r="Z985" s="14"/>
      <c r="AA985" s="14"/>
      <c r="AB985" s="14"/>
      <c r="AC985" s="14"/>
      <c r="AD985" s="14"/>
      <c r="AE985" s="14"/>
      <c r="AF985" s="14"/>
      <c r="AG985" s="19"/>
      <c r="AH985" s="20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</row>
    <row r="986" ht="15.75" customHeight="1">
      <c r="A986" s="5"/>
      <c r="B986" s="5"/>
      <c r="C986" s="5"/>
      <c r="D986" s="5"/>
      <c r="E986" s="14"/>
      <c r="F986" s="15"/>
      <c r="G986" s="14"/>
      <c r="H986" s="16"/>
      <c r="I986" s="14"/>
      <c r="J986" s="16"/>
      <c r="K986" s="14"/>
      <c r="L986" s="16"/>
      <c r="M986" s="14"/>
      <c r="N986" s="16"/>
      <c r="O986" s="14"/>
      <c r="P986" s="16"/>
      <c r="Q986" s="14"/>
      <c r="R986" s="5"/>
      <c r="S986" s="14"/>
      <c r="T986" s="16"/>
      <c r="U986" s="16"/>
      <c r="V986" s="17"/>
      <c r="W986" s="6"/>
      <c r="X986" s="22"/>
      <c r="Y986" s="14"/>
      <c r="Z986" s="14"/>
      <c r="AA986" s="14"/>
      <c r="AB986" s="14"/>
      <c r="AC986" s="14"/>
      <c r="AD986" s="14"/>
      <c r="AE986" s="14"/>
      <c r="AF986" s="14"/>
      <c r="AG986" s="19"/>
      <c r="AH986" s="20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</row>
    <row r="987" ht="15.75" customHeight="1">
      <c r="A987" s="5"/>
      <c r="B987" s="5"/>
      <c r="C987" s="5"/>
      <c r="D987" s="5"/>
      <c r="E987" s="14"/>
      <c r="F987" s="15"/>
      <c r="G987" s="14"/>
      <c r="H987" s="16"/>
      <c r="I987" s="14"/>
      <c r="J987" s="16"/>
      <c r="K987" s="14"/>
      <c r="L987" s="16"/>
      <c r="M987" s="14"/>
      <c r="N987" s="16"/>
      <c r="O987" s="14"/>
      <c r="P987" s="16"/>
      <c r="Q987" s="14"/>
      <c r="R987" s="5"/>
      <c r="S987" s="14"/>
      <c r="T987" s="16"/>
      <c r="U987" s="16"/>
      <c r="V987" s="17"/>
      <c r="W987" s="6"/>
      <c r="X987" s="22"/>
      <c r="Y987" s="14"/>
      <c r="Z987" s="14"/>
      <c r="AA987" s="14"/>
      <c r="AB987" s="14"/>
      <c r="AC987" s="14"/>
      <c r="AD987" s="14"/>
      <c r="AE987" s="14"/>
      <c r="AF987" s="14"/>
      <c r="AG987" s="19"/>
      <c r="AH987" s="20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</row>
    <row r="988" ht="15.75" customHeight="1">
      <c r="A988" s="5"/>
      <c r="B988" s="5"/>
      <c r="C988" s="5"/>
      <c r="D988" s="5"/>
      <c r="E988" s="14"/>
      <c r="F988" s="15"/>
      <c r="G988" s="14"/>
      <c r="H988" s="16"/>
      <c r="I988" s="14"/>
      <c r="J988" s="16"/>
      <c r="K988" s="14"/>
      <c r="L988" s="16"/>
      <c r="M988" s="14"/>
      <c r="N988" s="16"/>
      <c r="O988" s="14"/>
      <c r="P988" s="16"/>
      <c r="Q988" s="14"/>
      <c r="R988" s="5"/>
      <c r="S988" s="14"/>
      <c r="T988" s="16"/>
      <c r="U988" s="16"/>
      <c r="V988" s="17"/>
      <c r="W988" s="6"/>
      <c r="X988" s="22"/>
      <c r="Y988" s="14"/>
      <c r="Z988" s="14"/>
      <c r="AA988" s="14"/>
      <c r="AB988" s="14"/>
      <c r="AC988" s="14"/>
      <c r="AD988" s="14"/>
      <c r="AE988" s="14"/>
      <c r="AF988" s="14"/>
      <c r="AG988" s="19"/>
      <c r="AH988" s="20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</row>
    <row r="989" ht="15.75" customHeight="1">
      <c r="A989" s="5"/>
      <c r="B989" s="5"/>
      <c r="C989" s="5"/>
      <c r="D989" s="5"/>
      <c r="E989" s="14"/>
      <c r="F989" s="15"/>
      <c r="G989" s="14"/>
      <c r="H989" s="16"/>
      <c r="I989" s="14"/>
      <c r="J989" s="16"/>
      <c r="K989" s="14"/>
      <c r="L989" s="16"/>
      <c r="M989" s="14"/>
      <c r="N989" s="16"/>
      <c r="O989" s="14"/>
      <c r="P989" s="16"/>
      <c r="Q989" s="14"/>
      <c r="R989" s="5"/>
      <c r="S989" s="14"/>
      <c r="T989" s="16"/>
      <c r="U989" s="16"/>
      <c r="V989" s="17"/>
      <c r="W989" s="6"/>
      <c r="X989" s="22"/>
      <c r="Y989" s="14"/>
      <c r="Z989" s="14"/>
      <c r="AA989" s="14"/>
      <c r="AB989" s="14"/>
      <c r="AC989" s="14"/>
      <c r="AD989" s="14"/>
      <c r="AE989" s="14"/>
      <c r="AF989" s="14"/>
      <c r="AG989" s="19"/>
      <c r="AH989" s="20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</row>
    <row r="990" ht="15.75" customHeight="1">
      <c r="A990" s="5"/>
      <c r="B990" s="5"/>
      <c r="C990" s="5"/>
      <c r="D990" s="5"/>
      <c r="E990" s="14"/>
      <c r="F990" s="15"/>
      <c r="G990" s="14"/>
      <c r="H990" s="16"/>
      <c r="I990" s="14"/>
      <c r="J990" s="16"/>
      <c r="K990" s="14"/>
      <c r="L990" s="16"/>
      <c r="M990" s="14"/>
      <c r="N990" s="16"/>
      <c r="O990" s="14"/>
      <c r="P990" s="16"/>
      <c r="Q990" s="14"/>
      <c r="R990" s="5"/>
      <c r="S990" s="14"/>
      <c r="T990" s="16"/>
      <c r="U990" s="16"/>
      <c r="V990" s="17"/>
      <c r="W990" s="6"/>
      <c r="X990" s="22"/>
      <c r="Y990" s="14"/>
      <c r="Z990" s="14"/>
      <c r="AA990" s="14"/>
      <c r="AB990" s="14"/>
      <c r="AC990" s="14"/>
      <c r="AD990" s="14"/>
      <c r="AE990" s="14"/>
      <c r="AF990" s="14"/>
      <c r="AG990" s="19"/>
      <c r="AH990" s="20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</row>
    <row r="991" ht="15.75" customHeight="1">
      <c r="A991" s="5"/>
      <c r="B991" s="5"/>
      <c r="C991" s="5"/>
      <c r="D991" s="5"/>
      <c r="E991" s="14"/>
      <c r="F991" s="15"/>
      <c r="G991" s="14"/>
      <c r="H991" s="16"/>
      <c r="I991" s="14"/>
      <c r="J991" s="16"/>
      <c r="K991" s="14"/>
      <c r="L991" s="16"/>
      <c r="M991" s="14"/>
      <c r="N991" s="16"/>
      <c r="O991" s="14"/>
      <c r="P991" s="16"/>
      <c r="Q991" s="14"/>
      <c r="R991" s="5"/>
      <c r="S991" s="14"/>
      <c r="T991" s="16"/>
      <c r="U991" s="16"/>
      <c r="V991" s="17"/>
      <c r="W991" s="6"/>
      <c r="X991" s="22"/>
      <c r="Y991" s="14"/>
      <c r="Z991" s="14"/>
      <c r="AA991" s="14"/>
      <c r="AB991" s="14"/>
      <c r="AC991" s="14"/>
      <c r="AD991" s="14"/>
      <c r="AE991" s="14"/>
      <c r="AF991" s="14"/>
      <c r="AG991" s="19"/>
      <c r="AH991" s="20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</row>
    <row r="992" ht="15.75" customHeight="1">
      <c r="A992" s="5"/>
      <c r="B992" s="5"/>
      <c r="C992" s="5"/>
      <c r="D992" s="5"/>
      <c r="E992" s="14"/>
      <c r="F992" s="15"/>
      <c r="G992" s="14"/>
      <c r="H992" s="16"/>
      <c r="I992" s="14"/>
      <c r="J992" s="16"/>
      <c r="K992" s="14"/>
      <c r="L992" s="16"/>
      <c r="M992" s="14"/>
      <c r="N992" s="16"/>
      <c r="O992" s="14"/>
      <c r="P992" s="16"/>
      <c r="Q992" s="14"/>
      <c r="R992" s="5"/>
      <c r="S992" s="14"/>
      <c r="T992" s="16"/>
      <c r="U992" s="16"/>
      <c r="V992" s="17"/>
      <c r="W992" s="6"/>
      <c r="X992" s="22"/>
      <c r="Y992" s="14"/>
      <c r="Z992" s="14"/>
      <c r="AA992" s="14"/>
      <c r="AB992" s="14"/>
      <c r="AC992" s="14"/>
      <c r="AD992" s="14"/>
      <c r="AE992" s="14"/>
      <c r="AF992" s="14"/>
      <c r="AG992" s="19"/>
      <c r="AH992" s="20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</row>
    <row r="993" ht="15.75" customHeight="1">
      <c r="A993" s="5"/>
      <c r="B993" s="5"/>
      <c r="C993" s="5"/>
      <c r="D993" s="5"/>
      <c r="E993" s="14"/>
      <c r="F993" s="15"/>
      <c r="G993" s="14"/>
      <c r="H993" s="16"/>
      <c r="I993" s="14"/>
      <c r="J993" s="16"/>
      <c r="K993" s="14"/>
      <c r="L993" s="16"/>
      <c r="M993" s="14"/>
      <c r="N993" s="16"/>
      <c r="O993" s="14"/>
      <c r="P993" s="16"/>
      <c r="Q993" s="14"/>
      <c r="R993" s="5"/>
      <c r="S993" s="14"/>
      <c r="T993" s="16"/>
      <c r="U993" s="16"/>
      <c r="V993" s="17"/>
      <c r="W993" s="6"/>
      <c r="X993" s="22"/>
      <c r="Y993" s="14"/>
      <c r="Z993" s="14"/>
      <c r="AA993" s="14"/>
      <c r="AB993" s="14"/>
      <c r="AC993" s="14"/>
      <c r="AD993" s="14"/>
      <c r="AE993" s="14"/>
      <c r="AF993" s="14"/>
      <c r="AG993" s="19"/>
      <c r="AH993" s="20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</row>
    <row r="994" ht="15.75" customHeight="1">
      <c r="A994" s="5"/>
      <c r="B994" s="5"/>
      <c r="C994" s="5"/>
      <c r="D994" s="5"/>
      <c r="E994" s="14"/>
      <c r="F994" s="15"/>
      <c r="G994" s="14"/>
      <c r="H994" s="16"/>
      <c r="I994" s="14"/>
      <c r="J994" s="16"/>
      <c r="K994" s="14"/>
      <c r="L994" s="16"/>
      <c r="M994" s="14"/>
      <c r="N994" s="16"/>
      <c r="O994" s="14"/>
      <c r="P994" s="16"/>
      <c r="Q994" s="14"/>
      <c r="R994" s="5"/>
      <c r="S994" s="14"/>
      <c r="T994" s="16"/>
      <c r="U994" s="16"/>
      <c r="V994" s="17"/>
      <c r="W994" s="6"/>
      <c r="X994" s="22"/>
      <c r="Y994" s="14"/>
      <c r="Z994" s="14"/>
      <c r="AA994" s="14"/>
      <c r="AB994" s="14"/>
      <c r="AC994" s="14"/>
      <c r="AD994" s="14"/>
      <c r="AE994" s="14"/>
      <c r="AF994" s="14"/>
      <c r="AG994" s="19"/>
      <c r="AH994" s="20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</row>
    <row r="995" ht="15.75" customHeight="1">
      <c r="A995" s="5"/>
      <c r="B995" s="5"/>
      <c r="C995" s="5"/>
      <c r="D995" s="5"/>
      <c r="E995" s="14"/>
      <c r="F995" s="15"/>
      <c r="G995" s="14"/>
      <c r="H995" s="16"/>
      <c r="I995" s="14"/>
      <c r="J995" s="16"/>
      <c r="K995" s="14"/>
      <c r="L995" s="16"/>
      <c r="M995" s="14"/>
      <c r="N995" s="16"/>
      <c r="O995" s="14"/>
      <c r="P995" s="16"/>
      <c r="Q995" s="14"/>
      <c r="R995" s="5"/>
      <c r="S995" s="14"/>
      <c r="T995" s="16"/>
      <c r="U995" s="16"/>
      <c r="V995" s="17"/>
      <c r="W995" s="6"/>
      <c r="X995" s="22"/>
      <c r="Y995" s="14"/>
      <c r="Z995" s="14"/>
      <c r="AA995" s="14"/>
      <c r="AB995" s="14"/>
      <c r="AC995" s="14"/>
      <c r="AD995" s="14"/>
      <c r="AE995" s="14"/>
      <c r="AF995" s="14"/>
      <c r="AG995" s="19"/>
      <c r="AH995" s="20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</row>
    <row r="996" ht="15.75" customHeight="1">
      <c r="A996" s="5"/>
      <c r="B996" s="5"/>
      <c r="C996" s="5"/>
      <c r="D996" s="5"/>
      <c r="E996" s="14"/>
      <c r="F996" s="15"/>
      <c r="G996" s="14"/>
      <c r="H996" s="16"/>
      <c r="I996" s="14"/>
      <c r="J996" s="16"/>
      <c r="K996" s="14"/>
      <c r="L996" s="16"/>
      <c r="M996" s="14"/>
      <c r="N996" s="16"/>
      <c r="O996" s="14"/>
      <c r="P996" s="16"/>
      <c r="Q996" s="14"/>
      <c r="R996" s="5"/>
      <c r="S996" s="14"/>
      <c r="T996" s="16"/>
      <c r="U996" s="16"/>
      <c r="V996" s="17"/>
      <c r="W996" s="6"/>
      <c r="X996" s="22"/>
      <c r="Y996" s="14"/>
      <c r="Z996" s="14"/>
      <c r="AA996" s="14"/>
      <c r="AB996" s="14"/>
      <c r="AC996" s="14"/>
      <c r="AD996" s="14"/>
      <c r="AE996" s="14"/>
      <c r="AF996" s="14"/>
      <c r="AG996" s="19"/>
      <c r="AH996" s="20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</row>
    <row r="997" ht="15.75" customHeight="1">
      <c r="A997" s="5"/>
      <c r="B997" s="5"/>
      <c r="C997" s="5"/>
      <c r="D997" s="5"/>
      <c r="E997" s="14"/>
      <c r="F997" s="15"/>
      <c r="G997" s="14"/>
      <c r="H997" s="16"/>
      <c r="I997" s="14"/>
      <c r="J997" s="16"/>
      <c r="K997" s="14"/>
      <c r="L997" s="16"/>
      <c r="M997" s="14"/>
      <c r="N997" s="16"/>
      <c r="O997" s="14"/>
      <c r="P997" s="16"/>
      <c r="Q997" s="14"/>
      <c r="R997" s="5"/>
      <c r="S997" s="14"/>
      <c r="T997" s="16"/>
      <c r="U997" s="16"/>
      <c r="V997" s="17"/>
      <c r="W997" s="6"/>
      <c r="X997" s="22"/>
      <c r="Y997" s="14"/>
      <c r="Z997" s="14"/>
      <c r="AA997" s="14"/>
      <c r="AB997" s="14"/>
      <c r="AC997" s="14"/>
      <c r="AD997" s="14"/>
      <c r="AE997" s="14"/>
      <c r="AF997" s="14"/>
      <c r="AG997" s="19"/>
      <c r="AH997" s="20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</row>
    <row r="998" ht="15.75" customHeight="1">
      <c r="A998" s="5"/>
      <c r="B998" s="5"/>
      <c r="C998" s="5"/>
      <c r="D998" s="5"/>
      <c r="E998" s="14"/>
      <c r="F998" s="15"/>
      <c r="G998" s="14"/>
      <c r="H998" s="16"/>
      <c r="I998" s="14"/>
      <c r="J998" s="16"/>
      <c r="K998" s="14"/>
      <c r="L998" s="16"/>
      <c r="M998" s="14"/>
      <c r="N998" s="16"/>
      <c r="O998" s="14"/>
      <c r="P998" s="16"/>
      <c r="Q998" s="14"/>
      <c r="R998" s="5"/>
      <c r="S998" s="14"/>
      <c r="T998" s="16"/>
      <c r="U998" s="16"/>
      <c r="V998" s="17"/>
      <c r="W998" s="6"/>
      <c r="X998" s="22"/>
      <c r="Y998" s="14"/>
      <c r="Z998" s="14"/>
      <c r="AA998" s="14"/>
      <c r="AB998" s="14"/>
      <c r="AC998" s="14"/>
      <c r="AD998" s="14"/>
      <c r="AE998" s="14"/>
      <c r="AF998" s="14"/>
      <c r="AG998" s="19"/>
      <c r="AH998" s="20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</row>
    <row r="999" ht="15.75" customHeight="1">
      <c r="A999" s="5"/>
      <c r="B999" s="5"/>
      <c r="C999" s="5"/>
      <c r="D999" s="5"/>
      <c r="E999" s="14"/>
      <c r="F999" s="15"/>
      <c r="G999" s="14"/>
      <c r="H999" s="16"/>
      <c r="I999" s="14"/>
      <c r="J999" s="16"/>
      <c r="K999" s="14"/>
      <c r="L999" s="16"/>
      <c r="M999" s="14"/>
      <c r="N999" s="16"/>
      <c r="O999" s="14"/>
      <c r="P999" s="16"/>
      <c r="Q999" s="14"/>
      <c r="R999" s="5"/>
      <c r="S999" s="14"/>
      <c r="T999" s="16"/>
      <c r="U999" s="16"/>
      <c r="V999" s="17"/>
      <c r="W999" s="6"/>
      <c r="X999" s="22"/>
      <c r="Y999" s="14"/>
      <c r="Z999" s="14"/>
      <c r="AA999" s="14"/>
      <c r="AB999" s="14"/>
      <c r="AC999" s="14"/>
      <c r="AD999" s="14"/>
      <c r="AE999" s="14"/>
      <c r="AF999" s="14"/>
      <c r="AG999" s="19"/>
      <c r="AH999" s="20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</row>
    <row r="1000" ht="15.75" customHeight="1">
      <c r="A1000" s="5"/>
      <c r="B1000" s="5"/>
      <c r="C1000" s="5"/>
      <c r="D1000" s="5"/>
      <c r="E1000" s="14"/>
      <c r="F1000" s="15"/>
      <c r="G1000" s="14"/>
      <c r="H1000" s="16"/>
      <c r="I1000" s="14"/>
      <c r="J1000" s="16"/>
      <c r="K1000" s="14"/>
      <c r="L1000" s="16"/>
      <c r="M1000" s="14"/>
      <c r="N1000" s="16"/>
      <c r="O1000" s="14"/>
      <c r="P1000" s="16"/>
      <c r="Q1000" s="14"/>
      <c r="R1000" s="5"/>
      <c r="S1000" s="14"/>
      <c r="T1000" s="16"/>
      <c r="U1000" s="16"/>
      <c r="V1000" s="17"/>
      <c r="W1000" s="6"/>
      <c r="X1000" s="22"/>
      <c r="Y1000" s="14"/>
      <c r="Z1000" s="14"/>
      <c r="AA1000" s="14"/>
      <c r="AB1000" s="14"/>
      <c r="AC1000" s="14"/>
      <c r="AD1000" s="14"/>
      <c r="AE1000" s="14"/>
      <c r="AF1000" s="14"/>
      <c r="AG1000" s="19"/>
      <c r="AH1000" s="20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</row>
    <row r="1001" ht="15.75" customHeight="1">
      <c r="A1001" s="5"/>
      <c r="B1001" s="5"/>
      <c r="C1001" s="5"/>
      <c r="D1001" s="5"/>
      <c r="E1001" s="14"/>
      <c r="F1001" s="15"/>
      <c r="G1001" s="14"/>
      <c r="H1001" s="16"/>
      <c r="I1001" s="14"/>
      <c r="J1001" s="16"/>
      <c r="K1001" s="14"/>
      <c r="L1001" s="16"/>
      <c r="M1001" s="14"/>
      <c r="N1001" s="16"/>
      <c r="O1001" s="14"/>
      <c r="P1001" s="16"/>
      <c r="Q1001" s="14"/>
      <c r="R1001" s="5"/>
      <c r="S1001" s="14"/>
      <c r="T1001" s="16"/>
      <c r="U1001" s="16"/>
      <c r="V1001" s="17"/>
      <c r="W1001" s="6"/>
      <c r="X1001" s="22"/>
      <c r="Y1001" s="14"/>
      <c r="Z1001" s="14"/>
      <c r="AA1001" s="14"/>
      <c r="AB1001" s="14"/>
      <c r="AC1001" s="14"/>
      <c r="AD1001" s="14"/>
      <c r="AE1001" s="14"/>
      <c r="AF1001" s="14"/>
      <c r="AG1001" s="19"/>
      <c r="AH1001" s="20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</row>
    <row r="1002" ht="15.75" customHeight="1">
      <c r="A1002" s="5"/>
      <c r="B1002" s="5"/>
      <c r="C1002" s="5"/>
      <c r="D1002" s="5"/>
      <c r="E1002" s="14"/>
      <c r="F1002" s="15"/>
      <c r="G1002" s="14"/>
      <c r="H1002" s="16"/>
      <c r="I1002" s="14"/>
      <c r="J1002" s="16"/>
      <c r="K1002" s="14"/>
      <c r="L1002" s="16"/>
      <c r="M1002" s="14"/>
      <c r="N1002" s="16"/>
      <c r="O1002" s="14"/>
      <c r="P1002" s="16"/>
      <c r="Q1002" s="14"/>
      <c r="R1002" s="5"/>
      <c r="S1002" s="14"/>
      <c r="T1002" s="16"/>
      <c r="U1002" s="16"/>
      <c r="V1002" s="17"/>
      <c r="W1002" s="6"/>
      <c r="X1002" s="22"/>
      <c r="Y1002" s="14"/>
      <c r="Z1002" s="14"/>
      <c r="AA1002" s="14"/>
      <c r="AB1002" s="14"/>
      <c r="AC1002" s="14"/>
      <c r="AD1002" s="14"/>
      <c r="AE1002" s="14"/>
      <c r="AF1002" s="14"/>
      <c r="AG1002" s="19"/>
      <c r="AH1002" s="20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5"/>
      <c r="BK1002" s="5"/>
      <c r="BL1002" s="5"/>
      <c r="BM1002" s="5"/>
    </row>
    <row r="1003" ht="15.75" customHeight="1">
      <c r="A1003" s="5"/>
      <c r="B1003" s="5"/>
      <c r="C1003" s="5"/>
      <c r="D1003" s="5"/>
      <c r="E1003" s="14"/>
      <c r="F1003" s="15"/>
      <c r="G1003" s="14"/>
      <c r="H1003" s="16"/>
      <c r="I1003" s="14"/>
      <c r="J1003" s="16"/>
      <c r="K1003" s="14"/>
      <c r="L1003" s="16"/>
      <c r="M1003" s="14"/>
      <c r="N1003" s="16"/>
      <c r="O1003" s="14"/>
      <c r="P1003" s="16"/>
      <c r="Q1003" s="14"/>
      <c r="R1003" s="5"/>
      <c r="S1003" s="14"/>
      <c r="T1003" s="16"/>
      <c r="U1003" s="16"/>
      <c r="V1003" s="17"/>
      <c r="W1003" s="6"/>
      <c r="X1003" s="22"/>
      <c r="Y1003" s="14"/>
      <c r="Z1003" s="14"/>
      <c r="AA1003" s="14"/>
      <c r="AB1003" s="14"/>
      <c r="AC1003" s="14"/>
      <c r="AD1003" s="14"/>
      <c r="AE1003" s="14"/>
      <c r="AF1003" s="14"/>
      <c r="AG1003" s="19"/>
      <c r="AH1003" s="20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5"/>
      <c r="BK1003" s="5"/>
      <c r="BL1003" s="5"/>
      <c r="BM1003" s="5"/>
    </row>
    <row r="1004" ht="15.75" customHeight="1">
      <c r="A1004" s="5"/>
      <c r="B1004" s="5"/>
      <c r="C1004" s="5"/>
      <c r="D1004" s="5"/>
      <c r="E1004" s="14"/>
      <c r="F1004" s="15"/>
      <c r="G1004" s="14"/>
      <c r="H1004" s="16"/>
      <c r="I1004" s="14"/>
      <c r="J1004" s="16"/>
      <c r="K1004" s="14"/>
      <c r="L1004" s="16"/>
      <c r="M1004" s="14"/>
      <c r="N1004" s="16"/>
      <c r="O1004" s="14"/>
      <c r="P1004" s="16"/>
      <c r="Q1004" s="14"/>
      <c r="R1004" s="5"/>
      <c r="S1004" s="14"/>
      <c r="T1004" s="16"/>
      <c r="U1004" s="16"/>
      <c r="V1004" s="17"/>
      <c r="W1004" s="6"/>
      <c r="X1004" s="22"/>
      <c r="Y1004" s="14"/>
      <c r="Z1004" s="14"/>
      <c r="AA1004" s="14"/>
      <c r="AB1004" s="14"/>
      <c r="AC1004" s="14"/>
      <c r="AD1004" s="14"/>
      <c r="AE1004" s="14"/>
      <c r="AF1004" s="14"/>
      <c r="AG1004" s="19"/>
      <c r="AH1004" s="20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5"/>
      <c r="BK1004" s="5"/>
      <c r="BL1004" s="5"/>
      <c r="BM1004" s="5"/>
    </row>
    <row r="1005" ht="15.75" customHeight="1">
      <c r="A1005" s="5"/>
      <c r="B1005" s="5"/>
      <c r="C1005" s="5"/>
      <c r="D1005" s="5"/>
      <c r="E1005" s="14"/>
      <c r="F1005" s="15"/>
      <c r="G1005" s="14"/>
      <c r="H1005" s="16"/>
      <c r="I1005" s="14"/>
      <c r="J1005" s="16"/>
      <c r="K1005" s="14"/>
      <c r="L1005" s="16"/>
      <c r="M1005" s="14"/>
      <c r="N1005" s="16"/>
      <c r="O1005" s="14"/>
      <c r="P1005" s="16"/>
      <c r="Q1005" s="14"/>
      <c r="R1005" s="5"/>
      <c r="S1005" s="14"/>
      <c r="T1005" s="16"/>
      <c r="U1005" s="16"/>
      <c r="V1005" s="17"/>
      <c r="W1005" s="6"/>
      <c r="X1005" s="22"/>
      <c r="Y1005" s="14"/>
      <c r="Z1005" s="14"/>
      <c r="AA1005" s="14"/>
      <c r="AB1005" s="14"/>
      <c r="AC1005" s="14"/>
      <c r="AD1005" s="14"/>
      <c r="AE1005" s="14"/>
      <c r="AF1005" s="14"/>
      <c r="AG1005" s="19"/>
      <c r="AH1005" s="20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5"/>
      <c r="BK1005" s="5"/>
      <c r="BL1005" s="5"/>
      <c r="BM1005" s="5"/>
    </row>
    <row r="1006" ht="15.75" customHeight="1">
      <c r="A1006" s="5"/>
      <c r="B1006" s="5"/>
      <c r="C1006" s="5"/>
      <c r="D1006" s="5"/>
      <c r="E1006" s="14"/>
      <c r="F1006" s="15"/>
      <c r="G1006" s="14"/>
      <c r="H1006" s="16"/>
      <c r="I1006" s="14"/>
      <c r="J1006" s="16"/>
      <c r="K1006" s="14"/>
      <c r="L1006" s="16"/>
      <c r="M1006" s="14"/>
      <c r="N1006" s="16"/>
      <c r="O1006" s="14"/>
      <c r="P1006" s="16"/>
      <c r="Q1006" s="14"/>
      <c r="R1006" s="5"/>
      <c r="S1006" s="14"/>
      <c r="T1006" s="16"/>
      <c r="U1006" s="16"/>
      <c r="V1006" s="17"/>
      <c r="W1006" s="6"/>
      <c r="X1006" s="22"/>
      <c r="Y1006" s="14"/>
      <c r="Z1006" s="14"/>
      <c r="AA1006" s="14"/>
      <c r="AB1006" s="14"/>
      <c r="AC1006" s="14"/>
      <c r="AD1006" s="14"/>
      <c r="AE1006" s="14"/>
      <c r="AF1006" s="14"/>
      <c r="AG1006" s="19"/>
      <c r="AH1006" s="20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5"/>
      <c r="BK1006" s="5"/>
      <c r="BL1006" s="5"/>
      <c r="BM1006" s="5"/>
    </row>
    <row r="1007" ht="15.75" customHeight="1">
      <c r="A1007" s="5"/>
      <c r="B1007" s="5"/>
      <c r="C1007" s="5"/>
      <c r="D1007" s="5"/>
      <c r="E1007" s="14"/>
      <c r="F1007" s="15"/>
      <c r="G1007" s="14"/>
      <c r="H1007" s="16"/>
      <c r="I1007" s="14"/>
      <c r="J1007" s="16"/>
      <c r="K1007" s="14"/>
      <c r="L1007" s="16"/>
      <c r="M1007" s="14"/>
      <c r="N1007" s="16"/>
      <c r="O1007" s="14"/>
      <c r="P1007" s="16"/>
      <c r="Q1007" s="14"/>
      <c r="R1007" s="5"/>
      <c r="S1007" s="14"/>
      <c r="T1007" s="16"/>
      <c r="U1007" s="16"/>
      <c r="V1007" s="17"/>
      <c r="W1007" s="6"/>
      <c r="X1007" s="22"/>
      <c r="Y1007" s="14"/>
      <c r="Z1007" s="14"/>
      <c r="AA1007" s="14"/>
      <c r="AB1007" s="14"/>
      <c r="AC1007" s="14"/>
      <c r="AD1007" s="14"/>
      <c r="AE1007" s="14"/>
      <c r="AF1007" s="14"/>
      <c r="AG1007" s="19"/>
      <c r="AH1007" s="20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5"/>
      <c r="BK1007" s="5"/>
      <c r="BL1007" s="5"/>
      <c r="BM1007" s="5"/>
    </row>
    <row r="1008" ht="15.75" customHeight="1">
      <c r="A1008" s="5"/>
      <c r="B1008" s="5"/>
      <c r="C1008" s="5"/>
      <c r="D1008" s="5"/>
      <c r="E1008" s="14"/>
      <c r="F1008" s="15"/>
      <c r="G1008" s="14"/>
      <c r="H1008" s="16"/>
      <c r="I1008" s="14"/>
      <c r="J1008" s="16"/>
      <c r="K1008" s="14"/>
      <c r="L1008" s="16"/>
      <c r="M1008" s="14"/>
      <c r="N1008" s="16"/>
      <c r="O1008" s="14"/>
      <c r="P1008" s="16"/>
      <c r="Q1008" s="14"/>
      <c r="R1008" s="5"/>
      <c r="S1008" s="14"/>
      <c r="T1008" s="16"/>
      <c r="U1008" s="16"/>
      <c r="V1008" s="17"/>
      <c r="W1008" s="6"/>
      <c r="X1008" s="22"/>
      <c r="Y1008" s="14"/>
      <c r="Z1008" s="14"/>
      <c r="AA1008" s="14"/>
      <c r="AB1008" s="14"/>
      <c r="AC1008" s="14"/>
      <c r="AD1008" s="14"/>
      <c r="AE1008" s="14"/>
      <c r="AF1008" s="14"/>
      <c r="AG1008" s="19"/>
      <c r="AH1008" s="20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5"/>
      <c r="BK1008" s="5"/>
      <c r="BL1008" s="5"/>
      <c r="BM1008" s="5"/>
    </row>
    <row r="1009" ht="15.75" customHeight="1">
      <c r="A1009" s="5"/>
      <c r="B1009" s="5"/>
      <c r="C1009" s="5"/>
      <c r="D1009" s="5"/>
      <c r="E1009" s="14"/>
      <c r="F1009" s="15"/>
      <c r="G1009" s="14"/>
      <c r="H1009" s="16"/>
      <c r="I1009" s="14"/>
      <c r="J1009" s="16"/>
      <c r="K1009" s="14"/>
      <c r="L1009" s="16"/>
      <c r="M1009" s="14"/>
      <c r="N1009" s="16"/>
      <c r="O1009" s="14"/>
      <c r="P1009" s="16"/>
      <c r="Q1009" s="14"/>
      <c r="R1009" s="5"/>
      <c r="S1009" s="14"/>
      <c r="T1009" s="16"/>
      <c r="U1009" s="16"/>
      <c r="V1009" s="17"/>
      <c r="W1009" s="6"/>
      <c r="X1009" s="22"/>
      <c r="Y1009" s="14"/>
      <c r="Z1009" s="14"/>
      <c r="AA1009" s="14"/>
      <c r="AB1009" s="14"/>
      <c r="AC1009" s="14"/>
      <c r="AD1009" s="14"/>
      <c r="AE1009" s="14"/>
      <c r="AF1009" s="14"/>
      <c r="AG1009" s="19"/>
      <c r="AH1009" s="20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5"/>
      <c r="BK1009" s="5"/>
      <c r="BL1009" s="5"/>
      <c r="BM1009" s="5"/>
    </row>
    <row r="1010" ht="15.75" customHeight="1">
      <c r="A1010" s="5"/>
      <c r="B1010" s="5"/>
      <c r="C1010" s="5"/>
      <c r="D1010" s="5"/>
      <c r="E1010" s="14"/>
      <c r="F1010" s="15"/>
      <c r="G1010" s="14"/>
      <c r="H1010" s="16"/>
      <c r="I1010" s="14"/>
      <c r="J1010" s="16"/>
      <c r="K1010" s="14"/>
      <c r="L1010" s="16"/>
      <c r="M1010" s="14"/>
      <c r="N1010" s="16"/>
      <c r="O1010" s="14"/>
      <c r="P1010" s="16"/>
      <c r="Q1010" s="14"/>
      <c r="R1010" s="5"/>
      <c r="S1010" s="14"/>
      <c r="T1010" s="16"/>
      <c r="U1010" s="16"/>
      <c r="V1010" s="17"/>
      <c r="W1010" s="6"/>
      <c r="X1010" s="22"/>
      <c r="Y1010" s="14"/>
      <c r="Z1010" s="14"/>
      <c r="AA1010" s="14"/>
      <c r="AB1010" s="14"/>
      <c r="AC1010" s="14"/>
      <c r="AD1010" s="14"/>
      <c r="AE1010" s="14"/>
      <c r="AF1010" s="14"/>
      <c r="AG1010" s="19"/>
      <c r="AH1010" s="20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5"/>
      <c r="BK1010" s="5"/>
      <c r="BL1010" s="5"/>
      <c r="BM1010" s="5"/>
    </row>
    <row r="1011" ht="15.75" customHeight="1">
      <c r="A1011" s="5"/>
      <c r="B1011" s="5"/>
      <c r="C1011" s="5"/>
      <c r="D1011" s="5"/>
      <c r="E1011" s="14"/>
      <c r="F1011" s="15"/>
      <c r="G1011" s="14"/>
      <c r="H1011" s="16"/>
      <c r="I1011" s="14"/>
      <c r="J1011" s="16"/>
      <c r="K1011" s="14"/>
      <c r="L1011" s="16"/>
      <c r="M1011" s="14"/>
      <c r="N1011" s="16"/>
      <c r="O1011" s="14"/>
      <c r="P1011" s="16"/>
      <c r="Q1011" s="14"/>
      <c r="R1011" s="5"/>
      <c r="S1011" s="14"/>
      <c r="T1011" s="16"/>
      <c r="U1011" s="16"/>
      <c r="V1011" s="17"/>
      <c r="W1011" s="6"/>
      <c r="X1011" s="22"/>
      <c r="Y1011" s="14"/>
      <c r="Z1011" s="14"/>
      <c r="AA1011" s="14"/>
      <c r="AB1011" s="14"/>
      <c r="AC1011" s="14"/>
      <c r="AD1011" s="14"/>
      <c r="AE1011" s="14"/>
      <c r="AF1011" s="14"/>
      <c r="AG1011" s="19"/>
      <c r="AH1011" s="20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5"/>
      <c r="BK1011" s="5"/>
      <c r="BL1011" s="5"/>
      <c r="BM1011" s="5"/>
    </row>
    <row r="1012" ht="15.75" customHeight="1">
      <c r="A1012" s="5"/>
      <c r="B1012" s="5"/>
      <c r="C1012" s="5"/>
      <c r="D1012" s="5"/>
      <c r="E1012" s="14"/>
      <c r="F1012" s="15"/>
      <c r="G1012" s="14"/>
      <c r="H1012" s="16"/>
      <c r="I1012" s="14"/>
      <c r="J1012" s="16"/>
      <c r="K1012" s="14"/>
      <c r="L1012" s="16"/>
      <c r="M1012" s="14"/>
      <c r="N1012" s="16"/>
      <c r="O1012" s="14"/>
      <c r="P1012" s="16"/>
      <c r="Q1012" s="14"/>
      <c r="R1012" s="5"/>
      <c r="S1012" s="14"/>
      <c r="T1012" s="16"/>
      <c r="U1012" s="16"/>
      <c r="V1012" s="17"/>
      <c r="W1012" s="6"/>
      <c r="X1012" s="22"/>
      <c r="Y1012" s="14"/>
      <c r="Z1012" s="14"/>
      <c r="AA1012" s="14"/>
      <c r="AB1012" s="14"/>
      <c r="AC1012" s="14"/>
      <c r="AD1012" s="14"/>
      <c r="AE1012" s="14"/>
      <c r="AF1012" s="14"/>
      <c r="AG1012" s="19"/>
      <c r="AH1012" s="20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5"/>
      <c r="BK1012" s="5"/>
      <c r="BL1012" s="5"/>
      <c r="BM1012" s="5"/>
    </row>
    <row r="1013" ht="15.75" customHeight="1">
      <c r="A1013" s="5"/>
      <c r="B1013" s="5"/>
      <c r="C1013" s="5"/>
      <c r="D1013" s="5"/>
      <c r="E1013" s="14"/>
      <c r="F1013" s="15"/>
      <c r="G1013" s="14"/>
      <c r="H1013" s="16"/>
      <c r="I1013" s="14"/>
      <c r="J1013" s="16"/>
      <c r="K1013" s="14"/>
      <c r="L1013" s="16"/>
      <c r="M1013" s="14"/>
      <c r="N1013" s="16"/>
      <c r="O1013" s="14"/>
      <c r="P1013" s="16"/>
      <c r="Q1013" s="14"/>
      <c r="R1013" s="5"/>
      <c r="S1013" s="14"/>
      <c r="T1013" s="16"/>
      <c r="U1013" s="16"/>
      <c r="V1013" s="17"/>
      <c r="W1013" s="6"/>
      <c r="X1013" s="22"/>
      <c r="Y1013" s="14"/>
      <c r="Z1013" s="14"/>
      <c r="AA1013" s="14"/>
      <c r="AB1013" s="14"/>
      <c r="AC1013" s="14"/>
      <c r="AD1013" s="14"/>
      <c r="AE1013" s="14"/>
      <c r="AF1013" s="14"/>
      <c r="AG1013" s="19"/>
      <c r="AH1013" s="20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5"/>
      <c r="BK1013" s="5"/>
      <c r="BL1013" s="5"/>
      <c r="BM1013" s="5"/>
    </row>
    <row r="1014" ht="15.75" customHeight="1">
      <c r="A1014" s="5"/>
      <c r="B1014" s="5"/>
      <c r="C1014" s="5"/>
      <c r="D1014" s="5"/>
      <c r="E1014" s="14"/>
      <c r="F1014" s="15"/>
      <c r="G1014" s="14"/>
      <c r="H1014" s="16"/>
      <c r="I1014" s="14"/>
      <c r="J1014" s="16"/>
      <c r="K1014" s="14"/>
      <c r="L1014" s="16"/>
      <c r="M1014" s="14"/>
      <c r="N1014" s="16"/>
      <c r="O1014" s="14"/>
      <c r="P1014" s="16"/>
      <c r="Q1014" s="14"/>
      <c r="R1014" s="5"/>
      <c r="S1014" s="14"/>
      <c r="T1014" s="16"/>
      <c r="U1014" s="16"/>
      <c r="V1014" s="17"/>
      <c r="W1014" s="6"/>
      <c r="X1014" s="22"/>
      <c r="Y1014" s="14"/>
      <c r="Z1014" s="14"/>
      <c r="AA1014" s="14"/>
      <c r="AB1014" s="14"/>
      <c r="AC1014" s="14"/>
      <c r="AD1014" s="14"/>
      <c r="AE1014" s="14"/>
      <c r="AF1014" s="14"/>
      <c r="AG1014" s="19"/>
      <c r="AH1014" s="20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5"/>
      <c r="BK1014" s="5"/>
      <c r="BL1014" s="5"/>
      <c r="BM1014" s="5"/>
    </row>
    <row r="1015" ht="15.75" customHeight="1">
      <c r="A1015" s="5"/>
      <c r="B1015" s="5"/>
      <c r="C1015" s="5"/>
      <c r="D1015" s="5"/>
      <c r="E1015" s="14"/>
      <c r="F1015" s="15"/>
      <c r="G1015" s="14"/>
      <c r="H1015" s="16"/>
      <c r="I1015" s="14"/>
      <c r="J1015" s="16"/>
      <c r="K1015" s="14"/>
      <c r="L1015" s="16"/>
      <c r="M1015" s="14"/>
      <c r="N1015" s="16"/>
      <c r="O1015" s="14"/>
      <c r="P1015" s="16"/>
      <c r="Q1015" s="14"/>
      <c r="R1015" s="5"/>
      <c r="S1015" s="14"/>
      <c r="T1015" s="16"/>
      <c r="U1015" s="16"/>
      <c r="V1015" s="17"/>
      <c r="W1015" s="6"/>
      <c r="X1015" s="22"/>
      <c r="Y1015" s="14"/>
      <c r="Z1015" s="14"/>
      <c r="AA1015" s="14"/>
      <c r="AB1015" s="14"/>
      <c r="AC1015" s="14"/>
      <c r="AD1015" s="14"/>
      <c r="AE1015" s="14"/>
      <c r="AF1015" s="14"/>
      <c r="AG1015" s="19"/>
      <c r="AH1015" s="20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5"/>
      <c r="BK1015" s="5"/>
      <c r="BL1015" s="5"/>
      <c r="BM1015" s="5"/>
    </row>
    <row r="1016" ht="15.75" customHeight="1">
      <c r="A1016" s="5"/>
      <c r="B1016" s="5"/>
      <c r="C1016" s="5"/>
      <c r="D1016" s="5"/>
      <c r="E1016" s="14"/>
      <c r="F1016" s="15"/>
      <c r="G1016" s="14"/>
      <c r="H1016" s="16"/>
      <c r="I1016" s="14"/>
      <c r="J1016" s="16"/>
      <c r="K1016" s="14"/>
      <c r="L1016" s="16"/>
      <c r="M1016" s="14"/>
      <c r="N1016" s="16"/>
      <c r="O1016" s="14"/>
      <c r="P1016" s="16"/>
      <c r="Q1016" s="14"/>
      <c r="R1016" s="5"/>
      <c r="S1016" s="14"/>
      <c r="T1016" s="16"/>
      <c r="U1016" s="16"/>
      <c r="V1016" s="17"/>
      <c r="W1016" s="6"/>
      <c r="X1016" s="22"/>
      <c r="Y1016" s="14"/>
      <c r="Z1016" s="14"/>
      <c r="AA1016" s="14"/>
      <c r="AB1016" s="14"/>
      <c r="AC1016" s="14"/>
      <c r="AD1016" s="14"/>
      <c r="AE1016" s="14"/>
      <c r="AF1016" s="14"/>
      <c r="AG1016" s="19"/>
      <c r="AH1016" s="20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5"/>
      <c r="BK1016" s="5"/>
      <c r="BL1016" s="5"/>
      <c r="BM1016" s="5"/>
    </row>
    <row r="1017" ht="15.75" customHeight="1">
      <c r="A1017" s="5"/>
      <c r="B1017" s="5"/>
      <c r="C1017" s="5"/>
      <c r="D1017" s="5"/>
      <c r="E1017" s="14"/>
      <c r="F1017" s="15"/>
      <c r="G1017" s="14"/>
      <c r="H1017" s="16"/>
      <c r="I1017" s="14"/>
      <c r="J1017" s="16"/>
      <c r="K1017" s="14"/>
      <c r="L1017" s="16"/>
      <c r="M1017" s="14"/>
      <c r="N1017" s="16"/>
      <c r="O1017" s="14"/>
      <c r="P1017" s="16"/>
      <c r="Q1017" s="14"/>
      <c r="R1017" s="5"/>
      <c r="S1017" s="14"/>
      <c r="T1017" s="16"/>
      <c r="U1017" s="16"/>
      <c r="V1017" s="17"/>
      <c r="W1017" s="6"/>
      <c r="X1017" s="22"/>
      <c r="Y1017" s="14"/>
      <c r="Z1017" s="14"/>
      <c r="AA1017" s="14"/>
      <c r="AB1017" s="14"/>
      <c r="AC1017" s="14"/>
      <c r="AD1017" s="14"/>
      <c r="AE1017" s="14"/>
      <c r="AF1017" s="14"/>
      <c r="AG1017" s="19"/>
      <c r="AH1017" s="20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5"/>
      <c r="BK1017" s="5"/>
      <c r="BL1017" s="5"/>
      <c r="BM1017" s="5"/>
    </row>
    <row r="1018" ht="15.75" customHeight="1">
      <c r="A1018" s="5"/>
      <c r="B1018" s="5"/>
      <c r="C1018" s="5"/>
      <c r="D1018" s="5"/>
      <c r="E1018" s="14"/>
      <c r="F1018" s="15"/>
      <c r="G1018" s="14"/>
      <c r="H1018" s="16"/>
      <c r="I1018" s="14"/>
      <c r="J1018" s="16"/>
      <c r="K1018" s="14"/>
      <c r="L1018" s="16"/>
      <c r="M1018" s="14"/>
      <c r="N1018" s="16"/>
      <c r="O1018" s="14"/>
      <c r="P1018" s="16"/>
      <c r="Q1018" s="14"/>
      <c r="R1018" s="5"/>
      <c r="S1018" s="14"/>
      <c r="T1018" s="16"/>
      <c r="U1018" s="16"/>
      <c r="V1018" s="17"/>
      <c r="W1018" s="6"/>
      <c r="X1018" s="22"/>
      <c r="Y1018" s="14"/>
      <c r="Z1018" s="14"/>
      <c r="AA1018" s="14"/>
      <c r="AB1018" s="14"/>
      <c r="AC1018" s="14"/>
      <c r="AD1018" s="14"/>
      <c r="AE1018" s="14"/>
      <c r="AF1018" s="14"/>
      <c r="AG1018" s="19"/>
      <c r="AH1018" s="20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5"/>
      <c r="BK1018" s="5"/>
      <c r="BL1018" s="5"/>
      <c r="BM1018" s="5"/>
    </row>
    <row r="1019" ht="15.75" customHeight="1">
      <c r="A1019" s="5"/>
      <c r="B1019" s="5"/>
      <c r="C1019" s="5"/>
      <c r="D1019" s="5"/>
      <c r="E1019" s="14"/>
      <c r="F1019" s="15"/>
      <c r="G1019" s="14"/>
      <c r="H1019" s="16"/>
      <c r="I1019" s="14"/>
      <c r="J1019" s="16"/>
      <c r="K1019" s="14"/>
      <c r="L1019" s="16"/>
      <c r="M1019" s="14"/>
      <c r="N1019" s="16"/>
      <c r="O1019" s="14"/>
      <c r="P1019" s="16"/>
      <c r="Q1019" s="14"/>
      <c r="R1019" s="5"/>
      <c r="S1019" s="14"/>
      <c r="T1019" s="16"/>
      <c r="U1019" s="16"/>
      <c r="V1019" s="17"/>
      <c r="W1019" s="6"/>
      <c r="X1019" s="22"/>
      <c r="Y1019" s="14"/>
      <c r="Z1019" s="14"/>
      <c r="AA1019" s="14"/>
      <c r="AB1019" s="14"/>
      <c r="AC1019" s="14"/>
      <c r="AD1019" s="14"/>
      <c r="AE1019" s="14"/>
      <c r="AF1019" s="14"/>
      <c r="AG1019" s="19"/>
      <c r="AH1019" s="20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5"/>
      <c r="BK1019" s="5"/>
      <c r="BL1019" s="5"/>
      <c r="BM1019" s="5"/>
    </row>
    <row r="1020" ht="15.75" customHeight="1">
      <c r="A1020" s="5"/>
      <c r="B1020" s="5"/>
      <c r="C1020" s="5"/>
      <c r="D1020" s="5"/>
      <c r="E1020" s="14"/>
      <c r="F1020" s="15"/>
      <c r="G1020" s="14"/>
      <c r="H1020" s="16"/>
      <c r="I1020" s="14"/>
      <c r="J1020" s="16"/>
      <c r="K1020" s="14"/>
      <c r="L1020" s="16"/>
      <c r="M1020" s="14"/>
      <c r="N1020" s="16"/>
      <c r="O1020" s="14"/>
      <c r="P1020" s="16"/>
      <c r="Q1020" s="14"/>
      <c r="R1020" s="5"/>
      <c r="S1020" s="14"/>
      <c r="T1020" s="16"/>
      <c r="U1020" s="16"/>
      <c r="V1020" s="17"/>
      <c r="W1020" s="6"/>
      <c r="X1020" s="22"/>
      <c r="Y1020" s="14"/>
      <c r="Z1020" s="14"/>
      <c r="AA1020" s="14"/>
      <c r="AB1020" s="14"/>
      <c r="AC1020" s="14"/>
      <c r="AD1020" s="14"/>
      <c r="AE1020" s="14"/>
      <c r="AF1020" s="14"/>
      <c r="AG1020" s="19"/>
      <c r="AH1020" s="20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5"/>
      <c r="BK1020" s="5"/>
      <c r="BL1020" s="5"/>
      <c r="BM1020" s="5"/>
    </row>
    <row r="1021" ht="15.75" customHeight="1">
      <c r="A1021" s="5"/>
      <c r="B1021" s="5"/>
      <c r="C1021" s="5"/>
      <c r="D1021" s="5"/>
      <c r="E1021" s="14"/>
      <c r="F1021" s="15"/>
      <c r="G1021" s="14"/>
      <c r="H1021" s="16"/>
      <c r="I1021" s="14"/>
      <c r="J1021" s="16"/>
      <c r="K1021" s="14"/>
      <c r="L1021" s="16"/>
      <c r="M1021" s="14"/>
      <c r="N1021" s="16"/>
      <c r="O1021" s="14"/>
      <c r="P1021" s="16"/>
      <c r="Q1021" s="14"/>
      <c r="R1021" s="5"/>
      <c r="S1021" s="14"/>
      <c r="T1021" s="16"/>
      <c r="U1021" s="16"/>
      <c r="V1021" s="17"/>
      <c r="W1021" s="6"/>
      <c r="X1021" s="22"/>
      <c r="Y1021" s="14"/>
      <c r="Z1021" s="14"/>
      <c r="AA1021" s="14"/>
      <c r="AB1021" s="14"/>
      <c r="AC1021" s="14"/>
      <c r="AD1021" s="14"/>
      <c r="AE1021" s="14"/>
      <c r="AF1021" s="14"/>
      <c r="AG1021" s="19"/>
      <c r="AH1021" s="20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5"/>
      <c r="BK1021" s="5"/>
      <c r="BL1021" s="5"/>
      <c r="BM1021" s="5"/>
    </row>
    <row r="1022" ht="15.75" customHeight="1">
      <c r="A1022" s="5"/>
      <c r="B1022" s="5"/>
      <c r="C1022" s="5"/>
      <c r="D1022" s="5"/>
      <c r="E1022" s="14"/>
      <c r="F1022" s="15"/>
      <c r="G1022" s="14"/>
      <c r="H1022" s="16"/>
      <c r="I1022" s="14"/>
      <c r="J1022" s="16"/>
      <c r="K1022" s="14"/>
      <c r="L1022" s="16"/>
      <c r="M1022" s="14"/>
      <c r="N1022" s="16"/>
      <c r="O1022" s="14"/>
      <c r="P1022" s="16"/>
      <c r="Q1022" s="14"/>
      <c r="R1022" s="5"/>
      <c r="S1022" s="14"/>
      <c r="T1022" s="16"/>
      <c r="U1022" s="16"/>
      <c r="V1022" s="17"/>
      <c r="W1022" s="6"/>
      <c r="X1022" s="22"/>
      <c r="Y1022" s="14"/>
      <c r="Z1022" s="14"/>
      <c r="AA1022" s="14"/>
      <c r="AB1022" s="14"/>
      <c r="AC1022" s="14"/>
      <c r="AD1022" s="14"/>
      <c r="AE1022" s="14"/>
      <c r="AF1022" s="14"/>
      <c r="AG1022" s="19"/>
      <c r="AH1022" s="20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5"/>
      <c r="BK1022" s="5"/>
      <c r="BL1022" s="5"/>
      <c r="BM1022" s="5"/>
    </row>
    <row r="1023" ht="15.75" customHeight="1">
      <c r="A1023" s="5"/>
      <c r="B1023" s="5"/>
      <c r="C1023" s="5"/>
      <c r="D1023" s="5"/>
      <c r="E1023" s="14"/>
      <c r="F1023" s="15"/>
      <c r="G1023" s="14"/>
      <c r="H1023" s="16"/>
      <c r="I1023" s="14"/>
      <c r="J1023" s="16"/>
      <c r="K1023" s="14"/>
      <c r="L1023" s="16"/>
      <c r="M1023" s="14"/>
      <c r="N1023" s="16"/>
      <c r="O1023" s="14"/>
      <c r="P1023" s="16"/>
      <c r="Q1023" s="14"/>
      <c r="R1023" s="5"/>
      <c r="S1023" s="14"/>
      <c r="T1023" s="16"/>
      <c r="U1023" s="16"/>
      <c r="V1023" s="17"/>
      <c r="W1023" s="6"/>
      <c r="X1023" s="22"/>
      <c r="Y1023" s="14"/>
      <c r="Z1023" s="14"/>
      <c r="AA1023" s="14"/>
      <c r="AB1023" s="14"/>
      <c r="AC1023" s="14"/>
      <c r="AD1023" s="14"/>
      <c r="AE1023" s="14"/>
      <c r="AF1023" s="14"/>
      <c r="AG1023" s="19"/>
      <c r="AH1023" s="20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5"/>
      <c r="BK1023" s="5"/>
      <c r="BL1023" s="5"/>
      <c r="BM1023" s="5"/>
    </row>
    <row r="1024" ht="15.75" customHeight="1">
      <c r="A1024" s="5"/>
      <c r="B1024" s="5"/>
      <c r="C1024" s="5"/>
      <c r="D1024" s="5"/>
      <c r="E1024" s="14"/>
      <c r="F1024" s="15"/>
      <c r="G1024" s="14"/>
      <c r="H1024" s="16"/>
      <c r="I1024" s="14"/>
      <c r="J1024" s="16"/>
      <c r="K1024" s="14"/>
      <c r="L1024" s="16"/>
      <c r="M1024" s="14"/>
      <c r="N1024" s="16"/>
      <c r="O1024" s="14"/>
      <c r="P1024" s="16"/>
      <c r="Q1024" s="14"/>
      <c r="R1024" s="5"/>
      <c r="S1024" s="14"/>
      <c r="T1024" s="16"/>
      <c r="U1024" s="16"/>
      <c r="V1024" s="17"/>
      <c r="W1024" s="6"/>
      <c r="X1024" s="22"/>
      <c r="Y1024" s="14"/>
      <c r="Z1024" s="14"/>
      <c r="AA1024" s="14"/>
      <c r="AB1024" s="14"/>
      <c r="AC1024" s="14"/>
      <c r="AD1024" s="14"/>
      <c r="AE1024" s="14"/>
      <c r="AF1024" s="14"/>
      <c r="AG1024" s="19"/>
      <c r="AH1024" s="20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5"/>
      <c r="BK1024" s="5"/>
      <c r="BL1024" s="5"/>
      <c r="BM1024" s="5"/>
    </row>
    <row r="1025" ht="15.75" customHeight="1">
      <c r="A1025" s="5"/>
      <c r="B1025" s="5"/>
      <c r="C1025" s="5"/>
      <c r="D1025" s="5"/>
      <c r="E1025" s="14"/>
      <c r="F1025" s="15"/>
      <c r="G1025" s="14"/>
      <c r="H1025" s="16"/>
      <c r="I1025" s="14"/>
      <c r="J1025" s="16"/>
      <c r="K1025" s="14"/>
      <c r="L1025" s="16"/>
      <c r="M1025" s="14"/>
      <c r="N1025" s="16"/>
      <c r="O1025" s="14"/>
      <c r="P1025" s="16"/>
      <c r="Q1025" s="14"/>
      <c r="R1025" s="5"/>
      <c r="S1025" s="14"/>
      <c r="T1025" s="16"/>
      <c r="U1025" s="16"/>
      <c r="V1025" s="17"/>
      <c r="W1025" s="6"/>
      <c r="X1025" s="22"/>
      <c r="Y1025" s="14"/>
      <c r="Z1025" s="14"/>
      <c r="AA1025" s="14"/>
      <c r="AB1025" s="14"/>
      <c r="AC1025" s="14"/>
      <c r="AD1025" s="14"/>
      <c r="AE1025" s="14"/>
      <c r="AF1025" s="14"/>
      <c r="AG1025" s="19"/>
      <c r="AH1025" s="20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5"/>
      <c r="BK1025" s="5"/>
      <c r="BL1025" s="5"/>
      <c r="BM1025" s="5"/>
    </row>
    <row r="1026" ht="15.75" customHeight="1">
      <c r="A1026" s="5"/>
      <c r="B1026" s="5"/>
      <c r="C1026" s="5"/>
      <c r="D1026" s="5"/>
      <c r="E1026" s="14"/>
      <c r="F1026" s="15"/>
      <c r="G1026" s="14"/>
      <c r="H1026" s="16"/>
      <c r="I1026" s="14"/>
      <c r="J1026" s="16"/>
      <c r="K1026" s="14"/>
      <c r="L1026" s="16"/>
      <c r="M1026" s="14"/>
      <c r="N1026" s="16"/>
      <c r="O1026" s="14"/>
      <c r="P1026" s="16"/>
      <c r="Q1026" s="14"/>
      <c r="R1026" s="5"/>
      <c r="S1026" s="14"/>
      <c r="T1026" s="16"/>
      <c r="U1026" s="16"/>
      <c r="V1026" s="17"/>
      <c r="W1026" s="6"/>
      <c r="X1026" s="22"/>
      <c r="Y1026" s="14"/>
      <c r="Z1026" s="14"/>
      <c r="AA1026" s="14"/>
      <c r="AB1026" s="14"/>
      <c r="AC1026" s="14"/>
      <c r="AD1026" s="14"/>
      <c r="AE1026" s="14"/>
      <c r="AF1026" s="14"/>
      <c r="AG1026" s="19"/>
      <c r="AH1026" s="20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5"/>
      <c r="BK1026" s="5"/>
      <c r="BL1026" s="5"/>
      <c r="BM1026" s="5"/>
    </row>
    <row r="1027" ht="15.75" customHeight="1">
      <c r="A1027" s="5"/>
      <c r="B1027" s="5"/>
      <c r="C1027" s="5"/>
      <c r="D1027" s="5"/>
      <c r="E1027" s="14"/>
      <c r="F1027" s="15"/>
      <c r="G1027" s="14"/>
      <c r="H1027" s="16"/>
      <c r="I1027" s="14"/>
      <c r="J1027" s="16"/>
      <c r="K1027" s="14"/>
      <c r="L1027" s="16"/>
      <c r="M1027" s="14"/>
      <c r="N1027" s="16"/>
      <c r="O1027" s="14"/>
      <c r="P1027" s="16"/>
      <c r="Q1027" s="14"/>
      <c r="R1027" s="5"/>
      <c r="S1027" s="14"/>
      <c r="T1027" s="16"/>
      <c r="U1027" s="16"/>
      <c r="V1027" s="17"/>
      <c r="W1027" s="6"/>
      <c r="X1027" s="22"/>
      <c r="Y1027" s="14"/>
      <c r="Z1027" s="14"/>
      <c r="AA1027" s="14"/>
      <c r="AB1027" s="14"/>
      <c r="AC1027" s="14"/>
      <c r="AD1027" s="14"/>
      <c r="AE1027" s="14"/>
      <c r="AF1027" s="14"/>
      <c r="AG1027" s="19"/>
      <c r="AH1027" s="20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5"/>
      <c r="BK1027" s="5"/>
      <c r="BL1027" s="5"/>
      <c r="BM1027" s="5"/>
    </row>
    <row r="1028" ht="15.75" customHeight="1">
      <c r="A1028" s="5"/>
      <c r="B1028" s="5"/>
      <c r="C1028" s="5"/>
      <c r="D1028" s="5"/>
      <c r="E1028" s="14"/>
      <c r="F1028" s="15"/>
      <c r="G1028" s="14"/>
      <c r="H1028" s="16"/>
      <c r="I1028" s="14"/>
      <c r="J1028" s="16"/>
      <c r="K1028" s="14"/>
      <c r="L1028" s="16"/>
      <c r="M1028" s="14"/>
      <c r="N1028" s="16"/>
      <c r="O1028" s="14"/>
      <c r="P1028" s="16"/>
      <c r="Q1028" s="14"/>
      <c r="R1028" s="5"/>
      <c r="S1028" s="14"/>
      <c r="T1028" s="16"/>
      <c r="U1028" s="16"/>
      <c r="V1028" s="17"/>
      <c r="W1028" s="6"/>
      <c r="X1028" s="22"/>
      <c r="Y1028" s="14"/>
      <c r="Z1028" s="14"/>
      <c r="AA1028" s="14"/>
      <c r="AB1028" s="14"/>
      <c r="AC1028" s="14"/>
      <c r="AD1028" s="14"/>
      <c r="AE1028" s="14"/>
      <c r="AF1028" s="14"/>
      <c r="AG1028" s="19"/>
      <c r="AH1028" s="20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5"/>
      <c r="BK1028" s="5"/>
      <c r="BL1028" s="5"/>
      <c r="BM1028" s="5"/>
    </row>
    <row r="1029" ht="15.75" customHeight="1">
      <c r="A1029" s="5"/>
      <c r="B1029" s="5"/>
      <c r="C1029" s="5"/>
      <c r="D1029" s="5"/>
      <c r="E1029" s="14"/>
      <c r="F1029" s="15"/>
      <c r="G1029" s="14"/>
      <c r="H1029" s="16"/>
      <c r="I1029" s="14"/>
      <c r="J1029" s="16"/>
      <c r="K1029" s="14"/>
      <c r="L1029" s="16"/>
      <c r="M1029" s="14"/>
      <c r="N1029" s="16"/>
      <c r="O1029" s="14"/>
      <c r="P1029" s="16"/>
      <c r="Q1029" s="14"/>
      <c r="R1029" s="5"/>
      <c r="S1029" s="14"/>
      <c r="T1029" s="16"/>
      <c r="U1029" s="16"/>
      <c r="V1029" s="17"/>
      <c r="W1029" s="6"/>
      <c r="X1029" s="22"/>
      <c r="Y1029" s="14"/>
      <c r="Z1029" s="14"/>
      <c r="AA1029" s="14"/>
      <c r="AB1029" s="14"/>
      <c r="AC1029" s="14"/>
      <c r="AD1029" s="14"/>
      <c r="AE1029" s="14"/>
      <c r="AF1029" s="14"/>
      <c r="AG1029" s="19"/>
      <c r="AH1029" s="20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5"/>
      <c r="BK1029" s="5"/>
      <c r="BL1029" s="5"/>
      <c r="BM1029" s="5"/>
    </row>
    <row r="1030" ht="15.75" customHeight="1">
      <c r="A1030" s="5"/>
      <c r="B1030" s="5"/>
      <c r="C1030" s="5"/>
      <c r="D1030" s="5"/>
      <c r="E1030" s="14"/>
      <c r="F1030" s="15"/>
      <c r="G1030" s="14"/>
      <c r="H1030" s="16"/>
      <c r="I1030" s="14"/>
      <c r="J1030" s="16"/>
      <c r="K1030" s="14"/>
      <c r="L1030" s="16"/>
      <c r="M1030" s="14"/>
      <c r="N1030" s="16"/>
      <c r="O1030" s="14"/>
      <c r="P1030" s="16"/>
      <c r="Q1030" s="14"/>
      <c r="R1030" s="5"/>
      <c r="S1030" s="14"/>
      <c r="T1030" s="16"/>
      <c r="U1030" s="16"/>
      <c r="V1030" s="17"/>
      <c r="W1030" s="6"/>
      <c r="X1030" s="22"/>
      <c r="Y1030" s="14"/>
      <c r="Z1030" s="14"/>
      <c r="AA1030" s="14"/>
      <c r="AB1030" s="14"/>
      <c r="AC1030" s="14"/>
      <c r="AD1030" s="14"/>
      <c r="AE1030" s="14"/>
      <c r="AF1030" s="14"/>
      <c r="AG1030" s="19"/>
      <c r="AH1030" s="20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5"/>
      <c r="BK1030" s="5"/>
      <c r="BL1030" s="5"/>
      <c r="BM1030" s="5"/>
    </row>
    <row r="1031" ht="15.75" customHeight="1">
      <c r="A1031" s="5"/>
      <c r="B1031" s="5"/>
      <c r="C1031" s="5"/>
      <c r="D1031" s="5"/>
      <c r="E1031" s="14"/>
      <c r="F1031" s="15"/>
      <c r="G1031" s="14"/>
      <c r="H1031" s="16"/>
      <c r="I1031" s="14"/>
      <c r="J1031" s="16"/>
      <c r="K1031" s="14"/>
      <c r="L1031" s="16"/>
      <c r="M1031" s="14"/>
      <c r="N1031" s="16"/>
      <c r="O1031" s="14"/>
      <c r="P1031" s="16"/>
      <c r="Q1031" s="14"/>
      <c r="R1031" s="5"/>
      <c r="S1031" s="14"/>
      <c r="T1031" s="16"/>
      <c r="U1031" s="16"/>
      <c r="V1031" s="17"/>
      <c r="W1031" s="6"/>
      <c r="X1031" s="22"/>
      <c r="Y1031" s="14"/>
      <c r="Z1031" s="14"/>
      <c r="AA1031" s="14"/>
      <c r="AB1031" s="14"/>
      <c r="AC1031" s="14"/>
      <c r="AD1031" s="14"/>
      <c r="AE1031" s="14"/>
      <c r="AF1031" s="14"/>
      <c r="AG1031" s="19"/>
      <c r="AH1031" s="20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5"/>
      <c r="BK1031" s="5"/>
      <c r="BL1031" s="5"/>
      <c r="BM1031" s="5"/>
    </row>
    <row r="1032" ht="15.75" customHeight="1">
      <c r="A1032" s="5"/>
      <c r="B1032" s="5"/>
      <c r="C1032" s="5"/>
      <c r="D1032" s="5"/>
      <c r="E1032" s="14"/>
      <c r="F1032" s="15"/>
      <c r="G1032" s="14"/>
      <c r="H1032" s="16"/>
      <c r="I1032" s="14"/>
      <c r="J1032" s="16"/>
      <c r="K1032" s="14"/>
      <c r="L1032" s="16"/>
      <c r="M1032" s="14"/>
      <c r="N1032" s="16"/>
      <c r="O1032" s="14"/>
      <c r="P1032" s="16"/>
      <c r="Q1032" s="14"/>
      <c r="R1032" s="5"/>
      <c r="S1032" s="14"/>
      <c r="T1032" s="16"/>
      <c r="U1032" s="16"/>
      <c r="V1032" s="17"/>
      <c r="W1032" s="6"/>
      <c r="X1032" s="22"/>
      <c r="Y1032" s="14"/>
      <c r="Z1032" s="14"/>
      <c r="AA1032" s="14"/>
      <c r="AB1032" s="14"/>
      <c r="AC1032" s="14"/>
      <c r="AD1032" s="14"/>
      <c r="AE1032" s="14"/>
      <c r="AF1032" s="14"/>
      <c r="AG1032" s="19"/>
      <c r="AH1032" s="20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5"/>
      <c r="BK1032" s="5"/>
      <c r="BL1032" s="5"/>
      <c r="BM1032" s="5"/>
    </row>
    <row r="1033" ht="15.75" customHeight="1">
      <c r="A1033" s="5"/>
      <c r="B1033" s="5"/>
      <c r="C1033" s="5"/>
      <c r="D1033" s="5"/>
      <c r="E1033" s="14"/>
      <c r="F1033" s="15"/>
      <c r="G1033" s="14"/>
      <c r="H1033" s="16"/>
      <c r="I1033" s="14"/>
      <c r="J1033" s="16"/>
      <c r="K1033" s="14"/>
      <c r="L1033" s="16"/>
      <c r="M1033" s="14"/>
      <c r="N1033" s="16"/>
      <c r="O1033" s="14"/>
      <c r="P1033" s="16"/>
      <c r="Q1033" s="14"/>
      <c r="R1033" s="5"/>
      <c r="S1033" s="14"/>
      <c r="T1033" s="16"/>
      <c r="U1033" s="16"/>
      <c r="V1033" s="17"/>
      <c r="W1033" s="6"/>
      <c r="X1033" s="22"/>
      <c r="Y1033" s="14"/>
      <c r="Z1033" s="14"/>
      <c r="AA1033" s="14"/>
      <c r="AB1033" s="14"/>
      <c r="AC1033" s="14"/>
      <c r="AD1033" s="14"/>
      <c r="AE1033" s="14"/>
      <c r="AF1033" s="14"/>
      <c r="AG1033" s="19"/>
      <c r="AH1033" s="20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5"/>
      <c r="BK1033" s="5"/>
      <c r="BL1033" s="5"/>
      <c r="BM1033" s="5"/>
    </row>
    <row r="1034" ht="15.75" customHeight="1">
      <c r="A1034" s="5"/>
      <c r="B1034" s="5"/>
      <c r="C1034" s="5"/>
      <c r="D1034" s="5"/>
      <c r="E1034" s="14"/>
      <c r="F1034" s="15"/>
      <c r="G1034" s="14"/>
      <c r="H1034" s="16"/>
      <c r="I1034" s="14"/>
      <c r="J1034" s="16"/>
      <c r="K1034" s="14"/>
      <c r="L1034" s="16"/>
      <c r="M1034" s="14"/>
      <c r="N1034" s="16"/>
      <c r="O1034" s="14"/>
      <c r="P1034" s="16"/>
      <c r="Q1034" s="14"/>
      <c r="R1034" s="5"/>
      <c r="S1034" s="14"/>
      <c r="T1034" s="16"/>
      <c r="U1034" s="16"/>
      <c r="V1034" s="17"/>
      <c r="W1034" s="6"/>
      <c r="X1034" s="22"/>
      <c r="Y1034" s="14"/>
      <c r="Z1034" s="14"/>
      <c r="AA1034" s="14"/>
      <c r="AB1034" s="14"/>
      <c r="AC1034" s="14"/>
      <c r="AD1034" s="14"/>
      <c r="AE1034" s="14"/>
      <c r="AF1034" s="14"/>
      <c r="AG1034" s="19"/>
      <c r="AH1034" s="20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5"/>
      <c r="BK1034" s="5"/>
      <c r="BL1034" s="5"/>
      <c r="BM1034" s="5"/>
    </row>
    <row r="1035" ht="15.75" customHeight="1">
      <c r="A1035" s="5"/>
      <c r="B1035" s="5"/>
      <c r="C1035" s="5"/>
      <c r="D1035" s="5"/>
      <c r="E1035" s="14"/>
      <c r="F1035" s="15"/>
      <c r="G1035" s="14"/>
      <c r="H1035" s="16"/>
      <c r="I1035" s="14"/>
      <c r="J1035" s="16"/>
      <c r="K1035" s="14"/>
      <c r="L1035" s="16"/>
      <c r="M1035" s="14"/>
      <c r="N1035" s="16"/>
      <c r="O1035" s="14"/>
      <c r="P1035" s="16"/>
      <c r="Q1035" s="14"/>
      <c r="R1035" s="5"/>
      <c r="S1035" s="14"/>
      <c r="T1035" s="16"/>
      <c r="U1035" s="16"/>
      <c r="V1035" s="17"/>
      <c r="W1035" s="6"/>
      <c r="X1035" s="22"/>
      <c r="Y1035" s="14"/>
      <c r="Z1035" s="14"/>
      <c r="AA1035" s="14"/>
      <c r="AB1035" s="14"/>
      <c r="AC1035" s="14"/>
      <c r="AD1035" s="14"/>
      <c r="AE1035" s="14"/>
      <c r="AF1035" s="14"/>
      <c r="AG1035" s="19"/>
      <c r="AH1035" s="20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5"/>
      <c r="BK1035" s="5"/>
      <c r="BL1035" s="5"/>
      <c r="BM1035" s="5"/>
    </row>
    <row r="1036" ht="15.75" customHeight="1">
      <c r="A1036" s="5"/>
      <c r="B1036" s="5"/>
      <c r="C1036" s="5"/>
      <c r="D1036" s="5"/>
      <c r="E1036" s="14"/>
      <c r="F1036" s="15"/>
      <c r="G1036" s="14"/>
      <c r="H1036" s="16"/>
      <c r="I1036" s="14"/>
      <c r="J1036" s="16"/>
      <c r="K1036" s="14"/>
      <c r="L1036" s="16"/>
      <c r="M1036" s="14"/>
      <c r="N1036" s="16"/>
      <c r="O1036" s="14"/>
      <c r="P1036" s="16"/>
      <c r="Q1036" s="14"/>
      <c r="R1036" s="5"/>
      <c r="S1036" s="14"/>
      <c r="T1036" s="16"/>
      <c r="U1036" s="16"/>
      <c r="V1036" s="17"/>
      <c r="W1036" s="6"/>
      <c r="X1036" s="22"/>
      <c r="Y1036" s="14"/>
      <c r="Z1036" s="14"/>
      <c r="AA1036" s="14"/>
      <c r="AB1036" s="14"/>
      <c r="AC1036" s="14"/>
      <c r="AD1036" s="14"/>
      <c r="AE1036" s="14"/>
      <c r="AF1036" s="14"/>
      <c r="AG1036" s="19"/>
      <c r="AH1036" s="20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5"/>
      <c r="BK1036" s="5"/>
      <c r="BL1036" s="5"/>
      <c r="BM1036" s="5"/>
    </row>
    <row r="1037" ht="15.75" customHeight="1">
      <c r="A1037" s="5"/>
      <c r="B1037" s="5"/>
      <c r="C1037" s="5"/>
      <c r="D1037" s="5"/>
      <c r="E1037" s="14"/>
      <c r="F1037" s="15"/>
      <c r="G1037" s="14"/>
      <c r="H1037" s="16"/>
      <c r="I1037" s="14"/>
      <c r="J1037" s="16"/>
      <c r="K1037" s="14"/>
      <c r="L1037" s="16"/>
      <c r="M1037" s="14"/>
      <c r="N1037" s="16"/>
      <c r="O1037" s="14"/>
      <c r="P1037" s="16"/>
      <c r="Q1037" s="14"/>
      <c r="R1037" s="5"/>
      <c r="S1037" s="14"/>
      <c r="T1037" s="16"/>
      <c r="U1037" s="16"/>
      <c r="V1037" s="17"/>
      <c r="W1037" s="6"/>
      <c r="X1037" s="22"/>
      <c r="Y1037" s="14"/>
      <c r="Z1037" s="14"/>
      <c r="AA1037" s="14"/>
      <c r="AB1037" s="14"/>
      <c r="AC1037" s="14"/>
      <c r="AD1037" s="14"/>
      <c r="AE1037" s="14"/>
      <c r="AF1037" s="14"/>
      <c r="AG1037" s="19"/>
      <c r="AH1037" s="20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5"/>
      <c r="BK1037" s="5"/>
      <c r="BL1037" s="5"/>
      <c r="BM1037" s="5"/>
    </row>
    <row r="1038" ht="15.75" customHeight="1">
      <c r="A1038" s="5"/>
      <c r="B1038" s="5"/>
      <c r="C1038" s="5"/>
      <c r="D1038" s="5"/>
      <c r="E1038" s="14"/>
      <c r="F1038" s="15"/>
      <c r="G1038" s="14"/>
      <c r="H1038" s="16"/>
      <c r="I1038" s="14"/>
      <c r="J1038" s="16"/>
      <c r="K1038" s="14"/>
      <c r="L1038" s="16"/>
      <c r="M1038" s="14"/>
      <c r="N1038" s="16"/>
      <c r="O1038" s="14"/>
      <c r="P1038" s="16"/>
      <c r="Q1038" s="14"/>
      <c r="R1038" s="5"/>
      <c r="S1038" s="14"/>
      <c r="T1038" s="16"/>
      <c r="U1038" s="16"/>
      <c r="V1038" s="17"/>
      <c r="W1038" s="6"/>
      <c r="X1038" s="22"/>
      <c r="Y1038" s="14"/>
      <c r="Z1038" s="14"/>
      <c r="AA1038" s="14"/>
      <c r="AB1038" s="14"/>
      <c r="AC1038" s="14"/>
      <c r="AD1038" s="14"/>
      <c r="AE1038" s="14"/>
      <c r="AF1038" s="14"/>
      <c r="AG1038" s="19"/>
      <c r="AH1038" s="20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5"/>
      <c r="BK1038" s="5"/>
      <c r="BL1038" s="5"/>
      <c r="BM1038" s="5"/>
    </row>
    <row r="1039" ht="15.75" customHeight="1">
      <c r="A1039" s="5"/>
      <c r="B1039" s="5"/>
      <c r="C1039" s="5"/>
      <c r="D1039" s="5"/>
      <c r="E1039" s="14"/>
      <c r="F1039" s="15"/>
      <c r="G1039" s="14"/>
      <c r="H1039" s="16"/>
      <c r="I1039" s="14"/>
      <c r="J1039" s="16"/>
      <c r="K1039" s="14"/>
      <c r="L1039" s="16"/>
      <c r="M1039" s="14"/>
      <c r="N1039" s="16"/>
      <c r="O1039" s="14"/>
      <c r="P1039" s="16"/>
      <c r="Q1039" s="14"/>
      <c r="R1039" s="5"/>
      <c r="S1039" s="14"/>
      <c r="T1039" s="16"/>
      <c r="U1039" s="16"/>
      <c r="V1039" s="17"/>
      <c r="W1039" s="6"/>
      <c r="X1039" s="22"/>
      <c r="Y1039" s="14"/>
      <c r="Z1039" s="14"/>
      <c r="AA1039" s="14"/>
      <c r="AB1039" s="14"/>
      <c r="AC1039" s="14"/>
      <c r="AD1039" s="14"/>
      <c r="AE1039" s="14"/>
      <c r="AF1039" s="14"/>
      <c r="AG1039" s="19"/>
      <c r="AH1039" s="20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5"/>
      <c r="BK1039" s="5"/>
      <c r="BL1039" s="5"/>
      <c r="BM1039" s="5"/>
    </row>
    <row r="1040" ht="15.75" customHeight="1">
      <c r="A1040" s="5"/>
      <c r="B1040" s="5"/>
      <c r="C1040" s="5"/>
      <c r="D1040" s="5"/>
      <c r="E1040" s="14"/>
      <c r="F1040" s="15"/>
      <c r="G1040" s="14"/>
      <c r="H1040" s="16"/>
      <c r="I1040" s="14"/>
      <c r="J1040" s="16"/>
      <c r="K1040" s="14"/>
      <c r="L1040" s="16"/>
      <c r="M1040" s="14"/>
      <c r="N1040" s="16"/>
      <c r="O1040" s="14"/>
      <c r="P1040" s="16"/>
      <c r="Q1040" s="14"/>
      <c r="R1040" s="5"/>
      <c r="S1040" s="14"/>
      <c r="T1040" s="16"/>
      <c r="U1040" s="16"/>
      <c r="V1040" s="17"/>
      <c r="W1040" s="6"/>
      <c r="X1040" s="22"/>
      <c r="Y1040" s="14"/>
      <c r="Z1040" s="14"/>
      <c r="AA1040" s="14"/>
      <c r="AB1040" s="14"/>
      <c r="AC1040" s="14"/>
      <c r="AD1040" s="14"/>
      <c r="AE1040" s="14"/>
      <c r="AF1040" s="14"/>
      <c r="AG1040" s="19"/>
      <c r="AH1040" s="20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5"/>
      <c r="BK1040" s="5"/>
      <c r="BL1040" s="5"/>
      <c r="BM1040" s="5"/>
    </row>
    <row r="1041" ht="15.75" customHeight="1">
      <c r="A1041" s="5"/>
      <c r="B1041" s="5"/>
      <c r="C1041" s="5"/>
      <c r="D1041" s="5"/>
      <c r="E1041" s="14"/>
      <c r="F1041" s="15"/>
      <c r="G1041" s="14"/>
      <c r="H1041" s="16"/>
      <c r="I1041" s="14"/>
      <c r="J1041" s="16"/>
      <c r="K1041" s="14"/>
      <c r="L1041" s="16"/>
      <c r="M1041" s="14"/>
      <c r="N1041" s="16"/>
      <c r="O1041" s="14"/>
      <c r="P1041" s="16"/>
      <c r="Q1041" s="14"/>
      <c r="R1041" s="5"/>
      <c r="S1041" s="14"/>
      <c r="T1041" s="16"/>
      <c r="U1041" s="16"/>
      <c r="V1041" s="17"/>
      <c r="W1041" s="6"/>
      <c r="X1041" s="22"/>
      <c r="Y1041" s="14"/>
      <c r="Z1041" s="14"/>
      <c r="AA1041" s="14"/>
      <c r="AB1041" s="14"/>
      <c r="AC1041" s="14"/>
      <c r="AD1041" s="14"/>
      <c r="AE1041" s="14"/>
      <c r="AF1041" s="14"/>
      <c r="AG1041" s="19"/>
      <c r="AH1041" s="20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5"/>
      <c r="BK1041" s="5"/>
      <c r="BL1041" s="5"/>
      <c r="BM1041" s="5"/>
    </row>
    <row r="1042" ht="15.75" customHeight="1">
      <c r="A1042" s="5"/>
      <c r="B1042" s="5"/>
      <c r="C1042" s="5"/>
      <c r="D1042" s="5"/>
      <c r="E1042" s="14"/>
      <c r="F1042" s="15"/>
      <c r="G1042" s="14"/>
      <c r="H1042" s="16"/>
      <c r="I1042" s="14"/>
      <c r="J1042" s="16"/>
      <c r="K1042" s="14"/>
      <c r="L1042" s="16"/>
      <c r="M1042" s="14"/>
      <c r="N1042" s="16"/>
      <c r="O1042" s="14"/>
      <c r="P1042" s="16"/>
      <c r="Q1042" s="14"/>
      <c r="R1042" s="5"/>
      <c r="S1042" s="14"/>
      <c r="T1042" s="16"/>
      <c r="U1042" s="16"/>
      <c r="V1042" s="17"/>
      <c r="W1042" s="6"/>
      <c r="X1042" s="22"/>
      <c r="Y1042" s="14"/>
      <c r="Z1042" s="14"/>
      <c r="AA1042" s="14"/>
      <c r="AB1042" s="14"/>
      <c r="AC1042" s="14"/>
      <c r="AD1042" s="14"/>
      <c r="AE1042" s="14"/>
      <c r="AF1042" s="14"/>
      <c r="AG1042" s="19"/>
      <c r="AH1042" s="20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5"/>
      <c r="BK1042" s="5"/>
      <c r="BL1042" s="5"/>
      <c r="BM1042" s="5"/>
    </row>
    <row r="1043" ht="15.75" customHeight="1">
      <c r="A1043" s="5"/>
      <c r="B1043" s="5"/>
      <c r="C1043" s="5"/>
      <c r="D1043" s="5"/>
      <c r="E1043" s="14"/>
      <c r="F1043" s="15"/>
      <c r="G1043" s="14"/>
      <c r="H1043" s="16"/>
      <c r="I1043" s="14"/>
      <c r="J1043" s="16"/>
      <c r="K1043" s="14"/>
      <c r="L1043" s="16"/>
      <c r="M1043" s="14"/>
      <c r="N1043" s="16"/>
      <c r="O1043" s="14"/>
      <c r="P1043" s="16"/>
      <c r="Q1043" s="14"/>
      <c r="R1043" s="5"/>
      <c r="S1043" s="14"/>
      <c r="T1043" s="16"/>
      <c r="U1043" s="16"/>
      <c r="V1043" s="17"/>
      <c r="W1043" s="6"/>
      <c r="X1043" s="22"/>
      <c r="Y1043" s="14"/>
      <c r="Z1043" s="14"/>
      <c r="AA1043" s="14"/>
      <c r="AB1043" s="14"/>
      <c r="AC1043" s="14"/>
      <c r="AD1043" s="14"/>
      <c r="AE1043" s="14"/>
      <c r="AF1043" s="14"/>
      <c r="AG1043" s="19"/>
      <c r="AH1043" s="20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5"/>
      <c r="BK1043" s="5"/>
      <c r="BL1043" s="5"/>
      <c r="BM1043" s="5"/>
    </row>
    <row r="1044" ht="15.75" customHeight="1">
      <c r="A1044" s="5"/>
      <c r="B1044" s="5"/>
      <c r="C1044" s="5"/>
      <c r="D1044" s="5"/>
      <c r="E1044" s="14"/>
      <c r="F1044" s="15"/>
      <c r="G1044" s="14"/>
      <c r="H1044" s="16"/>
      <c r="I1044" s="14"/>
      <c r="J1044" s="16"/>
      <c r="K1044" s="14"/>
      <c r="L1044" s="16"/>
      <c r="M1044" s="14"/>
      <c r="N1044" s="16"/>
      <c r="O1044" s="14"/>
      <c r="P1044" s="16"/>
      <c r="Q1044" s="14"/>
      <c r="R1044" s="5"/>
      <c r="S1044" s="14"/>
      <c r="T1044" s="16"/>
      <c r="U1044" s="16"/>
      <c r="V1044" s="17"/>
      <c r="W1044" s="6"/>
      <c r="X1044" s="22"/>
      <c r="Y1044" s="14"/>
      <c r="Z1044" s="14"/>
      <c r="AA1044" s="14"/>
      <c r="AB1044" s="14"/>
      <c r="AC1044" s="14"/>
      <c r="AD1044" s="14"/>
      <c r="AE1044" s="14"/>
      <c r="AF1044" s="14"/>
      <c r="AG1044" s="19"/>
      <c r="AH1044" s="20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5"/>
      <c r="BK1044" s="5"/>
      <c r="BL1044" s="5"/>
      <c r="BM1044" s="5"/>
    </row>
    <row r="1045" ht="15.75" customHeight="1">
      <c r="A1045" s="5"/>
      <c r="B1045" s="5"/>
      <c r="C1045" s="5"/>
      <c r="D1045" s="5"/>
      <c r="E1045" s="14"/>
      <c r="F1045" s="15"/>
      <c r="G1045" s="14"/>
      <c r="H1045" s="16"/>
      <c r="I1045" s="14"/>
      <c r="J1045" s="16"/>
      <c r="K1045" s="14"/>
      <c r="L1045" s="16"/>
      <c r="M1045" s="14"/>
      <c r="N1045" s="16"/>
      <c r="O1045" s="14"/>
      <c r="P1045" s="16"/>
      <c r="Q1045" s="14"/>
      <c r="R1045" s="5"/>
      <c r="S1045" s="14"/>
      <c r="T1045" s="16"/>
      <c r="U1045" s="16"/>
      <c r="V1045" s="17"/>
      <c r="W1045" s="6"/>
      <c r="X1045" s="22"/>
      <c r="Y1045" s="14"/>
      <c r="Z1045" s="14"/>
      <c r="AA1045" s="14"/>
      <c r="AB1045" s="14"/>
      <c r="AC1045" s="14"/>
      <c r="AD1045" s="14"/>
      <c r="AE1045" s="14"/>
      <c r="AF1045" s="14"/>
      <c r="AG1045" s="19"/>
      <c r="AH1045" s="20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5"/>
      <c r="BK1045" s="5"/>
      <c r="BL1045" s="5"/>
      <c r="BM1045" s="5"/>
    </row>
    <row r="1046" ht="15.75" customHeight="1">
      <c r="A1046" s="5"/>
      <c r="B1046" s="5"/>
      <c r="C1046" s="5"/>
      <c r="D1046" s="5"/>
      <c r="E1046" s="14"/>
      <c r="F1046" s="15"/>
      <c r="G1046" s="14"/>
      <c r="H1046" s="16"/>
      <c r="I1046" s="14"/>
      <c r="J1046" s="16"/>
      <c r="K1046" s="14"/>
      <c r="L1046" s="16"/>
      <c r="M1046" s="14"/>
      <c r="N1046" s="16"/>
      <c r="O1046" s="14"/>
      <c r="P1046" s="16"/>
      <c r="Q1046" s="14"/>
      <c r="R1046" s="5"/>
      <c r="S1046" s="14"/>
      <c r="T1046" s="16"/>
      <c r="U1046" s="16"/>
      <c r="V1046" s="17"/>
      <c r="W1046" s="6"/>
      <c r="X1046" s="22"/>
      <c r="Y1046" s="14"/>
      <c r="Z1046" s="14"/>
      <c r="AA1046" s="14"/>
      <c r="AB1046" s="14"/>
      <c r="AC1046" s="14"/>
      <c r="AD1046" s="14"/>
      <c r="AE1046" s="14"/>
      <c r="AF1046" s="14"/>
      <c r="AG1046" s="19"/>
      <c r="AH1046" s="20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5"/>
      <c r="BK1046" s="5"/>
      <c r="BL1046" s="5"/>
      <c r="BM1046" s="5"/>
    </row>
    <row r="1047" ht="15.75" customHeight="1">
      <c r="A1047" s="5"/>
      <c r="B1047" s="5"/>
      <c r="C1047" s="5"/>
      <c r="D1047" s="5"/>
      <c r="E1047" s="14"/>
      <c r="F1047" s="15"/>
      <c r="G1047" s="14"/>
      <c r="H1047" s="16"/>
      <c r="I1047" s="14"/>
      <c r="J1047" s="16"/>
      <c r="K1047" s="14"/>
      <c r="L1047" s="16"/>
      <c r="M1047" s="14"/>
      <c r="N1047" s="16"/>
      <c r="O1047" s="14"/>
      <c r="P1047" s="16"/>
      <c r="Q1047" s="14"/>
      <c r="R1047" s="5"/>
      <c r="S1047" s="14"/>
      <c r="T1047" s="16"/>
      <c r="U1047" s="16"/>
      <c r="V1047" s="17"/>
      <c r="W1047" s="6"/>
      <c r="X1047" s="22"/>
      <c r="Y1047" s="14"/>
      <c r="Z1047" s="14"/>
      <c r="AA1047" s="14"/>
      <c r="AB1047" s="14"/>
      <c r="AC1047" s="14"/>
      <c r="AD1047" s="14"/>
      <c r="AE1047" s="14"/>
      <c r="AF1047" s="14"/>
      <c r="AG1047" s="19"/>
      <c r="AH1047" s="20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5"/>
      <c r="BK1047" s="5"/>
      <c r="BL1047" s="5"/>
      <c r="BM1047" s="5"/>
    </row>
    <row r="1048" ht="15.75" customHeight="1">
      <c r="A1048" s="5"/>
      <c r="B1048" s="5"/>
      <c r="C1048" s="5"/>
      <c r="D1048" s="5"/>
      <c r="E1048" s="14"/>
      <c r="F1048" s="15"/>
      <c r="G1048" s="14"/>
      <c r="H1048" s="16"/>
      <c r="I1048" s="14"/>
      <c r="J1048" s="16"/>
      <c r="K1048" s="14"/>
      <c r="L1048" s="16"/>
      <c r="M1048" s="14"/>
      <c r="N1048" s="16"/>
      <c r="O1048" s="14"/>
      <c r="P1048" s="16"/>
      <c r="Q1048" s="14"/>
      <c r="R1048" s="5"/>
      <c r="S1048" s="14"/>
      <c r="T1048" s="16"/>
      <c r="U1048" s="16"/>
      <c r="V1048" s="17"/>
      <c r="W1048" s="6"/>
      <c r="X1048" s="22"/>
      <c r="Y1048" s="14"/>
      <c r="Z1048" s="14"/>
      <c r="AA1048" s="14"/>
      <c r="AB1048" s="14"/>
      <c r="AC1048" s="14"/>
      <c r="AD1048" s="14"/>
      <c r="AE1048" s="14"/>
      <c r="AF1048" s="14"/>
      <c r="AG1048" s="19"/>
      <c r="AH1048" s="20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5"/>
      <c r="BK1048" s="5"/>
      <c r="BL1048" s="5"/>
      <c r="BM1048" s="5"/>
    </row>
    <row r="1049" ht="15.75" customHeight="1">
      <c r="A1049" s="5"/>
      <c r="B1049" s="5"/>
      <c r="C1049" s="5"/>
      <c r="D1049" s="5"/>
      <c r="E1049" s="14"/>
      <c r="F1049" s="15"/>
      <c r="G1049" s="14"/>
      <c r="H1049" s="16"/>
      <c r="I1049" s="14"/>
      <c r="J1049" s="16"/>
      <c r="K1049" s="14"/>
      <c r="L1049" s="16"/>
      <c r="M1049" s="14"/>
      <c r="N1049" s="16"/>
      <c r="O1049" s="14"/>
      <c r="P1049" s="16"/>
      <c r="Q1049" s="14"/>
      <c r="R1049" s="5"/>
      <c r="S1049" s="14"/>
      <c r="T1049" s="16"/>
      <c r="U1049" s="16"/>
      <c r="V1049" s="17"/>
      <c r="W1049" s="6"/>
      <c r="X1049" s="22"/>
      <c r="Y1049" s="14"/>
      <c r="Z1049" s="14"/>
      <c r="AA1049" s="14"/>
      <c r="AB1049" s="14"/>
      <c r="AC1049" s="14"/>
      <c r="AD1049" s="14"/>
      <c r="AE1049" s="14"/>
      <c r="AF1049" s="14"/>
      <c r="AG1049" s="19"/>
      <c r="AH1049" s="20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5"/>
      <c r="BK1049" s="5"/>
      <c r="BL1049" s="5"/>
      <c r="BM1049" s="5"/>
    </row>
    <row r="1050" ht="15.75" customHeight="1">
      <c r="A1050" s="5"/>
      <c r="B1050" s="5"/>
      <c r="C1050" s="5"/>
      <c r="D1050" s="5"/>
      <c r="E1050" s="14"/>
      <c r="F1050" s="15"/>
      <c r="G1050" s="14"/>
      <c r="H1050" s="16"/>
      <c r="I1050" s="14"/>
      <c r="J1050" s="16"/>
      <c r="K1050" s="14"/>
      <c r="L1050" s="16"/>
      <c r="M1050" s="14"/>
      <c r="N1050" s="16"/>
      <c r="O1050" s="14"/>
      <c r="P1050" s="16"/>
      <c r="Q1050" s="14"/>
      <c r="R1050" s="5"/>
      <c r="S1050" s="14"/>
      <c r="T1050" s="16"/>
      <c r="U1050" s="16"/>
      <c r="V1050" s="17"/>
      <c r="W1050" s="6"/>
      <c r="X1050" s="22"/>
      <c r="Y1050" s="14"/>
      <c r="Z1050" s="14"/>
      <c r="AA1050" s="14"/>
      <c r="AB1050" s="14"/>
      <c r="AC1050" s="14"/>
      <c r="AD1050" s="14"/>
      <c r="AE1050" s="14"/>
      <c r="AF1050" s="14"/>
      <c r="AG1050" s="19"/>
      <c r="AH1050" s="20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5"/>
      <c r="BK1050" s="5"/>
      <c r="BL1050" s="5"/>
      <c r="BM1050" s="5"/>
    </row>
    <row r="1051" ht="15.75" customHeight="1">
      <c r="A1051" s="5"/>
      <c r="B1051" s="5"/>
      <c r="C1051" s="5"/>
      <c r="D1051" s="5"/>
      <c r="E1051" s="14"/>
      <c r="F1051" s="15"/>
      <c r="G1051" s="14"/>
      <c r="H1051" s="16"/>
      <c r="I1051" s="14"/>
      <c r="J1051" s="16"/>
      <c r="K1051" s="14"/>
      <c r="L1051" s="16"/>
      <c r="M1051" s="14"/>
      <c r="N1051" s="16"/>
      <c r="O1051" s="14"/>
      <c r="P1051" s="16"/>
      <c r="Q1051" s="14"/>
      <c r="R1051" s="5"/>
      <c r="S1051" s="14"/>
      <c r="T1051" s="16"/>
      <c r="U1051" s="16"/>
      <c r="V1051" s="17"/>
      <c r="W1051" s="6"/>
      <c r="X1051" s="22"/>
      <c r="Y1051" s="14"/>
      <c r="Z1051" s="14"/>
      <c r="AA1051" s="14"/>
      <c r="AB1051" s="14"/>
      <c r="AC1051" s="14"/>
      <c r="AD1051" s="14"/>
      <c r="AE1051" s="14"/>
      <c r="AF1051" s="14"/>
      <c r="AG1051" s="19"/>
      <c r="AH1051" s="20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5"/>
      <c r="BK1051" s="5"/>
      <c r="BL1051" s="5"/>
      <c r="BM1051" s="5"/>
    </row>
    <row r="1052" ht="15.75" customHeight="1">
      <c r="A1052" s="5"/>
      <c r="B1052" s="5"/>
      <c r="C1052" s="5"/>
      <c r="D1052" s="5"/>
      <c r="E1052" s="14"/>
      <c r="F1052" s="15"/>
      <c r="G1052" s="14"/>
      <c r="H1052" s="16"/>
      <c r="I1052" s="14"/>
      <c r="J1052" s="16"/>
      <c r="K1052" s="14"/>
      <c r="L1052" s="16"/>
      <c r="M1052" s="14"/>
      <c r="N1052" s="16"/>
      <c r="O1052" s="14"/>
      <c r="P1052" s="16"/>
      <c r="Q1052" s="14"/>
      <c r="R1052" s="5"/>
      <c r="S1052" s="14"/>
      <c r="T1052" s="16"/>
      <c r="U1052" s="16"/>
      <c r="V1052" s="17"/>
      <c r="W1052" s="6"/>
      <c r="X1052" s="22"/>
      <c r="Y1052" s="14"/>
      <c r="Z1052" s="14"/>
      <c r="AA1052" s="14"/>
      <c r="AB1052" s="14"/>
      <c r="AC1052" s="14"/>
      <c r="AD1052" s="14"/>
      <c r="AE1052" s="14"/>
      <c r="AF1052" s="14"/>
      <c r="AG1052" s="19"/>
      <c r="AH1052" s="20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5"/>
      <c r="BK1052" s="5"/>
      <c r="BL1052" s="5"/>
      <c r="BM1052" s="5"/>
    </row>
    <row r="1053" ht="15.75" customHeight="1">
      <c r="A1053" s="5"/>
      <c r="B1053" s="5"/>
      <c r="C1053" s="5"/>
      <c r="D1053" s="5"/>
      <c r="E1053" s="14"/>
      <c r="F1053" s="15"/>
      <c r="G1053" s="14"/>
      <c r="H1053" s="16"/>
      <c r="I1053" s="14"/>
      <c r="J1053" s="16"/>
      <c r="K1053" s="14"/>
      <c r="L1053" s="16"/>
      <c r="M1053" s="14"/>
      <c r="N1053" s="16"/>
      <c r="O1053" s="14"/>
      <c r="P1053" s="16"/>
      <c r="Q1053" s="14"/>
      <c r="R1053" s="5"/>
      <c r="S1053" s="14"/>
      <c r="T1053" s="16"/>
      <c r="U1053" s="16"/>
      <c r="V1053" s="17"/>
      <c r="W1053" s="6"/>
      <c r="X1053" s="22"/>
      <c r="Y1053" s="14"/>
      <c r="Z1053" s="14"/>
      <c r="AA1053" s="14"/>
      <c r="AB1053" s="14"/>
      <c r="AC1053" s="14"/>
      <c r="AD1053" s="14"/>
      <c r="AE1053" s="14"/>
      <c r="AF1053" s="14"/>
      <c r="AG1053" s="19"/>
      <c r="AH1053" s="20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5"/>
      <c r="BK1053" s="5"/>
      <c r="BL1053" s="5"/>
      <c r="BM1053" s="5"/>
    </row>
    <row r="1054" ht="15.75" customHeight="1">
      <c r="A1054" s="5"/>
      <c r="B1054" s="5"/>
      <c r="C1054" s="5"/>
      <c r="D1054" s="5"/>
      <c r="E1054" s="14"/>
      <c r="F1054" s="15"/>
      <c r="G1054" s="14"/>
      <c r="H1054" s="16"/>
      <c r="I1054" s="14"/>
      <c r="J1054" s="16"/>
      <c r="K1054" s="14"/>
      <c r="L1054" s="16"/>
      <c r="M1054" s="14"/>
      <c r="N1054" s="16"/>
      <c r="O1054" s="14"/>
      <c r="P1054" s="16"/>
      <c r="Q1054" s="14"/>
      <c r="R1054" s="5"/>
      <c r="S1054" s="14"/>
      <c r="T1054" s="16"/>
      <c r="U1054" s="16"/>
      <c r="V1054" s="17"/>
      <c r="W1054" s="6"/>
      <c r="X1054" s="22"/>
      <c r="Y1054" s="14"/>
      <c r="Z1054" s="14"/>
      <c r="AA1054" s="14"/>
      <c r="AB1054" s="14"/>
      <c r="AC1054" s="14"/>
      <c r="AD1054" s="14"/>
      <c r="AE1054" s="14"/>
      <c r="AF1054" s="14"/>
      <c r="AG1054" s="19"/>
      <c r="AH1054" s="20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5"/>
      <c r="BK1054" s="5"/>
      <c r="BL1054" s="5"/>
      <c r="BM1054" s="5"/>
    </row>
    <row r="1055" ht="15.75" customHeight="1">
      <c r="A1055" s="5"/>
      <c r="B1055" s="5"/>
      <c r="C1055" s="5"/>
      <c r="D1055" s="5"/>
      <c r="E1055" s="14"/>
      <c r="F1055" s="15"/>
      <c r="G1055" s="14"/>
      <c r="H1055" s="16"/>
      <c r="I1055" s="14"/>
      <c r="J1055" s="16"/>
      <c r="K1055" s="14"/>
      <c r="L1055" s="16"/>
      <c r="M1055" s="14"/>
      <c r="N1055" s="16"/>
      <c r="O1055" s="14"/>
      <c r="P1055" s="16"/>
      <c r="Q1055" s="14"/>
      <c r="R1055" s="5"/>
      <c r="S1055" s="14"/>
      <c r="T1055" s="16"/>
      <c r="U1055" s="16"/>
      <c r="V1055" s="17"/>
      <c r="W1055" s="6"/>
      <c r="X1055" s="22"/>
      <c r="Y1055" s="14"/>
      <c r="Z1055" s="14"/>
      <c r="AA1055" s="14"/>
      <c r="AB1055" s="14"/>
      <c r="AC1055" s="14"/>
      <c r="AD1055" s="14"/>
      <c r="AE1055" s="14"/>
      <c r="AF1055" s="14"/>
      <c r="AG1055" s="19"/>
      <c r="AH1055" s="20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5"/>
      <c r="BK1055" s="5"/>
      <c r="BL1055" s="5"/>
      <c r="BM1055" s="5"/>
    </row>
    <row r="1056" ht="15.75" customHeight="1">
      <c r="A1056" s="5"/>
      <c r="B1056" s="5"/>
      <c r="C1056" s="5"/>
      <c r="D1056" s="5"/>
      <c r="E1056" s="14"/>
      <c r="F1056" s="15"/>
      <c r="G1056" s="14"/>
      <c r="H1056" s="16"/>
      <c r="I1056" s="14"/>
      <c r="J1056" s="16"/>
      <c r="K1056" s="14"/>
      <c r="L1056" s="16"/>
      <c r="M1056" s="14"/>
      <c r="N1056" s="16"/>
      <c r="O1056" s="14"/>
      <c r="P1056" s="16"/>
      <c r="Q1056" s="14"/>
      <c r="R1056" s="5"/>
      <c r="S1056" s="14"/>
      <c r="T1056" s="16"/>
      <c r="U1056" s="16"/>
      <c r="V1056" s="17"/>
      <c r="W1056" s="6"/>
      <c r="X1056" s="22"/>
      <c r="Y1056" s="14"/>
      <c r="Z1056" s="14"/>
      <c r="AA1056" s="14"/>
      <c r="AB1056" s="14"/>
      <c r="AC1056" s="14"/>
      <c r="AD1056" s="14"/>
      <c r="AE1056" s="14"/>
      <c r="AF1056" s="14"/>
      <c r="AG1056" s="19"/>
      <c r="AH1056" s="20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5"/>
      <c r="BK1056" s="5"/>
      <c r="BL1056" s="5"/>
      <c r="BM1056" s="5"/>
    </row>
    <row r="1057" ht="15.75" customHeight="1">
      <c r="A1057" s="5"/>
      <c r="B1057" s="5"/>
      <c r="C1057" s="5"/>
      <c r="D1057" s="5"/>
      <c r="E1057" s="14"/>
      <c r="F1057" s="15"/>
      <c r="G1057" s="14"/>
      <c r="H1057" s="16"/>
      <c r="I1057" s="14"/>
      <c r="J1057" s="16"/>
      <c r="K1057" s="14"/>
      <c r="L1057" s="16"/>
      <c r="M1057" s="14"/>
      <c r="N1057" s="16"/>
      <c r="O1057" s="14"/>
      <c r="P1057" s="16"/>
      <c r="Q1057" s="14"/>
      <c r="R1057" s="5"/>
      <c r="S1057" s="14"/>
      <c r="T1057" s="16"/>
      <c r="U1057" s="16"/>
      <c r="V1057" s="17"/>
      <c r="W1057" s="6"/>
      <c r="X1057" s="22"/>
      <c r="Y1057" s="14"/>
      <c r="Z1057" s="14"/>
      <c r="AA1057" s="14"/>
      <c r="AB1057" s="14"/>
      <c r="AC1057" s="14"/>
      <c r="AD1057" s="14"/>
      <c r="AE1057" s="14"/>
      <c r="AF1057" s="14"/>
      <c r="AG1057" s="19"/>
      <c r="AH1057" s="20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5"/>
      <c r="BK1057" s="5"/>
      <c r="BL1057" s="5"/>
      <c r="BM1057" s="5"/>
    </row>
    <row r="1058" ht="15.75" customHeight="1">
      <c r="A1058" s="5"/>
      <c r="B1058" s="5"/>
      <c r="C1058" s="5"/>
      <c r="D1058" s="5"/>
      <c r="E1058" s="14"/>
      <c r="F1058" s="15"/>
      <c r="G1058" s="14"/>
      <c r="H1058" s="16"/>
      <c r="I1058" s="14"/>
      <c r="J1058" s="16"/>
      <c r="K1058" s="14"/>
      <c r="L1058" s="16"/>
      <c r="M1058" s="14"/>
      <c r="N1058" s="16"/>
      <c r="O1058" s="14"/>
      <c r="P1058" s="16"/>
      <c r="Q1058" s="14"/>
      <c r="R1058" s="5"/>
      <c r="S1058" s="14"/>
      <c r="T1058" s="16"/>
      <c r="U1058" s="16"/>
      <c r="V1058" s="17"/>
      <c r="W1058" s="6"/>
      <c r="X1058" s="22"/>
      <c r="Y1058" s="14"/>
      <c r="Z1058" s="14"/>
      <c r="AA1058" s="14"/>
      <c r="AB1058" s="14"/>
      <c r="AC1058" s="14"/>
      <c r="AD1058" s="14"/>
      <c r="AE1058" s="14"/>
      <c r="AF1058" s="14"/>
      <c r="AG1058" s="19"/>
      <c r="AH1058" s="20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5"/>
      <c r="BK1058" s="5"/>
      <c r="BL1058" s="5"/>
      <c r="BM1058" s="5"/>
    </row>
    <row r="1059" ht="15.75" customHeight="1">
      <c r="A1059" s="5"/>
      <c r="B1059" s="5"/>
      <c r="C1059" s="5"/>
      <c r="D1059" s="5"/>
      <c r="E1059" s="14"/>
      <c r="F1059" s="15"/>
      <c r="G1059" s="14"/>
      <c r="H1059" s="16"/>
      <c r="I1059" s="14"/>
      <c r="J1059" s="16"/>
      <c r="K1059" s="14"/>
      <c r="L1059" s="16"/>
      <c r="M1059" s="14"/>
      <c r="N1059" s="16"/>
      <c r="O1059" s="14"/>
      <c r="P1059" s="16"/>
      <c r="Q1059" s="14"/>
      <c r="R1059" s="5"/>
      <c r="S1059" s="14"/>
      <c r="T1059" s="16"/>
      <c r="U1059" s="16"/>
      <c r="V1059" s="17"/>
      <c r="W1059" s="6"/>
      <c r="X1059" s="22"/>
      <c r="Y1059" s="14"/>
      <c r="Z1059" s="14"/>
      <c r="AA1059" s="14"/>
      <c r="AB1059" s="14"/>
      <c r="AC1059" s="14"/>
      <c r="AD1059" s="14"/>
      <c r="AE1059" s="14"/>
      <c r="AF1059" s="14"/>
      <c r="AG1059" s="19"/>
      <c r="AH1059" s="20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5"/>
      <c r="BK1059" s="5"/>
      <c r="BL1059" s="5"/>
      <c r="BM1059" s="5"/>
    </row>
    <row r="1060" ht="15.75" customHeight="1">
      <c r="A1060" s="5"/>
      <c r="B1060" s="5"/>
      <c r="C1060" s="5"/>
      <c r="D1060" s="5"/>
      <c r="E1060" s="14"/>
      <c r="F1060" s="15"/>
      <c r="G1060" s="14"/>
      <c r="H1060" s="16"/>
      <c r="I1060" s="14"/>
      <c r="J1060" s="16"/>
      <c r="K1060" s="14"/>
      <c r="L1060" s="16"/>
      <c r="M1060" s="14"/>
      <c r="N1060" s="16"/>
      <c r="O1060" s="14"/>
      <c r="P1060" s="16"/>
      <c r="Q1060" s="14"/>
      <c r="R1060" s="5"/>
      <c r="S1060" s="14"/>
      <c r="T1060" s="16"/>
      <c r="U1060" s="16"/>
      <c r="V1060" s="17"/>
      <c r="W1060" s="6"/>
      <c r="X1060" s="22"/>
      <c r="Y1060" s="14"/>
      <c r="Z1060" s="14"/>
      <c r="AA1060" s="14"/>
      <c r="AB1060" s="14"/>
      <c r="AC1060" s="14"/>
      <c r="AD1060" s="14"/>
      <c r="AE1060" s="14"/>
      <c r="AF1060" s="14"/>
      <c r="AG1060" s="19"/>
      <c r="AH1060" s="20"/>
      <c r="AI1060" s="5"/>
      <c r="AJ1060" s="5"/>
      <c r="AK1060" s="5"/>
      <c r="AL1060" s="5"/>
      <c r="AM1060" s="5"/>
      <c r="AN1060" s="5"/>
      <c r="AO1060" s="5"/>
      <c r="AP1060" s="5"/>
      <c r="AQ1060" s="5"/>
      <c r="AR1060" s="5"/>
      <c r="AS1060" s="5"/>
      <c r="AT1060" s="5"/>
      <c r="AU1060" s="5"/>
      <c r="AV1060" s="5"/>
      <c r="AW1060" s="5"/>
      <c r="AX1060" s="5"/>
      <c r="AY1060" s="5"/>
      <c r="AZ1060" s="5"/>
      <c r="BA1060" s="5"/>
      <c r="BB1060" s="5"/>
      <c r="BC1060" s="5"/>
      <c r="BD1060" s="5"/>
      <c r="BE1060" s="5"/>
      <c r="BF1060" s="5"/>
      <c r="BG1060" s="5"/>
      <c r="BH1060" s="5"/>
      <c r="BI1060" s="5"/>
      <c r="BJ1060" s="5"/>
      <c r="BK1060" s="5"/>
      <c r="BL1060" s="5"/>
      <c r="BM1060" s="5"/>
    </row>
    <row r="1061" ht="15.75" customHeight="1">
      <c r="A1061" s="5"/>
      <c r="B1061" s="5"/>
      <c r="C1061" s="5"/>
      <c r="D1061" s="5"/>
      <c r="E1061" s="14"/>
      <c r="F1061" s="15"/>
      <c r="G1061" s="14"/>
      <c r="H1061" s="16"/>
      <c r="I1061" s="14"/>
      <c r="J1061" s="16"/>
      <c r="K1061" s="14"/>
      <c r="L1061" s="16"/>
      <c r="M1061" s="14"/>
      <c r="N1061" s="16"/>
      <c r="O1061" s="14"/>
      <c r="P1061" s="16"/>
      <c r="Q1061" s="14"/>
      <c r="R1061" s="5"/>
      <c r="S1061" s="14"/>
      <c r="T1061" s="16"/>
      <c r="U1061" s="16"/>
      <c r="V1061" s="17"/>
      <c r="W1061" s="6"/>
      <c r="X1061" s="22"/>
      <c r="Y1061" s="14"/>
      <c r="Z1061" s="14"/>
      <c r="AA1061" s="14"/>
      <c r="AB1061" s="14"/>
      <c r="AC1061" s="14"/>
      <c r="AD1061" s="14"/>
      <c r="AE1061" s="14"/>
      <c r="AF1061" s="14"/>
      <c r="AG1061" s="19"/>
      <c r="AH1061" s="20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5"/>
      <c r="BK1061" s="5"/>
      <c r="BL1061" s="5"/>
      <c r="BM1061" s="5"/>
    </row>
    <row r="1062" ht="15.75" customHeight="1">
      <c r="A1062" s="5"/>
      <c r="B1062" s="5"/>
      <c r="C1062" s="5"/>
      <c r="D1062" s="5"/>
      <c r="E1062" s="14"/>
      <c r="F1062" s="15"/>
      <c r="G1062" s="14"/>
      <c r="H1062" s="16"/>
      <c r="I1062" s="14"/>
      <c r="J1062" s="16"/>
      <c r="K1062" s="14"/>
      <c r="L1062" s="16"/>
      <c r="M1062" s="14"/>
      <c r="N1062" s="16"/>
      <c r="O1062" s="14"/>
      <c r="P1062" s="16"/>
      <c r="Q1062" s="14"/>
      <c r="R1062" s="5"/>
      <c r="S1062" s="14"/>
      <c r="T1062" s="16"/>
      <c r="U1062" s="16"/>
      <c r="V1062" s="17"/>
      <c r="W1062" s="6"/>
      <c r="X1062" s="22"/>
      <c r="Y1062" s="14"/>
      <c r="Z1062" s="14"/>
      <c r="AA1062" s="14"/>
      <c r="AB1062" s="14"/>
      <c r="AC1062" s="14"/>
      <c r="AD1062" s="14"/>
      <c r="AE1062" s="14"/>
      <c r="AF1062" s="14"/>
      <c r="AG1062" s="19"/>
      <c r="AH1062" s="20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5"/>
      <c r="BK1062" s="5"/>
      <c r="BL1062" s="5"/>
      <c r="BM1062" s="5"/>
    </row>
    <row r="1063" ht="15.75" customHeight="1">
      <c r="A1063" s="5"/>
      <c r="B1063" s="5"/>
      <c r="C1063" s="5"/>
      <c r="D1063" s="5"/>
      <c r="E1063" s="14"/>
      <c r="F1063" s="15"/>
      <c r="G1063" s="14"/>
      <c r="H1063" s="16"/>
      <c r="I1063" s="14"/>
      <c r="J1063" s="16"/>
      <c r="K1063" s="14"/>
      <c r="L1063" s="16"/>
      <c r="M1063" s="14"/>
      <c r="N1063" s="16"/>
      <c r="O1063" s="14"/>
      <c r="P1063" s="16"/>
      <c r="Q1063" s="14"/>
      <c r="R1063" s="5"/>
      <c r="S1063" s="14"/>
      <c r="T1063" s="16"/>
      <c r="U1063" s="16"/>
      <c r="V1063" s="17"/>
      <c r="W1063" s="6"/>
      <c r="X1063" s="22"/>
      <c r="Y1063" s="14"/>
      <c r="Z1063" s="14"/>
      <c r="AA1063" s="14"/>
      <c r="AB1063" s="14"/>
      <c r="AC1063" s="14"/>
      <c r="AD1063" s="14"/>
      <c r="AE1063" s="14"/>
      <c r="AF1063" s="14"/>
      <c r="AG1063" s="19"/>
      <c r="AH1063" s="20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5"/>
      <c r="BK1063" s="5"/>
      <c r="BL1063" s="5"/>
      <c r="BM1063" s="5"/>
    </row>
    <row r="1064" ht="15.75" customHeight="1">
      <c r="A1064" s="5"/>
      <c r="B1064" s="5"/>
      <c r="C1064" s="5"/>
      <c r="D1064" s="5"/>
      <c r="E1064" s="14"/>
      <c r="F1064" s="15"/>
      <c r="G1064" s="14"/>
      <c r="H1064" s="16"/>
      <c r="I1064" s="14"/>
      <c r="J1064" s="16"/>
      <c r="K1064" s="14"/>
      <c r="L1064" s="16"/>
      <c r="M1064" s="14"/>
      <c r="N1064" s="16"/>
      <c r="O1064" s="14"/>
      <c r="P1064" s="16"/>
      <c r="Q1064" s="14"/>
      <c r="R1064" s="5"/>
      <c r="S1064" s="14"/>
      <c r="T1064" s="16"/>
      <c r="U1064" s="16"/>
      <c r="V1064" s="17"/>
      <c r="W1064" s="6"/>
      <c r="X1064" s="22"/>
      <c r="Y1064" s="14"/>
      <c r="Z1064" s="14"/>
      <c r="AA1064" s="14"/>
      <c r="AB1064" s="14"/>
      <c r="AC1064" s="14"/>
      <c r="AD1064" s="14"/>
      <c r="AE1064" s="14"/>
      <c r="AF1064" s="14"/>
      <c r="AG1064" s="19"/>
      <c r="AH1064" s="20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5"/>
      <c r="BK1064" s="5"/>
      <c r="BL1064" s="5"/>
      <c r="BM1064" s="5"/>
    </row>
    <row r="1065" ht="15.75" customHeight="1">
      <c r="A1065" s="5"/>
      <c r="B1065" s="5"/>
      <c r="C1065" s="5"/>
      <c r="D1065" s="5"/>
      <c r="E1065" s="14"/>
      <c r="F1065" s="15"/>
      <c r="G1065" s="14"/>
      <c r="H1065" s="16"/>
      <c r="I1065" s="14"/>
      <c r="J1065" s="16"/>
      <c r="K1065" s="14"/>
      <c r="L1065" s="16"/>
      <c r="M1065" s="14"/>
      <c r="N1065" s="16"/>
      <c r="O1065" s="14"/>
      <c r="P1065" s="16"/>
      <c r="Q1065" s="14"/>
      <c r="R1065" s="5"/>
      <c r="S1065" s="14"/>
      <c r="T1065" s="16"/>
      <c r="U1065" s="16"/>
      <c r="V1065" s="17"/>
      <c r="W1065" s="6"/>
      <c r="X1065" s="22"/>
      <c r="Y1065" s="14"/>
      <c r="Z1065" s="14"/>
      <c r="AA1065" s="14"/>
      <c r="AB1065" s="14"/>
      <c r="AC1065" s="14"/>
      <c r="AD1065" s="14"/>
      <c r="AE1065" s="14"/>
      <c r="AF1065" s="14"/>
      <c r="AG1065" s="19"/>
      <c r="AH1065" s="20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5"/>
      <c r="BK1065" s="5"/>
      <c r="BL1065" s="5"/>
      <c r="BM1065" s="5"/>
    </row>
    <row r="1066" ht="15.75" customHeight="1">
      <c r="A1066" s="5"/>
      <c r="B1066" s="5"/>
      <c r="C1066" s="5"/>
      <c r="D1066" s="5"/>
      <c r="E1066" s="14"/>
      <c r="F1066" s="15"/>
      <c r="G1066" s="14"/>
      <c r="H1066" s="16"/>
      <c r="I1066" s="14"/>
      <c r="J1066" s="16"/>
      <c r="K1066" s="14"/>
      <c r="L1066" s="16"/>
      <c r="M1066" s="14"/>
      <c r="N1066" s="16"/>
      <c r="O1066" s="14"/>
      <c r="P1066" s="16"/>
      <c r="Q1066" s="14"/>
      <c r="R1066" s="5"/>
      <c r="S1066" s="14"/>
      <c r="T1066" s="16"/>
      <c r="U1066" s="16"/>
      <c r="V1066" s="17"/>
      <c r="W1066" s="6"/>
      <c r="X1066" s="22"/>
      <c r="Y1066" s="14"/>
      <c r="Z1066" s="14"/>
      <c r="AA1066" s="14"/>
      <c r="AB1066" s="14"/>
      <c r="AC1066" s="14"/>
      <c r="AD1066" s="14"/>
      <c r="AE1066" s="14"/>
      <c r="AF1066" s="14"/>
      <c r="AG1066" s="19"/>
      <c r="AH1066" s="20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5"/>
      <c r="BK1066" s="5"/>
      <c r="BL1066" s="5"/>
      <c r="BM1066" s="5"/>
    </row>
    <row r="1067" ht="15.75" customHeight="1">
      <c r="A1067" s="5"/>
      <c r="B1067" s="5"/>
      <c r="C1067" s="5"/>
      <c r="D1067" s="5"/>
      <c r="E1067" s="14"/>
      <c r="F1067" s="15"/>
      <c r="G1067" s="14"/>
      <c r="H1067" s="16"/>
      <c r="I1067" s="14"/>
      <c r="J1067" s="16"/>
      <c r="K1067" s="14"/>
      <c r="L1067" s="16"/>
      <c r="M1067" s="14"/>
      <c r="N1067" s="16"/>
      <c r="O1067" s="14"/>
      <c r="P1067" s="16"/>
      <c r="Q1067" s="14"/>
      <c r="R1067" s="5"/>
      <c r="S1067" s="14"/>
      <c r="T1067" s="16"/>
      <c r="U1067" s="16"/>
      <c r="V1067" s="17"/>
      <c r="W1067" s="6"/>
      <c r="X1067" s="22"/>
      <c r="Y1067" s="14"/>
      <c r="Z1067" s="14"/>
      <c r="AA1067" s="14"/>
      <c r="AB1067" s="14"/>
      <c r="AC1067" s="14"/>
      <c r="AD1067" s="14"/>
      <c r="AE1067" s="14"/>
      <c r="AF1067" s="14"/>
      <c r="AG1067" s="19"/>
      <c r="AH1067" s="20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5"/>
      <c r="BK1067" s="5"/>
      <c r="BL1067" s="5"/>
      <c r="BM1067" s="5"/>
    </row>
    <row r="1068" ht="15.75" customHeight="1">
      <c r="A1068" s="5"/>
      <c r="B1068" s="5"/>
      <c r="C1068" s="5"/>
      <c r="D1068" s="5"/>
      <c r="E1068" s="14"/>
      <c r="F1068" s="15"/>
      <c r="G1068" s="14"/>
      <c r="H1068" s="16"/>
      <c r="I1068" s="14"/>
      <c r="J1068" s="16"/>
      <c r="K1068" s="14"/>
      <c r="L1068" s="16"/>
      <c r="M1068" s="14"/>
      <c r="N1068" s="16"/>
      <c r="O1068" s="14"/>
      <c r="P1068" s="16"/>
      <c r="Q1068" s="14"/>
      <c r="R1068" s="5"/>
      <c r="S1068" s="14"/>
      <c r="T1068" s="16"/>
      <c r="U1068" s="16"/>
      <c r="V1068" s="17"/>
      <c r="W1068" s="6"/>
      <c r="X1068" s="22"/>
      <c r="Y1068" s="14"/>
      <c r="Z1068" s="14"/>
      <c r="AA1068" s="14"/>
      <c r="AB1068" s="14"/>
      <c r="AC1068" s="14"/>
      <c r="AD1068" s="14"/>
      <c r="AE1068" s="14"/>
      <c r="AF1068" s="14"/>
      <c r="AG1068" s="19"/>
      <c r="AH1068" s="20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5"/>
      <c r="BK1068" s="5"/>
      <c r="BL1068" s="5"/>
      <c r="BM1068" s="5"/>
    </row>
    <row r="1069" ht="15.75" customHeight="1">
      <c r="A1069" s="5"/>
      <c r="B1069" s="5"/>
      <c r="C1069" s="5"/>
      <c r="D1069" s="5"/>
      <c r="E1069" s="14"/>
      <c r="F1069" s="15"/>
      <c r="G1069" s="14"/>
      <c r="H1069" s="16"/>
      <c r="I1069" s="14"/>
      <c r="J1069" s="16"/>
      <c r="K1069" s="14"/>
      <c r="L1069" s="16"/>
      <c r="M1069" s="14"/>
      <c r="N1069" s="16"/>
      <c r="O1069" s="14"/>
      <c r="P1069" s="16"/>
      <c r="Q1069" s="14"/>
      <c r="R1069" s="5"/>
      <c r="S1069" s="14"/>
      <c r="T1069" s="16"/>
      <c r="U1069" s="16"/>
      <c r="V1069" s="17"/>
      <c r="W1069" s="6"/>
      <c r="X1069" s="22"/>
      <c r="Y1069" s="14"/>
      <c r="Z1069" s="14"/>
      <c r="AA1069" s="14"/>
      <c r="AB1069" s="14"/>
      <c r="AC1069" s="14"/>
      <c r="AD1069" s="14"/>
      <c r="AE1069" s="14"/>
      <c r="AF1069" s="14"/>
      <c r="AG1069" s="19"/>
      <c r="AH1069" s="20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5"/>
      <c r="BK1069" s="5"/>
      <c r="BL1069" s="5"/>
      <c r="BM1069" s="5"/>
    </row>
    <row r="1070" ht="15.75" customHeight="1">
      <c r="A1070" s="5"/>
      <c r="B1070" s="5"/>
      <c r="C1070" s="5"/>
      <c r="D1070" s="5"/>
      <c r="E1070" s="14"/>
      <c r="F1070" s="15"/>
      <c r="G1070" s="14"/>
      <c r="H1070" s="16"/>
      <c r="I1070" s="14"/>
      <c r="J1070" s="16"/>
      <c r="K1070" s="14"/>
      <c r="L1070" s="16"/>
      <c r="M1070" s="14"/>
      <c r="N1070" s="16"/>
      <c r="O1070" s="14"/>
      <c r="P1070" s="16"/>
      <c r="Q1070" s="14"/>
      <c r="R1070" s="5"/>
      <c r="S1070" s="14"/>
      <c r="T1070" s="16"/>
      <c r="U1070" s="16"/>
      <c r="V1070" s="17"/>
      <c r="W1070" s="6"/>
      <c r="X1070" s="22"/>
      <c r="Y1070" s="14"/>
      <c r="Z1070" s="14"/>
      <c r="AA1070" s="14"/>
      <c r="AB1070" s="14"/>
      <c r="AC1070" s="14"/>
      <c r="AD1070" s="14"/>
      <c r="AE1070" s="14"/>
      <c r="AF1070" s="14"/>
      <c r="AG1070" s="19"/>
      <c r="AH1070" s="20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5"/>
      <c r="BK1070" s="5"/>
      <c r="BL1070" s="5"/>
      <c r="BM1070" s="5"/>
    </row>
    <row r="1071" ht="15.75" customHeight="1">
      <c r="A1071" s="5"/>
      <c r="B1071" s="5"/>
      <c r="C1071" s="5"/>
      <c r="D1071" s="5"/>
      <c r="E1071" s="14"/>
      <c r="F1071" s="15"/>
      <c r="G1071" s="14"/>
      <c r="H1071" s="16"/>
      <c r="I1071" s="14"/>
      <c r="J1071" s="16"/>
      <c r="K1071" s="14"/>
      <c r="L1071" s="16"/>
      <c r="M1071" s="14"/>
      <c r="N1071" s="16"/>
      <c r="O1071" s="14"/>
      <c r="P1071" s="16"/>
      <c r="Q1071" s="14"/>
      <c r="R1071" s="5"/>
      <c r="S1071" s="14"/>
      <c r="T1071" s="16"/>
      <c r="U1071" s="16"/>
      <c r="V1071" s="17"/>
      <c r="W1071" s="6"/>
      <c r="X1071" s="22"/>
      <c r="Y1071" s="14"/>
      <c r="Z1071" s="14"/>
      <c r="AA1071" s="14"/>
      <c r="AB1071" s="14"/>
      <c r="AC1071" s="14"/>
      <c r="AD1071" s="14"/>
      <c r="AE1071" s="14"/>
      <c r="AF1071" s="14"/>
      <c r="AG1071" s="19"/>
      <c r="AH1071" s="20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5"/>
      <c r="BK1071" s="5"/>
      <c r="BL1071" s="5"/>
      <c r="BM1071" s="5"/>
    </row>
    <row r="1072" ht="15.75" customHeight="1">
      <c r="A1072" s="5"/>
      <c r="B1072" s="5"/>
      <c r="C1072" s="5"/>
      <c r="D1072" s="5"/>
      <c r="E1072" s="14"/>
      <c r="F1072" s="15"/>
      <c r="G1072" s="14"/>
      <c r="H1072" s="16"/>
      <c r="I1072" s="14"/>
      <c r="J1072" s="16"/>
      <c r="K1072" s="14"/>
      <c r="L1072" s="16"/>
      <c r="M1072" s="14"/>
      <c r="N1072" s="16"/>
      <c r="O1072" s="14"/>
      <c r="P1072" s="16"/>
      <c r="Q1072" s="14"/>
      <c r="R1072" s="5"/>
      <c r="S1072" s="14"/>
      <c r="T1072" s="16"/>
      <c r="U1072" s="16"/>
      <c r="V1072" s="17"/>
      <c r="W1072" s="6"/>
      <c r="X1072" s="22"/>
      <c r="Y1072" s="14"/>
      <c r="Z1072" s="14"/>
      <c r="AA1072" s="14"/>
      <c r="AB1072" s="14"/>
      <c r="AC1072" s="14"/>
      <c r="AD1072" s="14"/>
      <c r="AE1072" s="14"/>
      <c r="AF1072" s="14"/>
      <c r="AG1072" s="19"/>
      <c r="AH1072" s="20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5"/>
      <c r="BK1072" s="5"/>
      <c r="BL1072" s="5"/>
      <c r="BM1072" s="5"/>
    </row>
    <row r="1073" ht="15.75" customHeight="1">
      <c r="A1073" s="5"/>
      <c r="B1073" s="5"/>
      <c r="C1073" s="5"/>
      <c r="D1073" s="5"/>
      <c r="E1073" s="14"/>
      <c r="F1073" s="15"/>
      <c r="G1073" s="14"/>
      <c r="H1073" s="16"/>
      <c r="I1073" s="14"/>
      <c r="J1073" s="16"/>
      <c r="K1073" s="14"/>
      <c r="L1073" s="16"/>
      <c r="M1073" s="14"/>
      <c r="N1073" s="16"/>
      <c r="O1073" s="14"/>
      <c r="P1073" s="16"/>
      <c r="Q1073" s="14"/>
      <c r="R1073" s="5"/>
      <c r="S1073" s="14"/>
      <c r="T1073" s="16"/>
      <c r="U1073" s="16"/>
      <c r="V1073" s="17"/>
      <c r="W1073" s="6"/>
      <c r="X1073" s="22"/>
      <c r="Y1073" s="14"/>
      <c r="Z1073" s="14"/>
      <c r="AA1073" s="14"/>
      <c r="AB1073" s="14"/>
      <c r="AC1073" s="14"/>
      <c r="AD1073" s="14"/>
      <c r="AE1073" s="14"/>
      <c r="AF1073" s="14"/>
      <c r="AG1073" s="19"/>
      <c r="AH1073" s="20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5"/>
      <c r="BK1073" s="5"/>
      <c r="BL1073" s="5"/>
      <c r="BM1073" s="5"/>
    </row>
    <row r="1074" ht="15.75" customHeight="1">
      <c r="A1074" s="5"/>
      <c r="B1074" s="5"/>
      <c r="C1074" s="5"/>
      <c r="D1074" s="5"/>
      <c r="E1074" s="14"/>
      <c r="F1074" s="15"/>
      <c r="G1074" s="14"/>
      <c r="H1074" s="16"/>
      <c r="I1074" s="14"/>
      <c r="J1074" s="16"/>
      <c r="K1074" s="14"/>
      <c r="L1074" s="16"/>
      <c r="M1074" s="14"/>
      <c r="N1074" s="16"/>
      <c r="O1074" s="14"/>
      <c r="P1074" s="16"/>
      <c r="Q1074" s="14"/>
      <c r="R1074" s="5"/>
      <c r="S1074" s="14"/>
      <c r="T1074" s="16"/>
      <c r="U1074" s="16"/>
      <c r="V1074" s="17"/>
      <c r="W1074" s="6"/>
      <c r="X1074" s="22"/>
      <c r="Y1074" s="14"/>
      <c r="Z1074" s="14"/>
      <c r="AA1074" s="14"/>
      <c r="AB1074" s="14"/>
      <c r="AC1074" s="14"/>
      <c r="AD1074" s="14"/>
      <c r="AE1074" s="14"/>
      <c r="AF1074" s="14"/>
      <c r="AG1074" s="19"/>
      <c r="AH1074" s="20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5"/>
      <c r="BK1074" s="5"/>
      <c r="BL1074" s="5"/>
      <c r="BM1074" s="5"/>
    </row>
    <row r="1075" ht="15.75" customHeight="1">
      <c r="A1075" s="5"/>
      <c r="B1075" s="5"/>
      <c r="C1075" s="5"/>
      <c r="D1075" s="5"/>
      <c r="E1075" s="14"/>
      <c r="F1075" s="15"/>
      <c r="G1075" s="14"/>
      <c r="H1075" s="16"/>
      <c r="I1075" s="14"/>
      <c r="J1075" s="16"/>
      <c r="K1075" s="14"/>
      <c r="L1075" s="16"/>
      <c r="M1075" s="14"/>
      <c r="N1075" s="16"/>
      <c r="O1075" s="14"/>
      <c r="P1075" s="16"/>
      <c r="Q1075" s="14"/>
      <c r="R1075" s="5"/>
      <c r="S1075" s="14"/>
      <c r="T1075" s="16"/>
      <c r="U1075" s="16"/>
      <c r="V1075" s="17"/>
      <c r="W1075" s="6"/>
      <c r="X1075" s="22"/>
      <c r="Y1075" s="14"/>
      <c r="Z1075" s="14"/>
      <c r="AA1075" s="14"/>
      <c r="AB1075" s="14"/>
      <c r="AC1075" s="14"/>
      <c r="AD1075" s="14"/>
      <c r="AE1075" s="14"/>
      <c r="AF1075" s="14"/>
      <c r="AG1075" s="19"/>
      <c r="AH1075" s="20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5"/>
      <c r="BK1075" s="5"/>
      <c r="BL1075" s="5"/>
      <c r="BM1075" s="5"/>
    </row>
    <row r="1076" ht="15.75" customHeight="1">
      <c r="A1076" s="5"/>
      <c r="B1076" s="5"/>
      <c r="C1076" s="5"/>
      <c r="D1076" s="5"/>
      <c r="E1076" s="14"/>
      <c r="F1076" s="15"/>
      <c r="G1076" s="14"/>
      <c r="H1076" s="16"/>
      <c r="I1076" s="14"/>
      <c r="J1076" s="16"/>
      <c r="K1076" s="14"/>
      <c r="L1076" s="16"/>
      <c r="M1076" s="14"/>
      <c r="N1076" s="16"/>
      <c r="O1076" s="14"/>
      <c r="P1076" s="16"/>
      <c r="Q1076" s="14"/>
      <c r="R1076" s="5"/>
      <c r="S1076" s="14"/>
      <c r="T1076" s="16"/>
      <c r="U1076" s="16"/>
      <c r="V1076" s="17"/>
      <c r="W1076" s="6"/>
      <c r="X1076" s="22"/>
      <c r="Y1076" s="14"/>
      <c r="Z1076" s="14"/>
      <c r="AA1076" s="14"/>
      <c r="AB1076" s="14"/>
      <c r="AC1076" s="14"/>
      <c r="AD1076" s="14"/>
      <c r="AE1076" s="14"/>
      <c r="AF1076" s="14"/>
      <c r="AG1076" s="19"/>
      <c r="AH1076" s="20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5"/>
      <c r="BK1076" s="5"/>
      <c r="BL1076" s="5"/>
      <c r="BM1076" s="5"/>
    </row>
    <row r="1077" ht="15.75" customHeight="1">
      <c r="A1077" s="5"/>
      <c r="B1077" s="5"/>
      <c r="C1077" s="5"/>
      <c r="D1077" s="5"/>
      <c r="E1077" s="14"/>
      <c r="F1077" s="15"/>
      <c r="G1077" s="14"/>
      <c r="H1077" s="16"/>
      <c r="I1077" s="14"/>
      <c r="J1077" s="16"/>
      <c r="K1077" s="14"/>
      <c r="L1077" s="16"/>
      <c r="M1077" s="14"/>
      <c r="N1077" s="16"/>
      <c r="O1077" s="14"/>
      <c r="P1077" s="16"/>
      <c r="Q1077" s="14"/>
      <c r="R1077" s="5"/>
      <c r="S1077" s="14"/>
      <c r="T1077" s="16"/>
      <c r="U1077" s="16"/>
      <c r="V1077" s="17"/>
      <c r="W1077" s="6"/>
      <c r="X1077" s="22"/>
      <c r="Y1077" s="14"/>
      <c r="Z1077" s="14"/>
      <c r="AA1077" s="14"/>
      <c r="AB1077" s="14"/>
      <c r="AC1077" s="14"/>
      <c r="AD1077" s="14"/>
      <c r="AE1077" s="14"/>
      <c r="AF1077" s="14"/>
      <c r="AG1077" s="19"/>
      <c r="AH1077" s="20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5"/>
      <c r="BK1077" s="5"/>
      <c r="BL1077" s="5"/>
      <c r="BM1077" s="5"/>
    </row>
    <row r="1078" ht="15.75" customHeight="1">
      <c r="A1078" s="5"/>
      <c r="B1078" s="5"/>
      <c r="C1078" s="5"/>
      <c r="D1078" s="5"/>
      <c r="E1078" s="14"/>
      <c r="F1078" s="15"/>
      <c r="G1078" s="14"/>
      <c r="H1078" s="16"/>
      <c r="I1078" s="14"/>
      <c r="J1078" s="16"/>
      <c r="K1078" s="14"/>
      <c r="L1078" s="16"/>
      <c r="M1078" s="14"/>
      <c r="N1078" s="16"/>
      <c r="O1078" s="14"/>
      <c r="P1078" s="16"/>
      <c r="Q1078" s="14"/>
      <c r="R1078" s="5"/>
      <c r="S1078" s="14"/>
      <c r="T1078" s="16"/>
      <c r="U1078" s="16"/>
      <c r="V1078" s="17"/>
      <c r="W1078" s="6"/>
      <c r="X1078" s="22"/>
      <c r="Y1078" s="14"/>
      <c r="Z1078" s="14"/>
      <c r="AA1078" s="14"/>
      <c r="AB1078" s="14"/>
      <c r="AC1078" s="14"/>
      <c r="AD1078" s="14"/>
      <c r="AE1078" s="14"/>
      <c r="AF1078" s="14"/>
      <c r="AG1078" s="19"/>
      <c r="AH1078" s="20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5"/>
      <c r="BK1078" s="5"/>
      <c r="BL1078" s="5"/>
      <c r="BM1078" s="5"/>
    </row>
    <row r="1079" ht="15.75" customHeight="1">
      <c r="A1079" s="5"/>
      <c r="B1079" s="5"/>
      <c r="C1079" s="5"/>
      <c r="D1079" s="5"/>
      <c r="E1079" s="14"/>
      <c r="F1079" s="15"/>
      <c r="G1079" s="14"/>
      <c r="H1079" s="16"/>
      <c r="I1079" s="14"/>
      <c r="J1079" s="16"/>
      <c r="K1079" s="14"/>
      <c r="L1079" s="16"/>
      <c r="M1079" s="14"/>
      <c r="N1079" s="16"/>
      <c r="O1079" s="14"/>
      <c r="P1079" s="16"/>
      <c r="Q1079" s="14"/>
      <c r="R1079" s="5"/>
      <c r="S1079" s="14"/>
      <c r="T1079" s="16"/>
      <c r="U1079" s="16"/>
      <c r="V1079" s="17"/>
      <c r="W1079" s="6"/>
      <c r="X1079" s="22"/>
      <c r="Y1079" s="14"/>
      <c r="Z1079" s="14"/>
      <c r="AA1079" s="14"/>
      <c r="AB1079" s="14"/>
      <c r="AC1079" s="14"/>
      <c r="AD1079" s="14"/>
      <c r="AE1079" s="14"/>
      <c r="AF1079" s="14"/>
      <c r="AG1079" s="19"/>
      <c r="AH1079" s="20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5"/>
      <c r="BK1079" s="5"/>
      <c r="BL1079" s="5"/>
      <c r="BM1079" s="5"/>
    </row>
    <row r="1080" ht="15.75" customHeight="1">
      <c r="A1080" s="5"/>
      <c r="B1080" s="5"/>
      <c r="C1080" s="5"/>
      <c r="D1080" s="5"/>
      <c r="E1080" s="14"/>
      <c r="F1080" s="15"/>
      <c r="G1080" s="14"/>
      <c r="H1080" s="16"/>
      <c r="I1080" s="14"/>
      <c r="J1080" s="16"/>
      <c r="K1080" s="14"/>
      <c r="L1080" s="16"/>
      <c r="M1080" s="14"/>
      <c r="N1080" s="16"/>
      <c r="O1080" s="14"/>
      <c r="P1080" s="16"/>
      <c r="Q1080" s="14"/>
      <c r="R1080" s="5"/>
      <c r="S1080" s="14"/>
      <c r="T1080" s="16"/>
      <c r="U1080" s="16"/>
      <c r="V1080" s="17"/>
      <c r="W1080" s="6"/>
      <c r="X1080" s="22"/>
      <c r="Y1080" s="14"/>
      <c r="Z1080" s="14"/>
      <c r="AA1080" s="14"/>
      <c r="AB1080" s="14"/>
      <c r="AC1080" s="14"/>
      <c r="AD1080" s="14"/>
      <c r="AE1080" s="14"/>
      <c r="AF1080" s="14"/>
      <c r="AG1080" s="19"/>
      <c r="AH1080" s="20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5"/>
      <c r="BK1080" s="5"/>
      <c r="BL1080" s="5"/>
      <c r="BM1080" s="5"/>
    </row>
    <row r="1081" ht="15.75" customHeight="1">
      <c r="A1081" s="5"/>
      <c r="B1081" s="5"/>
      <c r="C1081" s="5"/>
      <c r="D1081" s="5"/>
      <c r="E1081" s="14"/>
      <c r="F1081" s="15"/>
      <c r="G1081" s="14"/>
      <c r="H1081" s="16"/>
      <c r="I1081" s="14"/>
      <c r="J1081" s="16"/>
      <c r="K1081" s="14"/>
      <c r="L1081" s="16"/>
      <c r="M1081" s="14"/>
      <c r="N1081" s="16"/>
      <c r="O1081" s="14"/>
      <c r="P1081" s="16"/>
      <c r="Q1081" s="14"/>
      <c r="R1081" s="5"/>
      <c r="S1081" s="14"/>
      <c r="T1081" s="16"/>
      <c r="U1081" s="16"/>
      <c r="V1081" s="17"/>
      <c r="W1081" s="6"/>
      <c r="X1081" s="22"/>
      <c r="Y1081" s="14"/>
      <c r="Z1081" s="14"/>
      <c r="AA1081" s="14"/>
      <c r="AB1081" s="14"/>
      <c r="AC1081" s="14"/>
      <c r="AD1081" s="14"/>
      <c r="AE1081" s="14"/>
      <c r="AF1081" s="14"/>
      <c r="AG1081" s="19"/>
      <c r="AH1081" s="20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5"/>
      <c r="BK1081" s="5"/>
      <c r="BL1081" s="5"/>
      <c r="BM1081" s="5"/>
    </row>
    <row r="1082" ht="15.75" customHeight="1">
      <c r="A1082" s="5"/>
      <c r="B1082" s="5"/>
      <c r="C1082" s="5"/>
      <c r="D1082" s="5"/>
      <c r="E1082" s="14"/>
      <c r="F1082" s="15"/>
      <c r="G1082" s="14"/>
      <c r="H1082" s="16"/>
      <c r="I1082" s="14"/>
      <c r="J1082" s="16"/>
      <c r="K1082" s="14"/>
      <c r="L1082" s="16"/>
      <c r="M1082" s="14"/>
      <c r="N1082" s="16"/>
      <c r="O1082" s="14"/>
      <c r="P1082" s="16"/>
      <c r="Q1082" s="14"/>
      <c r="R1082" s="5"/>
      <c r="S1082" s="14"/>
      <c r="T1082" s="16"/>
      <c r="U1082" s="16"/>
      <c r="V1082" s="17"/>
      <c r="W1082" s="6"/>
      <c r="X1082" s="22"/>
      <c r="Y1082" s="14"/>
      <c r="Z1082" s="14"/>
      <c r="AA1082" s="14"/>
      <c r="AB1082" s="14"/>
      <c r="AC1082" s="14"/>
      <c r="AD1082" s="14"/>
      <c r="AE1082" s="14"/>
      <c r="AF1082" s="14"/>
      <c r="AG1082" s="19"/>
      <c r="AH1082" s="20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5"/>
      <c r="BK1082" s="5"/>
      <c r="BL1082" s="5"/>
      <c r="BM1082" s="5"/>
    </row>
    <row r="1083" ht="15.75" customHeight="1">
      <c r="A1083" s="5"/>
      <c r="B1083" s="5"/>
      <c r="C1083" s="5"/>
      <c r="D1083" s="5"/>
      <c r="E1083" s="14"/>
      <c r="F1083" s="15"/>
      <c r="G1083" s="14"/>
      <c r="H1083" s="16"/>
      <c r="I1083" s="14"/>
      <c r="J1083" s="16"/>
      <c r="K1083" s="14"/>
      <c r="L1083" s="16"/>
      <c r="M1083" s="14"/>
      <c r="N1083" s="16"/>
      <c r="O1083" s="14"/>
      <c r="P1083" s="16"/>
      <c r="Q1083" s="14"/>
      <c r="R1083" s="5"/>
      <c r="S1083" s="14"/>
      <c r="T1083" s="16"/>
      <c r="U1083" s="16"/>
      <c r="V1083" s="17"/>
      <c r="W1083" s="6"/>
      <c r="X1083" s="22"/>
      <c r="Y1083" s="14"/>
      <c r="Z1083" s="14"/>
      <c r="AA1083" s="14"/>
      <c r="AB1083" s="14"/>
      <c r="AC1083" s="14"/>
      <c r="AD1083" s="14"/>
      <c r="AE1083" s="14"/>
      <c r="AF1083" s="14"/>
      <c r="AG1083" s="19"/>
      <c r="AH1083" s="20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5"/>
      <c r="BK1083" s="5"/>
      <c r="BL1083" s="5"/>
      <c r="BM1083" s="5"/>
    </row>
    <row r="1084" ht="15.75" customHeight="1">
      <c r="A1084" s="5"/>
      <c r="B1084" s="5"/>
      <c r="C1084" s="5"/>
      <c r="D1084" s="5"/>
      <c r="E1084" s="14"/>
      <c r="F1084" s="15"/>
      <c r="G1084" s="14"/>
      <c r="H1084" s="16"/>
      <c r="I1084" s="14"/>
      <c r="J1084" s="16"/>
      <c r="K1084" s="14"/>
      <c r="L1084" s="16"/>
      <c r="M1084" s="14"/>
      <c r="N1084" s="16"/>
      <c r="O1084" s="14"/>
      <c r="P1084" s="16"/>
      <c r="Q1084" s="14"/>
      <c r="R1084" s="5"/>
      <c r="S1084" s="14"/>
      <c r="T1084" s="16"/>
      <c r="U1084" s="16"/>
      <c r="V1084" s="17"/>
      <c r="W1084" s="6"/>
      <c r="X1084" s="22"/>
      <c r="Y1084" s="14"/>
      <c r="Z1084" s="14"/>
      <c r="AA1084" s="14"/>
      <c r="AB1084" s="14"/>
      <c r="AC1084" s="14"/>
      <c r="AD1084" s="14"/>
      <c r="AE1084" s="14"/>
      <c r="AF1084" s="14"/>
      <c r="AG1084" s="19"/>
      <c r="AH1084" s="20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5"/>
      <c r="BK1084" s="5"/>
      <c r="BL1084" s="5"/>
      <c r="BM1084" s="5"/>
    </row>
    <row r="1085" ht="15.75" customHeight="1">
      <c r="A1085" s="5"/>
      <c r="B1085" s="5"/>
      <c r="C1085" s="5"/>
      <c r="D1085" s="5"/>
      <c r="E1085" s="14"/>
      <c r="F1085" s="15"/>
      <c r="G1085" s="14"/>
      <c r="H1085" s="16"/>
      <c r="I1085" s="14"/>
      <c r="J1085" s="16"/>
      <c r="K1085" s="14"/>
      <c r="L1085" s="16"/>
      <c r="M1085" s="14"/>
      <c r="N1085" s="16"/>
      <c r="O1085" s="14"/>
      <c r="P1085" s="16"/>
      <c r="Q1085" s="14"/>
      <c r="R1085" s="5"/>
      <c r="S1085" s="14"/>
      <c r="T1085" s="16"/>
      <c r="U1085" s="16"/>
      <c r="V1085" s="17"/>
      <c r="W1085" s="6"/>
      <c r="X1085" s="22"/>
      <c r="Y1085" s="14"/>
      <c r="Z1085" s="14"/>
      <c r="AA1085" s="14"/>
      <c r="AB1085" s="14"/>
      <c r="AC1085" s="14"/>
      <c r="AD1085" s="14"/>
      <c r="AE1085" s="14"/>
      <c r="AF1085" s="14"/>
      <c r="AG1085" s="19"/>
      <c r="AH1085" s="20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5"/>
      <c r="BK1085" s="5"/>
      <c r="BL1085" s="5"/>
      <c r="BM1085" s="5"/>
    </row>
    <row r="1086" ht="15.75" customHeight="1">
      <c r="A1086" s="5"/>
      <c r="B1086" s="5"/>
      <c r="C1086" s="5"/>
      <c r="D1086" s="5"/>
      <c r="E1086" s="14"/>
      <c r="F1086" s="15"/>
      <c r="G1086" s="14"/>
      <c r="H1086" s="16"/>
      <c r="I1086" s="14"/>
      <c r="J1086" s="16"/>
      <c r="K1086" s="14"/>
      <c r="L1086" s="16"/>
      <c r="M1086" s="14"/>
      <c r="N1086" s="16"/>
      <c r="O1086" s="14"/>
      <c r="P1086" s="16"/>
      <c r="Q1086" s="14"/>
      <c r="R1086" s="5"/>
      <c r="S1086" s="14"/>
      <c r="T1086" s="16"/>
      <c r="U1086" s="16"/>
      <c r="V1086" s="17"/>
      <c r="W1086" s="6"/>
      <c r="X1086" s="22"/>
      <c r="Y1086" s="14"/>
      <c r="Z1086" s="14"/>
      <c r="AA1086" s="14"/>
      <c r="AB1086" s="14"/>
      <c r="AC1086" s="14"/>
      <c r="AD1086" s="14"/>
      <c r="AE1086" s="14"/>
      <c r="AF1086" s="14"/>
      <c r="AG1086" s="19"/>
      <c r="AH1086" s="20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5"/>
      <c r="BK1086" s="5"/>
      <c r="BL1086" s="5"/>
      <c r="BM1086" s="5"/>
    </row>
    <row r="1087" ht="15.75" customHeight="1">
      <c r="A1087" s="5"/>
      <c r="B1087" s="5"/>
      <c r="C1087" s="5"/>
      <c r="D1087" s="5"/>
      <c r="E1087" s="14"/>
      <c r="F1087" s="15"/>
      <c r="G1087" s="14"/>
      <c r="H1087" s="16"/>
      <c r="I1087" s="14"/>
      <c r="J1087" s="16"/>
      <c r="K1087" s="14"/>
      <c r="L1087" s="16"/>
      <c r="M1087" s="14"/>
      <c r="N1087" s="16"/>
      <c r="O1087" s="14"/>
      <c r="P1087" s="16"/>
      <c r="Q1087" s="14"/>
      <c r="R1087" s="5"/>
      <c r="S1087" s="14"/>
      <c r="T1087" s="16"/>
      <c r="U1087" s="16"/>
      <c r="V1087" s="17"/>
      <c r="W1087" s="6"/>
      <c r="X1087" s="22"/>
      <c r="Y1087" s="14"/>
      <c r="Z1087" s="14"/>
      <c r="AA1087" s="14"/>
      <c r="AB1087" s="14"/>
      <c r="AC1087" s="14"/>
      <c r="AD1087" s="14"/>
      <c r="AE1087" s="14"/>
      <c r="AF1087" s="14"/>
      <c r="AG1087" s="19"/>
      <c r="AH1087" s="20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5"/>
      <c r="BK1087" s="5"/>
      <c r="BL1087" s="5"/>
      <c r="BM1087" s="5"/>
    </row>
    <row r="1088" ht="15.75" customHeight="1">
      <c r="A1088" s="5"/>
      <c r="B1088" s="5"/>
      <c r="C1088" s="5"/>
      <c r="D1088" s="5"/>
      <c r="E1088" s="14"/>
      <c r="F1088" s="15"/>
      <c r="G1088" s="14"/>
      <c r="H1088" s="16"/>
      <c r="I1088" s="14"/>
      <c r="J1088" s="16"/>
      <c r="K1088" s="14"/>
      <c r="L1088" s="16"/>
      <c r="M1088" s="14"/>
      <c r="N1088" s="16"/>
      <c r="O1088" s="14"/>
      <c r="P1088" s="16"/>
      <c r="Q1088" s="14"/>
      <c r="R1088" s="5"/>
      <c r="S1088" s="14"/>
      <c r="T1088" s="16"/>
      <c r="U1088" s="16"/>
      <c r="V1088" s="17"/>
      <c r="W1088" s="6"/>
      <c r="X1088" s="22"/>
      <c r="Y1088" s="14"/>
      <c r="Z1088" s="14"/>
      <c r="AA1088" s="14"/>
      <c r="AB1088" s="14"/>
      <c r="AC1088" s="14"/>
      <c r="AD1088" s="14"/>
      <c r="AE1088" s="14"/>
      <c r="AF1088" s="14"/>
      <c r="AG1088" s="19"/>
      <c r="AH1088" s="20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5"/>
      <c r="BK1088" s="5"/>
      <c r="BL1088" s="5"/>
      <c r="BM1088" s="5"/>
    </row>
    <row r="1089" ht="15.75" customHeight="1">
      <c r="A1089" s="5"/>
      <c r="B1089" s="5"/>
      <c r="C1089" s="5"/>
      <c r="D1089" s="5"/>
      <c r="E1089" s="14"/>
      <c r="F1089" s="15"/>
      <c r="G1089" s="14"/>
      <c r="H1089" s="16"/>
      <c r="I1089" s="14"/>
      <c r="J1089" s="16"/>
      <c r="K1089" s="14"/>
      <c r="L1089" s="16"/>
      <c r="M1089" s="14"/>
      <c r="N1089" s="16"/>
      <c r="O1089" s="14"/>
      <c r="P1089" s="16"/>
      <c r="Q1089" s="14"/>
      <c r="R1089" s="5"/>
      <c r="S1089" s="14"/>
      <c r="T1089" s="16"/>
      <c r="U1089" s="16"/>
      <c r="V1089" s="17"/>
      <c r="W1089" s="6"/>
      <c r="X1089" s="22"/>
      <c r="Y1089" s="14"/>
      <c r="Z1089" s="14"/>
      <c r="AA1089" s="14"/>
      <c r="AB1089" s="14"/>
      <c r="AC1089" s="14"/>
      <c r="AD1089" s="14"/>
      <c r="AE1089" s="14"/>
      <c r="AF1089" s="14"/>
      <c r="AG1089" s="19"/>
      <c r="AH1089" s="20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5"/>
      <c r="BK1089" s="5"/>
      <c r="BL1089" s="5"/>
      <c r="BM1089" s="5"/>
    </row>
    <row r="1090" ht="15.75" customHeight="1">
      <c r="A1090" s="5"/>
      <c r="B1090" s="5"/>
      <c r="C1090" s="5"/>
      <c r="D1090" s="5"/>
      <c r="E1090" s="14"/>
      <c r="F1090" s="15"/>
      <c r="G1090" s="14"/>
      <c r="H1090" s="16"/>
      <c r="I1090" s="14"/>
      <c r="J1090" s="16"/>
      <c r="K1090" s="14"/>
      <c r="L1090" s="16"/>
      <c r="M1090" s="14"/>
      <c r="N1090" s="16"/>
      <c r="O1090" s="14"/>
      <c r="P1090" s="16"/>
      <c r="Q1090" s="14"/>
      <c r="R1090" s="5"/>
      <c r="S1090" s="14"/>
      <c r="T1090" s="16"/>
      <c r="U1090" s="16"/>
      <c r="V1090" s="17"/>
      <c r="W1090" s="6"/>
      <c r="X1090" s="22"/>
      <c r="Y1090" s="14"/>
      <c r="Z1090" s="14"/>
      <c r="AA1090" s="14"/>
      <c r="AB1090" s="14"/>
      <c r="AC1090" s="14"/>
      <c r="AD1090" s="14"/>
      <c r="AE1090" s="14"/>
      <c r="AF1090" s="14"/>
      <c r="AG1090" s="19"/>
      <c r="AH1090" s="20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5"/>
      <c r="BK1090" s="5"/>
      <c r="BL1090" s="5"/>
      <c r="BM1090" s="5"/>
    </row>
    <row r="1091" ht="15.75" customHeight="1">
      <c r="A1091" s="5"/>
      <c r="B1091" s="5"/>
      <c r="C1091" s="5"/>
      <c r="D1091" s="5"/>
      <c r="E1091" s="14"/>
      <c r="F1091" s="15"/>
      <c r="G1091" s="14"/>
      <c r="H1091" s="16"/>
      <c r="I1091" s="14"/>
      <c r="J1091" s="16"/>
      <c r="K1091" s="14"/>
      <c r="L1091" s="16"/>
      <c r="M1091" s="14"/>
      <c r="N1091" s="16"/>
      <c r="O1091" s="14"/>
      <c r="P1091" s="16"/>
      <c r="Q1091" s="14"/>
      <c r="R1091" s="5"/>
      <c r="S1091" s="14"/>
      <c r="T1091" s="16"/>
      <c r="U1091" s="16"/>
      <c r="V1091" s="17"/>
      <c r="W1091" s="6"/>
      <c r="X1091" s="22"/>
      <c r="Y1091" s="14"/>
      <c r="Z1091" s="14"/>
      <c r="AA1091" s="14"/>
      <c r="AB1091" s="14"/>
      <c r="AC1091" s="14"/>
      <c r="AD1091" s="14"/>
      <c r="AE1091" s="14"/>
      <c r="AF1091" s="14"/>
      <c r="AG1091" s="19"/>
      <c r="AH1091" s="20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5"/>
      <c r="BK1091" s="5"/>
      <c r="BL1091" s="5"/>
      <c r="BM1091" s="5"/>
    </row>
    <row r="1092" ht="15.75" customHeight="1">
      <c r="A1092" s="5"/>
      <c r="B1092" s="5"/>
      <c r="C1092" s="5"/>
      <c r="D1092" s="5"/>
      <c r="E1092" s="14"/>
      <c r="F1092" s="15"/>
      <c r="G1092" s="14"/>
      <c r="H1092" s="16"/>
      <c r="I1092" s="14"/>
      <c r="J1092" s="16"/>
      <c r="K1092" s="14"/>
      <c r="L1092" s="16"/>
      <c r="M1092" s="14"/>
      <c r="N1092" s="16"/>
      <c r="O1092" s="14"/>
      <c r="P1092" s="16"/>
      <c r="Q1092" s="14"/>
      <c r="R1092" s="5"/>
      <c r="S1092" s="14"/>
      <c r="T1092" s="16"/>
      <c r="U1092" s="16"/>
      <c r="V1092" s="17"/>
      <c r="W1092" s="6"/>
      <c r="X1092" s="22"/>
      <c r="Y1092" s="14"/>
      <c r="Z1092" s="14"/>
      <c r="AA1092" s="14"/>
      <c r="AB1092" s="14"/>
      <c r="AC1092" s="14"/>
      <c r="AD1092" s="14"/>
      <c r="AE1092" s="14"/>
      <c r="AF1092" s="14"/>
      <c r="AG1092" s="19"/>
      <c r="AH1092" s="20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5"/>
      <c r="BK1092" s="5"/>
      <c r="BL1092" s="5"/>
      <c r="BM1092" s="5"/>
    </row>
    <row r="1093" ht="15.75" customHeight="1">
      <c r="A1093" s="5"/>
      <c r="B1093" s="5"/>
      <c r="C1093" s="5"/>
      <c r="D1093" s="5"/>
      <c r="E1093" s="14"/>
      <c r="F1093" s="15"/>
      <c r="G1093" s="14"/>
      <c r="H1093" s="16"/>
      <c r="I1093" s="14"/>
      <c r="J1093" s="16"/>
      <c r="K1093" s="14"/>
      <c r="L1093" s="16"/>
      <c r="M1093" s="14"/>
      <c r="N1093" s="16"/>
      <c r="O1093" s="14"/>
      <c r="P1093" s="16"/>
      <c r="Q1093" s="14"/>
      <c r="R1093" s="5"/>
      <c r="S1093" s="14"/>
      <c r="T1093" s="16"/>
      <c r="U1093" s="16"/>
      <c r="V1093" s="17"/>
      <c r="W1093" s="6"/>
      <c r="X1093" s="22"/>
      <c r="Y1093" s="14"/>
      <c r="Z1093" s="14"/>
      <c r="AA1093" s="14"/>
      <c r="AB1093" s="14"/>
      <c r="AC1093" s="14"/>
      <c r="AD1093" s="14"/>
      <c r="AE1093" s="14"/>
      <c r="AF1093" s="14"/>
      <c r="AG1093" s="19"/>
      <c r="AH1093" s="20"/>
      <c r="AI1093" s="5"/>
      <c r="AJ1093" s="5"/>
      <c r="AK1093" s="5"/>
      <c r="AL1093" s="5"/>
      <c r="AM1093" s="5"/>
      <c r="AN1093" s="5"/>
      <c r="AO1093" s="5"/>
      <c r="AP1093" s="5"/>
      <c r="AQ1093" s="5"/>
      <c r="AR1093" s="5"/>
      <c r="AS1093" s="5"/>
      <c r="AT1093" s="5"/>
      <c r="AU1093" s="5"/>
      <c r="AV1093" s="5"/>
      <c r="AW1093" s="5"/>
      <c r="AX1093" s="5"/>
      <c r="AY1093" s="5"/>
      <c r="AZ1093" s="5"/>
      <c r="BA1093" s="5"/>
      <c r="BB1093" s="5"/>
      <c r="BC1093" s="5"/>
      <c r="BD1093" s="5"/>
      <c r="BE1093" s="5"/>
      <c r="BF1093" s="5"/>
      <c r="BG1093" s="5"/>
      <c r="BH1093" s="5"/>
      <c r="BI1093" s="5"/>
      <c r="BJ1093" s="5"/>
      <c r="BK1093" s="5"/>
      <c r="BL1093" s="5"/>
      <c r="BM1093" s="5"/>
    </row>
    <row r="1094" ht="15.75" customHeight="1">
      <c r="A1094" s="5"/>
      <c r="B1094" s="5"/>
      <c r="C1094" s="5"/>
      <c r="D1094" s="5"/>
      <c r="E1094" s="14"/>
      <c r="F1094" s="15"/>
      <c r="G1094" s="14"/>
      <c r="H1094" s="16"/>
      <c r="I1094" s="14"/>
      <c r="J1094" s="16"/>
      <c r="K1094" s="14"/>
      <c r="L1094" s="16"/>
      <c r="M1094" s="14"/>
      <c r="N1094" s="16"/>
      <c r="O1094" s="14"/>
      <c r="P1094" s="16"/>
      <c r="Q1094" s="14"/>
      <c r="R1094" s="5"/>
      <c r="S1094" s="14"/>
      <c r="T1094" s="16"/>
      <c r="U1094" s="16"/>
      <c r="V1094" s="17"/>
      <c r="W1094" s="6"/>
      <c r="X1094" s="22"/>
      <c r="Y1094" s="14"/>
      <c r="Z1094" s="14"/>
      <c r="AA1094" s="14"/>
      <c r="AB1094" s="14"/>
      <c r="AC1094" s="14"/>
      <c r="AD1094" s="14"/>
      <c r="AE1094" s="14"/>
      <c r="AF1094" s="14"/>
      <c r="AG1094" s="19"/>
      <c r="AH1094" s="20"/>
      <c r="AI1094" s="5"/>
      <c r="AJ1094" s="5"/>
      <c r="AK1094" s="5"/>
      <c r="AL1094" s="5"/>
      <c r="AM1094" s="5"/>
      <c r="AN1094" s="5"/>
      <c r="AO1094" s="5"/>
      <c r="AP1094" s="5"/>
      <c r="AQ1094" s="5"/>
      <c r="AR1094" s="5"/>
      <c r="AS1094" s="5"/>
      <c r="AT1094" s="5"/>
      <c r="AU1094" s="5"/>
      <c r="AV1094" s="5"/>
      <c r="AW1094" s="5"/>
      <c r="AX1094" s="5"/>
      <c r="AY1094" s="5"/>
      <c r="AZ1094" s="5"/>
      <c r="BA1094" s="5"/>
      <c r="BB1094" s="5"/>
      <c r="BC1094" s="5"/>
      <c r="BD1094" s="5"/>
      <c r="BE1094" s="5"/>
      <c r="BF1094" s="5"/>
      <c r="BG1094" s="5"/>
      <c r="BH1094" s="5"/>
      <c r="BI1094" s="5"/>
      <c r="BJ1094" s="5"/>
      <c r="BK1094" s="5"/>
      <c r="BL1094" s="5"/>
      <c r="BM1094" s="5"/>
    </row>
    <row r="1095" ht="15.75" customHeight="1">
      <c r="A1095" s="5"/>
      <c r="B1095" s="5"/>
      <c r="C1095" s="5"/>
      <c r="D1095" s="5"/>
      <c r="E1095" s="14"/>
      <c r="F1095" s="15"/>
      <c r="G1095" s="14"/>
      <c r="H1095" s="16"/>
      <c r="I1095" s="14"/>
      <c r="J1095" s="16"/>
      <c r="K1095" s="14"/>
      <c r="L1095" s="16"/>
      <c r="M1095" s="14"/>
      <c r="N1095" s="16"/>
      <c r="O1095" s="14"/>
      <c r="P1095" s="16"/>
      <c r="Q1095" s="14"/>
      <c r="R1095" s="5"/>
      <c r="S1095" s="14"/>
      <c r="T1095" s="16"/>
      <c r="U1095" s="16"/>
      <c r="V1095" s="17"/>
      <c r="W1095" s="6"/>
      <c r="X1095" s="22"/>
      <c r="Y1095" s="14"/>
      <c r="Z1095" s="14"/>
      <c r="AA1095" s="14"/>
      <c r="AB1095" s="14"/>
      <c r="AC1095" s="14"/>
      <c r="AD1095" s="14"/>
      <c r="AE1095" s="14"/>
      <c r="AF1095" s="14"/>
      <c r="AG1095" s="19"/>
      <c r="AH1095" s="20"/>
      <c r="AI1095" s="5"/>
      <c r="AJ1095" s="5"/>
      <c r="AK1095" s="5"/>
      <c r="AL1095" s="5"/>
      <c r="AM1095" s="5"/>
      <c r="AN1095" s="5"/>
      <c r="AO1095" s="5"/>
      <c r="AP1095" s="5"/>
      <c r="AQ1095" s="5"/>
      <c r="AR1095" s="5"/>
      <c r="AS1095" s="5"/>
      <c r="AT1095" s="5"/>
      <c r="AU1095" s="5"/>
      <c r="AV1095" s="5"/>
      <c r="AW1095" s="5"/>
      <c r="AX1095" s="5"/>
      <c r="AY1095" s="5"/>
      <c r="AZ1095" s="5"/>
      <c r="BA1095" s="5"/>
      <c r="BB1095" s="5"/>
      <c r="BC1095" s="5"/>
      <c r="BD1095" s="5"/>
      <c r="BE1095" s="5"/>
      <c r="BF1095" s="5"/>
      <c r="BG1095" s="5"/>
      <c r="BH1095" s="5"/>
      <c r="BI1095" s="5"/>
      <c r="BJ1095" s="5"/>
      <c r="BK1095" s="5"/>
      <c r="BL1095" s="5"/>
      <c r="BM1095" s="5"/>
    </row>
    <row r="1096" ht="15.75" customHeight="1">
      <c r="A1096" s="5"/>
      <c r="B1096" s="5"/>
      <c r="C1096" s="5"/>
      <c r="D1096" s="5"/>
      <c r="E1096" s="14"/>
      <c r="F1096" s="15"/>
      <c r="G1096" s="14"/>
      <c r="H1096" s="16"/>
      <c r="I1096" s="14"/>
      <c r="J1096" s="16"/>
      <c r="K1096" s="14"/>
      <c r="L1096" s="16"/>
      <c r="M1096" s="14"/>
      <c r="N1096" s="16"/>
      <c r="O1096" s="14"/>
      <c r="P1096" s="16"/>
      <c r="Q1096" s="14"/>
      <c r="R1096" s="5"/>
      <c r="S1096" s="14"/>
      <c r="T1096" s="16"/>
      <c r="U1096" s="16"/>
      <c r="V1096" s="17"/>
      <c r="W1096" s="6"/>
      <c r="X1096" s="22"/>
      <c r="Y1096" s="14"/>
      <c r="Z1096" s="14"/>
      <c r="AA1096" s="14"/>
      <c r="AB1096" s="14"/>
      <c r="AC1096" s="14"/>
      <c r="AD1096" s="14"/>
      <c r="AE1096" s="14"/>
      <c r="AF1096" s="14"/>
      <c r="AG1096" s="19"/>
      <c r="AH1096" s="20"/>
      <c r="AI1096" s="5"/>
      <c r="AJ1096" s="5"/>
      <c r="AK1096" s="5"/>
      <c r="AL1096" s="5"/>
      <c r="AM1096" s="5"/>
      <c r="AN1096" s="5"/>
      <c r="AO1096" s="5"/>
      <c r="AP1096" s="5"/>
      <c r="AQ1096" s="5"/>
      <c r="AR1096" s="5"/>
      <c r="AS1096" s="5"/>
      <c r="AT1096" s="5"/>
      <c r="AU1096" s="5"/>
      <c r="AV1096" s="5"/>
      <c r="AW1096" s="5"/>
      <c r="AX1096" s="5"/>
      <c r="AY1096" s="5"/>
      <c r="AZ1096" s="5"/>
      <c r="BA1096" s="5"/>
      <c r="BB1096" s="5"/>
      <c r="BC1096" s="5"/>
      <c r="BD1096" s="5"/>
      <c r="BE1096" s="5"/>
      <c r="BF1096" s="5"/>
      <c r="BG1096" s="5"/>
      <c r="BH1096" s="5"/>
      <c r="BI1096" s="5"/>
      <c r="BJ1096" s="5"/>
      <c r="BK1096" s="5"/>
      <c r="BL1096" s="5"/>
      <c r="BM1096" s="5"/>
    </row>
    <row r="1097" ht="15.75" customHeight="1">
      <c r="A1097" s="5"/>
      <c r="B1097" s="5"/>
      <c r="C1097" s="5"/>
      <c r="D1097" s="5"/>
      <c r="E1097" s="14"/>
      <c r="F1097" s="15"/>
      <c r="G1097" s="14"/>
      <c r="H1097" s="16"/>
      <c r="I1097" s="14"/>
      <c r="J1097" s="16"/>
      <c r="K1097" s="14"/>
      <c r="L1097" s="16"/>
      <c r="M1097" s="14"/>
      <c r="N1097" s="16"/>
      <c r="O1097" s="14"/>
      <c r="P1097" s="16"/>
      <c r="Q1097" s="14"/>
      <c r="R1097" s="5"/>
      <c r="S1097" s="14"/>
      <c r="T1097" s="16"/>
      <c r="U1097" s="16"/>
      <c r="V1097" s="17"/>
      <c r="W1097" s="6"/>
      <c r="X1097" s="22"/>
      <c r="Y1097" s="14"/>
      <c r="Z1097" s="14"/>
      <c r="AA1097" s="14"/>
      <c r="AB1097" s="14"/>
      <c r="AC1097" s="14"/>
      <c r="AD1097" s="14"/>
      <c r="AE1097" s="14"/>
      <c r="AF1097" s="14"/>
      <c r="AG1097" s="19"/>
      <c r="AH1097" s="20"/>
      <c r="AI1097" s="5"/>
      <c r="AJ1097" s="5"/>
      <c r="AK1097" s="5"/>
      <c r="AL1097" s="5"/>
      <c r="AM1097" s="5"/>
      <c r="AN1097" s="5"/>
      <c r="AO1097" s="5"/>
      <c r="AP1097" s="5"/>
      <c r="AQ1097" s="5"/>
      <c r="AR1097" s="5"/>
      <c r="AS1097" s="5"/>
      <c r="AT1097" s="5"/>
      <c r="AU1097" s="5"/>
      <c r="AV1097" s="5"/>
      <c r="AW1097" s="5"/>
      <c r="AX1097" s="5"/>
      <c r="AY1097" s="5"/>
      <c r="AZ1097" s="5"/>
      <c r="BA1097" s="5"/>
      <c r="BB1097" s="5"/>
      <c r="BC1097" s="5"/>
      <c r="BD1097" s="5"/>
      <c r="BE1097" s="5"/>
      <c r="BF1097" s="5"/>
      <c r="BG1097" s="5"/>
      <c r="BH1097" s="5"/>
      <c r="BI1097" s="5"/>
      <c r="BJ1097" s="5"/>
      <c r="BK1097" s="5"/>
      <c r="BL1097" s="5"/>
      <c r="BM1097" s="5"/>
    </row>
    <row r="1098" ht="15.75" customHeight="1">
      <c r="A1098" s="5"/>
      <c r="B1098" s="5"/>
      <c r="C1098" s="5"/>
      <c r="D1098" s="5"/>
      <c r="E1098" s="14"/>
      <c r="F1098" s="15"/>
      <c r="G1098" s="14"/>
      <c r="H1098" s="16"/>
      <c r="I1098" s="14"/>
      <c r="J1098" s="16"/>
      <c r="K1098" s="14"/>
      <c r="L1098" s="16"/>
      <c r="M1098" s="14"/>
      <c r="N1098" s="16"/>
      <c r="O1098" s="14"/>
      <c r="P1098" s="16"/>
      <c r="Q1098" s="14"/>
      <c r="R1098" s="5"/>
      <c r="S1098" s="14"/>
      <c r="T1098" s="16"/>
      <c r="U1098" s="16"/>
      <c r="V1098" s="17"/>
      <c r="W1098" s="6"/>
      <c r="X1098" s="22"/>
      <c r="Y1098" s="14"/>
      <c r="Z1098" s="14"/>
      <c r="AA1098" s="14"/>
      <c r="AB1098" s="14"/>
      <c r="AC1098" s="14"/>
      <c r="AD1098" s="14"/>
      <c r="AE1098" s="14"/>
      <c r="AF1098" s="14"/>
      <c r="AG1098" s="19"/>
      <c r="AH1098" s="20"/>
      <c r="AI1098" s="5"/>
      <c r="AJ1098" s="5"/>
      <c r="AK1098" s="5"/>
      <c r="AL1098" s="5"/>
      <c r="AM1098" s="5"/>
      <c r="AN1098" s="5"/>
      <c r="AO1098" s="5"/>
      <c r="AP1098" s="5"/>
      <c r="AQ1098" s="5"/>
      <c r="AR1098" s="5"/>
      <c r="AS1098" s="5"/>
      <c r="AT1098" s="5"/>
      <c r="AU1098" s="5"/>
      <c r="AV1098" s="5"/>
      <c r="AW1098" s="5"/>
      <c r="AX1098" s="5"/>
      <c r="AY1098" s="5"/>
      <c r="AZ1098" s="5"/>
      <c r="BA1098" s="5"/>
      <c r="BB1098" s="5"/>
      <c r="BC1098" s="5"/>
      <c r="BD1098" s="5"/>
      <c r="BE1098" s="5"/>
      <c r="BF1098" s="5"/>
      <c r="BG1098" s="5"/>
      <c r="BH1098" s="5"/>
      <c r="BI1098" s="5"/>
      <c r="BJ1098" s="5"/>
      <c r="BK1098" s="5"/>
      <c r="BL1098" s="5"/>
      <c r="BM1098" s="5"/>
    </row>
    <row r="1099" ht="15.75" customHeight="1">
      <c r="A1099" s="5"/>
      <c r="B1099" s="5"/>
      <c r="C1099" s="5"/>
      <c r="D1099" s="5"/>
      <c r="E1099" s="14"/>
      <c r="F1099" s="15"/>
      <c r="G1099" s="14"/>
      <c r="H1099" s="16"/>
      <c r="I1099" s="14"/>
      <c r="J1099" s="16"/>
      <c r="K1099" s="14"/>
      <c r="L1099" s="16"/>
      <c r="M1099" s="14"/>
      <c r="N1099" s="16"/>
      <c r="O1099" s="14"/>
      <c r="P1099" s="16"/>
      <c r="Q1099" s="14"/>
      <c r="R1099" s="5"/>
      <c r="S1099" s="14"/>
      <c r="T1099" s="16"/>
      <c r="U1099" s="16"/>
      <c r="V1099" s="17"/>
      <c r="W1099" s="6"/>
      <c r="X1099" s="22"/>
      <c r="Y1099" s="14"/>
      <c r="Z1099" s="14"/>
      <c r="AA1099" s="14"/>
      <c r="AB1099" s="14"/>
      <c r="AC1099" s="14"/>
      <c r="AD1099" s="14"/>
      <c r="AE1099" s="14"/>
      <c r="AF1099" s="14"/>
      <c r="AG1099" s="19"/>
      <c r="AH1099" s="20"/>
      <c r="AI1099" s="5"/>
      <c r="AJ1099" s="5"/>
      <c r="AK1099" s="5"/>
      <c r="AL1099" s="5"/>
      <c r="AM1099" s="5"/>
      <c r="AN1099" s="5"/>
      <c r="AO1099" s="5"/>
      <c r="AP1099" s="5"/>
      <c r="AQ1099" s="5"/>
      <c r="AR1099" s="5"/>
      <c r="AS1099" s="5"/>
      <c r="AT1099" s="5"/>
      <c r="AU1099" s="5"/>
      <c r="AV1099" s="5"/>
      <c r="AW1099" s="5"/>
      <c r="AX1099" s="5"/>
      <c r="AY1099" s="5"/>
      <c r="AZ1099" s="5"/>
      <c r="BA1099" s="5"/>
      <c r="BB1099" s="5"/>
      <c r="BC1099" s="5"/>
      <c r="BD1099" s="5"/>
      <c r="BE1099" s="5"/>
      <c r="BF1099" s="5"/>
      <c r="BG1099" s="5"/>
      <c r="BH1099" s="5"/>
      <c r="BI1099" s="5"/>
      <c r="BJ1099" s="5"/>
      <c r="BK1099" s="5"/>
      <c r="BL1099" s="5"/>
      <c r="BM1099" s="5"/>
    </row>
    <row r="1100" ht="15.75" customHeight="1">
      <c r="A1100" s="5"/>
      <c r="B1100" s="5"/>
      <c r="C1100" s="5"/>
      <c r="D1100" s="5"/>
      <c r="E1100" s="14"/>
      <c r="F1100" s="15"/>
      <c r="G1100" s="14"/>
      <c r="H1100" s="16"/>
      <c r="I1100" s="14"/>
      <c r="J1100" s="16"/>
      <c r="K1100" s="14"/>
      <c r="L1100" s="16"/>
      <c r="M1100" s="14"/>
      <c r="N1100" s="16"/>
      <c r="O1100" s="14"/>
      <c r="P1100" s="16"/>
      <c r="Q1100" s="14"/>
      <c r="R1100" s="5"/>
      <c r="S1100" s="14"/>
      <c r="T1100" s="16"/>
      <c r="U1100" s="16"/>
      <c r="V1100" s="17"/>
      <c r="W1100" s="6"/>
      <c r="X1100" s="22"/>
      <c r="Y1100" s="14"/>
      <c r="Z1100" s="14"/>
      <c r="AA1100" s="14"/>
      <c r="AB1100" s="14"/>
      <c r="AC1100" s="14"/>
      <c r="AD1100" s="14"/>
      <c r="AE1100" s="14"/>
      <c r="AF1100" s="14"/>
      <c r="AG1100" s="19"/>
      <c r="AH1100" s="20"/>
      <c r="AI1100" s="5"/>
      <c r="AJ1100" s="5"/>
      <c r="AK1100" s="5"/>
      <c r="AL1100" s="5"/>
      <c r="AM1100" s="5"/>
      <c r="AN1100" s="5"/>
      <c r="AO1100" s="5"/>
      <c r="AP1100" s="5"/>
      <c r="AQ1100" s="5"/>
      <c r="AR1100" s="5"/>
      <c r="AS1100" s="5"/>
      <c r="AT1100" s="5"/>
      <c r="AU1100" s="5"/>
      <c r="AV1100" s="5"/>
      <c r="AW1100" s="5"/>
      <c r="AX1100" s="5"/>
      <c r="AY1100" s="5"/>
      <c r="AZ1100" s="5"/>
      <c r="BA1100" s="5"/>
      <c r="BB1100" s="5"/>
      <c r="BC1100" s="5"/>
      <c r="BD1100" s="5"/>
      <c r="BE1100" s="5"/>
      <c r="BF1100" s="5"/>
      <c r="BG1100" s="5"/>
      <c r="BH1100" s="5"/>
      <c r="BI1100" s="5"/>
      <c r="BJ1100" s="5"/>
      <c r="BK1100" s="5"/>
      <c r="BL1100" s="5"/>
      <c r="BM1100" s="5"/>
    </row>
    <row r="1101" ht="15.75" customHeight="1">
      <c r="A1101" s="5"/>
      <c r="B1101" s="5"/>
      <c r="C1101" s="5"/>
      <c r="D1101" s="5"/>
      <c r="E1101" s="14"/>
      <c r="F1101" s="15"/>
      <c r="G1101" s="14"/>
      <c r="H1101" s="16"/>
      <c r="I1101" s="14"/>
      <c r="J1101" s="16"/>
      <c r="K1101" s="14"/>
      <c r="L1101" s="16"/>
      <c r="M1101" s="14"/>
      <c r="N1101" s="16"/>
      <c r="O1101" s="14"/>
      <c r="P1101" s="16"/>
      <c r="Q1101" s="14"/>
      <c r="R1101" s="5"/>
      <c r="S1101" s="14"/>
      <c r="T1101" s="16"/>
      <c r="U1101" s="16"/>
      <c r="V1101" s="17"/>
      <c r="W1101" s="6"/>
      <c r="X1101" s="22"/>
      <c r="Y1101" s="14"/>
      <c r="Z1101" s="14"/>
      <c r="AA1101" s="14"/>
      <c r="AB1101" s="14"/>
      <c r="AC1101" s="14"/>
      <c r="AD1101" s="14"/>
      <c r="AE1101" s="14"/>
      <c r="AF1101" s="14"/>
      <c r="AG1101" s="19"/>
      <c r="AH1101" s="20"/>
      <c r="AI1101" s="5"/>
      <c r="AJ1101" s="5"/>
      <c r="AK1101" s="5"/>
      <c r="AL1101" s="5"/>
      <c r="AM1101" s="5"/>
      <c r="AN1101" s="5"/>
      <c r="AO1101" s="5"/>
      <c r="AP1101" s="5"/>
      <c r="AQ1101" s="5"/>
      <c r="AR1101" s="5"/>
      <c r="AS1101" s="5"/>
      <c r="AT1101" s="5"/>
      <c r="AU1101" s="5"/>
      <c r="AV1101" s="5"/>
      <c r="AW1101" s="5"/>
      <c r="AX1101" s="5"/>
      <c r="AY1101" s="5"/>
      <c r="AZ1101" s="5"/>
      <c r="BA1101" s="5"/>
      <c r="BB1101" s="5"/>
      <c r="BC1101" s="5"/>
      <c r="BD1101" s="5"/>
      <c r="BE1101" s="5"/>
      <c r="BF1101" s="5"/>
      <c r="BG1101" s="5"/>
      <c r="BH1101" s="5"/>
      <c r="BI1101" s="5"/>
      <c r="BJ1101" s="5"/>
      <c r="BK1101" s="5"/>
      <c r="BL1101" s="5"/>
      <c r="BM1101" s="5"/>
    </row>
    <row r="1102" ht="15.75" customHeight="1">
      <c r="A1102" s="5"/>
      <c r="B1102" s="5"/>
      <c r="C1102" s="5"/>
      <c r="D1102" s="5"/>
      <c r="E1102" s="14"/>
      <c r="F1102" s="15"/>
      <c r="G1102" s="14"/>
      <c r="H1102" s="16"/>
      <c r="I1102" s="14"/>
      <c r="J1102" s="16"/>
      <c r="K1102" s="14"/>
      <c r="L1102" s="16"/>
      <c r="M1102" s="14"/>
      <c r="N1102" s="16"/>
      <c r="O1102" s="14"/>
      <c r="P1102" s="16"/>
      <c r="Q1102" s="14"/>
      <c r="R1102" s="5"/>
      <c r="S1102" s="14"/>
      <c r="T1102" s="16"/>
      <c r="U1102" s="16"/>
      <c r="V1102" s="17"/>
      <c r="W1102" s="6"/>
      <c r="X1102" s="22"/>
      <c r="Y1102" s="14"/>
      <c r="Z1102" s="14"/>
      <c r="AA1102" s="14"/>
      <c r="AB1102" s="14"/>
      <c r="AC1102" s="14"/>
      <c r="AD1102" s="14"/>
      <c r="AE1102" s="14"/>
      <c r="AF1102" s="14"/>
      <c r="AG1102" s="19"/>
      <c r="AH1102" s="20"/>
      <c r="AI1102" s="5"/>
      <c r="AJ1102" s="5"/>
      <c r="AK1102" s="5"/>
      <c r="AL1102" s="5"/>
      <c r="AM1102" s="5"/>
      <c r="AN1102" s="5"/>
      <c r="AO1102" s="5"/>
      <c r="AP1102" s="5"/>
      <c r="AQ1102" s="5"/>
      <c r="AR1102" s="5"/>
      <c r="AS1102" s="5"/>
      <c r="AT1102" s="5"/>
      <c r="AU1102" s="5"/>
      <c r="AV1102" s="5"/>
      <c r="AW1102" s="5"/>
      <c r="AX1102" s="5"/>
      <c r="AY1102" s="5"/>
      <c r="AZ1102" s="5"/>
      <c r="BA1102" s="5"/>
      <c r="BB1102" s="5"/>
      <c r="BC1102" s="5"/>
      <c r="BD1102" s="5"/>
      <c r="BE1102" s="5"/>
      <c r="BF1102" s="5"/>
      <c r="BG1102" s="5"/>
      <c r="BH1102" s="5"/>
      <c r="BI1102" s="5"/>
      <c r="BJ1102" s="5"/>
      <c r="BK1102" s="5"/>
      <c r="BL1102" s="5"/>
      <c r="BM1102" s="5"/>
    </row>
    <row r="1103" ht="15.75" customHeight="1">
      <c r="A1103" s="5"/>
      <c r="B1103" s="5"/>
      <c r="C1103" s="5"/>
      <c r="D1103" s="5"/>
      <c r="E1103" s="14"/>
      <c r="F1103" s="15"/>
      <c r="G1103" s="14"/>
      <c r="H1103" s="16"/>
      <c r="I1103" s="14"/>
      <c r="J1103" s="16"/>
      <c r="K1103" s="14"/>
      <c r="L1103" s="16"/>
      <c r="M1103" s="14"/>
      <c r="N1103" s="16"/>
      <c r="O1103" s="14"/>
      <c r="P1103" s="16"/>
      <c r="Q1103" s="14"/>
      <c r="R1103" s="5"/>
      <c r="S1103" s="14"/>
      <c r="T1103" s="16"/>
      <c r="U1103" s="16"/>
      <c r="V1103" s="17"/>
      <c r="W1103" s="6"/>
      <c r="X1103" s="22"/>
      <c r="Y1103" s="14"/>
      <c r="Z1103" s="14"/>
      <c r="AA1103" s="14"/>
      <c r="AB1103" s="14"/>
      <c r="AC1103" s="14"/>
      <c r="AD1103" s="14"/>
      <c r="AE1103" s="14"/>
      <c r="AF1103" s="14"/>
      <c r="AG1103" s="19"/>
      <c r="AH1103" s="20"/>
      <c r="AI1103" s="5"/>
      <c r="AJ1103" s="5"/>
      <c r="AK1103" s="5"/>
      <c r="AL1103" s="5"/>
      <c r="AM1103" s="5"/>
      <c r="AN1103" s="5"/>
      <c r="AO1103" s="5"/>
      <c r="AP1103" s="5"/>
      <c r="AQ1103" s="5"/>
      <c r="AR1103" s="5"/>
      <c r="AS1103" s="5"/>
      <c r="AT1103" s="5"/>
      <c r="AU1103" s="5"/>
      <c r="AV1103" s="5"/>
      <c r="AW1103" s="5"/>
      <c r="AX1103" s="5"/>
      <c r="AY1103" s="5"/>
      <c r="AZ1103" s="5"/>
      <c r="BA1103" s="5"/>
      <c r="BB1103" s="5"/>
      <c r="BC1103" s="5"/>
      <c r="BD1103" s="5"/>
      <c r="BE1103" s="5"/>
      <c r="BF1103" s="5"/>
      <c r="BG1103" s="5"/>
      <c r="BH1103" s="5"/>
      <c r="BI1103" s="5"/>
      <c r="BJ1103" s="5"/>
      <c r="BK1103" s="5"/>
      <c r="BL1103" s="5"/>
      <c r="BM1103" s="5"/>
    </row>
    <row r="1104" ht="15.75" customHeight="1">
      <c r="A1104" s="5"/>
      <c r="B1104" s="5"/>
      <c r="C1104" s="5"/>
      <c r="D1104" s="5"/>
      <c r="E1104" s="14"/>
      <c r="F1104" s="15"/>
      <c r="G1104" s="14"/>
      <c r="H1104" s="16"/>
      <c r="I1104" s="14"/>
      <c r="J1104" s="16"/>
      <c r="K1104" s="14"/>
      <c r="L1104" s="16"/>
      <c r="M1104" s="14"/>
      <c r="N1104" s="16"/>
      <c r="O1104" s="14"/>
      <c r="P1104" s="16"/>
      <c r="Q1104" s="14"/>
      <c r="R1104" s="5"/>
      <c r="S1104" s="14"/>
      <c r="T1104" s="16"/>
      <c r="U1104" s="16"/>
      <c r="V1104" s="17"/>
      <c r="W1104" s="6"/>
      <c r="X1104" s="22"/>
      <c r="Y1104" s="14"/>
      <c r="Z1104" s="14"/>
      <c r="AA1104" s="14"/>
      <c r="AB1104" s="14"/>
      <c r="AC1104" s="14"/>
      <c r="AD1104" s="14"/>
      <c r="AE1104" s="14"/>
      <c r="AF1104" s="14"/>
      <c r="AG1104" s="19"/>
      <c r="AH1104" s="20"/>
      <c r="AI1104" s="5"/>
      <c r="AJ1104" s="5"/>
      <c r="AK1104" s="5"/>
      <c r="AL1104" s="5"/>
      <c r="AM1104" s="5"/>
      <c r="AN1104" s="5"/>
      <c r="AO1104" s="5"/>
      <c r="AP1104" s="5"/>
      <c r="AQ1104" s="5"/>
      <c r="AR1104" s="5"/>
      <c r="AS1104" s="5"/>
      <c r="AT1104" s="5"/>
      <c r="AU1104" s="5"/>
      <c r="AV1104" s="5"/>
      <c r="AW1104" s="5"/>
      <c r="AX1104" s="5"/>
      <c r="AY1104" s="5"/>
      <c r="AZ1104" s="5"/>
      <c r="BA1104" s="5"/>
      <c r="BB1104" s="5"/>
      <c r="BC1104" s="5"/>
      <c r="BD1104" s="5"/>
      <c r="BE1104" s="5"/>
      <c r="BF1104" s="5"/>
      <c r="BG1104" s="5"/>
      <c r="BH1104" s="5"/>
      <c r="BI1104" s="5"/>
      <c r="BJ1104" s="5"/>
      <c r="BK1104" s="5"/>
      <c r="BL1104" s="5"/>
      <c r="BM1104" s="5"/>
    </row>
    <row r="1105" ht="15.75" customHeight="1">
      <c r="A1105" s="5"/>
      <c r="B1105" s="5"/>
      <c r="C1105" s="5"/>
      <c r="D1105" s="5"/>
      <c r="E1105" s="14"/>
      <c r="F1105" s="15"/>
      <c r="G1105" s="14"/>
      <c r="H1105" s="16"/>
      <c r="I1105" s="14"/>
      <c r="J1105" s="16"/>
      <c r="K1105" s="14"/>
      <c r="L1105" s="16"/>
      <c r="M1105" s="14"/>
      <c r="N1105" s="16"/>
      <c r="O1105" s="14"/>
      <c r="P1105" s="16"/>
      <c r="Q1105" s="14"/>
      <c r="R1105" s="5"/>
      <c r="S1105" s="14"/>
      <c r="T1105" s="16"/>
      <c r="U1105" s="16"/>
      <c r="V1105" s="17"/>
      <c r="W1105" s="6"/>
      <c r="X1105" s="22"/>
      <c r="Y1105" s="14"/>
      <c r="Z1105" s="14"/>
      <c r="AA1105" s="14"/>
      <c r="AB1105" s="14"/>
      <c r="AC1105" s="14"/>
      <c r="AD1105" s="14"/>
      <c r="AE1105" s="14"/>
      <c r="AF1105" s="14"/>
      <c r="AG1105" s="19"/>
      <c r="AH1105" s="20"/>
      <c r="AI1105" s="5"/>
      <c r="AJ1105" s="5"/>
      <c r="AK1105" s="5"/>
      <c r="AL1105" s="5"/>
      <c r="AM1105" s="5"/>
      <c r="AN1105" s="5"/>
      <c r="AO1105" s="5"/>
      <c r="AP1105" s="5"/>
      <c r="AQ1105" s="5"/>
      <c r="AR1105" s="5"/>
      <c r="AS1105" s="5"/>
      <c r="AT1105" s="5"/>
      <c r="AU1105" s="5"/>
      <c r="AV1105" s="5"/>
      <c r="AW1105" s="5"/>
      <c r="AX1105" s="5"/>
      <c r="AY1105" s="5"/>
      <c r="AZ1105" s="5"/>
      <c r="BA1105" s="5"/>
      <c r="BB1105" s="5"/>
      <c r="BC1105" s="5"/>
      <c r="BD1105" s="5"/>
      <c r="BE1105" s="5"/>
      <c r="BF1105" s="5"/>
      <c r="BG1105" s="5"/>
      <c r="BH1105" s="5"/>
      <c r="BI1105" s="5"/>
      <c r="BJ1105" s="5"/>
      <c r="BK1105" s="5"/>
      <c r="BL1105" s="5"/>
      <c r="BM1105" s="5"/>
    </row>
    <row r="1106" ht="15.75" customHeight="1">
      <c r="A1106" s="5"/>
      <c r="B1106" s="5"/>
      <c r="C1106" s="5"/>
      <c r="D1106" s="5"/>
      <c r="E1106" s="14"/>
      <c r="F1106" s="15"/>
      <c r="G1106" s="14"/>
      <c r="H1106" s="16"/>
      <c r="I1106" s="14"/>
      <c r="J1106" s="16"/>
      <c r="K1106" s="14"/>
      <c r="L1106" s="16"/>
      <c r="M1106" s="14"/>
      <c r="N1106" s="16"/>
      <c r="O1106" s="14"/>
      <c r="P1106" s="16"/>
      <c r="Q1106" s="14"/>
      <c r="R1106" s="5"/>
      <c r="S1106" s="14"/>
      <c r="T1106" s="16"/>
      <c r="U1106" s="16"/>
      <c r="V1106" s="17"/>
      <c r="W1106" s="6"/>
      <c r="X1106" s="22"/>
      <c r="Y1106" s="14"/>
      <c r="Z1106" s="14"/>
      <c r="AA1106" s="14"/>
      <c r="AB1106" s="14"/>
      <c r="AC1106" s="14"/>
      <c r="AD1106" s="14"/>
      <c r="AE1106" s="14"/>
      <c r="AF1106" s="14"/>
      <c r="AG1106" s="19"/>
      <c r="AH1106" s="20"/>
      <c r="AI1106" s="5"/>
      <c r="AJ1106" s="5"/>
      <c r="AK1106" s="5"/>
      <c r="AL1106" s="5"/>
      <c r="AM1106" s="5"/>
      <c r="AN1106" s="5"/>
      <c r="AO1106" s="5"/>
      <c r="AP1106" s="5"/>
      <c r="AQ1106" s="5"/>
      <c r="AR1106" s="5"/>
      <c r="AS1106" s="5"/>
      <c r="AT1106" s="5"/>
      <c r="AU1106" s="5"/>
      <c r="AV1106" s="5"/>
      <c r="AW1106" s="5"/>
      <c r="AX1106" s="5"/>
      <c r="AY1106" s="5"/>
      <c r="AZ1106" s="5"/>
      <c r="BA1106" s="5"/>
      <c r="BB1106" s="5"/>
      <c r="BC1106" s="5"/>
      <c r="BD1106" s="5"/>
      <c r="BE1106" s="5"/>
      <c r="BF1106" s="5"/>
      <c r="BG1106" s="5"/>
      <c r="BH1106" s="5"/>
      <c r="BI1106" s="5"/>
      <c r="BJ1106" s="5"/>
      <c r="BK1106" s="5"/>
      <c r="BL1106" s="5"/>
      <c r="BM1106" s="5"/>
    </row>
    <row r="1107" ht="15.75" customHeight="1">
      <c r="A1107" s="5"/>
      <c r="B1107" s="5"/>
      <c r="C1107" s="5"/>
      <c r="D1107" s="5"/>
      <c r="E1107" s="14"/>
      <c r="F1107" s="15"/>
      <c r="G1107" s="14"/>
      <c r="H1107" s="16"/>
      <c r="I1107" s="14"/>
      <c r="J1107" s="16"/>
      <c r="K1107" s="14"/>
      <c r="L1107" s="16"/>
      <c r="M1107" s="14"/>
      <c r="N1107" s="16"/>
      <c r="O1107" s="14"/>
      <c r="P1107" s="16"/>
      <c r="Q1107" s="14"/>
      <c r="R1107" s="5"/>
      <c r="S1107" s="14"/>
      <c r="T1107" s="16"/>
      <c r="U1107" s="16"/>
      <c r="V1107" s="17"/>
      <c r="W1107" s="6"/>
      <c r="X1107" s="22"/>
      <c r="Y1107" s="14"/>
      <c r="Z1107" s="14"/>
      <c r="AA1107" s="14"/>
      <c r="AB1107" s="14"/>
      <c r="AC1107" s="14"/>
      <c r="AD1107" s="14"/>
      <c r="AE1107" s="14"/>
      <c r="AF1107" s="14"/>
      <c r="AG1107" s="19"/>
      <c r="AH1107" s="20"/>
      <c r="AI1107" s="5"/>
      <c r="AJ1107" s="5"/>
      <c r="AK1107" s="5"/>
      <c r="AL1107" s="5"/>
      <c r="AM1107" s="5"/>
      <c r="AN1107" s="5"/>
      <c r="AO1107" s="5"/>
      <c r="AP1107" s="5"/>
      <c r="AQ1107" s="5"/>
      <c r="AR1107" s="5"/>
      <c r="AS1107" s="5"/>
      <c r="AT1107" s="5"/>
      <c r="AU1107" s="5"/>
      <c r="AV1107" s="5"/>
      <c r="AW1107" s="5"/>
      <c r="AX1107" s="5"/>
      <c r="AY1107" s="5"/>
      <c r="AZ1107" s="5"/>
      <c r="BA1107" s="5"/>
      <c r="BB1107" s="5"/>
      <c r="BC1107" s="5"/>
      <c r="BD1107" s="5"/>
      <c r="BE1107" s="5"/>
      <c r="BF1107" s="5"/>
      <c r="BG1107" s="5"/>
      <c r="BH1107" s="5"/>
      <c r="BI1107" s="5"/>
      <c r="BJ1107" s="5"/>
      <c r="BK1107" s="5"/>
      <c r="BL1107" s="5"/>
      <c r="BM1107" s="5"/>
    </row>
    <row r="1108" ht="15.75" customHeight="1">
      <c r="A1108" s="5"/>
      <c r="B1108" s="5"/>
      <c r="C1108" s="5"/>
      <c r="D1108" s="5"/>
      <c r="E1108" s="14"/>
      <c r="F1108" s="15"/>
      <c r="G1108" s="14"/>
      <c r="H1108" s="16"/>
      <c r="I1108" s="14"/>
      <c r="J1108" s="16"/>
      <c r="K1108" s="14"/>
      <c r="L1108" s="16"/>
      <c r="M1108" s="14"/>
      <c r="N1108" s="16"/>
      <c r="O1108" s="14"/>
      <c r="P1108" s="16"/>
      <c r="Q1108" s="14"/>
      <c r="R1108" s="5"/>
      <c r="S1108" s="14"/>
      <c r="T1108" s="16"/>
      <c r="U1108" s="16"/>
      <c r="V1108" s="17"/>
      <c r="W1108" s="6"/>
      <c r="X1108" s="22"/>
      <c r="Y1108" s="14"/>
      <c r="Z1108" s="14"/>
      <c r="AA1108" s="14"/>
      <c r="AB1108" s="14"/>
      <c r="AC1108" s="14"/>
      <c r="AD1108" s="14"/>
      <c r="AE1108" s="14"/>
      <c r="AF1108" s="14"/>
      <c r="AG1108" s="19"/>
      <c r="AH1108" s="20"/>
      <c r="AI1108" s="5"/>
      <c r="AJ1108" s="5"/>
      <c r="AK1108" s="5"/>
      <c r="AL1108" s="5"/>
      <c r="AM1108" s="5"/>
      <c r="AN1108" s="5"/>
      <c r="AO1108" s="5"/>
      <c r="AP1108" s="5"/>
      <c r="AQ1108" s="5"/>
      <c r="AR1108" s="5"/>
      <c r="AS1108" s="5"/>
      <c r="AT1108" s="5"/>
      <c r="AU1108" s="5"/>
      <c r="AV1108" s="5"/>
      <c r="AW1108" s="5"/>
      <c r="AX1108" s="5"/>
      <c r="AY1108" s="5"/>
      <c r="AZ1108" s="5"/>
      <c r="BA1108" s="5"/>
      <c r="BB1108" s="5"/>
      <c r="BC1108" s="5"/>
      <c r="BD1108" s="5"/>
      <c r="BE1108" s="5"/>
      <c r="BF1108" s="5"/>
      <c r="BG1108" s="5"/>
      <c r="BH1108" s="5"/>
      <c r="BI1108" s="5"/>
      <c r="BJ1108" s="5"/>
      <c r="BK1108" s="5"/>
      <c r="BL1108" s="5"/>
      <c r="BM1108" s="5"/>
    </row>
    <row r="1109" ht="15.75" customHeight="1">
      <c r="A1109" s="5"/>
      <c r="B1109" s="5"/>
      <c r="C1109" s="5"/>
      <c r="D1109" s="5"/>
      <c r="E1109" s="14"/>
      <c r="F1109" s="15"/>
      <c r="G1109" s="14"/>
      <c r="H1109" s="16"/>
      <c r="I1109" s="14"/>
      <c r="J1109" s="16"/>
      <c r="K1109" s="14"/>
      <c r="L1109" s="16"/>
      <c r="M1109" s="14"/>
      <c r="N1109" s="16"/>
      <c r="O1109" s="14"/>
      <c r="P1109" s="16"/>
      <c r="Q1109" s="14"/>
      <c r="R1109" s="5"/>
      <c r="S1109" s="14"/>
      <c r="T1109" s="16"/>
      <c r="U1109" s="16"/>
      <c r="V1109" s="17"/>
      <c r="W1109" s="6"/>
      <c r="X1109" s="22"/>
      <c r="Y1109" s="14"/>
      <c r="Z1109" s="14"/>
      <c r="AA1109" s="14"/>
      <c r="AB1109" s="14"/>
      <c r="AC1109" s="14"/>
      <c r="AD1109" s="14"/>
      <c r="AE1109" s="14"/>
      <c r="AF1109" s="14"/>
      <c r="AG1109" s="19"/>
      <c r="AH1109" s="20"/>
      <c r="AI1109" s="5"/>
      <c r="AJ1109" s="5"/>
      <c r="AK1109" s="5"/>
      <c r="AL1109" s="5"/>
      <c r="AM1109" s="5"/>
      <c r="AN1109" s="5"/>
      <c r="AO1109" s="5"/>
      <c r="AP1109" s="5"/>
      <c r="AQ1109" s="5"/>
      <c r="AR1109" s="5"/>
      <c r="AS1109" s="5"/>
      <c r="AT1109" s="5"/>
      <c r="AU1109" s="5"/>
      <c r="AV1109" s="5"/>
      <c r="AW1109" s="5"/>
      <c r="AX1109" s="5"/>
      <c r="AY1109" s="5"/>
      <c r="AZ1109" s="5"/>
      <c r="BA1109" s="5"/>
      <c r="BB1109" s="5"/>
      <c r="BC1109" s="5"/>
      <c r="BD1109" s="5"/>
      <c r="BE1109" s="5"/>
      <c r="BF1109" s="5"/>
      <c r="BG1109" s="5"/>
      <c r="BH1109" s="5"/>
      <c r="BI1109" s="5"/>
      <c r="BJ1109" s="5"/>
      <c r="BK1109" s="5"/>
      <c r="BL1109" s="5"/>
      <c r="BM1109" s="5"/>
    </row>
    <row r="1110" ht="15.75" customHeight="1">
      <c r="A1110" s="5"/>
      <c r="B1110" s="5"/>
      <c r="C1110" s="5"/>
      <c r="D1110" s="5"/>
      <c r="E1110" s="14"/>
      <c r="F1110" s="15"/>
      <c r="G1110" s="14"/>
      <c r="H1110" s="16"/>
      <c r="I1110" s="14"/>
      <c r="J1110" s="16"/>
      <c r="K1110" s="14"/>
      <c r="L1110" s="16"/>
      <c r="M1110" s="14"/>
      <c r="N1110" s="16"/>
      <c r="O1110" s="14"/>
      <c r="P1110" s="16"/>
      <c r="Q1110" s="14"/>
      <c r="R1110" s="5"/>
      <c r="S1110" s="14"/>
      <c r="T1110" s="16"/>
      <c r="U1110" s="16"/>
      <c r="V1110" s="17"/>
      <c r="W1110" s="6"/>
      <c r="X1110" s="22"/>
      <c r="Y1110" s="14"/>
      <c r="Z1110" s="14"/>
      <c r="AA1110" s="14"/>
      <c r="AB1110" s="14"/>
      <c r="AC1110" s="14"/>
      <c r="AD1110" s="14"/>
      <c r="AE1110" s="14"/>
      <c r="AF1110" s="14"/>
      <c r="AG1110" s="19"/>
      <c r="AH1110" s="20"/>
      <c r="AI1110" s="5"/>
      <c r="AJ1110" s="5"/>
      <c r="AK1110" s="5"/>
      <c r="AL1110" s="5"/>
      <c r="AM1110" s="5"/>
      <c r="AN1110" s="5"/>
      <c r="AO1110" s="5"/>
      <c r="AP1110" s="5"/>
      <c r="AQ1110" s="5"/>
      <c r="AR1110" s="5"/>
      <c r="AS1110" s="5"/>
      <c r="AT1110" s="5"/>
      <c r="AU1110" s="5"/>
      <c r="AV1110" s="5"/>
      <c r="AW1110" s="5"/>
      <c r="AX1110" s="5"/>
      <c r="AY1110" s="5"/>
      <c r="AZ1110" s="5"/>
      <c r="BA1110" s="5"/>
      <c r="BB1110" s="5"/>
      <c r="BC1110" s="5"/>
      <c r="BD1110" s="5"/>
      <c r="BE1110" s="5"/>
      <c r="BF1110" s="5"/>
      <c r="BG1110" s="5"/>
      <c r="BH1110" s="5"/>
      <c r="BI1110" s="5"/>
      <c r="BJ1110" s="5"/>
      <c r="BK1110" s="5"/>
      <c r="BL1110" s="5"/>
      <c r="BM1110" s="5"/>
    </row>
    <row r="1111" ht="15.75" customHeight="1">
      <c r="A1111" s="5"/>
      <c r="B1111" s="5"/>
      <c r="C1111" s="5"/>
      <c r="D1111" s="5"/>
      <c r="E1111" s="14"/>
      <c r="F1111" s="15"/>
      <c r="G1111" s="14"/>
      <c r="H1111" s="16"/>
      <c r="I1111" s="14"/>
      <c r="J1111" s="16"/>
      <c r="K1111" s="14"/>
      <c r="L1111" s="16"/>
      <c r="M1111" s="14"/>
      <c r="N1111" s="16"/>
      <c r="O1111" s="14"/>
      <c r="P1111" s="16"/>
      <c r="Q1111" s="14"/>
      <c r="R1111" s="5"/>
      <c r="S1111" s="14"/>
      <c r="T1111" s="16"/>
      <c r="U1111" s="16"/>
      <c r="V1111" s="17"/>
      <c r="W1111" s="6"/>
      <c r="X1111" s="22"/>
      <c r="Y1111" s="14"/>
      <c r="Z1111" s="14"/>
      <c r="AA1111" s="14"/>
      <c r="AB1111" s="14"/>
      <c r="AC1111" s="14"/>
      <c r="AD1111" s="14"/>
      <c r="AE1111" s="14"/>
      <c r="AF1111" s="14"/>
      <c r="AG1111" s="19"/>
      <c r="AH1111" s="20"/>
      <c r="AI1111" s="5"/>
      <c r="AJ1111" s="5"/>
      <c r="AK1111" s="5"/>
      <c r="AL1111" s="5"/>
      <c r="AM1111" s="5"/>
      <c r="AN1111" s="5"/>
      <c r="AO1111" s="5"/>
      <c r="AP1111" s="5"/>
      <c r="AQ1111" s="5"/>
      <c r="AR1111" s="5"/>
      <c r="AS1111" s="5"/>
      <c r="AT1111" s="5"/>
      <c r="AU1111" s="5"/>
      <c r="AV1111" s="5"/>
      <c r="AW1111" s="5"/>
      <c r="AX1111" s="5"/>
      <c r="AY1111" s="5"/>
      <c r="AZ1111" s="5"/>
      <c r="BA1111" s="5"/>
      <c r="BB1111" s="5"/>
      <c r="BC1111" s="5"/>
      <c r="BD1111" s="5"/>
      <c r="BE1111" s="5"/>
      <c r="BF1111" s="5"/>
      <c r="BG1111" s="5"/>
      <c r="BH1111" s="5"/>
      <c r="BI1111" s="5"/>
      <c r="BJ1111" s="5"/>
      <c r="BK1111" s="5"/>
      <c r="BL1111" s="5"/>
      <c r="BM1111" s="5"/>
    </row>
    <row r="1112" ht="15.75" customHeight="1">
      <c r="A1112" s="5"/>
      <c r="B1112" s="5"/>
      <c r="C1112" s="5"/>
      <c r="D1112" s="5"/>
      <c r="E1112" s="14"/>
      <c r="F1112" s="15"/>
      <c r="G1112" s="14"/>
      <c r="H1112" s="16"/>
      <c r="I1112" s="14"/>
      <c r="J1112" s="16"/>
      <c r="K1112" s="14"/>
      <c r="L1112" s="16"/>
      <c r="M1112" s="14"/>
      <c r="N1112" s="16"/>
      <c r="O1112" s="14"/>
      <c r="P1112" s="16"/>
      <c r="Q1112" s="14"/>
      <c r="R1112" s="5"/>
      <c r="S1112" s="14"/>
      <c r="T1112" s="16"/>
      <c r="U1112" s="16"/>
      <c r="V1112" s="17"/>
      <c r="W1112" s="6"/>
      <c r="X1112" s="22"/>
      <c r="Y1112" s="14"/>
      <c r="Z1112" s="14"/>
      <c r="AA1112" s="14"/>
      <c r="AB1112" s="14"/>
      <c r="AC1112" s="14"/>
      <c r="AD1112" s="14"/>
      <c r="AE1112" s="14"/>
      <c r="AF1112" s="14"/>
      <c r="AG1112" s="19"/>
      <c r="AH1112" s="20"/>
      <c r="AI1112" s="5"/>
      <c r="AJ1112" s="5"/>
      <c r="AK1112" s="5"/>
      <c r="AL1112" s="5"/>
      <c r="AM1112" s="5"/>
      <c r="AN1112" s="5"/>
      <c r="AO1112" s="5"/>
      <c r="AP1112" s="5"/>
      <c r="AQ1112" s="5"/>
      <c r="AR1112" s="5"/>
      <c r="AS1112" s="5"/>
      <c r="AT1112" s="5"/>
      <c r="AU1112" s="5"/>
      <c r="AV1112" s="5"/>
      <c r="AW1112" s="5"/>
      <c r="AX1112" s="5"/>
      <c r="AY1112" s="5"/>
      <c r="AZ1112" s="5"/>
      <c r="BA1112" s="5"/>
      <c r="BB1112" s="5"/>
      <c r="BC1112" s="5"/>
      <c r="BD1112" s="5"/>
      <c r="BE1112" s="5"/>
      <c r="BF1112" s="5"/>
      <c r="BG1112" s="5"/>
      <c r="BH1112" s="5"/>
      <c r="BI1112" s="5"/>
      <c r="BJ1112" s="5"/>
      <c r="BK1112" s="5"/>
      <c r="BL1112" s="5"/>
      <c r="BM1112" s="5"/>
    </row>
    <row r="1113" ht="15.75" customHeight="1">
      <c r="A1113" s="5"/>
      <c r="B1113" s="5"/>
      <c r="C1113" s="5"/>
      <c r="D1113" s="5"/>
      <c r="E1113" s="14"/>
      <c r="F1113" s="15"/>
      <c r="G1113" s="14"/>
      <c r="H1113" s="16"/>
      <c r="I1113" s="14"/>
      <c r="J1113" s="16"/>
      <c r="K1113" s="14"/>
      <c r="L1113" s="16"/>
      <c r="M1113" s="14"/>
      <c r="N1113" s="16"/>
      <c r="O1113" s="14"/>
      <c r="P1113" s="16"/>
      <c r="Q1113" s="14"/>
      <c r="R1113" s="5"/>
      <c r="S1113" s="14"/>
      <c r="T1113" s="16"/>
      <c r="U1113" s="16"/>
      <c r="V1113" s="17"/>
      <c r="W1113" s="6"/>
      <c r="X1113" s="22"/>
      <c r="Y1113" s="14"/>
      <c r="Z1113" s="14"/>
      <c r="AA1113" s="14"/>
      <c r="AB1113" s="14"/>
      <c r="AC1113" s="14"/>
      <c r="AD1113" s="14"/>
      <c r="AE1113" s="14"/>
      <c r="AF1113" s="14"/>
      <c r="AG1113" s="19"/>
      <c r="AH1113" s="20"/>
      <c r="AI1113" s="5"/>
      <c r="AJ1113" s="5"/>
      <c r="AK1113" s="5"/>
      <c r="AL1113" s="5"/>
      <c r="AM1113" s="5"/>
      <c r="AN1113" s="5"/>
      <c r="AO1113" s="5"/>
      <c r="AP1113" s="5"/>
      <c r="AQ1113" s="5"/>
      <c r="AR1113" s="5"/>
      <c r="AS1113" s="5"/>
      <c r="AT1113" s="5"/>
      <c r="AU1113" s="5"/>
      <c r="AV1113" s="5"/>
      <c r="AW1113" s="5"/>
      <c r="AX1113" s="5"/>
      <c r="AY1113" s="5"/>
      <c r="AZ1113" s="5"/>
      <c r="BA1113" s="5"/>
      <c r="BB1113" s="5"/>
      <c r="BC1113" s="5"/>
      <c r="BD1113" s="5"/>
      <c r="BE1113" s="5"/>
      <c r="BF1113" s="5"/>
      <c r="BG1113" s="5"/>
      <c r="BH1113" s="5"/>
      <c r="BI1113" s="5"/>
      <c r="BJ1113" s="5"/>
      <c r="BK1113" s="5"/>
      <c r="BL1113" s="5"/>
      <c r="BM1113" s="5"/>
    </row>
    <row r="1114" ht="15.75" customHeight="1">
      <c r="A1114" s="5"/>
      <c r="B1114" s="5"/>
      <c r="C1114" s="5"/>
      <c r="D1114" s="5"/>
      <c r="E1114" s="14"/>
      <c r="F1114" s="15"/>
      <c r="G1114" s="14"/>
      <c r="H1114" s="16"/>
      <c r="I1114" s="14"/>
      <c r="J1114" s="16"/>
      <c r="K1114" s="14"/>
      <c r="L1114" s="16"/>
      <c r="M1114" s="14"/>
      <c r="N1114" s="16"/>
      <c r="O1114" s="14"/>
      <c r="P1114" s="16"/>
      <c r="Q1114" s="14"/>
      <c r="R1114" s="5"/>
      <c r="S1114" s="14"/>
      <c r="T1114" s="16"/>
      <c r="U1114" s="16"/>
      <c r="V1114" s="17"/>
      <c r="W1114" s="6"/>
      <c r="X1114" s="22"/>
      <c r="Y1114" s="14"/>
      <c r="Z1114" s="14"/>
      <c r="AA1114" s="14"/>
      <c r="AB1114" s="14"/>
      <c r="AC1114" s="14"/>
      <c r="AD1114" s="14"/>
      <c r="AE1114" s="14"/>
      <c r="AF1114" s="14"/>
      <c r="AG1114" s="19"/>
      <c r="AH1114" s="20"/>
      <c r="AI1114" s="5"/>
      <c r="AJ1114" s="5"/>
      <c r="AK1114" s="5"/>
      <c r="AL1114" s="5"/>
      <c r="AM1114" s="5"/>
      <c r="AN1114" s="5"/>
      <c r="AO1114" s="5"/>
      <c r="AP1114" s="5"/>
      <c r="AQ1114" s="5"/>
      <c r="AR1114" s="5"/>
      <c r="AS1114" s="5"/>
      <c r="AT1114" s="5"/>
      <c r="AU1114" s="5"/>
      <c r="AV1114" s="5"/>
      <c r="AW1114" s="5"/>
      <c r="AX1114" s="5"/>
      <c r="AY1114" s="5"/>
      <c r="AZ1114" s="5"/>
      <c r="BA1114" s="5"/>
      <c r="BB1114" s="5"/>
      <c r="BC1114" s="5"/>
      <c r="BD1114" s="5"/>
      <c r="BE1114" s="5"/>
      <c r="BF1114" s="5"/>
      <c r="BG1114" s="5"/>
      <c r="BH1114" s="5"/>
      <c r="BI1114" s="5"/>
      <c r="BJ1114" s="5"/>
      <c r="BK1114" s="5"/>
      <c r="BL1114" s="5"/>
      <c r="BM1114" s="5"/>
    </row>
    <row r="1115" ht="15.75" customHeight="1">
      <c r="A1115" s="5"/>
      <c r="B1115" s="5"/>
      <c r="C1115" s="5"/>
      <c r="D1115" s="5"/>
      <c r="E1115" s="14"/>
      <c r="F1115" s="15"/>
      <c r="G1115" s="14"/>
      <c r="H1115" s="16"/>
      <c r="I1115" s="14"/>
      <c r="J1115" s="16"/>
      <c r="K1115" s="14"/>
      <c r="L1115" s="16"/>
      <c r="M1115" s="14"/>
      <c r="N1115" s="16"/>
      <c r="O1115" s="14"/>
      <c r="P1115" s="16"/>
      <c r="Q1115" s="14"/>
      <c r="R1115" s="5"/>
      <c r="S1115" s="14"/>
      <c r="T1115" s="16"/>
      <c r="U1115" s="16"/>
      <c r="V1115" s="17"/>
      <c r="W1115" s="6"/>
      <c r="X1115" s="22"/>
      <c r="Y1115" s="14"/>
      <c r="Z1115" s="14"/>
      <c r="AA1115" s="14"/>
      <c r="AB1115" s="14"/>
      <c r="AC1115" s="14"/>
      <c r="AD1115" s="14"/>
      <c r="AE1115" s="14"/>
      <c r="AF1115" s="14"/>
      <c r="AG1115" s="19"/>
      <c r="AH1115" s="20"/>
      <c r="AI1115" s="5"/>
      <c r="AJ1115" s="5"/>
      <c r="AK1115" s="5"/>
      <c r="AL1115" s="5"/>
      <c r="AM1115" s="5"/>
      <c r="AN1115" s="5"/>
      <c r="AO1115" s="5"/>
      <c r="AP1115" s="5"/>
      <c r="AQ1115" s="5"/>
      <c r="AR1115" s="5"/>
      <c r="AS1115" s="5"/>
      <c r="AT1115" s="5"/>
      <c r="AU1115" s="5"/>
      <c r="AV1115" s="5"/>
      <c r="AW1115" s="5"/>
      <c r="AX1115" s="5"/>
      <c r="AY1115" s="5"/>
      <c r="AZ1115" s="5"/>
      <c r="BA1115" s="5"/>
      <c r="BB1115" s="5"/>
      <c r="BC1115" s="5"/>
      <c r="BD1115" s="5"/>
      <c r="BE1115" s="5"/>
      <c r="BF1115" s="5"/>
      <c r="BG1115" s="5"/>
      <c r="BH1115" s="5"/>
      <c r="BI1115" s="5"/>
      <c r="BJ1115" s="5"/>
      <c r="BK1115" s="5"/>
      <c r="BL1115" s="5"/>
      <c r="BM1115" s="5"/>
    </row>
    <row r="1116" ht="15.75" customHeight="1">
      <c r="A1116" s="5"/>
      <c r="B1116" s="5"/>
      <c r="C1116" s="5"/>
      <c r="D1116" s="5"/>
      <c r="E1116" s="14"/>
      <c r="F1116" s="15"/>
      <c r="G1116" s="14"/>
      <c r="H1116" s="16"/>
      <c r="I1116" s="14"/>
      <c r="J1116" s="16"/>
      <c r="K1116" s="14"/>
      <c r="L1116" s="16"/>
      <c r="M1116" s="14"/>
      <c r="N1116" s="16"/>
      <c r="O1116" s="14"/>
      <c r="P1116" s="16"/>
      <c r="Q1116" s="14"/>
      <c r="R1116" s="5"/>
      <c r="S1116" s="14"/>
      <c r="T1116" s="16"/>
      <c r="U1116" s="16"/>
      <c r="V1116" s="17"/>
      <c r="W1116" s="6"/>
      <c r="X1116" s="22"/>
      <c r="Y1116" s="14"/>
      <c r="Z1116" s="14"/>
      <c r="AA1116" s="14"/>
      <c r="AB1116" s="14"/>
      <c r="AC1116" s="14"/>
      <c r="AD1116" s="14"/>
      <c r="AE1116" s="14"/>
      <c r="AF1116" s="14"/>
      <c r="AG1116" s="19"/>
      <c r="AH1116" s="20"/>
      <c r="AI1116" s="5"/>
      <c r="AJ1116" s="5"/>
      <c r="AK1116" s="5"/>
      <c r="AL1116" s="5"/>
      <c r="AM1116" s="5"/>
      <c r="AN1116" s="5"/>
      <c r="AO1116" s="5"/>
      <c r="AP1116" s="5"/>
      <c r="AQ1116" s="5"/>
      <c r="AR1116" s="5"/>
      <c r="AS1116" s="5"/>
      <c r="AT1116" s="5"/>
      <c r="AU1116" s="5"/>
      <c r="AV1116" s="5"/>
      <c r="AW1116" s="5"/>
      <c r="AX1116" s="5"/>
      <c r="AY1116" s="5"/>
      <c r="AZ1116" s="5"/>
      <c r="BA1116" s="5"/>
      <c r="BB1116" s="5"/>
      <c r="BC1116" s="5"/>
      <c r="BD1116" s="5"/>
      <c r="BE1116" s="5"/>
      <c r="BF1116" s="5"/>
      <c r="BG1116" s="5"/>
      <c r="BH1116" s="5"/>
      <c r="BI1116" s="5"/>
      <c r="BJ1116" s="5"/>
      <c r="BK1116" s="5"/>
      <c r="BL1116" s="5"/>
      <c r="BM1116" s="5"/>
    </row>
    <row r="1117" ht="15.75" customHeight="1">
      <c r="A1117" s="5"/>
      <c r="B1117" s="5"/>
      <c r="C1117" s="5"/>
      <c r="D1117" s="5"/>
      <c r="E1117" s="14"/>
      <c r="F1117" s="15"/>
      <c r="G1117" s="14"/>
      <c r="H1117" s="16"/>
      <c r="I1117" s="14"/>
      <c r="J1117" s="16"/>
      <c r="K1117" s="14"/>
      <c r="L1117" s="16"/>
      <c r="M1117" s="14"/>
      <c r="N1117" s="16"/>
      <c r="O1117" s="14"/>
      <c r="P1117" s="16"/>
      <c r="Q1117" s="14"/>
      <c r="R1117" s="5"/>
      <c r="S1117" s="14"/>
      <c r="T1117" s="16"/>
      <c r="U1117" s="16"/>
      <c r="V1117" s="17"/>
      <c r="W1117" s="6"/>
      <c r="X1117" s="22"/>
      <c r="Y1117" s="14"/>
      <c r="Z1117" s="14"/>
      <c r="AA1117" s="14"/>
      <c r="AB1117" s="14"/>
      <c r="AC1117" s="14"/>
      <c r="AD1117" s="14"/>
      <c r="AE1117" s="14"/>
      <c r="AF1117" s="14"/>
      <c r="AG1117" s="19"/>
      <c r="AH1117" s="20"/>
      <c r="AI1117" s="5"/>
      <c r="AJ1117" s="5"/>
      <c r="AK1117" s="5"/>
      <c r="AL1117" s="5"/>
      <c r="AM1117" s="5"/>
      <c r="AN1117" s="5"/>
      <c r="AO1117" s="5"/>
      <c r="AP1117" s="5"/>
      <c r="AQ1117" s="5"/>
      <c r="AR1117" s="5"/>
      <c r="AS1117" s="5"/>
      <c r="AT1117" s="5"/>
      <c r="AU1117" s="5"/>
      <c r="AV1117" s="5"/>
      <c r="AW1117" s="5"/>
      <c r="AX1117" s="5"/>
      <c r="AY1117" s="5"/>
      <c r="AZ1117" s="5"/>
      <c r="BA1117" s="5"/>
      <c r="BB1117" s="5"/>
      <c r="BC1117" s="5"/>
      <c r="BD1117" s="5"/>
      <c r="BE1117" s="5"/>
      <c r="BF1117" s="5"/>
      <c r="BG1117" s="5"/>
      <c r="BH1117" s="5"/>
      <c r="BI1117" s="5"/>
      <c r="BJ1117" s="5"/>
      <c r="BK1117" s="5"/>
      <c r="BL1117" s="5"/>
      <c r="BM1117" s="5"/>
    </row>
    <row r="1118" ht="15.75" customHeight="1">
      <c r="A1118" s="5"/>
      <c r="B1118" s="5"/>
      <c r="C1118" s="5"/>
      <c r="D1118" s="5"/>
      <c r="E1118" s="14"/>
      <c r="F1118" s="15"/>
      <c r="G1118" s="14"/>
      <c r="H1118" s="16"/>
      <c r="I1118" s="14"/>
      <c r="J1118" s="16"/>
      <c r="K1118" s="14"/>
      <c r="L1118" s="16"/>
      <c r="M1118" s="14"/>
      <c r="N1118" s="16"/>
      <c r="O1118" s="14"/>
      <c r="P1118" s="16"/>
      <c r="Q1118" s="14"/>
      <c r="R1118" s="5"/>
      <c r="S1118" s="14"/>
      <c r="T1118" s="16"/>
      <c r="U1118" s="16"/>
      <c r="V1118" s="17"/>
      <c r="W1118" s="6"/>
      <c r="X1118" s="22"/>
      <c r="Y1118" s="14"/>
      <c r="Z1118" s="14"/>
      <c r="AA1118" s="14"/>
      <c r="AB1118" s="14"/>
      <c r="AC1118" s="14"/>
      <c r="AD1118" s="14"/>
      <c r="AE1118" s="14"/>
      <c r="AF1118" s="14"/>
      <c r="AG1118" s="19"/>
      <c r="AH1118" s="20"/>
      <c r="AI1118" s="5"/>
      <c r="AJ1118" s="5"/>
      <c r="AK1118" s="5"/>
      <c r="AL1118" s="5"/>
      <c r="AM1118" s="5"/>
      <c r="AN1118" s="5"/>
      <c r="AO1118" s="5"/>
      <c r="AP1118" s="5"/>
      <c r="AQ1118" s="5"/>
      <c r="AR1118" s="5"/>
      <c r="AS1118" s="5"/>
      <c r="AT1118" s="5"/>
      <c r="AU1118" s="5"/>
      <c r="AV1118" s="5"/>
      <c r="AW1118" s="5"/>
      <c r="AX1118" s="5"/>
      <c r="AY1118" s="5"/>
      <c r="AZ1118" s="5"/>
      <c r="BA1118" s="5"/>
      <c r="BB1118" s="5"/>
      <c r="BC1118" s="5"/>
      <c r="BD1118" s="5"/>
      <c r="BE1118" s="5"/>
      <c r="BF1118" s="5"/>
      <c r="BG1118" s="5"/>
      <c r="BH1118" s="5"/>
      <c r="BI1118" s="5"/>
      <c r="BJ1118" s="5"/>
      <c r="BK1118" s="5"/>
      <c r="BL1118" s="5"/>
      <c r="BM1118" s="5"/>
    </row>
    <row r="1119" ht="15.75" customHeight="1">
      <c r="A1119" s="5"/>
      <c r="B1119" s="5"/>
      <c r="C1119" s="5"/>
      <c r="D1119" s="5"/>
      <c r="E1119" s="14"/>
      <c r="F1119" s="15"/>
      <c r="G1119" s="14"/>
      <c r="H1119" s="16"/>
      <c r="I1119" s="14"/>
      <c r="J1119" s="16"/>
      <c r="K1119" s="14"/>
      <c r="L1119" s="16"/>
      <c r="M1119" s="14"/>
      <c r="N1119" s="16"/>
      <c r="O1119" s="14"/>
      <c r="P1119" s="16"/>
      <c r="Q1119" s="14"/>
      <c r="R1119" s="5"/>
      <c r="S1119" s="14"/>
      <c r="T1119" s="16"/>
      <c r="U1119" s="16"/>
      <c r="V1119" s="17"/>
      <c r="W1119" s="6"/>
      <c r="X1119" s="22"/>
      <c r="Y1119" s="14"/>
      <c r="Z1119" s="14"/>
      <c r="AA1119" s="14"/>
      <c r="AB1119" s="14"/>
      <c r="AC1119" s="14"/>
      <c r="AD1119" s="14"/>
      <c r="AE1119" s="14"/>
      <c r="AF1119" s="14"/>
      <c r="AG1119" s="19"/>
      <c r="AH1119" s="20"/>
      <c r="AI1119" s="5"/>
      <c r="AJ1119" s="5"/>
      <c r="AK1119" s="5"/>
      <c r="AL1119" s="5"/>
      <c r="AM1119" s="5"/>
      <c r="AN1119" s="5"/>
      <c r="AO1119" s="5"/>
      <c r="AP1119" s="5"/>
      <c r="AQ1119" s="5"/>
      <c r="AR1119" s="5"/>
      <c r="AS1119" s="5"/>
      <c r="AT1119" s="5"/>
      <c r="AU1119" s="5"/>
      <c r="AV1119" s="5"/>
      <c r="AW1119" s="5"/>
      <c r="AX1119" s="5"/>
      <c r="AY1119" s="5"/>
      <c r="AZ1119" s="5"/>
      <c r="BA1119" s="5"/>
      <c r="BB1119" s="5"/>
      <c r="BC1119" s="5"/>
      <c r="BD1119" s="5"/>
      <c r="BE1119" s="5"/>
      <c r="BF1119" s="5"/>
      <c r="BG1119" s="5"/>
      <c r="BH1119" s="5"/>
      <c r="BI1119" s="5"/>
      <c r="BJ1119" s="5"/>
      <c r="BK1119" s="5"/>
      <c r="BL1119" s="5"/>
      <c r="BM1119" s="5"/>
    </row>
    <row r="1120" ht="15.75" customHeight="1">
      <c r="A1120" s="5"/>
      <c r="B1120" s="5"/>
      <c r="C1120" s="5"/>
      <c r="D1120" s="5"/>
      <c r="E1120" s="14"/>
      <c r="F1120" s="15"/>
      <c r="G1120" s="14"/>
      <c r="H1120" s="16"/>
      <c r="I1120" s="14"/>
      <c r="J1120" s="16"/>
      <c r="K1120" s="14"/>
      <c r="L1120" s="16"/>
      <c r="M1120" s="14"/>
      <c r="N1120" s="16"/>
      <c r="O1120" s="14"/>
      <c r="P1120" s="16"/>
      <c r="Q1120" s="14"/>
      <c r="R1120" s="5"/>
      <c r="S1120" s="14"/>
      <c r="T1120" s="16"/>
      <c r="U1120" s="16"/>
      <c r="V1120" s="17"/>
      <c r="W1120" s="6"/>
      <c r="X1120" s="22"/>
      <c r="Y1120" s="14"/>
      <c r="Z1120" s="14"/>
      <c r="AA1120" s="14"/>
      <c r="AB1120" s="14"/>
      <c r="AC1120" s="14"/>
      <c r="AD1120" s="14"/>
      <c r="AE1120" s="14"/>
      <c r="AF1120" s="14"/>
      <c r="AG1120" s="19"/>
      <c r="AH1120" s="20"/>
      <c r="AI1120" s="5"/>
      <c r="AJ1120" s="5"/>
      <c r="AK1120" s="5"/>
      <c r="AL1120" s="5"/>
      <c r="AM1120" s="5"/>
      <c r="AN1120" s="5"/>
      <c r="AO1120" s="5"/>
      <c r="AP1120" s="5"/>
      <c r="AQ1120" s="5"/>
      <c r="AR1120" s="5"/>
      <c r="AS1120" s="5"/>
      <c r="AT1120" s="5"/>
      <c r="AU1120" s="5"/>
      <c r="AV1120" s="5"/>
      <c r="AW1120" s="5"/>
      <c r="AX1120" s="5"/>
      <c r="AY1120" s="5"/>
      <c r="AZ1120" s="5"/>
      <c r="BA1120" s="5"/>
      <c r="BB1120" s="5"/>
      <c r="BC1120" s="5"/>
      <c r="BD1120" s="5"/>
      <c r="BE1120" s="5"/>
      <c r="BF1120" s="5"/>
      <c r="BG1120" s="5"/>
      <c r="BH1120" s="5"/>
      <c r="BI1120" s="5"/>
      <c r="BJ1120" s="5"/>
      <c r="BK1120" s="5"/>
      <c r="BL1120" s="5"/>
      <c r="BM1120" s="5"/>
    </row>
    <row r="1121" ht="15.75" customHeight="1">
      <c r="A1121" s="5"/>
      <c r="B1121" s="5"/>
      <c r="C1121" s="5"/>
      <c r="D1121" s="5"/>
      <c r="E1121" s="14"/>
      <c r="F1121" s="15"/>
      <c r="G1121" s="14"/>
      <c r="H1121" s="16"/>
      <c r="I1121" s="14"/>
      <c r="J1121" s="16"/>
      <c r="K1121" s="14"/>
      <c r="L1121" s="16"/>
      <c r="M1121" s="14"/>
      <c r="N1121" s="16"/>
      <c r="O1121" s="14"/>
      <c r="P1121" s="16"/>
      <c r="Q1121" s="14"/>
      <c r="R1121" s="5"/>
      <c r="S1121" s="14"/>
      <c r="T1121" s="16"/>
      <c r="U1121" s="16"/>
      <c r="V1121" s="17"/>
      <c r="W1121" s="6"/>
      <c r="X1121" s="22"/>
      <c r="Y1121" s="14"/>
      <c r="Z1121" s="14"/>
      <c r="AA1121" s="14"/>
      <c r="AB1121" s="14"/>
      <c r="AC1121" s="14"/>
      <c r="AD1121" s="14"/>
      <c r="AE1121" s="14"/>
      <c r="AF1121" s="14"/>
      <c r="AG1121" s="19"/>
      <c r="AH1121" s="20"/>
      <c r="AI1121" s="5"/>
      <c r="AJ1121" s="5"/>
      <c r="AK1121" s="5"/>
      <c r="AL1121" s="5"/>
      <c r="AM1121" s="5"/>
      <c r="AN1121" s="5"/>
      <c r="AO1121" s="5"/>
      <c r="AP1121" s="5"/>
      <c r="AQ1121" s="5"/>
      <c r="AR1121" s="5"/>
      <c r="AS1121" s="5"/>
      <c r="AT1121" s="5"/>
      <c r="AU1121" s="5"/>
      <c r="AV1121" s="5"/>
      <c r="AW1121" s="5"/>
      <c r="AX1121" s="5"/>
      <c r="AY1121" s="5"/>
      <c r="AZ1121" s="5"/>
      <c r="BA1121" s="5"/>
      <c r="BB1121" s="5"/>
      <c r="BC1121" s="5"/>
      <c r="BD1121" s="5"/>
      <c r="BE1121" s="5"/>
      <c r="BF1121" s="5"/>
      <c r="BG1121" s="5"/>
      <c r="BH1121" s="5"/>
      <c r="BI1121" s="5"/>
      <c r="BJ1121" s="5"/>
      <c r="BK1121" s="5"/>
      <c r="BL1121" s="5"/>
      <c r="BM1121" s="5"/>
    </row>
    <row r="1122" ht="15.75" customHeight="1">
      <c r="A1122" s="5"/>
      <c r="B1122" s="5"/>
      <c r="C1122" s="5"/>
      <c r="D1122" s="5"/>
      <c r="E1122" s="14"/>
      <c r="F1122" s="15"/>
      <c r="G1122" s="14"/>
      <c r="H1122" s="16"/>
      <c r="I1122" s="14"/>
      <c r="J1122" s="16"/>
      <c r="K1122" s="14"/>
      <c r="L1122" s="16"/>
      <c r="M1122" s="14"/>
      <c r="N1122" s="16"/>
      <c r="O1122" s="14"/>
      <c r="P1122" s="16"/>
      <c r="Q1122" s="14"/>
      <c r="R1122" s="5"/>
      <c r="S1122" s="14"/>
      <c r="T1122" s="16"/>
      <c r="U1122" s="16"/>
      <c r="V1122" s="17"/>
      <c r="W1122" s="6"/>
      <c r="X1122" s="22"/>
      <c r="Y1122" s="14"/>
      <c r="Z1122" s="14"/>
      <c r="AA1122" s="14"/>
      <c r="AB1122" s="14"/>
      <c r="AC1122" s="14"/>
      <c r="AD1122" s="14"/>
      <c r="AE1122" s="14"/>
      <c r="AF1122" s="14"/>
      <c r="AG1122" s="19"/>
      <c r="AH1122" s="20"/>
      <c r="AI1122" s="5"/>
      <c r="AJ1122" s="5"/>
      <c r="AK1122" s="5"/>
      <c r="AL1122" s="5"/>
      <c r="AM1122" s="5"/>
      <c r="AN1122" s="5"/>
      <c r="AO1122" s="5"/>
      <c r="AP1122" s="5"/>
      <c r="AQ1122" s="5"/>
      <c r="AR1122" s="5"/>
      <c r="AS1122" s="5"/>
      <c r="AT1122" s="5"/>
      <c r="AU1122" s="5"/>
      <c r="AV1122" s="5"/>
      <c r="AW1122" s="5"/>
      <c r="AX1122" s="5"/>
      <c r="AY1122" s="5"/>
      <c r="AZ1122" s="5"/>
      <c r="BA1122" s="5"/>
      <c r="BB1122" s="5"/>
      <c r="BC1122" s="5"/>
      <c r="BD1122" s="5"/>
      <c r="BE1122" s="5"/>
      <c r="BF1122" s="5"/>
      <c r="BG1122" s="5"/>
      <c r="BH1122" s="5"/>
      <c r="BI1122" s="5"/>
      <c r="BJ1122" s="5"/>
      <c r="BK1122" s="5"/>
      <c r="BL1122" s="5"/>
      <c r="BM1122" s="5"/>
    </row>
    <row r="1123" ht="15.75" customHeight="1">
      <c r="A1123" s="5"/>
      <c r="B1123" s="5"/>
      <c r="C1123" s="5"/>
      <c r="D1123" s="5"/>
      <c r="E1123" s="14"/>
      <c r="F1123" s="15"/>
      <c r="G1123" s="14"/>
      <c r="H1123" s="16"/>
      <c r="I1123" s="14"/>
      <c r="J1123" s="16"/>
      <c r="K1123" s="14"/>
      <c r="L1123" s="16"/>
      <c r="M1123" s="14"/>
      <c r="N1123" s="16"/>
      <c r="O1123" s="14"/>
      <c r="P1123" s="16"/>
      <c r="Q1123" s="14"/>
      <c r="R1123" s="5"/>
      <c r="S1123" s="14"/>
      <c r="T1123" s="16"/>
      <c r="U1123" s="16"/>
      <c r="V1123" s="17"/>
      <c r="W1123" s="6"/>
      <c r="X1123" s="22"/>
      <c r="Y1123" s="14"/>
      <c r="Z1123" s="14"/>
      <c r="AA1123" s="14"/>
      <c r="AB1123" s="14"/>
      <c r="AC1123" s="14"/>
      <c r="AD1123" s="14"/>
      <c r="AE1123" s="14"/>
      <c r="AF1123" s="14"/>
      <c r="AG1123" s="19"/>
      <c r="AH1123" s="20"/>
      <c r="AI1123" s="5"/>
      <c r="AJ1123" s="5"/>
      <c r="AK1123" s="5"/>
      <c r="AL1123" s="5"/>
      <c r="AM1123" s="5"/>
      <c r="AN1123" s="5"/>
      <c r="AO1123" s="5"/>
      <c r="AP1123" s="5"/>
      <c r="AQ1123" s="5"/>
      <c r="AR1123" s="5"/>
      <c r="AS1123" s="5"/>
      <c r="AT1123" s="5"/>
      <c r="AU1123" s="5"/>
      <c r="AV1123" s="5"/>
      <c r="AW1123" s="5"/>
      <c r="AX1123" s="5"/>
      <c r="AY1123" s="5"/>
      <c r="AZ1123" s="5"/>
      <c r="BA1123" s="5"/>
      <c r="BB1123" s="5"/>
      <c r="BC1123" s="5"/>
      <c r="BD1123" s="5"/>
      <c r="BE1123" s="5"/>
      <c r="BF1123" s="5"/>
      <c r="BG1123" s="5"/>
      <c r="BH1123" s="5"/>
      <c r="BI1123" s="5"/>
      <c r="BJ1123" s="5"/>
      <c r="BK1123" s="5"/>
      <c r="BL1123" s="5"/>
      <c r="BM1123" s="5"/>
    </row>
    <row r="1124" ht="15.75" customHeight="1">
      <c r="A1124" s="5"/>
      <c r="B1124" s="5"/>
      <c r="C1124" s="5"/>
      <c r="D1124" s="5"/>
      <c r="E1124" s="14"/>
      <c r="F1124" s="15"/>
      <c r="G1124" s="14"/>
      <c r="H1124" s="16"/>
      <c r="I1124" s="14"/>
      <c r="J1124" s="16"/>
      <c r="K1124" s="14"/>
      <c r="L1124" s="16"/>
      <c r="M1124" s="14"/>
      <c r="N1124" s="16"/>
      <c r="O1124" s="14"/>
      <c r="P1124" s="16"/>
      <c r="Q1124" s="14"/>
      <c r="R1124" s="5"/>
      <c r="S1124" s="14"/>
      <c r="T1124" s="16"/>
      <c r="U1124" s="16"/>
      <c r="V1124" s="17"/>
      <c r="W1124" s="6"/>
      <c r="X1124" s="22"/>
      <c r="Y1124" s="14"/>
      <c r="Z1124" s="14"/>
      <c r="AA1124" s="14"/>
      <c r="AB1124" s="14"/>
      <c r="AC1124" s="14"/>
      <c r="AD1124" s="14"/>
      <c r="AE1124" s="14"/>
      <c r="AF1124" s="14"/>
      <c r="AG1124" s="19"/>
      <c r="AH1124" s="20"/>
      <c r="AI1124" s="5"/>
      <c r="AJ1124" s="5"/>
      <c r="AK1124" s="5"/>
      <c r="AL1124" s="5"/>
      <c r="AM1124" s="5"/>
      <c r="AN1124" s="5"/>
      <c r="AO1124" s="5"/>
      <c r="AP1124" s="5"/>
      <c r="AQ1124" s="5"/>
      <c r="AR1124" s="5"/>
      <c r="AS1124" s="5"/>
      <c r="AT1124" s="5"/>
      <c r="AU1124" s="5"/>
      <c r="AV1124" s="5"/>
      <c r="AW1124" s="5"/>
      <c r="AX1124" s="5"/>
      <c r="AY1124" s="5"/>
      <c r="AZ1124" s="5"/>
      <c r="BA1124" s="5"/>
      <c r="BB1124" s="5"/>
      <c r="BC1124" s="5"/>
      <c r="BD1124" s="5"/>
      <c r="BE1124" s="5"/>
      <c r="BF1124" s="5"/>
      <c r="BG1124" s="5"/>
      <c r="BH1124" s="5"/>
      <c r="BI1124" s="5"/>
      <c r="BJ1124" s="5"/>
      <c r="BK1124" s="5"/>
      <c r="BL1124" s="5"/>
      <c r="BM1124" s="5"/>
    </row>
    <row r="1125" ht="15.75" customHeight="1">
      <c r="A1125" s="5"/>
      <c r="B1125" s="5"/>
      <c r="C1125" s="5"/>
      <c r="D1125" s="5"/>
      <c r="E1125" s="14"/>
      <c r="F1125" s="15"/>
      <c r="G1125" s="14"/>
      <c r="H1125" s="16"/>
      <c r="I1125" s="14"/>
      <c r="J1125" s="16"/>
      <c r="K1125" s="14"/>
      <c r="L1125" s="16"/>
      <c r="M1125" s="14"/>
      <c r="N1125" s="16"/>
      <c r="O1125" s="14"/>
      <c r="P1125" s="16"/>
      <c r="Q1125" s="14"/>
      <c r="R1125" s="5"/>
      <c r="S1125" s="14"/>
      <c r="T1125" s="16"/>
      <c r="U1125" s="16"/>
      <c r="V1125" s="17"/>
      <c r="W1125" s="6"/>
      <c r="X1125" s="22"/>
      <c r="Y1125" s="14"/>
      <c r="Z1125" s="14"/>
      <c r="AA1125" s="14"/>
      <c r="AB1125" s="14"/>
      <c r="AC1125" s="14"/>
      <c r="AD1125" s="14"/>
      <c r="AE1125" s="14"/>
      <c r="AF1125" s="14"/>
      <c r="AG1125" s="19"/>
      <c r="AH1125" s="20"/>
      <c r="AI1125" s="5"/>
      <c r="AJ1125" s="5"/>
      <c r="AK1125" s="5"/>
      <c r="AL1125" s="5"/>
      <c r="AM1125" s="5"/>
      <c r="AN1125" s="5"/>
      <c r="AO1125" s="5"/>
      <c r="AP1125" s="5"/>
      <c r="AQ1125" s="5"/>
      <c r="AR1125" s="5"/>
      <c r="AS1125" s="5"/>
      <c r="AT1125" s="5"/>
      <c r="AU1125" s="5"/>
      <c r="AV1125" s="5"/>
      <c r="AW1125" s="5"/>
      <c r="AX1125" s="5"/>
      <c r="AY1125" s="5"/>
      <c r="AZ1125" s="5"/>
      <c r="BA1125" s="5"/>
      <c r="BB1125" s="5"/>
      <c r="BC1125" s="5"/>
      <c r="BD1125" s="5"/>
      <c r="BE1125" s="5"/>
      <c r="BF1125" s="5"/>
      <c r="BG1125" s="5"/>
      <c r="BH1125" s="5"/>
      <c r="BI1125" s="5"/>
      <c r="BJ1125" s="5"/>
      <c r="BK1125" s="5"/>
      <c r="BL1125" s="5"/>
      <c r="BM1125" s="5"/>
    </row>
    <row r="1126" ht="15.75" customHeight="1">
      <c r="A1126" s="5"/>
      <c r="B1126" s="5"/>
      <c r="C1126" s="5"/>
      <c r="D1126" s="5"/>
      <c r="E1126" s="14"/>
      <c r="F1126" s="15"/>
      <c r="G1126" s="14"/>
      <c r="H1126" s="16"/>
      <c r="I1126" s="14"/>
      <c r="J1126" s="16"/>
      <c r="K1126" s="14"/>
      <c r="L1126" s="16"/>
      <c r="M1126" s="14"/>
      <c r="N1126" s="16"/>
      <c r="O1126" s="14"/>
      <c r="P1126" s="16"/>
      <c r="Q1126" s="14"/>
      <c r="R1126" s="5"/>
      <c r="S1126" s="14"/>
      <c r="T1126" s="16"/>
      <c r="U1126" s="16"/>
      <c r="V1126" s="17"/>
      <c r="W1126" s="6"/>
      <c r="X1126" s="22"/>
      <c r="Y1126" s="14"/>
      <c r="Z1126" s="14"/>
      <c r="AA1126" s="14"/>
      <c r="AB1126" s="14"/>
      <c r="AC1126" s="14"/>
      <c r="AD1126" s="14"/>
      <c r="AE1126" s="14"/>
      <c r="AF1126" s="14"/>
      <c r="AG1126" s="19"/>
      <c r="AH1126" s="20"/>
      <c r="AI1126" s="5"/>
      <c r="AJ1126" s="5"/>
      <c r="AK1126" s="5"/>
      <c r="AL1126" s="5"/>
      <c r="AM1126" s="5"/>
      <c r="AN1126" s="5"/>
      <c r="AO1126" s="5"/>
      <c r="AP1126" s="5"/>
      <c r="AQ1126" s="5"/>
      <c r="AR1126" s="5"/>
      <c r="AS1126" s="5"/>
      <c r="AT1126" s="5"/>
      <c r="AU1126" s="5"/>
      <c r="AV1126" s="5"/>
      <c r="AW1126" s="5"/>
      <c r="AX1126" s="5"/>
      <c r="AY1126" s="5"/>
      <c r="AZ1126" s="5"/>
      <c r="BA1126" s="5"/>
      <c r="BB1126" s="5"/>
      <c r="BC1126" s="5"/>
      <c r="BD1126" s="5"/>
      <c r="BE1126" s="5"/>
      <c r="BF1126" s="5"/>
      <c r="BG1126" s="5"/>
      <c r="BH1126" s="5"/>
      <c r="BI1126" s="5"/>
      <c r="BJ1126" s="5"/>
      <c r="BK1126" s="5"/>
      <c r="BL1126" s="5"/>
      <c r="BM1126" s="5"/>
    </row>
    <row r="1127" ht="15.75" customHeight="1">
      <c r="A1127" s="5"/>
      <c r="B1127" s="5"/>
      <c r="C1127" s="5"/>
      <c r="D1127" s="5"/>
      <c r="E1127" s="14"/>
      <c r="F1127" s="15"/>
      <c r="G1127" s="14"/>
      <c r="H1127" s="16"/>
      <c r="I1127" s="14"/>
      <c r="J1127" s="16"/>
      <c r="K1127" s="14"/>
      <c r="L1127" s="16"/>
      <c r="M1127" s="14"/>
      <c r="N1127" s="16"/>
      <c r="O1127" s="14"/>
      <c r="P1127" s="16"/>
      <c r="Q1127" s="14"/>
      <c r="R1127" s="5"/>
      <c r="S1127" s="14"/>
      <c r="T1127" s="16"/>
      <c r="U1127" s="16"/>
      <c r="V1127" s="17"/>
      <c r="W1127" s="6"/>
      <c r="X1127" s="22"/>
      <c r="Y1127" s="14"/>
      <c r="Z1127" s="14"/>
      <c r="AA1127" s="14"/>
      <c r="AB1127" s="14"/>
      <c r="AC1127" s="14"/>
      <c r="AD1127" s="14"/>
      <c r="AE1127" s="14"/>
      <c r="AF1127" s="14"/>
      <c r="AG1127" s="19"/>
      <c r="AH1127" s="20"/>
      <c r="AI1127" s="5"/>
      <c r="AJ1127" s="5"/>
      <c r="AK1127" s="5"/>
      <c r="AL1127" s="5"/>
      <c r="AM1127" s="5"/>
      <c r="AN1127" s="5"/>
      <c r="AO1127" s="5"/>
      <c r="AP1127" s="5"/>
      <c r="AQ1127" s="5"/>
      <c r="AR1127" s="5"/>
      <c r="AS1127" s="5"/>
      <c r="AT1127" s="5"/>
      <c r="AU1127" s="5"/>
      <c r="AV1127" s="5"/>
      <c r="AW1127" s="5"/>
      <c r="AX1127" s="5"/>
      <c r="AY1127" s="5"/>
      <c r="AZ1127" s="5"/>
      <c r="BA1127" s="5"/>
      <c r="BB1127" s="5"/>
      <c r="BC1127" s="5"/>
      <c r="BD1127" s="5"/>
      <c r="BE1127" s="5"/>
      <c r="BF1127" s="5"/>
      <c r="BG1127" s="5"/>
      <c r="BH1127" s="5"/>
      <c r="BI1127" s="5"/>
      <c r="BJ1127" s="5"/>
      <c r="BK1127" s="5"/>
      <c r="BL1127" s="5"/>
      <c r="BM1127" s="5"/>
    </row>
    <row r="1128" ht="15.75" customHeight="1">
      <c r="A1128" s="5"/>
      <c r="B1128" s="5"/>
      <c r="C1128" s="5"/>
      <c r="D1128" s="5"/>
      <c r="E1128" s="14"/>
      <c r="F1128" s="15"/>
      <c r="G1128" s="14"/>
      <c r="H1128" s="16"/>
      <c r="I1128" s="14"/>
      <c r="J1128" s="16"/>
      <c r="K1128" s="14"/>
      <c r="L1128" s="16"/>
      <c r="M1128" s="14"/>
      <c r="N1128" s="16"/>
      <c r="O1128" s="14"/>
      <c r="P1128" s="16"/>
      <c r="Q1128" s="14"/>
      <c r="R1128" s="5"/>
      <c r="S1128" s="14"/>
      <c r="T1128" s="16"/>
      <c r="U1128" s="16"/>
      <c r="V1128" s="17"/>
      <c r="W1128" s="6"/>
      <c r="X1128" s="22"/>
      <c r="Y1128" s="14"/>
      <c r="Z1128" s="14"/>
      <c r="AA1128" s="14"/>
      <c r="AB1128" s="14"/>
      <c r="AC1128" s="14"/>
      <c r="AD1128" s="14"/>
      <c r="AE1128" s="14"/>
      <c r="AF1128" s="14"/>
      <c r="AG1128" s="19"/>
      <c r="AH1128" s="20"/>
      <c r="AI1128" s="5"/>
      <c r="AJ1128" s="5"/>
      <c r="AK1128" s="5"/>
      <c r="AL1128" s="5"/>
      <c r="AM1128" s="5"/>
      <c r="AN1128" s="5"/>
      <c r="AO1128" s="5"/>
      <c r="AP1128" s="5"/>
      <c r="AQ1128" s="5"/>
      <c r="AR1128" s="5"/>
      <c r="AS1128" s="5"/>
      <c r="AT1128" s="5"/>
      <c r="AU1128" s="5"/>
      <c r="AV1128" s="5"/>
      <c r="AW1128" s="5"/>
      <c r="AX1128" s="5"/>
      <c r="AY1128" s="5"/>
      <c r="AZ1128" s="5"/>
      <c r="BA1128" s="5"/>
      <c r="BB1128" s="5"/>
      <c r="BC1128" s="5"/>
      <c r="BD1128" s="5"/>
      <c r="BE1128" s="5"/>
      <c r="BF1128" s="5"/>
      <c r="BG1128" s="5"/>
      <c r="BH1128" s="5"/>
      <c r="BI1128" s="5"/>
      <c r="BJ1128" s="5"/>
      <c r="BK1128" s="5"/>
      <c r="BL1128" s="5"/>
      <c r="BM1128" s="5"/>
    </row>
    <row r="1129" ht="15.75" customHeight="1">
      <c r="A1129" s="5"/>
      <c r="B1129" s="5"/>
      <c r="C1129" s="5"/>
      <c r="D1129" s="5"/>
      <c r="E1129" s="14"/>
      <c r="F1129" s="15"/>
      <c r="G1129" s="14"/>
      <c r="H1129" s="16"/>
      <c r="I1129" s="14"/>
      <c r="J1129" s="16"/>
      <c r="K1129" s="14"/>
      <c r="L1129" s="16"/>
      <c r="M1129" s="14"/>
      <c r="N1129" s="16"/>
      <c r="O1129" s="14"/>
      <c r="P1129" s="16"/>
      <c r="Q1129" s="14"/>
      <c r="R1129" s="5"/>
      <c r="S1129" s="14"/>
      <c r="T1129" s="16"/>
      <c r="U1129" s="16"/>
      <c r="V1129" s="17"/>
      <c r="W1129" s="6"/>
      <c r="X1129" s="22"/>
      <c r="Y1129" s="14"/>
      <c r="Z1129" s="14"/>
      <c r="AA1129" s="14"/>
      <c r="AB1129" s="14"/>
      <c r="AC1129" s="14"/>
      <c r="AD1129" s="14"/>
      <c r="AE1129" s="14"/>
      <c r="AF1129" s="14"/>
      <c r="AG1129" s="19"/>
      <c r="AH1129" s="20"/>
      <c r="AI1129" s="5"/>
      <c r="AJ1129" s="5"/>
      <c r="AK1129" s="5"/>
      <c r="AL1129" s="5"/>
      <c r="AM1129" s="5"/>
      <c r="AN1129" s="5"/>
      <c r="AO1129" s="5"/>
      <c r="AP1129" s="5"/>
      <c r="AQ1129" s="5"/>
      <c r="AR1129" s="5"/>
      <c r="AS1129" s="5"/>
      <c r="AT1129" s="5"/>
      <c r="AU1129" s="5"/>
      <c r="AV1129" s="5"/>
      <c r="AW1129" s="5"/>
      <c r="AX1129" s="5"/>
      <c r="AY1129" s="5"/>
      <c r="AZ1129" s="5"/>
      <c r="BA1129" s="5"/>
      <c r="BB1129" s="5"/>
      <c r="BC1129" s="5"/>
      <c r="BD1129" s="5"/>
      <c r="BE1129" s="5"/>
      <c r="BF1129" s="5"/>
      <c r="BG1129" s="5"/>
      <c r="BH1129" s="5"/>
      <c r="BI1129" s="5"/>
      <c r="BJ1129" s="5"/>
      <c r="BK1129" s="5"/>
      <c r="BL1129" s="5"/>
      <c r="BM1129" s="5"/>
    </row>
    <row r="1130" ht="15.75" customHeight="1">
      <c r="A1130" s="5"/>
      <c r="B1130" s="5"/>
      <c r="C1130" s="5"/>
      <c r="D1130" s="5"/>
      <c r="E1130" s="14"/>
      <c r="F1130" s="15"/>
      <c r="G1130" s="14"/>
      <c r="H1130" s="16"/>
      <c r="I1130" s="14"/>
      <c r="J1130" s="16"/>
      <c r="K1130" s="14"/>
      <c r="L1130" s="16"/>
      <c r="M1130" s="14"/>
      <c r="N1130" s="16"/>
      <c r="O1130" s="14"/>
      <c r="P1130" s="16"/>
      <c r="Q1130" s="14"/>
      <c r="R1130" s="5"/>
      <c r="S1130" s="14"/>
      <c r="T1130" s="16"/>
      <c r="U1130" s="16"/>
      <c r="V1130" s="17"/>
      <c r="W1130" s="6"/>
      <c r="X1130" s="22"/>
      <c r="Y1130" s="14"/>
      <c r="Z1130" s="14"/>
      <c r="AA1130" s="14"/>
      <c r="AB1130" s="14"/>
      <c r="AC1130" s="14"/>
      <c r="AD1130" s="14"/>
      <c r="AE1130" s="14"/>
      <c r="AF1130" s="14"/>
      <c r="AG1130" s="19"/>
      <c r="AH1130" s="20"/>
      <c r="AI1130" s="5"/>
      <c r="AJ1130" s="5"/>
      <c r="AK1130" s="5"/>
      <c r="AL1130" s="5"/>
      <c r="AM1130" s="5"/>
      <c r="AN1130" s="5"/>
      <c r="AO1130" s="5"/>
      <c r="AP1130" s="5"/>
      <c r="AQ1130" s="5"/>
      <c r="AR1130" s="5"/>
      <c r="AS1130" s="5"/>
      <c r="AT1130" s="5"/>
      <c r="AU1130" s="5"/>
      <c r="AV1130" s="5"/>
      <c r="AW1130" s="5"/>
      <c r="AX1130" s="5"/>
      <c r="AY1130" s="5"/>
      <c r="AZ1130" s="5"/>
      <c r="BA1130" s="5"/>
      <c r="BB1130" s="5"/>
      <c r="BC1130" s="5"/>
      <c r="BD1130" s="5"/>
      <c r="BE1130" s="5"/>
      <c r="BF1130" s="5"/>
      <c r="BG1130" s="5"/>
      <c r="BH1130" s="5"/>
      <c r="BI1130" s="5"/>
      <c r="BJ1130" s="5"/>
      <c r="BK1130" s="5"/>
      <c r="BL1130" s="5"/>
      <c r="BM1130" s="5"/>
    </row>
    <row r="1131" ht="15.75" customHeight="1">
      <c r="A1131" s="5"/>
      <c r="B1131" s="5"/>
      <c r="C1131" s="5"/>
      <c r="D1131" s="5"/>
      <c r="E1131" s="14"/>
      <c r="F1131" s="15"/>
      <c r="G1131" s="14"/>
      <c r="H1131" s="16"/>
      <c r="I1131" s="14"/>
      <c r="J1131" s="16"/>
      <c r="K1131" s="14"/>
      <c r="L1131" s="16"/>
      <c r="M1131" s="14"/>
      <c r="N1131" s="16"/>
      <c r="O1131" s="14"/>
      <c r="P1131" s="16"/>
      <c r="Q1131" s="14"/>
      <c r="R1131" s="5"/>
      <c r="S1131" s="14"/>
      <c r="T1131" s="16"/>
      <c r="U1131" s="16"/>
      <c r="V1131" s="17"/>
      <c r="W1131" s="6"/>
      <c r="X1131" s="22"/>
      <c r="Y1131" s="14"/>
      <c r="Z1131" s="14"/>
      <c r="AA1131" s="14"/>
      <c r="AB1131" s="14"/>
      <c r="AC1131" s="14"/>
      <c r="AD1131" s="14"/>
      <c r="AE1131" s="14"/>
      <c r="AF1131" s="14"/>
      <c r="AG1131" s="19"/>
      <c r="AH1131" s="20"/>
      <c r="AI1131" s="5"/>
      <c r="AJ1131" s="5"/>
      <c r="AK1131" s="5"/>
      <c r="AL1131" s="5"/>
      <c r="AM1131" s="5"/>
      <c r="AN1131" s="5"/>
      <c r="AO1131" s="5"/>
      <c r="AP1131" s="5"/>
      <c r="AQ1131" s="5"/>
      <c r="AR1131" s="5"/>
      <c r="AS1131" s="5"/>
      <c r="AT1131" s="5"/>
      <c r="AU1131" s="5"/>
      <c r="AV1131" s="5"/>
      <c r="AW1131" s="5"/>
      <c r="AX1131" s="5"/>
      <c r="AY1131" s="5"/>
      <c r="AZ1131" s="5"/>
      <c r="BA1131" s="5"/>
      <c r="BB1131" s="5"/>
      <c r="BC1131" s="5"/>
      <c r="BD1131" s="5"/>
      <c r="BE1131" s="5"/>
      <c r="BF1131" s="5"/>
      <c r="BG1131" s="5"/>
      <c r="BH1131" s="5"/>
      <c r="BI1131" s="5"/>
      <c r="BJ1131" s="5"/>
      <c r="BK1131" s="5"/>
      <c r="BL1131" s="5"/>
      <c r="BM1131" s="5"/>
    </row>
    <row r="1132" ht="15.75" customHeight="1">
      <c r="A1132" s="5"/>
      <c r="B1132" s="5"/>
      <c r="C1132" s="5"/>
      <c r="D1132" s="5"/>
      <c r="E1132" s="14"/>
      <c r="F1132" s="15"/>
      <c r="G1132" s="14"/>
      <c r="H1132" s="16"/>
      <c r="I1132" s="14"/>
      <c r="J1132" s="16"/>
      <c r="K1132" s="14"/>
      <c r="L1132" s="16"/>
      <c r="M1132" s="14"/>
      <c r="N1132" s="16"/>
      <c r="O1132" s="14"/>
      <c r="P1132" s="16"/>
      <c r="Q1132" s="14"/>
      <c r="R1132" s="5"/>
      <c r="S1132" s="14"/>
      <c r="T1132" s="16"/>
      <c r="U1132" s="16"/>
      <c r="V1132" s="17"/>
      <c r="W1132" s="6"/>
      <c r="X1132" s="22"/>
      <c r="Y1132" s="14"/>
      <c r="Z1132" s="14"/>
      <c r="AA1132" s="14"/>
      <c r="AB1132" s="14"/>
      <c r="AC1132" s="14"/>
      <c r="AD1132" s="14"/>
      <c r="AE1132" s="14"/>
      <c r="AF1132" s="14"/>
      <c r="AG1132" s="19"/>
      <c r="AH1132" s="20"/>
      <c r="AI1132" s="5"/>
      <c r="AJ1132" s="5"/>
      <c r="AK1132" s="5"/>
      <c r="AL1132" s="5"/>
      <c r="AM1132" s="5"/>
      <c r="AN1132" s="5"/>
      <c r="AO1132" s="5"/>
      <c r="AP1132" s="5"/>
      <c r="AQ1132" s="5"/>
      <c r="AR1132" s="5"/>
      <c r="AS1132" s="5"/>
      <c r="AT1132" s="5"/>
      <c r="AU1132" s="5"/>
      <c r="AV1132" s="5"/>
      <c r="AW1132" s="5"/>
      <c r="AX1132" s="5"/>
      <c r="AY1132" s="5"/>
      <c r="AZ1132" s="5"/>
      <c r="BA1132" s="5"/>
      <c r="BB1132" s="5"/>
      <c r="BC1132" s="5"/>
      <c r="BD1132" s="5"/>
      <c r="BE1132" s="5"/>
      <c r="BF1132" s="5"/>
      <c r="BG1132" s="5"/>
      <c r="BH1132" s="5"/>
      <c r="BI1132" s="5"/>
      <c r="BJ1132" s="5"/>
      <c r="BK1132" s="5"/>
      <c r="BL1132" s="5"/>
      <c r="BM1132" s="5"/>
    </row>
    <row r="1133" ht="15.75" customHeight="1">
      <c r="A1133" s="5"/>
      <c r="B1133" s="5"/>
      <c r="C1133" s="5"/>
      <c r="D1133" s="5"/>
      <c r="E1133" s="14"/>
      <c r="F1133" s="15"/>
      <c r="G1133" s="14"/>
      <c r="H1133" s="16"/>
      <c r="I1133" s="14"/>
      <c r="J1133" s="16"/>
      <c r="K1133" s="14"/>
      <c r="L1133" s="16"/>
      <c r="M1133" s="14"/>
      <c r="N1133" s="16"/>
      <c r="O1133" s="14"/>
      <c r="P1133" s="16"/>
      <c r="Q1133" s="14"/>
      <c r="R1133" s="5"/>
      <c r="S1133" s="14"/>
      <c r="T1133" s="16"/>
      <c r="U1133" s="16"/>
      <c r="V1133" s="17"/>
      <c r="W1133" s="6"/>
      <c r="X1133" s="22"/>
      <c r="Y1133" s="14"/>
      <c r="Z1133" s="14"/>
      <c r="AA1133" s="14"/>
      <c r="AB1133" s="14"/>
      <c r="AC1133" s="14"/>
      <c r="AD1133" s="14"/>
      <c r="AE1133" s="14"/>
      <c r="AF1133" s="14"/>
      <c r="AG1133" s="19"/>
      <c r="AH1133" s="20"/>
      <c r="AI1133" s="5"/>
      <c r="AJ1133" s="5"/>
      <c r="AK1133" s="5"/>
      <c r="AL1133" s="5"/>
      <c r="AM1133" s="5"/>
      <c r="AN1133" s="5"/>
      <c r="AO1133" s="5"/>
      <c r="AP1133" s="5"/>
      <c r="AQ1133" s="5"/>
      <c r="AR1133" s="5"/>
      <c r="AS1133" s="5"/>
      <c r="AT1133" s="5"/>
      <c r="AU1133" s="5"/>
      <c r="AV1133" s="5"/>
      <c r="AW1133" s="5"/>
      <c r="AX1133" s="5"/>
      <c r="AY1133" s="5"/>
      <c r="AZ1133" s="5"/>
      <c r="BA1133" s="5"/>
      <c r="BB1133" s="5"/>
      <c r="BC1133" s="5"/>
      <c r="BD1133" s="5"/>
      <c r="BE1133" s="5"/>
      <c r="BF1133" s="5"/>
      <c r="BG1133" s="5"/>
      <c r="BH1133" s="5"/>
      <c r="BI1133" s="5"/>
      <c r="BJ1133" s="5"/>
      <c r="BK1133" s="5"/>
      <c r="BL1133" s="5"/>
      <c r="BM1133" s="5"/>
    </row>
    <row r="1134" ht="15.75" customHeight="1">
      <c r="A1134" s="5"/>
      <c r="B1134" s="5"/>
      <c r="C1134" s="5"/>
      <c r="D1134" s="5"/>
      <c r="E1134" s="14"/>
      <c r="F1134" s="15"/>
      <c r="G1134" s="14"/>
      <c r="H1134" s="16"/>
      <c r="I1134" s="14"/>
      <c r="J1134" s="16"/>
      <c r="K1134" s="14"/>
      <c r="L1134" s="16"/>
      <c r="M1134" s="14"/>
      <c r="N1134" s="16"/>
      <c r="O1134" s="14"/>
      <c r="P1134" s="16"/>
      <c r="Q1134" s="14"/>
      <c r="R1134" s="5"/>
      <c r="S1134" s="14"/>
      <c r="T1134" s="16"/>
      <c r="U1134" s="16"/>
      <c r="V1134" s="17"/>
      <c r="W1134" s="6"/>
      <c r="X1134" s="22"/>
      <c r="Y1134" s="14"/>
      <c r="Z1134" s="14"/>
      <c r="AA1134" s="14"/>
      <c r="AB1134" s="14"/>
      <c r="AC1134" s="14"/>
      <c r="AD1134" s="14"/>
      <c r="AE1134" s="14"/>
      <c r="AF1134" s="14"/>
      <c r="AG1134" s="19"/>
      <c r="AH1134" s="20"/>
      <c r="AI1134" s="5"/>
      <c r="AJ1134" s="5"/>
      <c r="AK1134" s="5"/>
      <c r="AL1134" s="5"/>
      <c r="AM1134" s="5"/>
      <c r="AN1134" s="5"/>
      <c r="AO1134" s="5"/>
      <c r="AP1134" s="5"/>
      <c r="AQ1134" s="5"/>
      <c r="AR1134" s="5"/>
      <c r="AS1134" s="5"/>
      <c r="AT1134" s="5"/>
      <c r="AU1134" s="5"/>
      <c r="AV1134" s="5"/>
      <c r="AW1134" s="5"/>
      <c r="AX1134" s="5"/>
      <c r="AY1134" s="5"/>
      <c r="AZ1134" s="5"/>
      <c r="BA1134" s="5"/>
      <c r="BB1134" s="5"/>
      <c r="BC1134" s="5"/>
      <c r="BD1134" s="5"/>
      <c r="BE1134" s="5"/>
      <c r="BF1134" s="5"/>
      <c r="BG1134" s="5"/>
      <c r="BH1134" s="5"/>
      <c r="BI1134" s="5"/>
      <c r="BJ1134" s="5"/>
      <c r="BK1134" s="5"/>
      <c r="BL1134" s="5"/>
      <c r="BM1134" s="5"/>
    </row>
    <row r="1135" ht="15.75" customHeight="1">
      <c r="A1135" s="5"/>
      <c r="B1135" s="5"/>
      <c r="C1135" s="5"/>
      <c r="D1135" s="5"/>
      <c r="E1135" s="14"/>
      <c r="F1135" s="15"/>
      <c r="G1135" s="14"/>
      <c r="H1135" s="16"/>
      <c r="I1135" s="14"/>
      <c r="J1135" s="16"/>
      <c r="K1135" s="14"/>
      <c r="L1135" s="16"/>
      <c r="M1135" s="14"/>
      <c r="N1135" s="16"/>
      <c r="O1135" s="14"/>
      <c r="P1135" s="16"/>
      <c r="Q1135" s="14"/>
      <c r="R1135" s="5"/>
      <c r="S1135" s="14"/>
      <c r="T1135" s="16"/>
      <c r="U1135" s="16"/>
      <c r="V1135" s="17"/>
      <c r="W1135" s="6"/>
      <c r="X1135" s="22"/>
      <c r="Y1135" s="14"/>
      <c r="Z1135" s="14"/>
      <c r="AA1135" s="14"/>
      <c r="AB1135" s="14"/>
      <c r="AC1135" s="14"/>
      <c r="AD1135" s="14"/>
      <c r="AE1135" s="14"/>
      <c r="AF1135" s="14"/>
      <c r="AG1135" s="19"/>
      <c r="AH1135" s="20"/>
      <c r="AI1135" s="5"/>
      <c r="AJ1135" s="5"/>
      <c r="AK1135" s="5"/>
      <c r="AL1135" s="5"/>
      <c r="AM1135" s="5"/>
      <c r="AN1135" s="5"/>
      <c r="AO1135" s="5"/>
      <c r="AP1135" s="5"/>
      <c r="AQ1135" s="5"/>
      <c r="AR1135" s="5"/>
      <c r="AS1135" s="5"/>
      <c r="AT1135" s="5"/>
      <c r="AU1135" s="5"/>
      <c r="AV1135" s="5"/>
      <c r="AW1135" s="5"/>
      <c r="AX1135" s="5"/>
      <c r="AY1135" s="5"/>
      <c r="AZ1135" s="5"/>
      <c r="BA1135" s="5"/>
      <c r="BB1135" s="5"/>
      <c r="BC1135" s="5"/>
      <c r="BD1135" s="5"/>
      <c r="BE1135" s="5"/>
      <c r="BF1135" s="5"/>
      <c r="BG1135" s="5"/>
      <c r="BH1135" s="5"/>
      <c r="BI1135" s="5"/>
      <c r="BJ1135" s="5"/>
      <c r="BK1135" s="5"/>
      <c r="BL1135" s="5"/>
      <c r="BM1135" s="5"/>
    </row>
    <row r="1136" ht="15.75" customHeight="1">
      <c r="A1136" s="5"/>
      <c r="B1136" s="5"/>
      <c r="C1136" s="5"/>
      <c r="D1136" s="5"/>
      <c r="E1136" s="14"/>
      <c r="F1136" s="15"/>
      <c r="G1136" s="14"/>
      <c r="H1136" s="16"/>
      <c r="I1136" s="14"/>
      <c r="J1136" s="16"/>
      <c r="K1136" s="14"/>
      <c r="L1136" s="16"/>
      <c r="M1136" s="14"/>
      <c r="N1136" s="16"/>
      <c r="O1136" s="14"/>
      <c r="P1136" s="16"/>
      <c r="Q1136" s="14"/>
      <c r="R1136" s="5"/>
      <c r="S1136" s="14"/>
      <c r="T1136" s="16"/>
      <c r="U1136" s="16"/>
      <c r="V1136" s="17"/>
      <c r="W1136" s="6"/>
      <c r="X1136" s="22"/>
      <c r="Y1136" s="14"/>
      <c r="Z1136" s="14"/>
      <c r="AA1136" s="14"/>
      <c r="AB1136" s="14"/>
      <c r="AC1136" s="14"/>
      <c r="AD1136" s="14"/>
      <c r="AE1136" s="14"/>
      <c r="AF1136" s="14"/>
      <c r="AG1136" s="19"/>
      <c r="AH1136" s="20"/>
      <c r="AI1136" s="5"/>
      <c r="AJ1136" s="5"/>
      <c r="AK1136" s="5"/>
      <c r="AL1136" s="5"/>
      <c r="AM1136" s="5"/>
      <c r="AN1136" s="5"/>
      <c r="AO1136" s="5"/>
      <c r="AP1136" s="5"/>
      <c r="AQ1136" s="5"/>
      <c r="AR1136" s="5"/>
      <c r="AS1136" s="5"/>
      <c r="AT1136" s="5"/>
      <c r="AU1136" s="5"/>
      <c r="AV1136" s="5"/>
      <c r="AW1136" s="5"/>
      <c r="AX1136" s="5"/>
      <c r="AY1136" s="5"/>
      <c r="AZ1136" s="5"/>
      <c r="BA1136" s="5"/>
      <c r="BB1136" s="5"/>
      <c r="BC1136" s="5"/>
      <c r="BD1136" s="5"/>
      <c r="BE1136" s="5"/>
      <c r="BF1136" s="5"/>
      <c r="BG1136" s="5"/>
      <c r="BH1136" s="5"/>
      <c r="BI1136" s="5"/>
      <c r="BJ1136" s="5"/>
      <c r="BK1136" s="5"/>
      <c r="BL1136" s="5"/>
      <c r="BM1136" s="5"/>
    </row>
    <row r="1137" ht="15.75" customHeight="1">
      <c r="A1137" s="5"/>
      <c r="B1137" s="5"/>
      <c r="C1137" s="5"/>
      <c r="D1137" s="5"/>
      <c r="E1137" s="14"/>
      <c r="F1137" s="15"/>
      <c r="G1137" s="14"/>
      <c r="H1137" s="16"/>
      <c r="I1137" s="14"/>
      <c r="J1137" s="16"/>
      <c r="K1137" s="14"/>
      <c r="L1137" s="16"/>
      <c r="M1137" s="14"/>
      <c r="N1137" s="16"/>
      <c r="O1137" s="14"/>
      <c r="P1137" s="16"/>
      <c r="Q1137" s="14"/>
      <c r="R1137" s="5"/>
      <c r="S1137" s="14"/>
      <c r="T1137" s="16"/>
      <c r="U1137" s="16"/>
      <c r="V1137" s="17"/>
      <c r="W1137" s="6"/>
      <c r="X1137" s="22"/>
      <c r="Y1137" s="14"/>
      <c r="Z1137" s="14"/>
      <c r="AA1137" s="14"/>
      <c r="AB1137" s="14"/>
      <c r="AC1137" s="14"/>
      <c r="AD1137" s="14"/>
      <c r="AE1137" s="14"/>
      <c r="AF1137" s="14"/>
      <c r="AG1137" s="19"/>
      <c r="AH1137" s="20"/>
      <c r="AI1137" s="5"/>
      <c r="AJ1137" s="5"/>
      <c r="AK1137" s="5"/>
      <c r="AL1137" s="5"/>
      <c r="AM1137" s="5"/>
      <c r="AN1137" s="5"/>
      <c r="AO1137" s="5"/>
      <c r="AP1137" s="5"/>
      <c r="AQ1137" s="5"/>
      <c r="AR1137" s="5"/>
      <c r="AS1137" s="5"/>
      <c r="AT1137" s="5"/>
      <c r="AU1137" s="5"/>
      <c r="AV1137" s="5"/>
      <c r="AW1137" s="5"/>
      <c r="AX1137" s="5"/>
      <c r="AY1137" s="5"/>
      <c r="AZ1137" s="5"/>
      <c r="BA1137" s="5"/>
      <c r="BB1137" s="5"/>
      <c r="BC1137" s="5"/>
      <c r="BD1137" s="5"/>
      <c r="BE1137" s="5"/>
      <c r="BF1137" s="5"/>
      <c r="BG1137" s="5"/>
      <c r="BH1137" s="5"/>
      <c r="BI1137" s="5"/>
      <c r="BJ1137" s="5"/>
      <c r="BK1137" s="5"/>
      <c r="BL1137" s="5"/>
      <c r="BM1137" s="5"/>
    </row>
    <row r="1138" ht="15.75" customHeight="1">
      <c r="A1138" s="5"/>
      <c r="B1138" s="5"/>
      <c r="C1138" s="5"/>
      <c r="D1138" s="5"/>
      <c r="E1138" s="14"/>
      <c r="F1138" s="15"/>
      <c r="G1138" s="14"/>
      <c r="H1138" s="16"/>
      <c r="I1138" s="14"/>
      <c r="J1138" s="16"/>
      <c r="K1138" s="14"/>
      <c r="L1138" s="16"/>
      <c r="M1138" s="14"/>
      <c r="N1138" s="16"/>
      <c r="O1138" s="14"/>
      <c r="P1138" s="16"/>
      <c r="Q1138" s="14"/>
      <c r="R1138" s="5"/>
      <c r="S1138" s="14"/>
      <c r="T1138" s="16"/>
      <c r="U1138" s="16"/>
      <c r="V1138" s="17"/>
      <c r="W1138" s="6"/>
      <c r="X1138" s="22"/>
      <c r="Y1138" s="14"/>
      <c r="Z1138" s="14"/>
      <c r="AA1138" s="14"/>
      <c r="AB1138" s="14"/>
      <c r="AC1138" s="14"/>
      <c r="AD1138" s="14"/>
      <c r="AE1138" s="14"/>
      <c r="AF1138" s="14"/>
      <c r="AG1138" s="19"/>
      <c r="AH1138" s="20"/>
      <c r="AI1138" s="5"/>
      <c r="AJ1138" s="5"/>
      <c r="AK1138" s="5"/>
      <c r="AL1138" s="5"/>
      <c r="AM1138" s="5"/>
      <c r="AN1138" s="5"/>
      <c r="AO1138" s="5"/>
      <c r="AP1138" s="5"/>
      <c r="AQ1138" s="5"/>
      <c r="AR1138" s="5"/>
      <c r="AS1138" s="5"/>
      <c r="AT1138" s="5"/>
      <c r="AU1138" s="5"/>
      <c r="AV1138" s="5"/>
      <c r="AW1138" s="5"/>
      <c r="AX1138" s="5"/>
      <c r="AY1138" s="5"/>
      <c r="AZ1138" s="5"/>
      <c r="BA1138" s="5"/>
      <c r="BB1138" s="5"/>
      <c r="BC1138" s="5"/>
      <c r="BD1138" s="5"/>
      <c r="BE1138" s="5"/>
      <c r="BF1138" s="5"/>
      <c r="BG1138" s="5"/>
      <c r="BH1138" s="5"/>
      <c r="BI1138" s="5"/>
      <c r="BJ1138" s="5"/>
      <c r="BK1138" s="5"/>
      <c r="BL1138" s="5"/>
      <c r="BM1138" s="5"/>
    </row>
    <row r="1139" ht="15.75" customHeight="1">
      <c r="A1139" s="5"/>
      <c r="B1139" s="5"/>
      <c r="C1139" s="5"/>
      <c r="D1139" s="5"/>
      <c r="E1139" s="14"/>
      <c r="F1139" s="15"/>
      <c r="G1139" s="14"/>
      <c r="H1139" s="16"/>
      <c r="I1139" s="14"/>
      <c r="J1139" s="16"/>
      <c r="K1139" s="14"/>
      <c r="L1139" s="16"/>
      <c r="M1139" s="14"/>
      <c r="N1139" s="16"/>
      <c r="O1139" s="14"/>
      <c r="P1139" s="16"/>
      <c r="Q1139" s="14"/>
      <c r="R1139" s="5"/>
      <c r="S1139" s="14"/>
      <c r="T1139" s="16"/>
      <c r="U1139" s="16"/>
      <c r="V1139" s="17"/>
      <c r="W1139" s="6"/>
      <c r="X1139" s="22"/>
      <c r="Y1139" s="14"/>
      <c r="Z1139" s="14"/>
      <c r="AA1139" s="14"/>
      <c r="AB1139" s="14"/>
      <c r="AC1139" s="14"/>
      <c r="AD1139" s="14"/>
      <c r="AE1139" s="14"/>
      <c r="AF1139" s="14"/>
      <c r="AG1139" s="19"/>
      <c r="AH1139" s="20"/>
      <c r="AI1139" s="5"/>
      <c r="AJ1139" s="5"/>
      <c r="AK1139" s="5"/>
      <c r="AL1139" s="5"/>
      <c r="AM1139" s="5"/>
      <c r="AN1139" s="5"/>
      <c r="AO1139" s="5"/>
      <c r="AP1139" s="5"/>
      <c r="AQ1139" s="5"/>
      <c r="AR1139" s="5"/>
      <c r="AS1139" s="5"/>
      <c r="AT1139" s="5"/>
      <c r="AU1139" s="5"/>
      <c r="AV1139" s="5"/>
      <c r="AW1139" s="5"/>
      <c r="AX1139" s="5"/>
      <c r="AY1139" s="5"/>
      <c r="AZ1139" s="5"/>
      <c r="BA1139" s="5"/>
      <c r="BB1139" s="5"/>
      <c r="BC1139" s="5"/>
      <c r="BD1139" s="5"/>
      <c r="BE1139" s="5"/>
      <c r="BF1139" s="5"/>
      <c r="BG1139" s="5"/>
      <c r="BH1139" s="5"/>
      <c r="BI1139" s="5"/>
      <c r="BJ1139" s="5"/>
      <c r="BK1139" s="5"/>
      <c r="BL1139" s="5"/>
      <c r="BM1139" s="5"/>
    </row>
    <row r="1140" ht="15.75" customHeight="1">
      <c r="A1140" s="5"/>
      <c r="B1140" s="5"/>
      <c r="C1140" s="5"/>
      <c r="D1140" s="5"/>
      <c r="E1140" s="14"/>
      <c r="F1140" s="15"/>
      <c r="G1140" s="14"/>
      <c r="H1140" s="16"/>
      <c r="I1140" s="14"/>
      <c r="J1140" s="16"/>
      <c r="K1140" s="14"/>
      <c r="L1140" s="16"/>
      <c r="M1140" s="14"/>
      <c r="N1140" s="16"/>
      <c r="O1140" s="14"/>
      <c r="P1140" s="16"/>
      <c r="Q1140" s="14"/>
      <c r="R1140" s="5"/>
      <c r="S1140" s="14"/>
      <c r="T1140" s="16"/>
      <c r="U1140" s="16"/>
      <c r="V1140" s="17"/>
      <c r="W1140" s="6"/>
      <c r="X1140" s="22"/>
      <c r="Y1140" s="14"/>
      <c r="Z1140" s="14"/>
      <c r="AA1140" s="14"/>
      <c r="AB1140" s="14"/>
      <c r="AC1140" s="14"/>
      <c r="AD1140" s="14"/>
      <c r="AE1140" s="14"/>
      <c r="AF1140" s="14"/>
      <c r="AG1140" s="19"/>
      <c r="AH1140" s="20"/>
      <c r="AI1140" s="5"/>
      <c r="AJ1140" s="5"/>
      <c r="AK1140" s="5"/>
      <c r="AL1140" s="5"/>
      <c r="AM1140" s="5"/>
      <c r="AN1140" s="5"/>
      <c r="AO1140" s="5"/>
      <c r="AP1140" s="5"/>
      <c r="AQ1140" s="5"/>
      <c r="AR1140" s="5"/>
      <c r="AS1140" s="5"/>
      <c r="AT1140" s="5"/>
      <c r="AU1140" s="5"/>
      <c r="AV1140" s="5"/>
      <c r="AW1140" s="5"/>
      <c r="AX1140" s="5"/>
      <c r="AY1140" s="5"/>
      <c r="AZ1140" s="5"/>
      <c r="BA1140" s="5"/>
      <c r="BB1140" s="5"/>
      <c r="BC1140" s="5"/>
      <c r="BD1140" s="5"/>
      <c r="BE1140" s="5"/>
      <c r="BF1140" s="5"/>
      <c r="BG1140" s="5"/>
      <c r="BH1140" s="5"/>
      <c r="BI1140" s="5"/>
      <c r="BJ1140" s="5"/>
      <c r="BK1140" s="5"/>
      <c r="BL1140" s="5"/>
      <c r="BM1140" s="5"/>
    </row>
    <row r="1141" ht="15.75" customHeight="1">
      <c r="A1141" s="5"/>
      <c r="B1141" s="5"/>
      <c r="C1141" s="5"/>
      <c r="D1141" s="5"/>
      <c r="E1141" s="14"/>
      <c r="F1141" s="15"/>
      <c r="G1141" s="14"/>
      <c r="H1141" s="16"/>
      <c r="I1141" s="14"/>
      <c r="J1141" s="16"/>
      <c r="K1141" s="14"/>
      <c r="L1141" s="16"/>
      <c r="M1141" s="14"/>
      <c r="N1141" s="16"/>
      <c r="O1141" s="14"/>
      <c r="P1141" s="16"/>
      <c r="Q1141" s="14"/>
      <c r="R1141" s="5"/>
      <c r="S1141" s="14"/>
      <c r="T1141" s="16"/>
      <c r="U1141" s="16"/>
      <c r="V1141" s="17"/>
      <c r="W1141" s="6"/>
      <c r="X1141" s="22"/>
      <c r="Y1141" s="14"/>
      <c r="Z1141" s="14"/>
      <c r="AA1141" s="14"/>
      <c r="AB1141" s="14"/>
      <c r="AC1141" s="14"/>
      <c r="AD1141" s="14"/>
      <c r="AE1141" s="14"/>
      <c r="AF1141" s="14"/>
      <c r="AG1141" s="19"/>
      <c r="AH1141" s="20"/>
      <c r="AI1141" s="5"/>
      <c r="AJ1141" s="5"/>
      <c r="AK1141" s="5"/>
      <c r="AL1141" s="5"/>
      <c r="AM1141" s="5"/>
      <c r="AN1141" s="5"/>
      <c r="AO1141" s="5"/>
      <c r="AP1141" s="5"/>
      <c r="AQ1141" s="5"/>
      <c r="AR1141" s="5"/>
      <c r="AS1141" s="5"/>
      <c r="AT1141" s="5"/>
      <c r="AU1141" s="5"/>
      <c r="AV1141" s="5"/>
      <c r="AW1141" s="5"/>
      <c r="AX1141" s="5"/>
      <c r="AY1141" s="5"/>
      <c r="AZ1141" s="5"/>
      <c r="BA1141" s="5"/>
      <c r="BB1141" s="5"/>
      <c r="BC1141" s="5"/>
      <c r="BD1141" s="5"/>
      <c r="BE1141" s="5"/>
      <c r="BF1141" s="5"/>
      <c r="BG1141" s="5"/>
      <c r="BH1141" s="5"/>
      <c r="BI1141" s="5"/>
      <c r="BJ1141" s="5"/>
      <c r="BK1141" s="5"/>
      <c r="BL1141" s="5"/>
      <c r="BM1141" s="5"/>
    </row>
    <row r="1142" ht="15.75" customHeight="1">
      <c r="A1142" s="5"/>
      <c r="B1142" s="5"/>
      <c r="C1142" s="5"/>
      <c r="D1142" s="5"/>
      <c r="E1142" s="14"/>
      <c r="F1142" s="15"/>
      <c r="G1142" s="14"/>
      <c r="H1142" s="16"/>
      <c r="I1142" s="14"/>
      <c r="J1142" s="16"/>
      <c r="K1142" s="14"/>
      <c r="L1142" s="16"/>
      <c r="M1142" s="14"/>
      <c r="N1142" s="16"/>
      <c r="O1142" s="14"/>
      <c r="P1142" s="16"/>
      <c r="Q1142" s="14"/>
      <c r="R1142" s="5"/>
      <c r="S1142" s="14"/>
      <c r="T1142" s="16"/>
      <c r="U1142" s="16"/>
      <c r="V1142" s="17"/>
      <c r="W1142" s="6"/>
      <c r="X1142" s="22"/>
      <c r="Y1142" s="14"/>
      <c r="Z1142" s="14"/>
      <c r="AA1142" s="14"/>
      <c r="AB1142" s="14"/>
      <c r="AC1142" s="14"/>
      <c r="AD1142" s="14"/>
      <c r="AE1142" s="14"/>
      <c r="AF1142" s="14"/>
      <c r="AG1142" s="19"/>
      <c r="AH1142" s="20"/>
      <c r="AI1142" s="5"/>
      <c r="AJ1142" s="5"/>
      <c r="AK1142" s="5"/>
      <c r="AL1142" s="5"/>
      <c r="AM1142" s="5"/>
      <c r="AN1142" s="5"/>
      <c r="AO1142" s="5"/>
      <c r="AP1142" s="5"/>
      <c r="AQ1142" s="5"/>
      <c r="AR1142" s="5"/>
      <c r="AS1142" s="5"/>
      <c r="AT1142" s="5"/>
      <c r="AU1142" s="5"/>
      <c r="AV1142" s="5"/>
      <c r="AW1142" s="5"/>
      <c r="AX1142" s="5"/>
      <c r="AY1142" s="5"/>
      <c r="AZ1142" s="5"/>
      <c r="BA1142" s="5"/>
      <c r="BB1142" s="5"/>
      <c r="BC1142" s="5"/>
      <c r="BD1142" s="5"/>
      <c r="BE1142" s="5"/>
      <c r="BF1142" s="5"/>
      <c r="BG1142" s="5"/>
      <c r="BH1142" s="5"/>
      <c r="BI1142" s="5"/>
      <c r="BJ1142" s="5"/>
      <c r="BK1142" s="5"/>
      <c r="BL1142" s="5"/>
      <c r="BM1142" s="5"/>
    </row>
    <row r="1143" ht="15.75" customHeight="1">
      <c r="A1143" s="5"/>
      <c r="B1143" s="5"/>
      <c r="C1143" s="5"/>
      <c r="D1143" s="5"/>
      <c r="E1143" s="14"/>
      <c r="F1143" s="15"/>
      <c r="G1143" s="14"/>
      <c r="H1143" s="16"/>
      <c r="I1143" s="14"/>
      <c r="J1143" s="16"/>
      <c r="K1143" s="14"/>
      <c r="L1143" s="16"/>
      <c r="M1143" s="14"/>
      <c r="N1143" s="16"/>
      <c r="O1143" s="14"/>
      <c r="P1143" s="16"/>
      <c r="Q1143" s="14"/>
      <c r="R1143" s="5"/>
      <c r="S1143" s="14"/>
      <c r="T1143" s="16"/>
      <c r="U1143" s="16"/>
      <c r="V1143" s="17"/>
      <c r="W1143" s="6"/>
      <c r="X1143" s="22"/>
      <c r="Y1143" s="14"/>
      <c r="Z1143" s="14"/>
      <c r="AA1143" s="14"/>
      <c r="AB1143" s="14"/>
      <c r="AC1143" s="14"/>
      <c r="AD1143" s="14"/>
      <c r="AE1143" s="14"/>
      <c r="AF1143" s="14"/>
      <c r="AG1143" s="19"/>
      <c r="AH1143" s="20"/>
      <c r="AI1143" s="5"/>
      <c r="AJ1143" s="5"/>
      <c r="AK1143" s="5"/>
      <c r="AL1143" s="5"/>
      <c r="AM1143" s="5"/>
      <c r="AN1143" s="5"/>
      <c r="AO1143" s="5"/>
      <c r="AP1143" s="5"/>
      <c r="AQ1143" s="5"/>
      <c r="AR1143" s="5"/>
      <c r="AS1143" s="5"/>
      <c r="AT1143" s="5"/>
      <c r="AU1143" s="5"/>
      <c r="AV1143" s="5"/>
      <c r="AW1143" s="5"/>
      <c r="AX1143" s="5"/>
      <c r="AY1143" s="5"/>
      <c r="AZ1143" s="5"/>
      <c r="BA1143" s="5"/>
      <c r="BB1143" s="5"/>
      <c r="BC1143" s="5"/>
      <c r="BD1143" s="5"/>
      <c r="BE1143" s="5"/>
      <c r="BF1143" s="5"/>
      <c r="BG1143" s="5"/>
      <c r="BH1143" s="5"/>
      <c r="BI1143" s="5"/>
      <c r="BJ1143" s="5"/>
      <c r="BK1143" s="5"/>
      <c r="BL1143" s="5"/>
      <c r="BM1143" s="5"/>
    </row>
    <row r="1144" ht="15.75" customHeight="1">
      <c r="A1144" s="5"/>
      <c r="B1144" s="5"/>
      <c r="C1144" s="5"/>
      <c r="D1144" s="5"/>
      <c r="E1144" s="14"/>
      <c r="F1144" s="15"/>
      <c r="G1144" s="14"/>
      <c r="H1144" s="16"/>
      <c r="I1144" s="14"/>
      <c r="J1144" s="16"/>
      <c r="K1144" s="14"/>
      <c r="L1144" s="16"/>
      <c r="M1144" s="14"/>
      <c r="N1144" s="16"/>
      <c r="O1144" s="14"/>
      <c r="P1144" s="16"/>
      <c r="Q1144" s="14"/>
      <c r="R1144" s="5"/>
      <c r="S1144" s="14"/>
      <c r="T1144" s="16"/>
      <c r="U1144" s="16"/>
      <c r="V1144" s="17"/>
      <c r="W1144" s="6"/>
      <c r="X1144" s="22"/>
      <c r="Y1144" s="14"/>
      <c r="Z1144" s="14"/>
      <c r="AA1144" s="14"/>
      <c r="AB1144" s="14"/>
      <c r="AC1144" s="14"/>
      <c r="AD1144" s="14"/>
      <c r="AE1144" s="14"/>
      <c r="AF1144" s="14"/>
      <c r="AG1144" s="19"/>
      <c r="AH1144" s="20"/>
      <c r="AI1144" s="5"/>
      <c r="AJ1144" s="5"/>
      <c r="AK1144" s="5"/>
      <c r="AL1144" s="5"/>
      <c r="AM1144" s="5"/>
      <c r="AN1144" s="5"/>
      <c r="AO1144" s="5"/>
      <c r="AP1144" s="5"/>
      <c r="AQ1144" s="5"/>
      <c r="AR1144" s="5"/>
      <c r="AS1144" s="5"/>
      <c r="AT1144" s="5"/>
      <c r="AU1144" s="5"/>
      <c r="AV1144" s="5"/>
      <c r="AW1144" s="5"/>
      <c r="AX1144" s="5"/>
      <c r="AY1144" s="5"/>
      <c r="AZ1144" s="5"/>
      <c r="BA1144" s="5"/>
      <c r="BB1144" s="5"/>
      <c r="BC1144" s="5"/>
      <c r="BD1144" s="5"/>
      <c r="BE1144" s="5"/>
      <c r="BF1144" s="5"/>
      <c r="BG1144" s="5"/>
      <c r="BH1144" s="5"/>
      <c r="BI1144" s="5"/>
      <c r="BJ1144" s="5"/>
      <c r="BK1144" s="5"/>
      <c r="BL1144" s="5"/>
      <c r="BM1144" s="5"/>
    </row>
    <row r="1145" ht="15.75" customHeight="1">
      <c r="A1145" s="5"/>
      <c r="B1145" s="5"/>
      <c r="C1145" s="5"/>
      <c r="D1145" s="5"/>
      <c r="E1145" s="14"/>
      <c r="F1145" s="15"/>
      <c r="G1145" s="14"/>
      <c r="H1145" s="16"/>
      <c r="I1145" s="14"/>
      <c r="J1145" s="16"/>
      <c r="K1145" s="14"/>
      <c r="L1145" s="16"/>
      <c r="M1145" s="14"/>
      <c r="N1145" s="16"/>
      <c r="O1145" s="14"/>
      <c r="P1145" s="16"/>
      <c r="Q1145" s="14"/>
      <c r="R1145" s="5"/>
      <c r="S1145" s="14"/>
      <c r="T1145" s="16"/>
      <c r="U1145" s="16"/>
      <c r="V1145" s="17"/>
      <c r="W1145" s="6"/>
      <c r="X1145" s="22"/>
      <c r="Y1145" s="14"/>
      <c r="Z1145" s="14"/>
      <c r="AA1145" s="14"/>
      <c r="AB1145" s="14"/>
      <c r="AC1145" s="14"/>
      <c r="AD1145" s="14"/>
      <c r="AE1145" s="14"/>
      <c r="AF1145" s="14"/>
      <c r="AG1145" s="19"/>
      <c r="AH1145" s="20"/>
      <c r="AI1145" s="5"/>
      <c r="AJ1145" s="5"/>
      <c r="AK1145" s="5"/>
      <c r="AL1145" s="5"/>
      <c r="AM1145" s="5"/>
      <c r="AN1145" s="5"/>
      <c r="AO1145" s="5"/>
      <c r="AP1145" s="5"/>
      <c r="AQ1145" s="5"/>
      <c r="AR1145" s="5"/>
      <c r="AS1145" s="5"/>
      <c r="AT1145" s="5"/>
      <c r="AU1145" s="5"/>
      <c r="AV1145" s="5"/>
      <c r="AW1145" s="5"/>
      <c r="AX1145" s="5"/>
      <c r="AY1145" s="5"/>
      <c r="AZ1145" s="5"/>
      <c r="BA1145" s="5"/>
      <c r="BB1145" s="5"/>
      <c r="BC1145" s="5"/>
      <c r="BD1145" s="5"/>
      <c r="BE1145" s="5"/>
      <c r="BF1145" s="5"/>
      <c r="BG1145" s="5"/>
      <c r="BH1145" s="5"/>
      <c r="BI1145" s="5"/>
      <c r="BJ1145" s="5"/>
      <c r="BK1145" s="5"/>
      <c r="BL1145" s="5"/>
      <c r="BM1145" s="5"/>
    </row>
    <row r="1146" ht="15.75" customHeight="1">
      <c r="A1146" s="5"/>
      <c r="B1146" s="5"/>
      <c r="C1146" s="5"/>
      <c r="D1146" s="5"/>
      <c r="E1146" s="14"/>
      <c r="F1146" s="15"/>
      <c r="G1146" s="14"/>
      <c r="H1146" s="16"/>
      <c r="I1146" s="14"/>
      <c r="J1146" s="16"/>
      <c r="K1146" s="14"/>
      <c r="L1146" s="16"/>
      <c r="M1146" s="14"/>
      <c r="N1146" s="16"/>
      <c r="O1146" s="14"/>
      <c r="P1146" s="16"/>
      <c r="Q1146" s="14"/>
      <c r="R1146" s="5"/>
      <c r="S1146" s="14"/>
      <c r="T1146" s="16"/>
      <c r="U1146" s="16"/>
      <c r="V1146" s="17"/>
      <c r="W1146" s="6"/>
      <c r="X1146" s="22"/>
      <c r="Y1146" s="14"/>
      <c r="Z1146" s="14"/>
      <c r="AA1146" s="14"/>
      <c r="AB1146" s="14"/>
      <c r="AC1146" s="14"/>
      <c r="AD1146" s="14"/>
      <c r="AE1146" s="14"/>
      <c r="AF1146" s="14"/>
      <c r="AG1146" s="19"/>
      <c r="AH1146" s="20"/>
      <c r="AI1146" s="5"/>
      <c r="AJ1146" s="5"/>
      <c r="AK1146" s="5"/>
      <c r="AL1146" s="5"/>
      <c r="AM1146" s="5"/>
      <c r="AN1146" s="5"/>
      <c r="AO1146" s="5"/>
      <c r="AP1146" s="5"/>
      <c r="AQ1146" s="5"/>
      <c r="AR1146" s="5"/>
      <c r="AS1146" s="5"/>
      <c r="AT1146" s="5"/>
      <c r="AU1146" s="5"/>
      <c r="AV1146" s="5"/>
      <c r="AW1146" s="5"/>
      <c r="AX1146" s="5"/>
      <c r="AY1146" s="5"/>
      <c r="AZ1146" s="5"/>
      <c r="BA1146" s="5"/>
      <c r="BB1146" s="5"/>
      <c r="BC1146" s="5"/>
      <c r="BD1146" s="5"/>
      <c r="BE1146" s="5"/>
      <c r="BF1146" s="5"/>
      <c r="BG1146" s="5"/>
      <c r="BH1146" s="5"/>
      <c r="BI1146" s="5"/>
      <c r="BJ1146" s="5"/>
      <c r="BK1146" s="5"/>
      <c r="BL1146" s="5"/>
      <c r="BM1146" s="5"/>
    </row>
    <row r="1147" ht="15.75" customHeight="1">
      <c r="A1147" s="5"/>
      <c r="B1147" s="5"/>
      <c r="C1147" s="5"/>
      <c r="D1147" s="5"/>
      <c r="E1147" s="14"/>
      <c r="F1147" s="15"/>
      <c r="G1147" s="14"/>
      <c r="H1147" s="16"/>
      <c r="I1147" s="14"/>
      <c r="J1147" s="16"/>
      <c r="K1147" s="14"/>
      <c r="L1147" s="16"/>
      <c r="M1147" s="14"/>
      <c r="N1147" s="16"/>
      <c r="O1147" s="14"/>
      <c r="P1147" s="16"/>
      <c r="Q1147" s="14"/>
      <c r="R1147" s="5"/>
      <c r="S1147" s="14"/>
      <c r="T1147" s="16"/>
      <c r="U1147" s="16"/>
      <c r="V1147" s="17"/>
      <c r="W1147" s="6"/>
      <c r="X1147" s="22"/>
      <c r="Y1147" s="14"/>
      <c r="Z1147" s="14"/>
      <c r="AA1147" s="14"/>
      <c r="AB1147" s="14"/>
      <c r="AC1147" s="14"/>
      <c r="AD1147" s="14"/>
      <c r="AE1147" s="14"/>
      <c r="AF1147" s="14"/>
      <c r="AG1147" s="19"/>
      <c r="AH1147" s="20"/>
      <c r="AI1147" s="5"/>
      <c r="AJ1147" s="5"/>
      <c r="AK1147" s="5"/>
      <c r="AL1147" s="5"/>
      <c r="AM1147" s="5"/>
      <c r="AN1147" s="5"/>
      <c r="AO1147" s="5"/>
      <c r="AP1147" s="5"/>
      <c r="AQ1147" s="5"/>
      <c r="AR1147" s="5"/>
      <c r="AS1147" s="5"/>
      <c r="AT1147" s="5"/>
      <c r="AU1147" s="5"/>
      <c r="AV1147" s="5"/>
      <c r="AW1147" s="5"/>
      <c r="AX1147" s="5"/>
      <c r="AY1147" s="5"/>
      <c r="AZ1147" s="5"/>
      <c r="BA1147" s="5"/>
      <c r="BB1147" s="5"/>
      <c r="BC1147" s="5"/>
      <c r="BD1147" s="5"/>
      <c r="BE1147" s="5"/>
      <c r="BF1147" s="5"/>
      <c r="BG1147" s="5"/>
      <c r="BH1147" s="5"/>
      <c r="BI1147" s="5"/>
      <c r="BJ1147" s="5"/>
      <c r="BK1147" s="5"/>
      <c r="BL1147" s="5"/>
      <c r="BM1147" s="5"/>
    </row>
    <row r="1148" ht="15.75" customHeight="1">
      <c r="A1148" s="5"/>
      <c r="B1148" s="5"/>
      <c r="C1148" s="5"/>
      <c r="D1148" s="5"/>
      <c r="E1148" s="14"/>
      <c r="F1148" s="15"/>
      <c r="G1148" s="14"/>
      <c r="H1148" s="16"/>
      <c r="I1148" s="14"/>
      <c r="J1148" s="16"/>
      <c r="K1148" s="14"/>
      <c r="L1148" s="16"/>
      <c r="M1148" s="14"/>
      <c r="N1148" s="16"/>
      <c r="O1148" s="14"/>
      <c r="P1148" s="16"/>
      <c r="Q1148" s="14"/>
      <c r="R1148" s="5"/>
      <c r="S1148" s="14"/>
      <c r="T1148" s="16"/>
      <c r="U1148" s="16"/>
      <c r="V1148" s="17"/>
      <c r="W1148" s="6"/>
      <c r="X1148" s="22"/>
      <c r="Y1148" s="14"/>
      <c r="Z1148" s="14"/>
      <c r="AA1148" s="14"/>
      <c r="AB1148" s="14"/>
      <c r="AC1148" s="14"/>
      <c r="AD1148" s="14"/>
      <c r="AE1148" s="14"/>
      <c r="AF1148" s="14"/>
      <c r="AG1148" s="19"/>
      <c r="AH1148" s="20"/>
      <c r="AI1148" s="5"/>
      <c r="AJ1148" s="5"/>
      <c r="AK1148" s="5"/>
      <c r="AL1148" s="5"/>
      <c r="AM1148" s="5"/>
      <c r="AN1148" s="5"/>
      <c r="AO1148" s="5"/>
      <c r="AP1148" s="5"/>
      <c r="AQ1148" s="5"/>
      <c r="AR1148" s="5"/>
      <c r="AS1148" s="5"/>
      <c r="AT1148" s="5"/>
      <c r="AU1148" s="5"/>
      <c r="AV1148" s="5"/>
      <c r="AW1148" s="5"/>
      <c r="AX1148" s="5"/>
      <c r="AY1148" s="5"/>
      <c r="AZ1148" s="5"/>
      <c r="BA1148" s="5"/>
      <c r="BB1148" s="5"/>
      <c r="BC1148" s="5"/>
      <c r="BD1148" s="5"/>
      <c r="BE1148" s="5"/>
      <c r="BF1148" s="5"/>
      <c r="BG1148" s="5"/>
      <c r="BH1148" s="5"/>
      <c r="BI1148" s="5"/>
      <c r="BJ1148" s="5"/>
      <c r="BK1148" s="5"/>
      <c r="BL1148" s="5"/>
      <c r="BM1148" s="5"/>
    </row>
    <row r="1149" ht="15.75" customHeight="1">
      <c r="A1149" s="5"/>
      <c r="B1149" s="5"/>
      <c r="C1149" s="5"/>
      <c r="D1149" s="5"/>
      <c r="E1149" s="14"/>
      <c r="F1149" s="15"/>
      <c r="G1149" s="14"/>
      <c r="H1149" s="16"/>
      <c r="I1149" s="14"/>
      <c r="J1149" s="16"/>
      <c r="K1149" s="14"/>
      <c r="L1149" s="16"/>
      <c r="M1149" s="14"/>
      <c r="N1149" s="16"/>
      <c r="O1149" s="14"/>
      <c r="P1149" s="16"/>
      <c r="Q1149" s="14"/>
      <c r="R1149" s="5"/>
      <c r="S1149" s="14"/>
      <c r="T1149" s="16"/>
      <c r="U1149" s="16"/>
      <c r="V1149" s="17"/>
      <c r="W1149" s="6"/>
      <c r="X1149" s="22"/>
      <c r="Y1149" s="14"/>
      <c r="Z1149" s="14"/>
      <c r="AA1149" s="14"/>
      <c r="AB1149" s="14"/>
      <c r="AC1149" s="14"/>
      <c r="AD1149" s="14"/>
      <c r="AE1149" s="14"/>
      <c r="AF1149" s="14"/>
      <c r="AG1149" s="19"/>
      <c r="AH1149" s="20"/>
      <c r="AI1149" s="5"/>
      <c r="AJ1149" s="5"/>
      <c r="AK1149" s="5"/>
      <c r="AL1149" s="5"/>
      <c r="AM1149" s="5"/>
      <c r="AN1149" s="5"/>
      <c r="AO1149" s="5"/>
      <c r="AP1149" s="5"/>
      <c r="AQ1149" s="5"/>
      <c r="AR1149" s="5"/>
      <c r="AS1149" s="5"/>
      <c r="AT1149" s="5"/>
      <c r="AU1149" s="5"/>
      <c r="AV1149" s="5"/>
      <c r="AW1149" s="5"/>
      <c r="AX1149" s="5"/>
      <c r="AY1149" s="5"/>
      <c r="AZ1149" s="5"/>
      <c r="BA1149" s="5"/>
      <c r="BB1149" s="5"/>
      <c r="BC1149" s="5"/>
      <c r="BD1149" s="5"/>
      <c r="BE1149" s="5"/>
      <c r="BF1149" s="5"/>
      <c r="BG1149" s="5"/>
      <c r="BH1149" s="5"/>
      <c r="BI1149" s="5"/>
      <c r="BJ1149" s="5"/>
      <c r="BK1149" s="5"/>
      <c r="BL1149" s="5"/>
      <c r="BM1149" s="5"/>
    </row>
    <row r="1150" ht="15.75" customHeight="1">
      <c r="A1150" s="5"/>
      <c r="B1150" s="5"/>
      <c r="C1150" s="5"/>
      <c r="D1150" s="5"/>
      <c r="E1150" s="14"/>
      <c r="F1150" s="15"/>
      <c r="G1150" s="14"/>
      <c r="H1150" s="16"/>
      <c r="I1150" s="14"/>
      <c r="J1150" s="16"/>
      <c r="K1150" s="14"/>
      <c r="L1150" s="16"/>
      <c r="M1150" s="14"/>
      <c r="N1150" s="16"/>
      <c r="O1150" s="14"/>
      <c r="P1150" s="16"/>
      <c r="Q1150" s="14"/>
      <c r="R1150" s="5"/>
      <c r="S1150" s="14"/>
      <c r="T1150" s="16"/>
      <c r="U1150" s="16"/>
      <c r="V1150" s="17"/>
      <c r="W1150" s="6"/>
      <c r="X1150" s="22"/>
      <c r="Y1150" s="14"/>
      <c r="Z1150" s="14"/>
      <c r="AA1150" s="14"/>
      <c r="AB1150" s="14"/>
      <c r="AC1150" s="14"/>
      <c r="AD1150" s="14"/>
      <c r="AE1150" s="14"/>
      <c r="AF1150" s="14"/>
      <c r="AG1150" s="19"/>
      <c r="AH1150" s="20"/>
      <c r="AI1150" s="5"/>
      <c r="AJ1150" s="5"/>
      <c r="AK1150" s="5"/>
      <c r="AL1150" s="5"/>
      <c r="AM1150" s="5"/>
      <c r="AN1150" s="5"/>
      <c r="AO1150" s="5"/>
      <c r="AP1150" s="5"/>
      <c r="AQ1150" s="5"/>
      <c r="AR1150" s="5"/>
      <c r="AS1150" s="5"/>
      <c r="AT1150" s="5"/>
      <c r="AU1150" s="5"/>
      <c r="AV1150" s="5"/>
      <c r="AW1150" s="5"/>
      <c r="AX1150" s="5"/>
      <c r="AY1150" s="5"/>
      <c r="AZ1150" s="5"/>
      <c r="BA1150" s="5"/>
      <c r="BB1150" s="5"/>
      <c r="BC1150" s="5"/>
      <c r="BD1150" s="5"/>
      <c r="BE1150" s="5"/>
      <c r="BF1150" s="5"/>
      <c r="BG1150" s="5"/>
      <c r="BH1150" s="5"/>
      <c r="BI1150" s="5"/>
      <c r="BJ1150" s="5"/>
      <c r="BK1150" s="5"/>
      <c r="BL1150" s="5"/>
      <c r="BM1150" s="5"/>
    </row>
    <row r="1151" ht="15.75" customHeight="1">
      <c r="A1151" s="5"/>
      <c r="B1151" s="5"/>
      <c r="C1151" s="5"/>
      <c r="D1151" s="5"/>
      <c r="E1151" s="14"/>
      <c r="F1151" s="15"/>
      <c r="G1151" s="14"/>
      <c r="H1151" s="16"/>
      <c r="I1151" s="14"/>
      <c r="J1151" s="16"/>
      <c r="K1151" s="14"/>
      <c r="L1151" s="16"/>
      <c r="M1151" s="14"/>
      <c r="N1151" s="16"/>
      <c r="O1151" s="14"/>
      <c r="P1151" s="16"/>
      <c r="Q1151" s="14"/>
      <c r="R1151" s="5"/>
      <c r="S1151" s="14"/>
      <c r="T1151" s="16"/>
      <c r="U1151" s="16"/>
      <c r="V1151" s="17"/>
      <c r="W1151" s="6"/>
      <c r="X1151" s="22"/>
      <c r="Y1151" s="14"/>
      <c r="Z1151" s="14"/>
      <c r="AA1151" s="14"/>
      <c r="AB1151" s="14"/>
      <c r="AC1151" s="14"/>
      <c r="AD1151" s="14"/>
      <c r="AE1151" s="14"/>
      <c r="AF1151" s="14"/>
      <c r="AG1151" s="19"/>
      <c r="AH1151" s="20"/>
      <c r="AI1151" s="5"/>
      <c r="AJ1151" s="5"/>
      <c r="AK1151" s="5"/>
      <c r="AL1151" s="5"/>
      <c r="AM1151" s="5"/>
      <c r="AN1151" s="5"/>
      <c r="AO1151" s="5"/>
      <c r="AP1151" s="5"/>
      <c r="AQ1151" s="5"/>
      <c r="AR1151" s="5"/>
      <c r="AS1151" s="5"/>
      <c r="AT1151" s="5"/>
      <c r="AU1151" s="5"/>
      <c r="AV1151" s="5"/>
      <c r="AW1151" s="5"/>
      <c r="AX1151" s="5"/>
      <c r="AY1151" s="5"/>
      <c r="AZ1151" s="5"/>
      <c r="BA1151" s="5"/>
      <c r="BB1151" s="5"/>
      <c r="BC1151" s="5"/>
      <c r="BD1151" s="5"/>
      <c r="BE1151" s="5"/>
      <c r="BF1151" s="5"/>
      <c r="BG1151" s="5"/>
      <c r="BH1151" s="5"/>
      <c r="BI1151" s="5"/>
      <c r="BJ1151" s="5"/>
      <c r="BK1151" s="5"/>
      <c r="BL1151" s="5"/>
      <c r="BM1151" s="5"/>
    </row>
    <row r="1152" ht="15.75" customHeight="1">
      <c r="A1152" s="5"/>
      <c r="B1152" s="5"/>
      <c r="C1152" s="5"/>
      <c r="D1152" s="5"/>
      <c r="E1152" s="14"/>
      <c r="F1152" s="15"/>
      <c r="G1152" s="14"/>
      <c r="H1152" s="16"/>
      <c r="I1152" s="14"/>
      <c r="J1152" s="16"/>
      <c r="K1152" s="14"/>
      <c r="L1152" s="16"/>
      <c r="M1152" s="14"/>
      <c r="N1152" s="16"/>
      <c r="O1152" s="14"/>
      <c r="P1152" s="16"/>
      <c r="Q1152" s="14"/>
      <c r="R1152" s="5"/>
      <c r="S1152" s="14"/>
      <c r="T1152" s="16"/>
      <c r="U1152" s="16"/>
      <c r="V1152" s="17"/>
      <c r="W1152" s="6"/>
      <c r="X1152" s="22"/>
      <c r="Y1152" s="14"/>
      <c r="Z1152" s="14"/>
      <c r="AA1152" s="14"/>
      <c r="AB1152" s="14"/>
      <c r="AC1152" s="14"/>
      <c r="AD1152" s="14"/>
      <c r="AE1152" s="14"/>
      <c r="AF1152" s="14"/>
      <c r="AG1152" s="19"/>
      <c r="AH1152" s="20"/>
      <c r="AI1152" s="5"/>
      <c r="AJ1152" s="5"/>
      <c r="AK1152" s="5"/>
      <c r="AL1152" s="5"/>
      <c r="AM1152" s="5"/>
      <c r="AN1152" s="5"/>
      <c r="AO1152" s="5"/>
      <c r="AP1152" s="5"/>
      <c r="AQ1152" s="5"/>
      <c r="AR1152" s="5"/>
      <c r="AS1152" s="5"/>
      <c r="AT1152" s="5"/>
      <c r="AU1152" s="5"/>
      <c r="AV1152" s="5"/>
      <c r="AW1152" s="5"/>
      <c r="AX1152" s="5"/>
      <c r="AY1152" s="5"/>
      <c r="AZ1152" s="5"/>
      <c r="BA1152" s="5"/>
      <c r="BB1152" s="5"/>
      <c r="BC1152" s="5"/>
      <c r="BD1152" s="5"/>
      <c r="BE1152" s="5"/>
      <c r="BF1152" s="5"/>
      <c r="BG1152" s="5"/>
      <c r="BH1152" s="5"/>
      <c r="BI1152" s="5"/>
      <c r="BJ1152" s="5"/>
      <c r="BK1152" s="5"/>
      <c r="BL1152" s="5"/>
      <c r="BM1152" s="5"/>
    </row>
    <row r="1153" ht="15.75" customHeight="1">
      <c r="A1153" s="5"/>
      <c r="B1153" s="5"/>
      <c r="C1153" s="5"/>
      <c r="D1153" s="5"/>
      <c r="E1153" s="14"/>
      <c r="F1153" s="15"/>
      <c r="G1153" s="14"/>
      <c r="H1153" s="16"/>
      <c r="I1153" s="14"/>
      <c r="J1153" s="16"/>
      <c r="K1153" s="14"/>
      <c r="L1153" s="16"/>
      <c r="M1153" s="14"/>
      <c r="N1153" s="16"/>
      <c r="O1153" s="14"/>
      <c r="P1153" s="16"/>
      <c r="Q1153" s="14"/>
      <c r="R1153" s="5"/>
      <c r="S1153" s="14"/>
      <c r="T1153" s="16"/>
      <c r="U1153" s="16"/>
      <c r="V1153" s="17"/>
      <c r="W1153" s="6"/>
      <c r="X1153" s="22"/>
      <c r="Y1153" s="14"/>
      <c r="Z1153" s="14"/>
      <c r="AA1153" s="14"/>
      <c r="AB1153" s="14"/>
      <c r="AC1153" s="14"/>
      <c r="AD1153" s="14"/>
      <c r="AE1153" s="14"/>
      <c r="AF1153" s="14"/>
      <c r="AG1153" s="19"/>
      <c r="AH1153" s="20"/>
      <c r="AI1153" s="5"/>
      <c r="AJ1153" s="5"/>
      <c r="AK1153" s="5"/>
      <c r="AL1153" s="5"/>
      <c r="AM1153" s="5"/>
      <c r="AN1153" s="5"/>
      <c r="AO1153" s="5"/>
      <c r="AP1153" s="5"/>
      <c r="AQ1153" s="5"/>
      <c r="AR1153" s="5"/>
      <c r="AS1153" s="5"/>
      <c r="AT1153" s="5"/>
      <c r="AU1153" s="5"/>
      <c r="AV1153" s="5"/>
      <c r="AW1153" s="5"/>
      <c r="AX1153" s="5"/>
      <c r="AY1153" s="5"/>
      <c r="AZ1153" s="5"/>
      <c r="BA1153" s="5"/>
      <c r="BB1153" s="5"/>
      <c r="BC1153" s="5"/>
      <c r="BD1153" s="5"/>
      <c r="BE1153" s="5"/>
      <c r="BF1153" s="5"/>
      <c r="BG1153" s="5"/>
      <c r="BH1153" s="5"/>
      <c r="BI1153" s="5"/>
      <c r="BJ1153" s="5"/>
      <c r="BK1153" s="5"/>
      <c r="BL1153" s="5"/>
      <c r="BM1153" s="5"/>
    </row>
    <row r="1154" ht="15.75" customHeight="1">
      <c r="A1154" s="5"/>
      <c r="B1154" s="5"/>
      <c r="C1154" s="5"/>
      <c r="D1154" s="5"/>
      <c r="E1154" s="14"/>
      <c r="F1154" s="15"/>
      <c r="G1154" s="14"/>
      <c r="H1154" s="16"/>
      <c r="I1154" s="14"/>
      <c r="J1154" s="16"/>
      <c r="K1154" s="14"/>
      <c r="L1154" s="16"/>
      <c r="M1154" s="14"/>
      <c r="N1154" s="16"/>
      <c r="O1154" s="14"/>
      <c r="P1154" s="16"/>
      <c r="Q1154" s="14"/>
      <c r="R1154" s="5"/>
      <c r="S1154" s="14"/>
      <c r="T1154" s="16"/>
      <c r="U1154" s="16"/>
      <c r="V1154" s="17"/>
      <c r="W1154" s="6"/>
      <c r="X1154" s="22"/>
      <c r="Y1154" s="14"/>
      <c r="Z1154" s="14"/>
      <c r="AA1154" s="14"/>
      <c r="AB1154" s="14"/>
      <c r="AC1154" s="14"/>
      <c r="AD1154" s="14"/>
      <c r="AE1154" s="14"/>
      <c r="AF1154" s="14"/>
      <c r="AG1154" s="19"/>
      <c r="AH1154" s="20"/>
      <c r="AI1154" s="5"/>
      <c r="AJ1154" s="5"/>
      <c r="AK1154" s="5"/>
      <c r="AL1154" s="5"/>
      <c r="AM1154" s="5"/>
      <c r="AN1154" s="5"/>
      <c r="AO1154" s="5"/>
      <c r="AP1154" s="5"/>
      <c r="AQ1154" s="5"/>
      <c r="AR1154" s="5"/>
      <c r="AS1154" s="5"/>
      <c r="AT1154" s="5"/>
      <c r="AU1154" s="5"/>
      <c r="AV1154" s="5"/>
      <c r="AW1154" s="5"/>
      <c r="AX1154" s="5"/>
      <c r="AY1154" s="5"/>
      <c r="AZ1154" s="5"/>
      <c r="BA1154" s="5"/>
      <c r="BB1154" s="5"/>
      <c r="BC1154" s="5"/>
      <c r="BD1154" s="5"/>
      <c r="BE1154" s="5"/>
      <c r="BF1154" s="5"/>
      <c r="BG1154" s="5"/>
      <c r="BH1154" s="5"/>
      <c r="BI1154" s="5"/>
      <c r="BJ1154" s="5"/>
      <c r="BK1154" s="5"/>
      <c r="BL1154" s="5"/>
      <c r="BM1154" s="5"/>
    </row>
    <row r="1155" ht="15.75" customHeight="1">
      <c r="A1155" s="5"/>
      <c r="B1155" s="5"/>
      <c r="C1155" s="5"/>
      <c r="D1155" s="5"/>
      <c r="E1155" s="14"/>
      <c r="F1155" s="15"/>
      <c r="G1155" s="14"/>
      <c r="H1155" s="16"/>
      <c r="I1155" s="14"/>
      <c r="J1155" s="16"/>
      <c r="K1155" s="14"/>
      <c r="L1155" s="16"/>
      <c r="M1155" s="14"/>
      <c r="N1155" s="16"/>
      <c r="O1155" s="14"/>
      <c r="P1155" s="16"/>
      <c r="Q1155" s="14"/>
      <c r="R1155" s="5"/>
      <c r="S1155" s="14"/>
      <c r="T1155" s="16"/>
      <c r="U1155" s="16"/>
      <c r="V1155" s="17"/>
      <c r="W1155" s="6"/>
      <c r="X1155" s="22"/>
      <c r="Y1155" s="14"/>
      <c r="Z1155" s="14"/>
      <c r="AA1155" s="14"/>
      <c r="AB1155" s="14"/>
      <c r="AC1155" s="14"/>
      <c r="AD1155" s="14"/>
      <c r="AE1155" s="14"/>
      <c r="AF1155" s="14"/>
      <c r="AG1155" s="19"/>
      <c r="AH1155" s="20"/>
      <c r="AI1155" s="5"/>
      <c r="AJ1155" s="5"/>
      <c r="AK1155" s="5"/>
      <c r="AL1155" s="5"/>
      <c r="AM1155" s="5"/>
      <c r="AN1155" s="5"/>
      <c r="AO1155" s="5"/>
      <c r="AP1155" s="5"/>
      <c r="AQ1155" s="5"/>
      <c r="AR1155" s="5"/>
      <c r="AS1155" s="5"/>
      <c r="AT1155" s="5"/>
      <c r="AU1155" s="5"/>
      <c r="AV1155" s="5"/>
      <c r="AW1155" s="5"/>
      <c r="AX1155" s="5"/>
      <c r="AY1155" s="5"/>
      <c r="AZ1155" s="5"/>
      <c r="BA1155" s="5"/>
      <c r="BB1155" s="5"/>
      <c r="BC1155" s="5"/>
      <c r="BD1155" s="5"/>
      <c r="BE1155" s="5"/>
      <c r="BF1155" s="5"/>
      <c r="BG1155" s="5"/>
      <c r="BH1155" s="5"/>
      <c r="BI1155" s="5"/>
      <c r="BJ1155" s="5"/>
      <c r="BK1155" s="5"/>
      <c r="BL1155" s="5"/>
      <c r="BM1155" s="5"/>
    </row>
    <row r="1156" ht="15.75" customHeight="1">
      <c r="A1156" s="5"/>
      <c r="B1156" s="5"/>
      <c r="C1156" s="5"/>
      <c r="D1156" s="5"/>
      <c r="E1156" s="14"/>
      <c r="F1156" s="15"/>
      <c r="G1156" s="14"/>
      <c r="H1156" s="16"/>
      <c r="I1156" s="14"/>
      <c r="J1156" s="16"/>
      <c r="K1156" s="14"/>
      <c r="L1156" s="16"/>
      <c r="M1156" s="14"/>
      <c r="N1156" s="16"/>
      <c r="O1156" s="14"/>
      <c r="P1156" s="16"/>
      <c r="Q1156" s="14"/>
      <c r="R1156" s="5"/>
      <c r="S1156" s="14"/>
      <c r="T1156" s="16"/>
      <c r="U1156" s="16"/>
      <c r="V1156" s="17"/>
      <c r="W1156" s="6"/>
      <c r="X1156" s="22"/>
      <c r="Y1156" s="14"/>
      <c r="Z1156" s="14"/>
      <c r="AA1156" s="14"/>
      <c r="AB1156" s="14"/>
      <c r="AC1156" s="14"/>
      <c r="AD1156" s="14"/>
      <c r="AE1156" s="14"/>
      <c r="AF1156" s="14"/>
      <c r="AG1156" s="19"/>
      <c r="AH1156" s="20"/>
      <c r="AI1156" s="5"/>
      <c r="AJ1156" s="5"/>
      <c r="AK1156" s="5"/>
      <c r="AL1156" s="5"/>
      <c r="AM1156" s="5"/>
      <c r="AN1156" s="5"/>
      <c r="AO1156" s="5"/>
      <c r="AP1156" s="5"/>
      <c r="AQ1156" s="5"/>
      <c r="AR1156" s="5"/>
      <c r="AS1156" s="5"/>
      <c r="AT1156" s="5"/>
      <c r="AU1156" s="5"/>
      <c r="AV1156" s="5"/>
      <c r="AW1156" s="5"/>
      <c r="AX1156" s="5"/>
      <c r="AY1156" s="5"/>
      <c r="AZ1156" s="5"/>
      <c r="BA1156" s="5"/>
      <c r="BB1156" s="5"/>
      <c r="BC1156" s="5"/>
      <c r="BD1156" s="5"/>
      <c r="BE1156" s="5"/>
      <c r="BF1156" s="5"/>
      <c r="BG1156" s="5"/>
      <c r="BH1156" s="5"/>
      <c r="BI1156" s="5"/>
      <c r="BJ1156" s="5"/>
      <c r="BK1156" s="5"/>
      <c r="BL1156" s="5"/>
      <c r="BM1156" s="5"/>
    </row>
    <row r="1157" ht="15.75" customHeight="1">
      <c r="A1157" s="5"/>
      <c r="B1157" s="5"/>
      <c r="C1157" s="5"/>
      <c r="D1157" s="5"/>
      <c r="E1157" s="14"/>
      <c r="F1157" s="15"/>
      <c r="G1157" s="14"/>
      <c r="H1157" s="16"/>
      <c r="I1157" s="14"/>
      <c r="J1157" s="16"/>
      <c r="K1157" s="14"/>
      <c r="L1157" s="16"/>
      <c r="M1157" s="14"/>
      <c r="N1157" s="16"/>
      <c r="O1157" s="14"/>
      <c r="P1157" s="16"/>
      <c r="Q1157" s="14"/>
      <c r="R1157" s="5"/>
      <c r="S1157" s="14"/>
      <c r="T1157" s="16"/>
      <c r="U1157" s="16"/>
      <c r="V1157" s="17"/>
      <c r="W1157" s="6"/>
      <c r="X1157" s="22"/>
      <c r="Y1157" s="14"/>
      <c r="Z1157" s="14"/>
      <c r="AA1157" s="14"/>
      <c r="AB1157" s="14"/>
      <c r="AC1157" s="14"/>
      <c r="AD1157" s="14"/>
      <c r="AE1157" s="14"/>
      <c r="AF1157" s="14"/>
      <c r="AG1157" s="19"/>
      <c r="AH1157" s="20"/>
      <c r="AI1157" s="5"/>
      <c r="AJ1157" s="5"/>
      <c r="AK1157" s="5"/>
      <c r="AL1157" s="5"/>
      <c r="AM1157" s="5"/>
      <c r="AN1157" s="5"/>
      <c r="AO1157" s="5"/>
      <c r="AP1157" s="5"/>
      <c r="AQ1157" s="5"/>
      <c r="AR1157" s="5"/>
      <c r="AS1157" s="5"/>
      <c r="AT1157" s="5"/>
      <c r="AU1157" s="5"/>
      <c r="AV1157" s="5"/>
      <c r="AW1157" s="5"/>
      <c r="AX1157" s="5"/>
      <c r="AY1157" s="5"/>
      <c r="AZ1157" s="5"/>
      <c r="BA1157" s="5"/>
      <c r="BB1157" s="5"/>
      <c r="BC1157" s="5"/>
      <c r="BD1157" s="5"/>
      <c r="BE1157" s="5"/>
      <c r="BF1157" s="5"/>
      <c r="BG1157" s="5"/>
      <c r="BH1157" s="5"/>
      <c r="BI1157" s="5"/>
      <c r="BJ1157" s="5"/>
      <c r="BK1157" s="5"/>
      <c r="BL1157" s="5"/>
      <c r="BM1157" s="5"/>
    </row>
    <row r="1158" ht="15.75" customHeight="1">
      <c r="A1158" s="5"/>
      <c r="B1158" s="5"/>
      <c r="C1158" s="5"/>
      <c r="D1158" s="5"/>
      <c r="E1158" s="14"/>
      <c r="F1158" s="15"/>
      <c r="G1158" s="14"/>
      <c r="H1158" s="16"/>
      <c r="I1158" s="14"/>
      <c r="J1158" s="16"/>
      <c r="K1158" s="14"/>
      <c r="L1158" s="16"/>
      <c r="M1158" s="14"/>
      <c r="N1158" s="16"/>
      <c r="O1158" s="14"/>
      <c r="P1158" s="16"/>
      <c r="Q1158" s="14"/>
      <c r="R1158" s="5"/>
      <c r="S1158" s="14"/>
      <c r="T1158" s="16"/>
      <c r="U1158" s="16"/>
      <c r="V1158" s="17"/>
      <c r="W1158" s="6"/>
      <c r="X1158" s="22"/>
      <c r="Y1158" s="14"/>
      <c r="Z1158" s="14"/>
      <c r="AA1158" s="14"/>
      <c r="AB1158" s="14"/>
      <c r="AC1158" s="14"/>
      <c r="AD1158" s="14"/>
      <c r="AE1158" s="14"/>
      <c r="AF1158" s="14"/>
      <c r="AG1158" s="19"/>
      <c r="AH1158" s="20"/>
      <c r="AI1158" s="5"/>
      <c r="AJ1158" s="5"/>
      <c r="AK1158" s="5"/>
      <c r="AL1158" s="5"/>
      <c r="AM1158" s="5"/>
      <c r="AN1158" s="5"/>
      <c r="AO1158" s="5"/>
      <c r="AP1158" s="5"/>
      <c r="AQ1158" s="5"/>
      <c r="AR1158" s="5"/>
      <c r="AS1158" s="5"/>
      <c r="AT1158" s="5"/>
      <c r="AU1158" s="5"/>
      <c r="AV1158" s="5"/>
      <c r="AW1158" s="5"/>
      <c r="AX1158" s="5"/>
      <c r="AY1158" s="5"/>
      <c r="AZ1158" s="5"/>
      <c r="BA1158" s="5"/>
      <c r="BB1158" s="5"/>
      <c r="BC1158" s="5"/>
      <c r="BD1158" s="5"/>
      <c r="BE1158" s="5"/>
      <c r="BF1158" s="5"/>
      <c r="BG1158" s="5"/>
      <c r="BH1158" s="5"/>
      <c r="BI1158" s="5"/>
      <c r="BJ1158" s="5"/>
      <c r="BK1158" s="5"/>
      <c r="BL1158" s="5"/>
      <c r="BM1158" s="5"/>
    </row>
    <row r="1159" ht="15.75" customHeight="1">
      <c r="A1159" s="5"/>
      <c r="B1159" s="5"/>
      <c r="C1159" s="5"/>
      <c r="D1159" s="5"/>
      <c r="E1159" s="14"/>
      <c r="F1159" s="15"/>
      <c r="G1159" s="14"/>
      <c r="H1159" s="16"/>
      <c r="I1159" s="14"/>
      <c r="J1159" s="16"/>
      <c r="K1159" s="14"/>
      <c r="L1159" s="16"/>
      <c r="M1159" s="14"/>
      <c r="N1159" s="16"/>
      <c r="O1159" s="14"/>
      <c r="P1159" s="16"/>
      <c r="Q1159" s="14"/>
      <c r="R1159" s="5"/>
      <c r="S1159" s="14"/>
      <c r="T1159" s="16"/>
      <c r="U1159" s="16"/>
      <c r="V1159" s="17"/>
      <c r="W1159" s="6"/>
      <c r="X1159" s="22"/>
      <c r="Y1159" s="14"/>
      <c r="Z1159" s="14"/>
      <c r="AA1159" s="14"/>
      <c r="AB1159" s="14"/>
      <c r="AC1159" s="14"/>
      <c r="AD1159" s="14"/>
      <c r="AE1159" s="14"/>
      <c r="AF1159" s="14"/>
      <c r="AG1159" s="19"/>
      <c r="AH1159" s="20"/>
      <c r="AI1159" s="5"/>
      <c r="AJ1159" s="5"/>
      <c r="AK1159" s="5"/>
      <c r="AL1159" s="5"/>
      <c r="AM1159" s="5"/>
      <c r="AN1159" s="5"/>
      <c r="AO1159" s="5"/>
      <c r="AP1159" s="5"/>
      <c r="AQ1159" s="5"/>
      <c r="AR1159" s="5"/>
      <c r="AS1159" s="5"/>
      <c r="AT1159" s="5"/>
      <c r="AU1159" s="5"/>
      <c r="AV1159" s="5"/>
      <c r="AW1159" s="5"/>
      <c r="AX1159" s="5"/>
      <c r="AY1159" s="5"/>
      <c r="AZ1159" s="5"/>
      <c r="BA1159" s="5"/>
      <c r="BB1159" s="5"/>
      <c r="BC1159" s="5"/>
      <c r="BD1159" s="5"/>
      <c r="BE1159" s="5"/>
      <c r="BF1159" s="5"/>
      <c r="BG1159" s="5"/>
      <c r="BH1159" s="5"/>
      <c r="BI1159" s="5"/>
      <c r="BJ1159" s="5"/>
      <c r="BK1159" s="5"/>
      <c r="BL1159" s="5"/>
      <c r="BM1159" s="5"/>
    </row>
    <row r="1160" ht="15.75" customHeight="1">
      <c r="A1160" s="5"/>
      <c r="B1160" s="5"/>
      <c r="C1160" s="5"/>
      <c r="D1160" s="5"/>
      <c r="E1160" s="14"/>
      <c r="F1160" s="15"/>
      <c r="G1160" s="14"/>
      <c r="H1160" s="16"/>
      <c r="I1160" s="14"/>
      <c r="J1160" s="16"/>
      <c r="K1160" s="14"/>
      <c r="L1160" s="16"/>
      <c r="M1160" s="14"/>
      <c r="N1160" s="16"/>
      <c r="O1160" s="14"/>
      <c r="P1160" s="16"/>
      <c r="Q1160" s="14"/>
      <c r="R1160" s="5"/>
      <c r="S1160" s="14"/>
      <c r="T1160" s="16"/>
      <c r="U1160" s="16"/>
      <c r="V1160" s="17"/>
      <c r="W1160" s="6"/>
      <c r="X1160" s="22"/>
      <c r="Y1160" s="14"/>
      <c r="Z1160" s="14"/>
      <c r="AA1160" s="14"/>
      <c r="AB1160" s="14"/>
      <c r="AC1160" s="14"/>
      <c r="AD1160" s="14"/>
      <c r="AE1160" s="14"/>
      <c r="AF1160" s="14"/>
      <c r="AG1160" s="19"/>
      <c r="AH1160" s="20"/>
      <c r="AI1160" s="5"/>
      <c r="AJ1160" s="5"/>
      <c r="AK1160" s="5"/>
      <c r="AL1160" s="5"/>
      <c r="AM1160" s="5"/>
      <c r="AN1160" s="5"/>
      <c r="AO1160" s="5"/>
      <c r="AP1160" s="5"/>
      <c r="AQ1160" s="5"/>
      <c r="AR1160" s="5"/>
      <c r="AS1160" s="5"/>
      <c r="AT1160" s="5"/>
      <c r="AU1160" s="5"/>
      <c r="AV1160" s="5"/>
      <c r="AW1160" s="5"/>
      <c r="AX1160" s="5"/>
      <c r="AY1160" s="5"/>
      <c r="AZ1160" s="5"/>
      <c r="BA1160" s="5"/>
      <c r="BB1160" s="5"/>
      <c r="BC1160" s="5"/>
      <c r="BD1160" s="5"/>
      <c r="BE1160" s="5"/>
      <c r="BF1160" s="5"/>
      <c r="BG1160" s="5"/>
      <c r="BH1160" s="5"/>
      <c r="BI1160" s="5"/>
      <c r="BJ1160" s="5"/>
      <c r="BK1160" s="5"/>
      <c r="BL1160" s="5"/>
      <c r="BM1160" s="5"/>
    </row>
    <row r="1161" ht="15.75" customHeight="1">
      <c r="A1161" s="5"/>
      <c r="B1161" s="5"/>
      <c r="C1161" s="5"/>
      <c r="D1161" s="5"/>
      <c r="E1161" s="14"/>
      <c r="F1161" s="15"/>
      <c r="G1161" s="14"/>
      <c r="H1161" s="16"/>
      <c r="I1161" s="14"/>
      <c r="J1161" s="16"/>
      <c r="K1161" s="14"/>
      <c r="L1161" s="16"/>
      <c r="M1161" s="14"/>
      <c r="N1161" s="16"/>
      <c r="O1161" s="14"/>
      <c r="P1161" s="16"/>
      <c r="Q1161" s="14"/>
      <c r="R1161" s="5"/>
      <c r="S1161" s="14"/>
      <c r="T1161" s="16"/>
      <c r="U1161" s="16"/>
      <c r="V1161" s="17"/>
      <c r="W1161" s="6"/>
      <c r="X1161" s="22"/>
      <c r="Y1161" s="14"/>
      <c r="Z1161" s="14"/>
      <c r="AA1161" s="14"/>
      <c r="AB1161" s="14"/>
      <c r="AC1161" s="14"/>
      <c r="AD1161" s="14"/>
      <c r="AE1161" s="14"/>
      <c r="AF1161" s="14"/>
      <c r="AG1161" s="19"/>
      <c r="AH1161" s="20"/>
      <c r="AI1161" s="5"/>
      <c r="AJ1161" s="5"/>
      <c r="AK1161" s="5"/>
      <c r="AL1161" s="5"/>
      <c r="AM1161" s="5"/>
      <c r="AN1161" s="5"/>
      <c r="AO1161" s="5"/>
      <c r="AP1161" s="5"/>
      <c r="AQ1161" s="5"/>
      <c r="AR1161" s="5"/>
      <c r="AS1161" s="5"/>
      <c r="AT1161" s="5"/>
      <c r="AU1161" s="5"/>
      <c r="AV1161" s="5"/>
      <c r="AW1161" s="5"/>
      <c r="AX1161" s="5"/>
      <c r="AY1161" s="5"/>
      <c r="AZ1161" s="5"/>
      <c r="BA1161" s="5"/>
      <c r="BB1161" s="5"/>
      <c r="BC1161" s="5"/>
      <c r="BD1161" s="5"/>
      <c r="BE1161" s="5"/>
      <c r="BF1161" s="5"/>
      <c r="BG1161" s="5"/>
      <c r="BH1161" s="5"/>
      <c r="BI1161" s="5"/>
      <c r="BJ1161" s="5"/>
      <c r="BK1161" s="5"/>
      <c r="BL1161" s="5"/>
      <c r="BM1161" s="5"/>
    </row>
    <row r="1162" ht="15.75" customHeight="1">
      <c r="A1162" s="5"/>
      <c r="B1162" s="5"/>
      <c r="C1162" s="5"/>
      <c r="D1162" s="5"/>
      <c r="E1162" s="14"/>
      <c r="F1162" s="15"/>
      <c r="G1162" s="14"/>
      <c r="H1162" s="16"/>
      <c r="I1162" s="14"/>
      <c r="J1162" s="16"/>
      <c r="K1162" s="14"/>
      <c r="L1162" s="16"/>
      <c r="M1162" s="14"/>
      <c r="N1162" s="16"/>
      <c r="O1162" s="14"/>
      <c r="P1162" s="16"/>
      <c r="Q1162" s="14"/>
      <c r="R1162" s="5"/>
      <c r="S1162" s="14"/>
      <c r="T1162" s="16"/>
      <c r="U1162" s="16"/>
      <c r="V1162" s="17"/>
      <c r="W1162" s="6"/>
      <c r="X1162" s="22"/>
      <c r="Y1162" s="14"/>
      <c r="Z1162" s="14"/>
      <c r="AA1162" s="14"/>
      <c r="AB1162" s="14"/>
      <c r="AC1162" s="14"/>
      <c r="AD1162" s="14"/>
      <c r="AE1162" s="14"/>
      <c r="AF1162" s="14"/>
      <c r="AG1162" s="19"/>
      <c r="AH1162" s="20"/>
      <c r="AI1162" s="5"/>
      <c r="AJ1162" s="5"/>
      <c r="AK1162" s="5"/>
      <c r="AL1162" s="5"/>
      <c r="AM1162" s="5"/>
      <c r="AN1162" s="5"/>
      <c r="AO1162" s="5"/>
      <c r="AP1162" s="5"/>
      <c r="AQ1162" s="5"/>
      <c r="AR1162" s="5"/>
      <c r="AS1162" s="5"/>
      <c r="AT1162" s="5"/>
      <c r="AU1162" s="5"/>
      <c r="AV1162" s="5"/>
      <c r="AW1162" s="5"/>
      <c r="AX1162" s="5"/>
      <c r="AY1162" s="5"/>
      <c r="AZ1162" s="5"/>
      <c r="BA1162" s="5"/>
      <c r="BB1162" s="5"/>
      <c r="BC1162" s="5"/>
      <c r="BD1162" s="5"/>
      <c r="BE1162" s="5"/>
      <c r="BF1162" s="5"/>
      <c r="BG1162" s="5"/>
      <c r="BH1162" s="5"/>
      <c r="BI1162" s="5"/>
      <c r="BJ1162" s="5"/>
      <c r="BK1162" s="5"/>
      <c r="BL1162" s="5"/>
      <c r="BM1162" s="5"/>
    </row>
    <row r="1163" ht="15.75" customHeight="1">
      <c r="A1163" s="5"/>
      <c r="B1163" s="5"/>
      <c r="C1163" s="5"/>
      <c r="D1163" s="5"/>
      <c r="E1163" s="14"/>
      <c r="F1163" s="15"/>
      <c r="G1163" s="14"/>
      <c r="H1163" s="16"/>
      <c r="I1163" s="14"/>
      <c r="J1163" s="16"/>
      <c r="K1163" s="14"/>
      <c r="L1163" s="16"/>
      <c r="M1163" s="14"/>
      <c r="N1163" s="16"/>
      <c r="O1163" s="14"/>
      <c r="P1163" s="16"/>
      <c r="Q1163" s="14"/>
      <c r="R1163" s="5"/>
      <c r="S1163" s="14"/>
      <c r="T1163" s="16"/>
      <c r="U1163" s="16"/>
      <c r="V1163" s="17"/>
      <c r="W1163" s="6"/>
      <c r="X1163" s="22"/>
      <c r="Y1163" s="14"/>
      <c r="Z1163" s="14"/>
      <c r="AA1163" s="14"/>
      <c r="AB1163" s="14"/>
      <c r="AC1163" s="14"/>
      <c r="AD1163" s="14"/>
      <c r="AE1163" s="14"/>
      <c r="AF1163" s="14"/>
      <c r="AG1163" s="19"/>
      <c r="AH1163" s="20"/>
      <c r="AI1163" s="5"/>
      <c r="AJ1163" s="5"/>
      <c r="AK1163" s="5"/>
      <c r="AL1163" s="5"/>
      <c r="AM1163" s="5"/>
      <c r="AN1163" s="5"/>
      <c r="AO1163" s="5"/>
      <c r="AP1163" s="5"/>
      <c r="AQ1163" s="5"/>
      <c r="AR1163" s="5"/>
      <c r="AS1163" s="5"/>
      <c r="AT1163" s="5"/>
      <c r="AU1163" s="5"/>
      <c r="AV1163" s="5"/>
      <c r="AW1163" s="5"/>
      <c r="AX1163" s="5"/>
      <c r="AY1163" s="5"/>
      <c r="AZ1163" s="5"/>
      <c r="BA1163" s="5"/>
      <c r="BB1163" s="5"/>
      <c r="BC1163" s="5"/>
      <c r="BD1163" s="5"/>
      <c r="BE1163" s="5"/>
      <c r="BF1163" s="5"/>
      <c r="BG1163" s="5"/>
      <c r="BH1163" s="5"/>
      <c r="BI1163" s="5"/>
      <c r="BJ1163" s="5"/>
      <c r="BK1163" s="5"/>
      <c r="BL1163" s="5"/>
      <c r="BM1163" s="5"/>
    </row>
    <row r="1164" ht="15.75" customHeight="1">
      <c r="A1164" s="5"/>
      <c r="B1164" s="5"/>
      <c r="C1164" s="5"/>
      <c r="D1164" s="5"/>
      <c r="E1164" s="14"/>
      <c r="F1164" s="15"/>
      <c r="G1164" s="14"/>
      <c r="H1164" s="16"/>
      <c r="I1164" s="14"/>
      <c r="J1164" s="16"/>
      <c r="K1164" s="14"/>
      <c r="L1164" s="16"/>
      <c r="M1164" s="14"/>
      <c r="N1164" s="16"/>
      <c r="O1164" s="14"/>
      <c r="P1164" s="16"/>
      <c r="Q1164" s="14"/>
      <c r="R1164" s="5"/>
      <c r="S1164" s="14"/>
      <c r="T1164" s="16"/>
      <c r="U1164" s="16"/>
      <c r="V1164" s="17"/>
      <c r="W1164" s="6"/>
      <c r="X1164" s="22"/>
      <c r="Y1164" s="14"/>
      <c r="Z1164" s="14"/>
      <c r="AA1164" s="14"/>
      <c r="AB1164" s="14"/>
      <c r="AC1164" s="14"/>
      <c r="AD1164" s="14"/>
      <c r="AE1164" s="14"/>
      <c r="AF1164" s="14"/>
      <c r="AG1164" s="19"/>
      <c r="AH1164" s="20"/>
      <c r="AI1164" s="5"/>
      <c r="AJ1164" s="5"/>
      <c r="AK1164" s="5"/>
      <c r="AL1164" s="5"/>
      <c r="AM1164" s="5"/>
      <c r="AN1164" s="5"/>
      <c r="AO1164" s="5"/>
      <c r="AP1164" s="5"/>
      <c r="AQ1164" s="5"/>
      <c r="AR1164" s="5"/>
      <c r="AS1164" s="5"/>
      <c r="AT1164" s="5"/>
      <c r="AU1164" s="5"/>
      <c r="AV1164" s="5"/>
      <c r="AW1164" s="5"/>
      <c r="AX1164" s="5"/>
      <c r="AY1164" s="5"/>
      <c r="AZ1164" s="5"/>
      <c r="BA1164" s="5"/>
      <c r="BB1164" s="5"/>
      <c r="BC1164" s="5"/>
      <c r="BD1164" s="5"/>
      <c r="BE1164" s="5"/>
      <c r="BF1164" s="5"/>
      <c r="BG1164" s="5"/>
      <c r="BH1164" s="5"/>
      <c r="BI1164" s="5"/>
      <c r="BJ1164" s="5"/>
      <c r="BK1164" s="5"/>
      <c r="BL1164" s="5"/>
      <c r="BM1164" s="5"/>
    </row>
    <row r="1165" ht="15.75" customHeight="1">
      <c r="A1165" s="5"/>
      <c r="B1165" s="5"/>
      <c r="C1165" s="5"/>
      <c r="D1165" s="5"/>
      <c r="E1165" s="14"/>
      <c r="F1165" s="15"/>
      <c r="G1165" s="14"/>
      <c r="H1165" s="16"/>
      <c r="I1165" s="14"/>
      <c r="J1165" s="16"/>
      <c r="K1165" s="14"/>
      <c r="L1165" s="16"/>
      <c r="M1165" s="14"/>
      <c r="N1165" s="16"/>
      <c r="O1165" s="14"/>
      <c r="P1165" s="16"/>
      <c r="Q1165" s="14"/>
      <c r="R1165" s="5"/>
      <c r="S1165" s="14"/>
      <c r="T1165" s="16"/>
      <c r="U1165" s="16"/>
      <c r="V1165" s="17"/>
      <c r="W1165" s="6"/>
      <c r="X1165" s="22"/>
      <c r="Y1165" s="14"/>
      <c r="Z1165" s="14"/>
      <c r="AA1165" s="14"/>
      <c r="AB1165" s="14"/>
      <c r="AC1165" s="14"/>
      <c r="AD1165" s="14"/>
      <c r="AE1165" s="14"/>
      <c r="AF1165" s="14"/>
      <c r="AG1165" s="19"/>
      <c r="AH1165" s="20"/>
      <c r="AI1165" s="5"/>
      <c r="AJ1165" s="5"/>
      <c r="AK1165" s="5"/>
      <c r="AL1165" s="5"/>
      <c r="AM1165" s="5"/>
      <c r="AN1165" s="5"/>
      <c r="AO1165" s="5"/>
      <c r="AP1165" s="5"/>
      <c r="AQ1165" s="5"/>
      <c r="AR1165" s="5"/>
      <c r="AS1165" s="5"/>
      <c r="AT1165" s="5"/>
      <c r="AU1165" s="5"/>
      <c r="AV1165" s="5"/>
      <c r="AW1165" s="5"/>
      <c r="AX1165" s="5"/>
      <c r="AY1165" s="5"/>
      <c r="AZ1165" s="5"/>
      <c r="BA1165" s="5"/>
      <c r="BB1165" s="5"/>
      <c r="BC1165" s="5"/>
      <c r="BD1165" s="5"/>
      <c r="BE1165" s="5"/>
      <c r="BF1165" s="5"/>
      <c r="BG1165" s="5"/>
      <c r="BH1165" s="5"/>
      <c r="BI1165" s="5"/>
      <c r="BJ1165" s="5"/>
      <c r="BK1165" s="5"/>
      <c r="BL1165" s="5"/>
      <c r="BM1165" s="5"/>
    </row>
    <row r="1166" ht="15.75" customHeight="1">
      <c r="A1166" s="5"/>
      <c r="B1166" s="5"/>
      <c r="C1166" s="5"/>
      <c r="D1166" s="5"/>
      <c r="E1166" s="14"/>
      <c r="F1166" s="15"/>
      <c r="G1166" s="14"/>
      <c r="H1166" s="16"/>
      <c r="I1166" s="14"/>
      <c r="J1166" s="16"/>
      <c r="K1166" s="14"/>
      <c r="L1166" s="16"/>
      <c r="M1166" s="14"/>
      <c r="N1166" s="16"/>
      <c r="O1166" s="14"/>
      <c r="P1166" s="16"/>
      <c r="Q1166" s="14"/>
      <c r="R1166" s="5"/>
      <c r="S1166" s="14"/>
      <c r="T1166" s="16"/>
      <c r="U1166" s="16"/>
      <c r="V1166" s="17"/>
      <c r="W1166" s="6"/>
      <c r="X1166" s="22"/>
      <c r="Y1166" s="14"/>
      <c r="Z1166" s="14"/>
      <c r="AA1166" s="14"/>
      <c r="AB1166" s="14"/>
      <c r="AC1166" s="14"/>
      <c r="AD1166" s="14"/>
      <c r="AE1166" s="14"/>
      <c r="AF1166" s="14"/>
      <c r="AG1166" s="19"/>
      <c r="AH1166" s="20"/>
      <c r="AI1166" s="5"/>
      <c r="AJ1166" s="5"/>
      <c r="AK1166" s="5"/>
      <c r="AL1166" s="5"/>
      <c r="AM1166" s="5"/>
      <c r="AN1166" s="5"/>
      <c r="AO1166" s="5"/>
      <c r="AP1166" s="5"/>
      <c r="AQ1166" s="5"/>
      <c r="AR1166" s="5"/>
      <c r="AS1166" s="5"/>
      <c r="AT1166" s="5"/>
      <c r="AU1166" s="5"/>
      <c r="AV1166" s="5"/>
      <c r="AW1166" s="5"/>
      <c r="AX1166" s="5"/>
      <c r="AY1166" s="5"/>
      <c r="AZ1166" s="5"/>
      <c r="BA1166" s="5"/>
      <c r="BB1166" s="5"/>
      <c r="BC1166" s="5"/>
      <c r="BD1166" s="5"/>
      <c r="BE1166" s="5"/>
      <c r="BF1166" s="5"/>
      <c r="BG1166" s="5"/>
      <c r="BH1166" s="5"/>
      <c r="BI1166" s="5"/>
      <c r="BJ1166" s="5"/>
      <c r="BK1166" s="5"/>
      <c r="BL1166" s="5"/>
      <c r="BM1166" s="5"/>
    </row>
    <row r="1167" ht="15.75" customHeight="1">
      <c r="A1167" s="5"/>
      <c r="B1167" s="5"/>
      <c r="C1167" s="5"/>
      <c r="D1167" s="5"/>
      <c r="E1167" s="14"/>
      <c r="F1167" s="15"/>
      <c r="G1167" s="14"/>
      <c r="H1167" s="16"/>
      <c r="I1167" s="14"/>
      <c r="J1167" s="16"/>
      <c r="K1167" s="14"/>
      <c r="L1167" s="16"/>
      <c r="M1167" s="14"/>
      <c r="N1167" s="16"/>
      <c r="O1167" s="14"/>
      <c r="P1167" s="16"/>
      <c r="Q1167" s="14"/>
      <c r="R1167" s="5"/>
      <c r="S1167" s="14"/>
      <c r="T1167" s="16"/>
      <c r="U1167" s="16"/>
      <c r="V1167" s="17"/>
      <c r="W1167" s="6"/>
      <c r="X1167" s="22"/>
      <c r="Y1167" s="14"/>
      <c r="Z1167" s="14"/>
      <c r="AA1167" s="14"/>
      <c r="AB1167" s="14"/>
      <c r="AC1167" s="14"/>
      <c r="AD1167" s="14"/>
      <c r="AE1167" s="14"/>
      <c r="AF1167" s="14"/>
      <c r="AG1167" s="19"/>
      <c r="AH1167" s="20"/>
      <c r="AI1167" s="5"/>
      <c r="AJ1167" s="5"/>
      <c r="AK1167" s="5"/>
      <c r="AL1167" s="5"/>
      <c r="AM1167" s="5"/>
      <c r="AN1167" s="5"/>
      <c r="AO1167" s="5"/>
      <c r="AP1167" s="5"/>
      <c r="AQ1167" s="5"/>
      <c r="AR1167" s="5"/>
      <c r="AS1167" s="5"/>
      <c r="AT1167" s="5"/>
      <c r="AU1167" s="5"/>
      <c r="AV1167" s="5"/>
      <c r="AW1167" s="5"/>
      <c r="AX1167" s="5"/>
      <c r="AY1167" s="5"/>
      <c r="AZ1167" s="5"/>
      <c r="BA1167" s="5"/>
      <c r="BB1167" s="5"/>
      <c r="BC1167" s="5"/>
      <c r="BD1167" s="5"/>
      <c r="BE1167" s="5"/>
      <c r="BF1167" s="5"/>
      <c r="BG1167" s="5"/>
      <c r="BH1167" s="5"/>
      <c r="BI1167" s="5"/>
      <c r="BJ1167" s="5"/>
      <c r="BK1167" s="5"/>
      <c r="BL1167" s="5"/>
      <c r="BM1167" s="5"/>
    </row>
    <row r="1168" ht="15.75" customHeight="1">
      <c r="A1168" s="5"/>
      <c r="B1168" s="5"/>
      <c r="C1168" s="5"/>
      <c r="D1168" s="5"/>
      <c r="E1168" s="14"/>
      <c r="F1168" s="15"/>
      <c r="G1168" s="14"/>
      <c r="H1168" s="16"/>
      <c r="I1168" s="14"/>
      <c r="J1168" s="16"/>
      <c r="K1168" s="14"/>
      <c r="L1168" s="16"/>
      <c r="M1168" s="14"/>
      <c r="N1168" s="16"/>
      <c r="O1168" s="14"/>
      <c r="P1168" s="16"/>
      <c r="Q1168" s="14"/>
      <c r="R1168" s="5"/>
      <c r="S1168" s="14"/>
      <c r="T1168" s="16"/>
      <c r="U1168" s="16"/>
      <c r="V1168" s="17"/>
      <c r="W1168" s="6"/>
      <c r="X1168" s="22"/>
      <c r="Y1168" s="14"/>
      <c r="Z1168" s="14"/>
      <c r="AA1168" s="14"/>
      <c r="AB1168" s="14"/>
      <c r="AC1168" s="14"/>
      <c r="AD1168" s="14"/>
      <c r="AE1168" s="14"/>
      <c r="AF1168" s="14"/>
      <c r="AG1168" s="19"/>
      <c r="AH1168" s="20"/>
      <c r="AI1168" s="5"/>
      <c r="AJ1168" s="5"/>
      <c r="AK1168" s="5"/>
      <c r="AL1168" s="5"/>
      <c r="AM1168" s="5"/>
      <c r="AN1168" s="5"/>
      <c r="AO1168" s="5"/>
      <c r="AP1168" s="5"/>
      <c r="AQ1168" s="5"/>
      <c r="AR1168" s="5"/>
      <c r="AS1168" s="5"/>
      <c r="AT1168" s="5"/>
      <c r="AU1168" s="5"/>
      <c r="AV1168" s="5"/>
      <c r="AW1168" s="5"/>
      <c r="AX1168" s="5"/>
      <c r="AY1168" s="5"/>
      <c r="AZ1168" s="5"/>
      <c r="BA1168" s="5"/>
      <c r="BB1168" s="5"/>
      <c r="BC1168" s="5"/>
      <c r="BD1168" s="5"/>
      <c r="BE1168" s="5"/>
      <c r="BF1168" s="5"/>
      <c r="BG1168" s="5"/>
      <c r="BH1168" s="5"/>
      <c r="BI1168" s="5"/>
      <c r="BJ1168" s="5"/>
      <c r="BK1168" s="5"/>
      <c r="BL1168" s="5"/>
      <c r="BM1168" s="5"/>
    </row>
    <row r="1169" ht="15.75" customHeight="1">
      <c r="A1169" s="5"/>
      <c r="B1169" s="5"/>
      <c r="C1169" s="5"/>
      <c r="D1169" s="5"/>
      <c r="E1169" s="14"/>
      <c r="F1169" s="15"/>
      <c r="G1169" s="14"/>
      <c r="H1169" s="16"/>
      <c r="I1169" s="14"/>
      <c r="J1169" s="16"/>
      <c r="K1169" s="14"/>
      <c r="L1169" s="16"/>
      <c r="M1169" s="14"/>
      <c r="N1169" s="16"/>
      <c r="O1169" s="14"/>
      <c r="P1169" s="16"/>
      <c r="Q1169" s="14"/>
      <c r="R1169" s="5"/>
      <c r="S1169" s="14"/>
      <c r="T1169" s="16"/>
      <c r="U1169" s="16"/>
      <c r="V1169" s="17"/>
      <c r="W1169" s="6"/>
      <c r="X1169" s="22"/>
      <c r="Y1169" s="14"/>
      <c r="Z1169" s="14"/>
      <c r="AA1169" s="14"/>
      <c r="AB1169" s="14"/>
      <c r="AC1169" s="14"/>
      <c r="AD1169" s="14"/>
      <c r="AE1169" s="14"/>
      <c r="AF1169" s="14"/>
      <c r="AG1169" s="19"/>
      <c r="AH1169" s="20"/>
      <c r="AI1169" s="5"/>
      <c r="AJ1169" s="5"/>
      <c r="AK1169" s="5"/>
      <c r="AL1169" s="5"/>
      <c r="AM1169" s="5"/>
      <c r="AN1169" s="5"/>
      <c r="AO1169" s="5"/>
      <c r="AP1169" s="5"/>
      <c r="AQ1169" s="5"/>
      <c r="AR1169" s="5"/>
      <c r="AS1169" s="5"/>
      <c r="AT1169" s="5"/>
      <c r="AU1169" s="5"/>
      <c r="AV1169" s="5"/>
      <c r="AW1169" s="5"/>
      <c r="AX1169" s="5"/>
      <c r="AY1169" s="5"/>
      <c r="AZ1169" s="5"/>
      <c r="BA1169" s="5"/>
      <c r="BB1169" s="5"/>
      <c r="BC1169" s="5"/>
      <c r="BD1169" s="5"/>
      <c r="BE1169" s="5"/>
      <c r="BF1169" s="5"/>
      <c r="BG1169" s="5"/>
      <c r="BH1169" s="5"/>
      <c r="BI1169" s="5"/>
      <c r="BJ1169" s="5"/>
      <c r="BK1169" s="5"/>
      <c r="BL1169" s="5"/>
      <c r="BM1169" s="5"/>
    </row>
    <row r="1170" ht="15.75" customHeight="1">
      <c r="A1170" s="5"/>
      <c r="B1170" s="5"/>
      <c r="C1170" s="5"/>
      <c r="D1170" s="5"/>
      <c r="E1170" s="14"/>
      <c r="F1170" s="15"/>
      <c r="G1170" s="14"/>
      <c r="H1170" s="16"/>
      <c r="I1170" s="14"/>
      <c r="J1170" s="16"/>
      <c r="K1170" s="14"/>
      <c r="L1170" s="16"/>
      <c r="M1170" s="14"/>
      <c r="N1170" s="16"/>
      <c r="O1170" s="14"/>
      <c r="P1170" s="16"/>
      <c r="Q1170" s="14"/>
      <c r="R1170" s="5"/>
      <c r="S1170" s="14"/>
      <c r="T1170" s="16"/>
      <c r="U1170" s="16"/>
      <c r="V1170" s="17"/>
      <c r="W1170" s="6"/>
      <c r="X1170" s="22"/>
      <c r="Y1170" s="14"/>
      <c r="Z1170" s="14"/>
      <c r="AA1170" s="14"/>
      <c r="AB1170" s="14"/>
      <c r="AC1170" s="14"/>
      <c r="AD1170" s="14"/>
      <c r="AE1170" s="14"/>
      <c r="AF1170" s="14"/>
      <c r="AG1170" s="19"/>
      <c r="AH1170" s="20"/>
      <c r="AI1170" s="5"/>
      <c r="AJ1170" s="5"/>
      <c r="AK1170" s="5"/>
      <c r="AL1170" s="5"/>
      <c r="AM1170" s="5"/>
      <c r="AN1170" s="5"/>
      <c r="AO1170" s="5"/>
      <c r="AP1170" s="5"/>
      <c r="AQ1170" s="5"/>
      <c r="AR1170" s="5"/>
      <c r="AS1170" s="5"/>
      <c r="AT1170" s="5"/>
      <c r="AU1170" s="5"/>
      <c r="AV1170" s="5"/>
      <c r="AW1170" s="5"/>
      <c r="AX1170" s="5"/>
      <c r="AY1170" s="5"/>
      <c r="AZ1170" s="5"/>
      <c r="BA1170" s="5"/>
      <c r="BB1170" s="5"/>
      <c r="BC1170" s="5"/>
      <c r="BD1170" s="5"/>
      <c r="BE1170" s="5"/>
      <c r="BF1170" s="5"/>
      <c r="BG1170" s="5"/>
      <c r="BH1170" s="5"/>
      <c r="BI1170" s="5"/>
      <c r="BJ1170" s="5"/>
      <c r="BK1170" s="5"/>
      <c r="BL1170" s="5"/>
      <c r="BM1170" s="5"/>
    </row>
    <row r="1171" ht="15.75" customHeight="1">
      <c r="A1171" s="5"/>
      <c r="B1171" s="5"/>
      <c r="C1171" s="5"/>
      <c r="D1171" s="5"/>
      <c r="E1171" s="14"/>
      <c r="F1171" s="15"/>
      <c r="G1171" s="14"/>
      <c r="H1171" s="16"/>
      <c r="I1171" s="14"/>
      <c r="J1171" s="16"/>
      <c r="K1171" s="14"/>
      <c r="L1171" s="16"/>
      <c r="M1171" s="14"/>
      <c r="N1171" s="16"/>
      <c r="O1171" s="14"/>
      <c r="P1171" s="16"/>
      <c r="Q1171" s="14"/>
      <c r="R1171" s="5"/>
      <c r="S1171" s="14"/>
      <c r="T1171" s="16"/>
      <c r="U1171" s="16"/>
      <c r="V1171" s="17"/>
      <c r="W1171" s="6"/>
      <c r="X1171" s="22"/>
      <c r="Y1171" s="14"/>
      <c r="Z1171" s="14"/>
      <c r="AA1171" s="14"/>
      <c r="AB1171" s="14"/>
      <c r="AC1171" s="14"/>
      <c r="AD1171" s="14"/>
      <c r="AE1171" s="14"/>
      <c r="AF1171" s="14"/>
      <c r="AG1171" s="19"/>
      <c r="AH1171" s="20"/>
      <c r="AI1171" s="5"/>
      <c r="AJ1171" s="5"/>
      <c r="AK1171" s="5"/>
      <c r="AL1171" s="5"/>
      <c r="AM1171" s="5"/>
      <c r="AN1171" s="5"/>
      <c r="AO1171" s="5"/>
      <c r="AP1171" s="5"/>
      <c r="AQ1171" s="5"/>
      <c r="AR1171" s="5"/>
      <c r="AS1171" s="5"/>
      <c r="AT1171" s="5"/>
      <c r="AU1171" s="5"/>
      <c r="AV1171" s="5"/>
      <c r="AW1171" s="5"/>
      <c r="AX1171" s="5"/>
      <c r="AY1171" s="5"/>
      <c r="AZ1171" s="5"/>
      <c r="BA1171" s="5"/>
      <c r="BB1171" s="5"/>
      <c r="BC1171" s="5"/>
      <c r="BD1171" s="5"/>
      <c r="BE1171" s="5"/>
      <c r="BF1171" s="5"/>
      <c r="BG1171" s="5"/>
      <c r="BH1171" s="5"/>
      <c r="BI1171" s="5"/>
      <c r="BJ1171" s="5"/>
      <c r="BK1171" s="5"/>
      <c r="BL1171" s="5"/>
      <c r="BM1171" s="5"/>
    </row>
    <row r="1172" ht="15.75" customHeight="1">
      <c r="A1172" s="5"/>
      <c r="B1172" s="5"/>
      <c r="C1172" s="5"/>
      <c r="D1172" s="5"/>
      <c r="E1172" s="14"/>
      <c r="F1172" s="15"/>
      <c r="G1172" s="14"/>
      <c r="H1172" s="16"/>
      <c r="I1172" s="14"/>
      <c r="J1172" s="16"/>
      <c r="K1172" s="14"/>
      <c r="L1172" s="16"/>
      <c r="M1172" s="14"/>
      <c r="N1172" s="16"/>
      <c r="O1172" s="14"/>
      <c r="P1172" s="16"/>
      <c r="Q1172" s="14"/>
      <c r="R1172" s="5"/>
      <c r="S1172" s="14"/>
      <c r="T1172" s="16"/>
      <c r="U1172" s="16"/>
      <c r="V1172" s="17"/>
      <c r="W1172" s="6"/>
      <c r="X1172" s="22"/>
      <c r="Y1172" s="14"/>
      <c r="Z1172" s="14"/>
      <c r="AA1172" s="14"/>
      <c r="AB1172" s="14"/>
      <c r="AC1172" s="14"/>
      <c r="AD1172" s="14"/>
      <c r="AE1172" s="14"/>
      <c r="AF1172" s="14"/>
      <c r="AG1172" s="19"/>
      <c r="AH1172" s="20"/>
      <c r="AI1172" s="5"/>
      <c r="AJ1172" s="5"/>
      <c r="AK1172" s="5"/>
      <c r="AL1172" s="5"/>
      <c r="AM1172" s="5"/>
      <c r="AN1172" s="5"/>
      <c r="AO1172" s="5"/>
      <c r="AP1172" s="5"/>
      <c r="AQ1172" s="5"/>
      <c r="AR1172" s="5"/>
      <c r="AS1172" s="5"/>
      <c r="AT1172" s="5"/>
      <c r="AU1172" s="5"/>
      <c r="AV1172" s="5"/>
      <c r="AW1172" s="5"/>
      <c r="AX1172" s="5"/>
      <c r="AY1172" s="5"/>
      <c r="AZ1172" s="5"/>
      <c r="BA1172" s="5"/>
      <c r="BB1172" s="5"/>
      <c r="BC1172" s="5"/>
      <c r="BD1172" s="5"/>
      <c r="BE1172" s="5"/>
      <c r="BF1172" s="5"/>
      <c r="BG1172" s="5"/>
      <c r="BH1172" s="5"/>
      <c r="BI1172" s="5"/>
      <c r="BJ1172" s="5"/>
      <c r="BK1172" s="5"/>
      <c r="BL1172" s="5"/>
      <c r="BM1172" s="5"/>
    </row>
    <row r="1173" ht="15.75" customHeight="1">
      <c r="A1173" s="5"/>
      <c r="B1173" s="5"/>
      <c r="C1173" s="5"/>
      <c r="D1173" s="5"/>
      <c r="E1173" s="14"/>
      <c r="F1173" s="15"/>
      <c r="G1173" s="14"/>
      <c r="H1173" s="16"/>
      <c r="I1173" s="14"/>
      <c r="J1173" s="16"/>
      <c r="K1173" s="14"/>
      <c r="L1173" s="16"/>
      <c r="M1173" s="14"/>
      <c r="N1173" s="16"/>
      <c r="O1173" s="14"/>
      <c r="P1173" s="16"/>
      <c r="Q1173" s="14"/>
      <c r="R1173" s="5"/>
      <c r="S1173" s="14"/>
      <c r="T1173" s="16"/>
      <c r="U1173" s="16"/>
      <c r="V1173" s="17"/>
      <c r="W1173" s="6"/>
      <c r="X1173" s="22"/>
      <c r="Y1173" s="14"/>
      <c r="Z1173" s="14"/>
      <c r="AA1173" s="14"/>
      <c r="AB1173" s="14"/>
      <c r="AC1173" s="14"/>
      <c r="AD1173" s="14"/>
      <c r="AE1173" s="14"/>
      <c r="AF1173" s="14"/>
      <c r="AG1173" s="19"/>
      <c r="AH1173" s="20"/>
      <c r="AI1173" s="5"/>
      <c r="AJ1173" s="5"/>
      <c r="AK1173" s="5"/>
      <c r="AL1173" s="5"/>
      <c r="AM1173" s="5"/>
      <c r="AN1173" s="5"/>
      <c r="AO1173" s="5"/>
      <c r="AP1173" s="5"/>
      <c r="AQ1173" s="5"/>
      <c r="AR1173" s="5"/>
      <c r="AS1173" s="5"/>
      <c r="AT1173" s="5"/>
      <c r="AU1173" s="5"/>
      <c r="AV1173" s="5"/>
      <c r="AW1173" s="5"/>
      <c r="AX1173" s="5"/>
      <c r="AY1173" s="5"/>
      <c r="AZ1173" s="5"/>
      <c r="BA1173" s="5"/>
      <c r="BB1173" s="5"/>
      <c r="BC1173" s="5"/>
      <c r="BD1173" s="5"/>
      <c r="BE1173" s="5"/>
      <c r="BF1173" s="5"/>
      <c r="BG1173" s="5"/>
      <c r="BH1173" s="5"/>
      <c r="BI1173" s="5"/>
      <c r="BJ1173" s="5"/>
      <c r="BK1173" s="5"/>
      <c r="BL1173" s="5"/>
      <c r="BM1173" s="5"/>
    </row>
    <row r="1174" ht="15.75" customHeight="1">
      <c r="A1174" s="5"/>
      <c r="B1174" s="5"/>
      <c r="C1174" s="5"/>
      <c r="D1174" s="5"/>
      <c r="E1174" s="14"/>
      <c r="F1174" s="15"/>
      <c r="G1174" s="14"/>
      <c r="H1174" s="16"/>
      <c r="I1174" s="14"/>
      <c r="J1174" s="16"/>
      <c r="K1174" s="14"/>
      <c r="L1174" s="16"/>
      <c r="M1174" s="14"/>
      <c r="N1174" s="16"/>
      <c r="O1174" s="14"/>
      <c r="P1174" s="16"/>
      <c r="Q1174" s="14"/>
      <c r="R1174" s="5"/>
      <c r="S1174" s="14"/>
      <c r="T1174" s="16"/>
      <c r="U1174" s="16"/>
      <c r="V1174" s="17"/>
      <c r="W1174" s="6"/>
      <c r="X1174" s="22"/>
      <c r="Y1174" s="14"/>
      <c r="Z1174" s="14"/>
      <c r="AA1174" s="14"/>
      <c r="AB1174" s="14"/>
      <c r="AC1174" s="14"/>
      <c r="AD1174" s="14"/>
      <c r="AE1174" s="14"/>
      <c r="AF1174" s="14"/>
      <c r="AG1174" s="19"/>
      <c r="AH1174" s="20"/>
      <c r="AI1174" s="5"/>
      <c r="AJ1174" s="5"/>
      <c r="AK1174" s="5"/>
      <c r="AL1174" s="5"/>
      <c r="AM1174" s="5"/>
      <c r="AN1174" s="5"/>
      <c r="AO1174" s="5"/>
      <c r="AP1174" s="5"/>
      <c r="AQ1174" s="5"/>
      <c r="AR1174" s="5"/>
      <c r="AS1174" s="5"/>
      <c r="AT1174" s="5"/>
      <c r="AU1174" s="5"/>
      <c r="AV1174" s="5"/>
      <c r="AW1174" s="5"/>
      <c r="AX1174" s="5"/>
      <c r="AY1174" s="5"/>
      <c r="AZ1174" s="5"/>
      <c r="BA1174" s="5"/>
      <c r="BB1174" s="5"/>
      <c r="BC1174" s="5"/>
      <c r="BD1174" s="5"/>
      <c r="BE1174" s="5"/>
      <c r="BF1174" s="5"/>
      <c r="BG1174" s="5"/>
      <c r="BH1174" s="5"/>
      <c r="BI1174" s="5"/>
      <c r="BJ1174" s="5"/>
      <c r="BK1174" s="5"/>
      <c r="BL1174" s="5"/>
      <c r="BM1174" s="5"/>
    </row>
    <row r="1175" ht="15.75" customHeight="1">
      <c r="A1175" s="5"/>
      <c r="B1175" s="5"/>
      <c r="C1175" s="5"/>
      <c r="D1175" s="5"/>
      <c r="E1175" s="14"/>
      <c r="F1175" s="15"/>
      <c r="G1175" s="14"/>
      <c r="H1175" s="16"/>
      <c r="I1175" s="14"/>
      <c r="J1175" s="16"/>
      <c r="K1175" s="14"/>
      <c r="L1175" s="16"/>
      <c r="M1175" s="14"/>
      <c r="N1175" s="16"/>
      <c r="O1175" s="14"/>
      <c r="P1175" s="16"/>
      <c r="Q1175" s="14"/>
      <c r="R1175" s="5"/>
      <c r="S1175" s="14"/>
      <c r="T1175" s="16"/>
      <c r="U1175" s="16"/>
      <c r="V1175" s="17"/>
      <c r="W1175" s="6"/>
      <c r="X1175" s="22"/>
      <c r="Y1175" s="14"/>
      <c r="Z1175" s="14"/>
      <c r="AA1175" s="14"/>
      <c r="AB1175" s="14"/>
      <c r="AC1175" s="14"/>
      <c r="AD1175" s="14"/>
      <c r="AE1175" s="14"/>
      <c r="AF1175" s="14"/>
      <c r="AG1175" s="19"/>
      <c r="AH1175" s="20"/>
      <c r="AI1175" s="5"/>
      <c r="AJ1175" s="5"/>
      <c r="AK1175" s="5"/>
      <c r="AL1175" s="5"/>
      <c r="AM1175" s="5"/>
      <c r="AN1175" s="5"/>
      <c r="AO1175" s="5"/>
      <c r="AP1175" s="5"/>
      <c r="AQ1175" s="5"/>
      <c r="AR1175" s="5"/>
      <c r="AS1175" s="5"/>
      <c r="AT1175" s="5"/>
      <c r="AU1175" s="5"/>
      <c r="AV1175" s="5"/>
      <c r="AW1175" s="5"/>
      <c r="AX1175" s="5"/>
      <c r="AY1175" s="5"/>
      <c r="AZ1175" s="5"/>
      <c r="BA1175" s="5"/>
      <c r="BB1175" s="5"/>
      <c r="BC1175" s="5"/>
      <c r="BD1175" s="5"/>
      <c r="BE1175" s="5"/>
      <c r="BF1175" s="5"/>
      <c r="BG1175" s="5"/>
      <c r="BH1175" s="5"/>
      <c r="BI1175" s="5"/>
      <c r="BJ1175" s="5"/>
      <c r="BK1175" s="5"/>
      <c r="BL1175" s="5"/>
      <c r="BM1175" s="5"/>
    </row>
    <row r="1176" ht="15.75" customHeight="1">
      <c r="A1176" s="5"/>
      <c r="B1176" s="5"/>
      <c r="C1176" s="5"/>
      <c r="D1176" s="5"/>
      <c r="E1176" s="14"/>
      <c r="F1176" s="15"/>
      <c r="G1176" s="14"/>
      <c r="H1176" s="16"/>
      <c r="I1176" s="14"/>
      <c r="J1176" s="16"/>
      <c r="K1176" s="14"/>
      <c r="L1176" s="16"/>
      <c r="M1176" s="14"/>
      <c r="N1176" s="16"/>
      <c r="O1176" s="14"/>
      <c r="P1176" s="16"/>
      <c r="Q1176" s="14"/>
      <c r="R1176" s="5"/>
      <c r="S1176" s="14"/>
      <c r="T1176" s="16"/>
      <c r="U1176" s="16"/>
      <c r="V1176" s="17"/>
      <c r="W1176" s="6"/>
      <c r="X1176" s="22"/>
      <c r="Y1176" s="14"/>
      <c r="Z1176" s="14"/>
      <c r="AA1176" s="14"/>
      <c r="AB1176" s="14"/>
      <c r="AC1176" s="14"/>
      <c r="AD1176" s="14"/>
      <c r="AE1176" s="14"/>
      <c r="AF1176" s="14"/>
      <c r="AG1176" s="19"/>
      <c r="AH1176" s="20"/>
      <c r="AI1176" s="5"/>
      <c r="AJ1176" s="5"/>
      <c r="AK1176" s="5"/>
      <c r="AL1176" s="5"/>
      <c r="AM1176" s="5"/>
      <c r="AN1176" s="5"/>
      <c r="AO1176" s="5"/>
      <c r="AP1176" s="5"/>
      <c r="AQ1176" s="5"/>
      <c r="AR1176" s="5"/>
      <c r="AS1176" s="5"/>
      <c r="AT1176" s="5"/>
      <c r="AU1176" s="5"/>
      <c r="AV1176" s="5"/>
      <c r="AW1176" s="5"/>
      <c r="AX1176" s="5"/>
      <c r="AY1176" s="5"/>
      <c r="AZ1176" s="5"/>
      <c r="BA1176" s="5"/>
      <c r="BB1176" s="5"/>
      <c r="BC1176" s="5"/>
      <c r="BD1176" s="5"/>
      <c r="BE1176" s="5"/>
      <c r="BF1176" s="5"/>
      <c r="BG1176" s="5"/>
      <c r="BH1176" s="5"/>
      <c r="BI1176" s="5"/>
      <c r="BJ1176" s="5"/>
      <c r="BK1176" s="5"/>
      <c r="BL1176" s="5"/>
      <c r="BM1176" s="5"/>
    </row>
    <row r="1177" ht="15.75" customHeight="1">
      <c r="A1177" s="5"/>
      <c r="B1177" s="5"/>
      <c r="C1177" s="5"/>
      <c r="D1177" s="5"/>
      <c r="E1177" s="14"/>
      <c r="F1177" s="15"/>
      <c r="G1177" s="14"/>
      <c r="H1177" s="16"/>
      <c r="I1177" s="14"/>
      <c r="J1177" s="16"/>
      <c r="K1177" s="14"/>
      <c r="L1177" s="16"/>
      <c r="M1177" s="14"/>
      <c r="N1177" s="16"/>
      <c r="O1177" s="14"/>
      <c r="P1177" s="16"/>
      <c r="Q1177" s="14"/>
      <c r="R1177" s="5"/>
      <c r="S1177" s="14"/>
      <c r="T1177" s="16"/>
      <c r="U1177" s="16"/>
      <c r="V1177" s="17"/>
      <c r="W1177" s="6"/>
      <c r="X1177" s="22"/>
      <c r="Y1177" s="14"/>
      <c r="Z1177" s="14"/>
      <c r="AA1177" s="14"/>
      <c r="AB1177" s="14"/>
      <c r="AC1177" s="14"/>
      <c r="AD1177" s="14"/>
      <c r="AE1177" s="14"/>
      <c r="AF1177" s="14"/>
      <c r="AG1177" s="19"/>
      <c r="AH1177" s="20"/>
      <c r="AI1177" s="5"/>
      <c r="AJ1177" s="5"/>
      <c r="AK1177" s="5"/>
      <c r="AL1177" s="5"/>
      <c r="AM1177" s="5"/>
      <c r="AN1177" s="5"/>
      <c r="AO1177" s="5"/>
      <c r="AP1177" s="5"/>
      <c r="AQ1177" s="5"/>
      <c r="AR1177" s="5"/>
      <c r="AS1177" s="5"/>
      <c r="AT1177" s="5"/>
      <c r="AU1177" s="5"/>
      <c r="AV1177" s="5"/>
      <c r="AW1177" s="5"/>
      <c r="AX1177" s="5"/>
      <c r="AY1177" s="5"/>
      <c r="AZ1177" s="5"/>
      <c r="BA1177" s="5"/>
      <c r="BB1177" s="5"/>
      <c r="BC1177" s="5"/>
      <c r="BD1177" s="5"/>
      <c r="BE1177" s="5"/>
      <c r="BF1177" s="5"/>
      <c r="BG1177" s="5"/>
      <c r="BH1177" s="5"/>
      <c r="BI1177" s="5"/>
      <c r="BJ1177" s="5"/>
      <c r="BK1177" s="5"/>
      <c r="BL1177" s="5"/>
      <c r="BM1177" s="5"/>
    </row>
    <row r="1178" ht="15.75" customHeight="1">
      <c r="A1178" s="5"/>
      <c r="B1178" s="5"/>
      <c r="C1178" s="5"/>
      <c r="D1178" s="5"/>
      <c r="E1178" s="14"/>
      <c r="F1178" s="15"/>
      <c r="G1178" s="14"/>
      <c r="H1178" s="16"/>
      <c r="I1178" s="14"/>
      <c r="J1178" s="16"/>
      <c r="K1178" s="14"/>
      <c r="L1178" s="16"/>
      <c r="M1178" s="14"/>
      <c r="N1178" s="16"/>
      <c r="O1178" s="14"/>
      <c r="P1178" s="16"/>
      <c r="Q1178" s="14"/>
      <c r="R1178" s="5"/>
      <c r="S1178" s="14"/>
      <c r="T1178" s="16"/>
      <c r="U1178" s="16"/>
      <c r="V1178" s="17"/>
      <c r="W1178" s="6"/>
      <c r="X1178" s="22"/>
      <c r="Y1178" s="14"/>
      <c r="Z1178" s="14"/>
      <c r="AA1178" s="14"/>
      <c r="AB1178" s="14"/>
      <c r="AC1178" s="14"/>
      <c r="AD1178" s="14"/>
      <c r="AE1178" s="14"/>
      <c r="AF1178" s="14"/>
      <c r="AG1178" s="19"/>
      <c r="AH1178" s="20"/>
      <c r="AI1178" s="5"/>
      <c r="AJ1178" s="5"/>
      <c r="AK1178" s="5"/>
      <c r="AL1178" s="5"/>
      <c r="AM1178" s="5"/>
      <c r="AN1178" s="5"/>
      <c r="AO1178" s="5"/>
      <c r="AP1178" s="5"/>
      <c r="AQ1178" s="5"/>
      <c r="AR1178" s="5"/>
      <c r="AS1178" s="5"/>
      <c r="AT1178" s="5"/>
      <c r="AU1178" s="5"/>
      <c r="AV1178" s="5"/>
      <c r="AW1178" s="5"/>
      <c r="AX1178" s="5"/>
      <c r="AY1178" s="5"/>
      <c r="AZ1178" s="5"/>
      <c r="BA1178" s="5"/>
      <c r="BB1178" s="5"/>
      <c r="BC1178" s="5"/>
      <c r="BD1178" s="5"/>
      <c r="BE1178" s="5"/>
      <c r="BF1178" s="5"/>
      <c r="BG1178" s="5"/>
      <c r="BH1178" s="5"/>
      <c r="BI1178" s="5"/>
      <c r="BJ1178" s="5"/>
      <c r="BK1178" s="5"/>
      <c r="BL1178" s="5"/>
      <c r="BM1178" s="5"/>
    </row>
    <row r="1179" ht="15.75" customHeight="1">
      <c r="A1179" s="5"/>
      <c r="B1179" s="5"/>
      <c r="C1179" s="5"/>
      <c r="D1179" s="5"/>
      <c r="E1179" s="14"/>
      <c r="F1179" s="15"/>
      <c r="G1179" s="14"/>
      <c r="H1179" s="16"/>
      <c r="I1179" s="14"/>
      <c r="J1179" s="16"/>
      <c r="K1179" s="14"/>
      <c r="L1179" s="16"/>
      <c r="M1179" s="14"/>
      <c r="N1179" s="16"/>
      <c r="O1179" s="14"/>
      <c r="P1179" s="16"/>
      <c r="Q1179" s="14"/>
      <c r="R1179" s="5"/>
      <c r="S1179" s="14"/>
      <c r="T1179" s="16"/>
      <c r="U1179" s="16"/>
      <c r="V1179" s="17"/>
      <c r="W1179" s="6"/>
      <c r="X1179" s="22"/>
      <c r="Y1179" s="14"/>
      <c r="Z1179" s="14"/>
      <c r="AA1179" s="14"/>
      <c r="AB1179" s="14"/>
      <c r="AC1179" s="14"/>
      <c r="AD1179" s="14"/>
      <c r="AE1179" s="14"/>
      <c r="AF1179" s="14"/>
      <c r="AG1179" s="19"/>
      <c r="AH1179" s="20"/>
      <c r="AI1179" s="5"/>
      <c r="AJ1179" s="5"/>
      <c r="AK1179" s="5"/>
      <c r="AL1179" s="5"/>
      <c r="AM1179" s="5"/>
      <c r="AN1179" s="5"/>
      <c r="AO1179" s="5"/>
      <c r="AP1179" s="5"/>
      <c r="AQ1179" s="5"/>
      <c r="AR1179" s="5"/>
      <c r="AS1179" s="5"/>
      <c r="AT1179" s="5"/>
      <c r="AU1179" s="5"/>
      <c r="AV1179" s="5"/>
      <c r="AW1179" s="5"/>
      <c r="AX1179" s="5"/>
      <c r="AY1179" s="5"/>
      <c r="AZ1179" s="5"/>
      <c r="BA1179" s="5"/>
      <c r="BB1179" s="5"/>
      <c r="BC1179" s="5"/>
      <c r="BD1179" s="5"/>
      <c r="BE1179" s="5"/>
      <c r="BF1179" s="5"/>
      <c r="BG1179" s="5"/>
      <c r="BH1179" s="5"/>
      <c r="BI1179" s="5"/>
      <c r="BJ1179" s="5"/>
      <c r="BK1179" s="5"/>
      <c r="BL1179" s="5"/>
      <c r="BM1179" s="5"/>
    </row>
    <row r="1180" ht="15.75" customHeight="1">
      <c r="A1180" s="5"/>
      <c r="B1180" s="5"/>
      <c r="C1180" s="5"/>
      <c r="D1180" s="5"/>
      <c r="E1180" s="14"/>
      <c r="F1180" s="15"/>
      <c r="G1180" s="14"/>
      <c r="H1180" s="16"/>
      <c r="I1180" s="14"/>
      <c r="J1180" s="16"/>
      <c r="K1180" s="14"/>
      <c r="L1180" s="16"/>
      <c r="M1180" s="14"/>
      <c r="N1180" s="16"/>
      <c r="O1180" s="14"/>
      <c r="P1180" s="16"/>
      <c r="Q1180" s="14"/>
      <c r="R1180" s="5"/>
      <c r="S1180" s="14"/>
      <c r="T1180" s="16"/>
      <c r="U1180" s="16"/>
      <c r="V1180" s="17"/>
      <c r="W1180" s="6"/>
      <c r="X1180" s="22"/>
      <c r="Y1180" s="14"/>
      <c r="Z1180" s="14"/>
      <c r="AA1180" s="14"/>
      <c r="AB1180" s="14"/>
      <c r="AC1180" s="14"/>
      <c r="AD1180" s="14"/>
      <c r="AE1180" s="14"/>
      <c r="AF1180" s="14"/>
      <c r="AG1180" s="19"/>
      <c r="AH1180" s="20"/>
      <c r="AI1180" s="5"/>
      <c r="AJ1180" s="5"/>
      <c r="AK1180" s="5"/>
      <c r="AL1180" s="5"/>
      <c r="AM1180" s="5"/>
      <c r="AN1180" s="5"/>
      <c r="AO1180" s="5"/>
      <c r="AP1180" s="5"/>
      <c r="AQ1180" s="5"/>
      <c r="AR1180" s="5"/>
      <c r="AS1180" s="5"/>
      <c r="AT1180" s="5"/>
      <c r="AU1180" s="5"/>
      <c r="AV1180" s="5"/>
      <c r="AW1180" s="5"/>
      <c r="AX1180" s="5"/>
      <c r="AY1180" s="5"/>
      <c r="AZ1180" s="5"/>
      <c r="BA1180" s="5"/>
      <c r="BB1180" s="5"/>
      <c r="BC1180" s="5"/>
      <c r="BD1180" s="5"/>
      <c r="BE1180" s="5"/>
      <c r="BF1180" s="5"/>
      <c r="BG1180" s="5"/>
      <c r="BH1180" s="5"/>
      <c r="BI1180" s="5"/>
      <c r="BJ1180" s="5"/>
      <c r="BK1180" s="5"/>
      <c r="BL1180" s="5"/>
      <c r="BM1180" s="5"/>
    </row>
    <row r="1181" ht="15.75" customHeight="1">
      <c r="A1181" s="5"/>
      <c r="B1181" s="5"/>
      <c r="C1181" s="5"/>
      <c r="D1181" s="5"/>
      <c r="E1181" s="14"/>
      <c r="F1181" s="15"/>
      <c r="G1181" s="14"/>
      <c r="H1181" s="16"/>
      <c r="I1181" s="14"/>
      <c r="J1181" s="16"/>
      <c r="K1181" s="14"/>
      <c r="L1181" s="16"/>
      <c r="M1181" s="14"/>
      <c r="N1181" s="16"/>
      <c r="O1181" s="14"/>
      <c r="P1181" s="16"/>
      <c r="Q1181" s="14"/>
      <c r="R1181" s="5"/>
      <c r="S1181" s="14"/>
      <c r="T1181" s="16"/>
      <c r="U1181" s="16"/>
      <c r="V1181" s="17"/>
      <c r="W1181" s="6"/>
      <c r="X1181" s="22"/>
      <c r="Y1181" s="14"/>
      <c r="Z1181" s="14"/>
      <c r="AA1181" s="14"/>
      <c r="AB1181" s="14"/>
      <c r="AC1181" s="14"/>
      <c r="AD1181" s="14"/>
      <c r="AE1181" s="14"/>
      <c r="AF1181" s="14"/>
      <c r="AG1181" s="19"/>
      <c r="AH1181" s="20"/>
      <c r="AI1181" s="5"/>
      <c r="AJ1181" s="5"/>
      <c r="AK1181" s="5"/>
      <c r="AL1181" s="5"/>
      <c r="AM1181" s="5"/>
      <c r="AN1181" s="5"/>
      <c r="AO1181" s="5"/>
      <c r="AP1181" s="5"/>
      <c r="AQ1181" s="5"/>
      <c r="AR1181" s="5"/>
      <c r="AS1181" s="5"/>
      <c r="AT1181" s="5"/>
      <c r="AU1181" s="5"/>
      <c r="AV1181" s="5"/>
      <c r="AW1181" s="5"/>
      <c r="AX1181" s="5"/>
      <c r="AY1181" s="5"/>
      <c r="AZ1181" s="5"/>
      <c r="BA1181" s="5"/>
      <c r="BB1181" s="5"/>
      <c r="BC1181" s="5"/>
      <c r="BD1181" s="5"/>
      <c r="BE1181" s="5"/>
      <c r="BF1181" s="5"/>
      <c r="BG1181" s="5"/>
      <c r="BH1181" s="5"/>
      <c r="BI1181" s="5"/>
      <c r="BJ1181" s="5"/>
      <c r="BK1181" s="5"/>
      <c r="BL1181" s="5"/>
      <c r="BM1181" s="5"/>
    </row>
    <row r="1182" ht="15.75" customHeight="1">
      <c r="A1182" s="5"/>
      <c r="B1182" s="5"/>
      <c r="C1182" s="5"/>
      <c r="D1182" s="5"/>
      <c r="E1182" s="14"/>
      <c r="F1182" s="15"/>
      <c r="G1182" s="14"/>
      <c r="H1182" s="16"/>
      <c r="I1182" s="14"/>
      <c r="J1182" s="16"/>
      <c r="K1182" s="14"/>
      <c r="L1182" s="16"/>
      <c r="M1182" s="14"/>
      <c r="N1182" s="16"/>
      <c r="O1182" s="14"/>
      <c r="P1182" s="16"/>
      <c r="Q1182" s="14"/>
      <c r="R1182" s="5"/>
      <c r="S1182" s="14"/>
      <c r="T1182" s="16"/>
      <c r="U1182" s="16"/>
      <c r="V1182" s="17"/>
      <c r="W1182" s="6"/>
      <c r="X1182" s="22"/>
      <c r="Y1182" s="14"/>
      <c r="Z1182" s="14"/>
      <c r="AA1182" s="14"/>
      <c r="AB1182" s="14"/>
      <c r="AC1182" s="14"/>
      <c r="AD1182" s="14"/>
      <c r="AE1182" s="14"/>
      <c r="AF1182" s="14"/>
      <c r="AG1182" s="19"/>
      <c r="AH1182" s="20"/>
      <c r="AI1182" s="5"/>
      <c r="AJ1182" s="5"/>
      <c r="AK1182" s="5"/>
      <c r="AL1182" s="5"/>
      <c r="AM1182" s="5"/>
      <c r="AN1182" s="5"/>
      <c r="AO1182" s="5"/>
      <c r="AP1182" s="5"/>
      <c r="AQ1182" s="5"/>
      <c r="AR1182" s="5"/>
      <c r="AS1182" s="5"/>
      <c r="AT1182" s="5"/>
      <c r="AU1182" s="5"/>
      <c r="AV1182" s="5"/>
      <c r="AW1182" s="5"/>
      <c r="AX1182" s="5"/>
      <c r="AY1182" s="5"/>
      <c r="AZ1182" s="5"/>
      <c r="BA1182" s="5"/>
      <c r="BB1182" s="5"/>
      <c r="BC1182" s="5"/>
      <c r="BD1182" s="5"/>
      <c r="BE1182" s="5"/>
      <c r="BF1182" s="5"/>
      <c r="BG1182" s="5"/>
      <c r="BH1182" s="5"/>
      <c r="BI1182" s="5"/>
      <c r="BJ1182" s="5"/>
      <c r="BK1182" s="5"/>
      <c r="BL1182" s="5"/>
      <c r="BM1182" s="5"/>
    </row>
    <row r="1183" ht="15.75" customHeight="1">
      <c r="A1183" s="5"/>
      <c r="B1183" s="5"/>
      <c r="C1183" s="5"/>
      <c r="D1183" s="5"/>
      <c r="E1183" s="14"/>
      <c r="F1183" s="15"/>
      <c r="G1183" s="14"/>
      <c r="H1183" s="16"/>
      <c r="I1183" s="14"/>
      <c r="J1183" s="16"/>
      <c r="K1183" s="14"/>
      <c r="L1183" s="16"/>
      <c r="M1183" s="14"/>
      <c r="N1183" s="16"/>
      <c r="O1183" s="14"/>
      <c r="P1183" s="16"/>
      <c r="Q1183" s="14"/>
      <c r="R1183" s="5"/>
      <c r="S1183" s="14"/>
      <c r="T1183" s="16"/>
      <c r="U1183" s="16"/>
      <c r="V1183" s="17"/>
      <c r="W1183" s="6"/>
      <c r="X1183" s="22"/>
      <c r="Y1183" s="14"/>
      <c r="Z1183" s="14"/>
      <c r="AA1183" s="14"/>
      <c r="AB1183" s="14"/>
      <c r="AC1183" s="14"/>
      <c r="AD1183" s="14"/>
      <c r="AE1183" s="14"/>
      <c r="AF1183" s="14"/>
      <c r="AG1183" s="19"/>
      <c r="AH1183" s="20"/>
      <c r="AI1183" s="5"/>
      <c r="AJ1183" s="5"/>
      <c r="AK1183" s="5"/>
      <c r="AL1183" s="5"/>
      <c r="AM1183" s="5"/>
      <c r="AN1183" s="5"/>
      <c r="AO1183" s="5"/>
      <c r="AP1183" s="5"/>
      <c r="AQ1183" s="5"/>
      <c r="AR1183" s="5"/>
      <c r="AS1183" s="5"/>
      <c r="AT1183" s="5"/>
      <c r="AU1183" s="5"/>
      <c r="AV1183" s="5"/>
      <c r="AW1183" s="5"/>
      <c r="AX1183" s="5"/>
      <c r="AY1183" s="5"/>
      <c r="AZ1183" s="5"/>
      <c r="BA1183" s="5"/>
      <c r="BB1183" s="5"/>
      <c r="BC1183" s="5"/>
      <c r="BD1183" s="5"/>
      <c r="BE1183" s="5"/>
      <c r="BF1183" s="5"/>
      <c r="BG1183" s="5"/>
      <c r="BH1183" s="5"/>
      <c r="BI1183" s="5"/>
      <c r="BJ1183" s="5"/>
      <c r="BK1183" s="5"/>
      <c r="BL1183" s="5"/>
      <c r="BM1183" s="5"/>
    </row>
    <row r="1184" ht="15.75" customHeight="1">
      <c r="A1184" s="5"/>
      <c r="B1184" s="5"/>
      <c r="C1184" s="5"/>
      <c r="D1184" s="5"/>
      <c r="E1184" s="14"/>
      <c r="F1184" s="15"/>
      <c r="G1184" s="14"/>
      <c r="H1184" s="16"/>
      <c r="I1184" s="14"/>
      <c r="J1184" s="16"/>
      <c r="K1184" s="14"/>
      <c r="L1184" s="16"/>
      <c r="M1184" s="14"/>
      <c r="N1184" s="16"/>
      <c r="O1184" s="14"/>
      <c r="P1184" s="16"/>
      <c r="Q1184" s="14"/>
      <c r="R1184" s="5"/>
      <c r="S1184" s="14"/>
      <c r="T1184" s="16"/>
      <c r="U1184" s="16"/>
      <c r="V1184" s="17"/>
      <c r="W1184" s="6"/>
      <c r="X1184" s="22"/>
      <c r="Y1184" s="14"/>
      <c r="Z1184" s="14"/>
      <c r="AA1184" s="14"/>
      <c r="AB1184" s="14"/>
      <c r="AC1184" s="14"/>
      <c r="AD1184" s="14"/>
      <c r="AE1184" s="14"/>
      <c r="AF1184" s="14"/>
      <c r="AG1184" s="19"/>
      <c r="AH1184" s="20"/>
      <c r="AI1184" s="5"/>
      <c r="AJ1184" s="5"/>
      <c r="AK1184" s="5"/>
      <c r="AL1184" s="5"/>
      <c r="AM1184" s="5"/>
      <c r="AN1184" s="5"/>
      <c r="AO1184" s="5"/>
      <c r="AP1184" s="5"/>
      <c r="AQ1184" s="5"/>
      <c r="AR1184" s="5"/>
      <c r="AS1184" s="5"/>
      <c r="AT1184" s="5"/>
      <c r="AU1184" s="5"/>
      <c r="AV1184" s="5"/>
      <c r="AW1184" s="5"/>
      <c r="AX1184" s="5"/>
      <c r="AY1184" s="5"/>
      <c r="AZ1184" s="5"/>
      <c r="BA1184" s="5"/>
      <c r="BB1184" s="5"/>
      <c r="BC1184" s="5"/>
      <c r="BD1184" s="5"/>
      <c r="BE1184" s="5"/>
      <c r="BF1184" s="5"/>
      <c r="BG1184" s="5"/>
      <c r="BH1184" s="5"/>
      <c r="BI1184" s="5"/>
      <c r="BJ1184" s="5"/>
      <c r="BK1184" s="5"/>
      <c r="BL1184" s="5"/>
      <c r="BM1184" s="5"/>
    </row>
    <row r="1185" ht="15.75" customHeight="1">
      <c r="A1185" s="5"/>
      <c r="B1185" s="5"/>
      <c r="C1185" s="5"/>
      <c r="D1185" s="5"/>
      <c r="E1185" s="14"/>
      <c r="F1185" s="15"/>
      <c r="G1185" s="14"/>
      <c r="H1185" s="16"/>
      <c r="I1185" s="14"/>
      <c r="J1185" s="16"/>
      <c r="K1185" s="14"/>
      <c r="L1185" s="16"/>
      <c r="M1185" s="14"/>
      <c r="N1185" s="16"/>
      <c r="O1185" s="14"/>
      <c r="P1185" s="16"/>
      <c r="Q1185" s="14"/>
      <c r="R1185" s="5"/>
      <c r="S1185" s="14"/>
      <c r="T1185" s="16"/>
      <c r="U1185" s="16"/>
      <c r="V1185" s="17"/>
      <c r="W1185" s="6"/>
      <c r="X1185" s="22"/>
      <c r="Y1185" s="14"/>
      <c r="Z1185" s="14"/>
      <c r="AA1185" s="14"/>
      <c r="AB1185" s="14"/>
      <c r="AC1185" s="14"/>
      <c r="AD1185" s="14"/>
      <c r="AE1185" s="14"/>
      <c r="AF1185" s="14"/>
      <c r="AG1185" s="19"/>
      <c r="AH1185" s="20"/>
      <c r="AI1185" s="5"/>
      <c r="AJ1185" s="5"/>
      <c r="AK1185" s="5"/>
      <c r="AL1185" s="5"/>
      <c r="AM1185" s="5"/>
      <c r="AN1185" s="5"/>
      <c r="AO1185" s="5"/>
      <c r="AP1185" s="5"/>
      <c r="AQ1185" s="5"/>
      <c r="AR1185" s="5"/>
      <c r="AS1185" s="5"/>
      <c r="AT1185" s="5"/>
      <c r="AU1185" s="5"/>
      <c r="AV1185" s="5"/>
      <c r="AW1185" s="5"/>
      <c r="AX1185" s="5"/>
      <c r="AY1185" s="5"/>
      <c r="AZ1185" s="5"/>
      <c r="BA1185" s="5"/>
      <c r="BB1185" s="5"/>
      <c r="BC1185" s="5"/>
      <c r="BD1185" s="5"/>
      <c r="BE1185" s="5"/>
      <c r="BF1185" s="5"/>
      <c r="BG1185" s="5"/>
      <c r="BH1185" s="5"/>
      <c r="BI1185" s="5"/>
      <c r="BJ1185" s="5"/>
      <c r="BK1185" s="5"/>
      <c r="BL1185" s="5"/>
      <c r="BM1185" s="5"/>
    </row>
    <row r="1186" ht="15.75" customHeight="1">
      <c r="A1186" s="5"/>
      <c r="B1186" s="5"/>
      <c r="C1186" s="5"/>
      <c r="D1186" s="5"/>
      <c r="E1186" s="14"/>
      <c r="F1186" s="15"/>
      <c r="G1186" s="14"/>
      <c r="H1186" s="16"/>
      <c r="I1186" s="14"/>
      <c r="J1186" s="16"/>
      <c r="K1186" s="14"/>
      <c r="L1186" s="16"/>
      <c r="M1186" s="14"/>
      <c r="N1186" s="16"/>
      <c r="O1186" s="14"/>
      <c r="P1186" s="16"/>
      <c r="Q1186" s="14"/>
      <c r="R1186" s="5"/>
      <c r="S1186" s="14"/>
      <c r="T1186" s="16"/>
      <c r="U1186" s="16"/>
      <c r="V1186" s="17"/>
      <c r="W1186" s="6"/>
      <c r="X1186" s="22"/>
      <c r="Y1186" s="14"/>
      <c r="Z1186" s="14"/>
      <c r="AA1186" s="14"/>
      <c r="AB1186" s="14"/>
      <c r="AC1186" s="14"/>
      <c r="AD1186" s="14"/>
      <c r="AE1186" s="14"/>
      <c r="AF1186" s="14"/>
      <c r="AG1186" s="19"/>
      <c r="AH1186" s="20"/>
      <c r="AI1186" s="5"/>
      <c r="AJ1186" s="5"/>
      <c r="AK1186" s="5"/>
      <c r="AL1186" s="5"/>
      <c r="AM1186" s="5"/>
      <c r="AN1186" s="5"/>
      <c r="AO1186" s="5"/>
      <c r="AP1186" s="5"/>
      <c r="AQ1186" s="5"/>
      <c r="AR1186" s="5"/>
      <c r="AS1186" s="5"/>
      <c r="AT1186" s="5"/>
      <c r="AU1186" s="5"/>
      <c r="AV1186" s="5"/>
      <c r="AW1186" s="5"/>
      <c r="AX1186" s="5"/>
      <c r="AY1186" s="5"/>
      <c r="AZ1186" s="5"/>
      <c r="BA1186" s="5"/>
      <c r="BB1186" s="5"/>
      <c r="BC1186" s="5"/>
      <c r="BD1186" s="5"/>
      <c r="BE1186" s="5"/>
      <c r="BF1186" s="5"/>
      <c r="BG1186" s="5"/>
      <c r="BH1186" s="5"/>
      <c r="BI1186" s="5"/>
      <c r="BJ1186" s="5"/>
      <c r="BK1186" s="5"/>
      <c r="BL1186" s="5"/>
      <c r="BM1186" s="5"/>
    </row>
    <row r="1187" ht="15.75" customHeight="1">
      <c r="A1187" s="5"/>
      <c r="B1187" s="5"/>
      <c r="C1187" s="5"/>
      <c r="D1187" s="5"/>
      <c r="E1187" s="14"/>
      <c r="F1187" s="15"/>
      <c r="G1187" s="14"/>
      <c r="H1187" s="16"/>
      <c r="I1187" s="14"/>
      <c r="J1187" s="16"/>
      <c r="K1187" s="14"/>
      <c r="L1187" s="16"/>
      <c r="M1187" s="14"/>
      <c r="N1187" s="16"/>
      <c r="O1187" s="14"/>
      <c r="P1187" s="16"/>
      <c r="Q1187" s="14"/>
      <c r="R1187" s="5"/>
      <c r="S1187" s="14"/>
      <c r="T1187" s="16"/>
      <c r="U1187" s="16"/>
      <c r="V1187" s="17"/>
      <c r="W1187" s="6"/>
      <c r="X1187" s="22"/>
      <c r="Y1187" s="14"/>
      <c r="Z1187" s="14"/>
      <c r="AA1187" s="14"/>
      <c r="AB1187" s="14"/>
      <c r="AC1187" s="14"/>
      <c r="AD1187" s="14"/>
      <c r="AE1187" s="14"/>
      <c r="AF1187" s="14"/>
      <c r="AG1187" s="19"/>
      <c r="AH1187" s="20"/>
      <c r="AI1187" s="5"/>
      <c r="AJ1187" s="5"/>
      <c r="AK1187" s="5"/>
      <c r="AL1187" s="5"/>
      <c r="AM1187" s="5"/>
      <c r="AN1187" s="5"/>
      <c r="AO1187" s="5"/>
      <c r="AP1187" s="5"/>
      <c r="AQ1187" s="5"/>
      <c r="AR1187" s="5"/>
      <c r="AS1187" s="5"/>
      <c r="AT1187" s="5"/>
      <c r="AU1187" s="5"/>
      <c r="AV1187" s="5"/>
      <c r="AW1187" s="5"/>
      <c r="AX1187" s="5"/>
      <c r="AY1187" s="5"/>
      <c r="AZ1187" s="5"/>
      <c r="BA1187" s="5"/>
      <c r="BB1187" s="5"/>
      <c r="BC1187" s="5"/>
      <c r="BD1187" s="5"/>
      <c r="BE1187" s="5"/>
      <c r="BF1187" s="5"/>
      <c r="BG1187" s="5"/>
      <c r="BH1187" s="5"/>
      <c r="BI1187" s="5"/>
      <c r="BJ1187" s="5"/>
      <c r="BK1187" s="5"/>
      <c r="BL1187" s="5"/>
      <c r="BM1187" s="5"/>
    </row>
    <row r="1188" ht="15.75" customHeight="1">
      <c r="A1188" s="5"/>
      <c r="B1188" s="5"/>
      <c r="C1188" s="5"/>
      <c r="D1188" s="5"/>
      <c r="E1188" s="14"/>
      <c r="F1188" s="15"/>
      <c r="G1188" s="14"/>
      <c r="H1188" s="16"/>
      <c r="I1188" s="14"/>
      <c r="J1188" s="16"/>
      <c r="K1188" s="14"/>
      <c r="L1188" s="16"/>
      <c r="M1188" s="14"/>
      <c r="N1188" s="16"/>
      <c r="O1188" s="14"/>
      <c r="P1188" s="16"/>
      <c r="Q1188" s="14"/>
      <c r="R1188" s="5"/>
      <c r="S1188" s="14"/>
      <c r="T1188" s="16"/>
      <c r="U1188" s="16"/>
      <c r="V1188" s="17"/>
      <c r="W1188" s="6"/>
      <c r="X1188" s="22"/>
      <c r="Y1188" s="14"/>
      <c r="Z1188" s="14"/>
      <c r="AA1188" s="14"/>
      <c r="AB1188" s="14"/>
      <c r="AC1188" s="14"/>
      <c r="AD1188" s="14"/>
      <c r="AE1188" s="14"/>
      <c r="AF1188" s="14"/>
      <c r="AG1188" s="19"/>
      <c r="AH1188" s="20"/>
      <c r="AI1188" s="5"/>
      <c r="AJ1188" s="5"/>
      <c r="AK1188" s="5"/>
      <c r="AL1188" s="5"/>
      <c r="AM1188" s="5"/>
      <c r="AN1188" s="5"/>
      <c r="AO1188" s="5"/>
      <c r="AP1188" s="5"/>
      <c r="AQ1188" s="5"/>
      <c r="AR1188" s="5"/>
      <c r="AS1188" s="5"/>
      <c r="AT1188" s="5"/>
      <c r="AU1188" s="5"/>
      <c r="AV1188" s="5"/>
      <c r="AW1188" s="5"/>
      <c r="AX1188" s="5"/>
      <c r="AY1188" s="5"/>
      <c r="AZ1188" s="5"/>
      <c r="BA1188" s="5"/>
      <c r="BB1188" s="5"/>
      <c r="BC1188" s="5"/>
      <c r="BD1188" s="5"/>
      <c r="BE1188" s="5"/>
      <c r="BF1188" s="5"/>
      <c r="BG1188" s="5"/>
      <c r="BH1188" s="5"/>
      <c r="BI1188" s="5"/>
      <c r="BJ1188" s="5"/>
      <c r="BK1188" s="5"/>
      <c r="BL1188" s="5"/>
      <c r="BM1188" s="5"/>
    </row>
    <row r="1189" ht="15.75" customHeight="1">
      <c r="A1189" s="5"/>
      <c r="B1189" s="5"/>
      <c r="C1189" s="5"/>
      <c r="D1189" s="5"/>
      <c r="E1189" s="14"/>
      <c r="F1189" s="15"/>
      <c r="G1189" s="14"/>
      <c r="H1189" s="16"/>
      <c r="I1189" s="14"/>
      <c r="J1189" s="16"/>
      <c r="K1189" s="14"/>
      <c r="L1189" s="16"/>
      <c r="M1189" s="14"/>
      <c r="N1189" s="16"/>
      <c r="O1189" s="14"/>
      <c r="P1189" s="16"/>
      <c r="Q1189" s="14"/>
      <c r="R1189" s="5"/>
      <c r="S1189" s="14"/>
      <c r="T1189" s="16"/>
      <c r="U1189" s="16"/>
      <c r="V1189" s="17"/>
      <c r="W1189" s="6"/>
      <c r="X1189" s="22"/>
      <c r="Y1189" s="14"/>
      <c r="Z1189" s="14"/>
      <c r="AA1189" s="14"/>
      <c r="AB1189" s="14"/>
      <c r="AC1189" s="14"/>
      <c r="AD1189" s="14"/>
      <c r="AE1189" s="14"/>
      <c r="AF1189" s="14"/>
      <c r="AG1189" s="19"/>
      <c r="AH1189" s="20"/>
      <c r="AI1189" s="5"/>
      <c r="AJ1189" s="5"/>
      <c r="AK1189" s="5"/>
      <c r="AL1189" s="5"/>
      <c r="AM1189" s="5"/>
      <c r="AN1189" s="5"/>
      <c r="AO1189" s="5"/>
      <c r="AP1189" s="5"/>
      <c r="AQ1189" s="5"/>
      <c r="AR1189" s="5"/>
      <c r="AS1189" s="5"/>
      <c r="AT1189" s="5"/>
      <c r="AU1189" s="5"/>
      <c r="AV1189" s="5"/>
      <c r="AW1189" s="5"/>
      <c r="AX1189" s="5"/>
      <c r="AY1189" s="5"/>
      <c r="AZ1189" s="5"/>
      <c r="BA1189" s="5"/>
      <c r="BB1189" s="5"/>
      <c r="BC1189" s="5"/>
      <c r="BD1189" s="5"/>
      <c r="BE1189" s="5"/>
      <c r="BF1189" s="5"/>
      <c r="BG1189" s="5"/>
      <c r="BH1189" s="5"/>
      <c r="BI1189" s="5"/>
      <c r="BJ1189" s="5"/>
      <c r="BK1189" s="5"/>
      <c r="BL1189" s="5"/>
      <c r="BM1189" s="5"/>
    </row>
    <row r="1190" ht="15.75" customHeight="1">
      <c r="A1190" s="5"/>
      <c r="B1190" s="5"/>
      <c r="C1190" s="5"/>
      <c r="D1190" s="5"/>
      <c r="E1190" s="14"/>
      <c r="F1190" s="15"/>
      <c r="G1190" s="14"/>
      <c r="H1190" s="16"/>
      <c r="I1190" s="14"/>
      <c r="J1190" s="16"/>
      <c r="K1190" s="14"/>
      <c r="L1190" s="16"/>
      <c r="M1190" s="14"/>
      <c r="N1190" s="16"/>
      <c r="O1190" s="14"/>
      <c r="P1190" s="16"/>
      <c r="Q1190" s="14"/>
      <c r="R1190" s="5"/>
      <c r="S1190" s="14"/>
      <c r="T1190" s="16"/>
      <c r="U1190" s="16"/>
      <c r="V1190" s="17"/>
      <c r="W1190" s="6"/>
      <c r="X1190" s="22"/>
      <c r="Y1190" s="14"/>
      <c r="Z1190" s="14"/>
      <c r="AA1190" s="14"/>
      <c r="AB1190" s="14"/>
      <c r="AC1190" s="14"/>
      <c r="AD1190" s="14"/>
      <c r="AE1190" s="14"/>
      <c r="AF1190" s="14"/>
      <c r="AG1190" s="19"/>
      <c r="AH1190" s="20"/>
      <c r="AI1190" s="5"/>
      <c r="AJ1190" s="5"/>
      <c r="AK1190" s="5"/>
      <c r="AL1190" s="5"/>
      <c r="AM1190" s="5"/>
      <c r="AN1190" s="5"/>
      <c r="AO1190" s="5"/>
      <c r="AP1190" s="5"/>
      <c r="AQ1190" s="5"/>
      <c r="AR1190" s="5"/>
      <c r="AS1190" s="5"/>
      <c r="AT1190" s="5"/>
      <c r="AU1190" s="5"/>
      <c r="AV1190" s="5"/>
      <c r="AW1190" s="5"/>
      <c r="AX1190" s="5"/>
      <c r="AY1190" s="5"/>
      <c r="AZ1190" s="5"/>
      <c r="BA1190" s="5"/>
      <c r="BB1190" s="5"/>
      <c r="BC1190" s="5"/>
      <c r="BD1190" s="5"/>
      <c r="BE1190" s="5"/>
      <c r="BF1190" s="5"/>
      <c r="BG1190" s="5"/>
      <c r="BH1190" s="5"/>
      <c r="BI1190" s="5"/>
      <c r="BJ1190" s="5"/>
      <c r="BK1190" s="5"/>
      <c r="BL1190" s="5"/>
      <c r="BM1190" s="5"/>
    </row>
    <row r="1191" ht="15.75" customHeight="1">
      <c r="A1191" s="5"/>
      <c r="B1191" s="5"/>
      <c r="C1191" s="5"/>
      <c r="D1191" s="5"/>
      <c r="E1191" s="14"/>
      <c r="F1191" s="15"/>
      <c r="G1191" s="14"/>
      <c r="H1191" s="16"/>
      <c r="I1191" s="14"/>
      <c r="J1191" s="16"/>
      <c r="K1191" s="14"/>
      <c r="L1191" s="16"/>
      <c r="M1191" s="14"/>
      <c r="N1191" s="16"/>
      <c r="O1191" s="14"/>
      <c r="P1191" s="16"/>
      <c r="Q1191" s="14"/>
      <c r="R1191" s="5"/>
      <c r="S1191" s="14"/>
      <c r="T1191" s="16"/>
      <c r="U1191" s="16"/>
      <c r="V1191" s="17"/>
      <c r="W1191" s="6"/>
      <c r="X1191" s="22"/>
      <c r="Y1191" s="14"/>
      <c r="Z1191" s="14"/>
      <c r="AA1191" s="14"/>
      <c r="AB1191" s="14"/>
      <c r="AC1191" s="14"/>
      <c r="AD1191" s="14"/>
      <c r="AE1191" s="14"/>
      <c r="AF1191" s="14"/>
      <c r="AG1191" s="19"/>
      <c r="AH1191" s="20"/>
      <c r="AI1191" s="5"/>
      <c r="AJ1191" s="5"/>
      <c r="AK1191" s="5"/>
      <c r="AL1191" s="5"/>
      <c r="AM1191" s="5"/>
      <c r="AN1191" s="5"/>
      <c r="AO1191" s="5"/>
      <c r="AP1191" s="5"/>
      <c r="AQ1191" s="5"/>
      <c r="AR1191" s="5"/>
      <c r="AS1191" s="5"/>
      <c r="AT1191" s="5"/>
      <c r="AU1191" s="5"/>
      <c r="AV1191" s="5"/>
      <c r="AW1191" s="5"/>
      <c r="AX1191" s="5"/>
      <c r="AY1191" s="5"/>
      <c r="AZ1191" s="5"/>
      <c r="BA1191" s="5"/>
      <c r="BB1191" s="5"/>
      <c r="BC1191" s="5"/>
      <c r="BD1191" s="5"/>
      <c r="BE1191" s="5"/>
      <c r="BF1191" s="5"/>
      <c r="BG1191" s="5"/>
      <c r="BH1191" s="5"/>
      <c r="BI1191" s="5"/>
      <c r="BJ1191" s="5"/>
      <c r="BK1191" s="5"/>
      <c r="BL1191" s="5"/>
      <c r="BM1191" s="5"/>
    </row>
    <row r="1192" ht="15.75" customHeight="1">
      <c r="A1192" s="5"/>
      <c r="B1192" s="5"/>
      <c r="C1192" s="5"/>
      <c r="D1192" s="5"/>
      <c r="E1192" s="14"/>
      <c r="F1192" s="15"/>
      <c r="G1192" s="14"/>
      <c r="H1192" s="16"/>
      <c r="I1192" s="14"/>
      <c r="J1192" s="16"/>
      <c r="K1192" s="14"/>
      <c r="L1192" s="16"/>
      <c r="M1192" s="14"/>
      <c r="N1192" s="16"/>
      <c r="O1192" s="14"/>
      <c r="P1192" s="16"/>
      <c r="Q1192" s="14"/>
      <c r="R1192" s="5"/>
      <c r="S1192" s="14"/>
      <c r="T1192" s="16"/>
      <c r="U1192" s="16"/>
      <c r="V1192" s="17"/>
      <c r="W1192" s="6"/>
      <c r="X1192" s="22"/>
      <c r="Y1192" s="14"/>
      <c r="Z1192" s="14"/>
      <c r="AA1192" s="14"/>
      <c r="AB1192" s="14"/>
      <c r="AC1192" s="14"/>
      <c r="AD1192" s="14"/>
      <c r="AE1192" s="14"/>
      <c r="AF1192" s="14"/>
      <c r="AG1192" s="19"/>
      <c r="AH1192" s="20"/>
      <c r="AI1192" s="5"/>
      <c r="AJ1192" s="5"/>
      <c r="AK1192" s="5"/>
      <c r="AL1192" s="5"/>
      <c r="AM1192" s="5"/>
      <c r="AN1192" s="5"/>
      <c r="AO1192" s="5"/>
      <c r="AP1192" s="5"/>
      <c r="AQ1192" s="5"/>
      <c r="AR1192" s="5"/>
      <c r="AS1192" s="5"/>
      <c r="AT1192" s="5"/>
      <c r="AU1192" s="5"/>
      <c r="AV1192" s="5"/>
      <c r="AW1192" s="5"/>
      <c r="AX1192" s="5"/>
      <c r="AY1192" s="5"/>
      <c r="AZ1192" s="5"/>
      <c r="BA1192" s="5"/>
      <c r="BB1192" s="5"/>
      <c r="BC1192" s="5"/>
      <c r="BD1192" s="5"/>
      <c r="BE1192" s="5"/>
      <c r="BF1192" s="5"/>
      <c r="BG1192" s="5"/>
      <c r="BH1192" s="5"/>
      <c r="BI1192" s="5"/>
      <c r="BJ1192" s="5"/>
      <c r="BK1192" s="5"/>
      <c r="BL1192" s="5"/>
      <c r="BM1192" s="5"/>
    </row>
    <row r="1193" ht="15.75" customHeight="1">
      <c r="A1193" s="5"/>
      <c r="B1193" s="5"/>
      <c r="C1193" s="5"/>
      <c r="D1193" s="5"/>
      <c r="E1193" s="14"/>
      <c r="F1193" s="15"/>
      <c r="G1193" s="14"/>
      <c r="H1193" s="16"/>
      <c r="I1193" s="14"/>
      <c r="J1193" s="16"/>
      <c r="K1193" s="14"/>
      <c r="L1193" s="16"/>
      <c r="M1193" s="14"/>
      <c r="N1193" s="16"/>
      <c r="O1193" s="14"/>
      <c r="P1193" s="16"/>
      <c r="Q1193" s="14"/>
      <c r="R1193" s="5"/>
      <c r="S1193" s="14"/>
      <c r="T1193" s="16"/>
      <c r="U1193" s="16"/>
      <c r="V1193" s="17"/>
      <c r="W1193" s="6"/>
      <c r="X1193" s="22"/>
      <c r="Y1193" s="14"/>
      <c r="Z1193" s="14"/>
      <c r="AA1193" s="14"/>
      <c r="AB1193" s="14"/>
      <c r="AC1193" s="14"/>
      <c r="AD1193" s="14"/>
      <c r="AE1193" s="14"/>
      <c r="AF1193" s="14"/>
      <c r="AG1193" s="19"/>
      <c r="AH1193" s="20"/>
      <c r="AI1193" s="5"/>
      <c r="AJ1193" s="5"/>
      <c r="AK1193" s="5"/>
      <c r="AL1193" s="5"/>
      <c r="AM1193" s="5"/>
      <c r="AN1193" s="5"/>
      <c r="AO1193" s="5"/>
      <c r="AP1193" s="5"/>
      <c r="AQ1193" s="5"/>
      <c r="AR1193" s="5"/>
      <c r="AS1193" s="5"/>
      <c r="AT1193" s="5"/>
      <c r="AU1193" s="5"/>
      <c r="AV1193" s="5"/>
      <c r="AW1193" s="5"/>
      <c r="AX1193" s="5"/>
      <c r="AY1193" s="5"/>
      <c r="AZ1193" s="5"/>
      <c r="BA1193" s="5"/>
      <c r="BB1193" s="5"/>
      <c r="BC1193" s="5"/>
      <c r="BD1193" s="5"/>
      <c r="BE1193" s="5"/>
      <c r="BF1193" s="5"/>
      <c r="BG1193" s="5"/>
      <c r="BH1193" s="5"/>
      <c r="BI1193" s="5"/>
      <c r="BJ1193" s="5"/>
      <c r="BK1193" s="5"/>
      <c r="BL1193" s="5"/>
      <c r="BM1193" s="5"/>
    </row>
    <row r="1194" ht="15.75" customHeight="1">
      <c r="A1194" s="5"/>
      <c r="B1194" s="5"/>
      <c r="C1194" s="5"/>
      <c r="D1194" s="5"/>
      <c r="E1194" s="14"/>
      <c r="F1194" s="15"/>
      <c r="G1194" s="14"/>
      <c r="H1194" s="16"/>
      <c r="I1194" s="14"/>
      <c r="J1194" s="16"/>
      <c r="K1194" s="14"/>
      <c r="L1194" s="16"/>
      <c r="M1194" s="14"/>
      <c r="N1194" s="16"/>
      <c r="O1194" s="14"/>
      <c r="P1194" s="16"/>
      <c r="Q1194" s="14"/>
      <c r="R1194" s="5"/>
      <c r="S1194" s="14"/>
      <c r="T1194" s="16"/>
      <c r="U1194" s="16"/>
      <c r="V1194" s="17"/>
      <c r="W1194" s="6"/>
      <c r="X1194" s="22"/>
      <c r="Y1194" s="14"/>
      <c r="Z1194" s="14"/>
      <c r="AA1194" s="14"/>
      <c r="AB1194" s="14"/>
      <c r="AC1194" s="14"/>
      <c r="AD1194" s="14"/>
      <c r="AE1194" s="14"/>
      <c r="AF1194" s="14"/>
      <c r="AG1194" s="19"/>
      <c r="AH1194" s="20"/>
      <c r="AI1194" s="5"/>
      <c r="AJ1194" s="5"/>
      <c r="AK1194" s="5"/>
      <c r="AL1194" s="5"/>
      <c r="AM1194" s="5"/>
      <c r="AN1194" s="5"/>
      <c r="AO1194" s="5"/>
      <c r="AP1194" s="5"/>
      <c r="AQ1194" s="5"/>
      <c r="AR1194" s="5"/>
      <c r="AS1194" s="5"/>
      <c r="AT1194" s="5"/>
      <c r="AU1194" s="5"/>
      <c r="AV1194" s="5"/>
      <c r="AW1194" s="5"/>
      <c r="AX1194" s="5"/>
      <c r="AY1194" s="5"/>
      <c r="AZ1194" s="5"/>
      <c r="BA1194" s="5"/>
      <c r="BB1194" s="5"/>
      <c r="BC1194" s="5"/>
      <c r="BD1194" s="5"/>
      <c r="BE1194" s="5"/>
      <c r="BF1194" s="5"/>
      <c r="BG1194" s="5"/>
      <c r="BH1194" s="5"/>
      <c r="BI1194" s="5"/>
      <c r="BJ1194" s="5"/>
      <c r="BK1194" s="5"/>
      <c r="BL1194" s="5"/>
      <c r="BM1194" s="5"/>
    </row>
    <row r="1195" ht="15.75" customHeight="1">
      <c r="A1195" s="5"/>
      <c r="B1195" s="5"/>
      <c r="C1195" s="5"/>
      <c r="D1195" s="5"/>
      <c r="E1195" s="14"/>
      <c r="F1195" s="15"/>
      <c r="G1195" s="14"/>
      <c r="H1195" s="16"/>
      <c r="I1195" s="14"/>
      <c r="J1195" s="16"/>
      <c r="K1195" s="14"/>
      <c r="L1195" s="16"/>
      <c r="M1195" s="14"/>
      <c r="N1195" s="16"/>
      <c r="O1195" s="14"/>
      <c r="P1195" s="16"/>
      <c r="Q1195" s="14"/>
      <c r="R1195" s="5"/>
      <c r="S1195" s="14"/>
      <c r="T1195" s="16"/>
      <c r="U1195" s="16"/>
      <c r="V1195" s="17"/>
      <c r="W1195" s="6"/>
      <c r="X1195" s="22"/>
      <c r="Y1195" s="14"/>
      <c r="Z1195" s="14"/>
      <c r="AA1195" s="14"/>
      <c r="AB1195" s="14"/>
      <c r="AC1195" s="14"/>
      <c r="AD1195" s="14"/>
      <c r="AE1195" s="14"/>
      <c r="AF1195" s="14"/>
      <c r="AG1195" s="19"/>
      <c r="AH1195" s="20"/>
      <c r="AI1195" s="5"/>
      <c r="AJ1195" s="5"/>
      <c r="AK1195" s="5"/>
      <c r="AL1195" s="5"/>
      <c r="AM1195" s="5"/>
      <c r="AN1195" s="5"/>
      <c r="AO1195" s="5"/>
      <c r="AP1195" s="5"/>
      <c r="AQ1195" s="5"/>
      <c r="AR1195" s="5"/>
      <c r="AS1195" s="5"/>
      <c r="AT1195" s="5"/>
      <c r="AU1195" s="5"/>
      <c r="AV1195" s="5"/>
      <c r="AW1195" s="5"/>
      <c r="AX1195" s="5"/>
      <c r="AY1195" s="5"/>
      <c r="AZ1195" s="5"/>
      <c r="BA1195" s="5"/>
      <c r="BB1195" s="5"/>
      <c r="BC1195" s="5"/>
      <c r="BD1195" s="5"/>
      <c r="BE1195" s="5"/>
      <c r="BF1195" s="5"/>
      <c r="BG1195" s="5"/>
      <c r="BH1195" s="5"/>
      <c r="BI1195" s="5"/>
      <c r="BJ1195" s="5"/>
      <c r="BK1195" s="5"/>
      <c r="BL1195" s="5"/>
      <c r="BM1195" s="5"/>
    </row>
    <row r="1196" ht="15.75" customHeight="1">
      <c r="A1196" s="5"/>
      <c r="B1196" s="5"/>
      <c r="C1196" s="5"/>
      <c r="D1196" s="5"/>
      <c r="E1196" s="14"/>
      <c r="F1196" s="15"/>
      <c r="G1196" s="14"/>
      <c r="H1196" s="16"/>
      <c r="I1196" s="14"/>
      <c r="J1196" s="16"/>
      <c r="K1196" s="14"/>
      <c r="L1196" s="16"/>
      <c r="M1196" s="14"/>
      <c r="N1196" s="16"/>
      <c r="O1196" s="14"/>
      <c r="P1196" s="16"/>
      <c r="Q1196" s="14"/>
      <c r="R1196" s="5"/>
      <c r="S1196" s="14"/>
      <c r="T1196" s="16"/>
      <c r="U1196" s="16"/>
      <c r="V1196" s="17"/>
      <c r="W1196" s="6"/>
      <c r="X1196" s="22"/>
      <c r="Y1196" s="14"/>
      <c r="Z1196" s="14"/>
      <c r="AA1196" s="14"/>
      <c r="AB1196" s="14"/>
      <c r="AC1196" s="14"/>
      <c r="AD1196" s="14"/>
      <c r="AE1196" s="14"/>
      <c r="AF1196" s="14"/>
      <c r="AG1196" s="19"/>
      <c r="AH1196" s="20"/>
      <c r="AI1196" s="5"/>
      <c r="AJ1196" s="5"/>
      <c r="AK1196" s="5"/>
      <c r="AL1196" s="5"/>
      <c r="AM1196" s="5"/>
      <c r="AN1196" s="5"/>
      <c r="AO1196" s="5"/>
      <c r="AP1196" s="5"/>
      <c r="AQ1196" s="5"/>
      <c r="AR1196" s="5"/>
      <c r="AS1196" s="5"/>
      <c r="AT1196" s="5"/>
      <c r="AU1196" s="5"/>
      <c r="AV1196" s="5"/>
      <c r="AW1196" s="5"/>
      <c r="AX1196" s="5"/>
      <c r="AY1196" s="5"/>
      <c r="AZ1196" s="5"/>
      <c r="BA1196" s="5"/>
      <c r="BB1196" s="5"/>
      <c r="BC1196" s="5"/>
      <c r="BD1196" s="5"/>
      <c r="BE1196" s="5"/>
      <c r="BF1196" s="5"/>
      <c r="BG1196" s="5"/>
      <c r="BH1196" s="5"/>
      <c r="BI1196" s="5"/>
      <c r="BJ1196" s="5"/>
      <c r="BK1196" s="5"/>
      <c r="BL1196" s="5"/>
      <c r="BM1196" s="5"/>
    </row>
    <row r="1197" ht="15.75" customHeight="1">
      <c r="A1197" s="5"/>
      <c r="B1197" s="5"/>
      <c r="C1197" s="5"/>
      <c r="D1197" s="5"/>
      <c r="E1197" s="14"/>
      <c r="F1197" s="15"/>
      <c r="G1197" s="14"/>
      <c r="H1197" s="16"/>
      <c r="I1197" s="14"/>
      <c r="J1197" s="16"/>
      <c r="K1197" s="14"/>
      <c r="L1197" s="16"/>
      <c r="M1197" s="14"/>
      <c r="N1197" s="16"/>
      <c r="O1197" s="14"/>
      <c r="P1197" s="16"/>
      <c r="Q1197" s="14"/>
      <c r="R1197" s="5"/>
      <c r="S1197" s="14"/>
      <c r="T1197" s="16"/>
      <c r="U1197" s="16"/>
      <c r="V1197" s="17"/>
      <c r="W1197" s="6"/>
      <c r="X1197" s="22"/>
      <c r="Y1197" s="14"/>
      <c r="Z1197" s="14"/>
      <c r="AA1197" s="14"/>
      <c r="AB1197" s="14"/>
      <c r="AC1197" s="14"/>
      <c r="AD1197" s="14"/>
      <c r="AE1197" s="14"/>
      <c r="AF1197" s="14"/>
      <c r="AG1197" s="19"/>
      <c r="AH1197" s="20"/>
      <c r="AI1197" s="5"/>
      <c r="AJ1197" s="5"/>
      <c r="AK1197" s="5"/>
      <c r="AL1197" s="5"/>
      <c r="AM1197" s="5"/>
      <c r="AN1197" s="5"/>
      <c r="AO1197" s="5"/>
      <c r="AP1197" s="5"/>
      <c r="AQ1197" s="5"/>
      <c r="AR1197" s="5"/>
      <c r="AS1197" s="5"/>
      <c r="AT1197" s="5"/>
      <c r="AU1197" s="5"/>
      <c r="AV1197" s="5"/>
      <c r="AW1197" s="5"/>
      <c r="AX1197" s="5"/>
      <c r="AY1197" s="5"/>
      <c r="AZ1197" s="5"/>
      <c r="BA1197" s="5"/>
      <c r="BB1197" s="5"/>
      <c r="BC1197" s="5"/>
      <c r="BD1197" s="5"/>
      <c r="BE1197" s="5"/>
      <c r="BF1197" s="5"/>
      <c r="BG1197" s="5"/>
      <c r="BH1197" s="5"/>
      <c r="BI1197" s="5"/>
      <c r="BJ1197" s="5"/>
      <c r="BK1197" s="5"/>
      <c r="BL1197" s="5"/>
      <c r="BM1197" s="5"/>
    </row>
    <row r="1198" ht="15.75" customHeight="1">
      <c r="A1198" s="5"/>
      <c r="B1198" s="5"/>
      <c r="C1198" s="5"/>
      <c r="D1198" s="5"/>
      <c r="E1198" s="14"/>
      <c r="F1198" s="15"/>
      <c r="G1198" s="14"/>
      <c r="H1198" s="16"/>
      <c r="I1198" s="14"/>
      <c r="J1198" s="16"/>
      <c r="K1198" s="14"/>
      <c r="L1198" s="16"/>
      <c r="M1198" s="14"/>
      <c r="N1198" s="16"/>
      <c r="O1198" s="14"/>
      <c r="P1198" s="16"/>
      <c r="Q1198" s="14"/>
      <c r="R1198" s="5"/>
      <c r="S1198" s="14"/>
      <c r="T1198" s="16"/>
      <c r="U1198" s="16"/>
      <c r="V1198" s="17"/>
      <c r="W1198" s="6"/>
      <c r="X1198" s="22"/>
      <c r="Y1198" s="14"/>
      <c r="Z1198" s="14"/>
      <c r="AA1198" s="14"/>
      <c r="AB1198" s="14"/>
      <c r="AC1198" s="14"/>
      <c r="AD1198" s="14"/>
      <c r="AE1198" s="14"/>
      <c r="AF1198" s="14"/>
      <c r="AG1198" s="19"/>
      <c r="AH1198" s="20"/>
      <c r="AI1198" s="5"/>
      <c r="AJ1198" s="5"/>
      <c r="AK1198" s="5"/>
      <c r="AL1198" s="5"/>
      <c r="AM1198" s="5"/>
      <c r="AN1198" s="5"/>
      <c r="AO1198" s="5"/>
      <c r="AP1198" s="5"/>
      <c r="AQ1198" s="5"/>
      <c r="AR1198" s="5"/>
      <c r="AS1198" s="5"/>
      <c r="AT1198" s="5"/>
      <c r="AU1198" s="5"/>
      <c r="AV1198" s="5"/>
      <c r="AW1198" s="5"/>
      <c r="AX1198" s="5"/>
      <c r="AY1198" s="5"/>
      <c r="AZ1198" s="5"/>
      <c r="BA1198" s="5"/>
      <c r="BB1198" s="5"/>
      <c r="BC1198" s="5"/>
      <c r="BD1198" s="5"/>
      <c r="BE1198" s="5"/>
      <c r="BF1198" s="5"/>
      <c r="BG1198" s="5"/>
      <c r="BH1198" s="5"/>
      <c r="BI1198" s="5"/>
      <c r="BJ1198" s="5"/>
      <c r="BK1198" s="5"/>
      <c r="BL1198" s="5"/>
      <c r="BM1198" s="5"/>
    </row>
    <row r="1199" ht="15.75" customHeight="1">
      <c r="A1199" s="5"/>
      <c r="B1199" s="5"/>
      <c r="C1199" s="5"/>
      <c r="D1199" s="5"/>
      <c r="E1199" s="14"/>
      <c r="F1199" s="15"/>
      <c r="G1199" s="14"/>
      <c r="H1199" s="16"/>
      <c r="I1199" s="14"/>
      <c r="J1199" s="16"/>
      <c r="K1199" s="14"/>
      <c r="L1199" s="16"/>
      <c r="M1199" s="14"/>
      <c r="N1199" s="16"/>
      <c r="O1199" s="14"/>
      <c r="P1199" s="16"/>
      <c r="Q1199" s="14"/>
      <c r="R1199" s="5"/>
      <c r="S1199" s="14"/>
      <c r="T1199" s="16"/>
      <c r="U1199" s="16"/>
      <c r="V1199" s="17"/>
      <c r="W1199" s="6"/>
      <c r="X1199" s="22"/>
      <c r="Y1199" s="14"/>
      <c r="Z1199" s="14"/>
      <c r="AA1199" s="14"/>
      <c r="AB1199" s="14"/>
      <c r="AC1199" s="14"/>
      <c r="AD1199" s="14"/>
      <c r="AE1199" s="14"/>
      <c r="AF1199" s="14"/>
      <c r="AG1199" s="19"/>
      <c r="AH1199" s="20"/>
      <c r="AI1199" s="5"/>
      <c r="AJ1199" s="5"/>
      <c r="AK1199" s="5"/>
      <c r="AL1199" s="5"/>
      <c r="AM1199" s="5"/>
      <c r="AN1199" s="5"/>
      <c r="AO1199" s="5"/>
      <c r="AP1199" s="5"/>
      <c r="AQ1199" s="5"/>
      <c r="AR1199" s="5"/>
      <c r="AS1199" s="5"/>
      <c r="AT1199" s="5"/>
      <c r="AU1199" s="5"/>
      <c r="AV1199" s="5"/>
      <c r="AW1199" s="5"/>
      <c r="AX1199" s="5"/>
      <c r="AY1199" s="5"/>
      <c r="AZ1199" s="5"/>
      <c r="BA1199" s="5"/>
      <c r="BB1199" s="5"/>
      <c r="BC1199" s="5"/>
      <c r="BD1199" s="5"/>
      <c r="BE1199" s="5"/>
      <c r="BF1199" s="5"/>
      <c r="BG1199" s="5"/>
      <c r="BH1199" s="5"/>
      <c r="BI1199" s="5"/>
      <c r="BJ1199" s="5"/>
      <c r="BK1199" s="5"/>
      <c r="BL1199" s="5"/>
      <c r="BM1199" s="5"/>
    </row>
    <row r="1200" ht="15.75" customHeight="1">
      <c r="A1200" s="5"/>
      <c r="B1200" s="5"/>
      <c r="C1200" s="5"/>
      <c r="D1200" s="5"/>
      <c r="E1200" s="14"/>
      <c r="F1200" s="15"/>
      <c r="G1200" s="14"/>
      <c r="H1200" s="16"/>
      <c r="I1200" s="14"/>
      <c r="J1200" s="16"/>
      <c r="K1200" s="14"/>
      <c r="L1200" s="16"/>
      <c r="M1200" s="14"/>
      <c r="N1200" s="16"/>
      <c r="O1200" s="14"/>
      <c r="P1200" s="16"/>
      <c r="Q1200" s="14"/>
      <c r="R1200" s="5"/>
      <c r="S1200" s="14"/>
      <c r="T1200" s="16"/>
      <c r="U1200" s="16"/>
      <c r="V1200" s="17"/>
      <c r="W1200" s="6"/>
      <c r="X1200" s="22"/>
      <c r="Y1200" s="14"/>
      <c r="Z1200" s="14"/>
      <c r="AA1200" s="14"/>
      <c r="AB1200" s="14"/>
      <c r="AC1200" s="14"/>
      <c r="AD1200" s="14"/>
      <c r="AE1200" s="14"/>
      <c r="AF1200" s="14"/>
      <c r="AG1200" s="19"/>
      <c r="AH1200" s="20"/>
      <c r="AI1200" s="5"/>
      <c r="AJ1200" s="5"/>
      <c r="AK1200" s="5"/>
      <c r="AL1200" s="5"/>
      <c r="AM1200" s="5"/>
      <c r="AN1200" s="5"/>
      <c r="AO1200" s="5"/>
      <c r="AP1200" s="5"/>
      <c r="AQ1200" s="5"/>
      <c r="AR1200" s="5"/>
      <c r="AS1200" s="5"/>
      <c r="AT1200" s="5"/>
      <c r="AU1200" s="5"/>
      <c r="AV1200" s="5"/>
      <c r="AW1200" s="5"/>
      <c r="AX1200" s="5"/>
      <c r="AY1200" s="5"/>
      <c r="AZ1200" s="5"/>
      <c r="BA1200" s="5"/>
      <c r="BB1200" s="5"/>
      <c r="BC1200" s="5"/>
      <c r="BD1200" s="5"/>
      <c r="BE1200" s="5"/>
      <c r="BF1200" s="5"/>
      <c r="BG1200" s="5"/>
      <c r="BH1200" s="5"/>
      <c r="BI1200" s="5"/>
      <c r="BJ1200" s="5"/>
      <c r="BK1200" s="5"/>
      <c r="BL1200" s="5"/>
      <c r="BM1200" s="5"/>
    </row>
    <row r="1201" ht="15.75" customHeight="1">
      <c r="A1201" s="5"/>
      <c r="B1201" s="5"/>
      <c r="C1201" s="5"/>
      <c r="D1201" s="5"/>
      <c r="E1201" s="14"/>
      <c r="F1201" s="15"/>
      <c r="G1201" s="14"/>
      <c r="H1201" s="16"/>
      <c r="I1201" s="14"/>
      <c r="J1201" s="16"/>
      <c r="K1201" s="14"/>
      <c r="L1201" s="16"/>
      <c r="M1201" s="14"/>
      <c r="N1201" s="16"/>
      <c r="O1201" s="14"/>
      <c r="P1201" s="16"/>
      <c r="Q1201" s="14"/>
      <c r="R1201" s="5"/>
      <c r="S1201" s="14"/>
      <c r="T1201" s="16"/>
      <c r="U1201" s="16"/>
      <c r="V1201" s="17"/>
      <c r="W1201" s="6"/>
      <c r="X1201" s="22"/>
      <c r="Y1201" s="14"/>
      <c r="Z1201" s="14"/>
      <c r="AA1201" s="14"/>
      <c r="AB1201" s="14"/>
      <c r="AC1201" s="14"/>
      <c r="AD1201" s="14"/>
      <c r="AE1201" s="14"/>
      <c r="AF1201" s="14"/>
      <c r="AG1201" s="19"/>
      <c r="AH1201" s="20"/>
      <c r="AI1201" s="5"/>
      <c r="AJ1201" s="5"/>
      <c r="AK1201" s="5"/>
      <c r="AL1201" s="5"/>
      <c r="AM1201" s="5"/>
      <c r="AN1201" s="5"/>
      <c r="AO1201" s="5"/>
      <c r="AP1201" s="5"/>
      <c r="AQ1201" s="5"/>
      <c r="AR1201" s="5"/>
      <c r="AS1201" s="5"/>
      <c r="AT1201" s="5"/>
      <c r="AU1201" s="5"/>
      <c r="AV1201" s="5"/>
      <c r="AW1201" s="5"/>
      <c r="AX1201" s="5"/>
      <c r="AY1201" s="5"/>
      <c r="AZ1201" s="5"/>
      <c r="BA1201" s="5"/>
      <c r="BB1201" s="5"/>
      <c r="BC1201" s="5"/>
      <c r="BD1201" s="5"/>
      <c r="BE1201" s="5"/>
      <c r="BF1201" s="5"/>
      <c r="BG1201" s="5"/>
      <c r="BH1201" s="5"/>
      <c r="BI1201" s="5"/>
      <c r="BJ1201" s="5"/>
      <c r="BK1201" s="5"/>
      <c r="BL1201" s="5"/>
      <c r="BM1201" s="5"/>
    </row>
    <row r="1202" ht="15.75" customHeight="1">
      <c r="A1202" s="5"/>
      <c r="B1202" s="5"/>
      <c r="C1202" s="5"/>
      <c r="D1202" s="5"/>
      <c r="E1202" s="14"/>
      <c r="F1202" s="15"/>
      <c r="G1202" s="14"/>
      <c r="H1202" s="16"/>
      <c r="I1202" s="14"/>
      <c r="J1202" s="16"/>
      <c r="K1202" s="14"/>
      <c r="L1202" s="16"/>
      <c r="M1202" s="14"/>
      <c r="N1202" s="16"/>
      <c r="O1202" s="14"/>
      <c r="P1202" s="16"/>
      <c r="Q1202" s="14"/>
      <c r="R1202" s="5"/>
      <c r="S1202" s="14"/>
      <c r="T1202" s="16"/>
      <c r="U1202" s="16"/>
      <c r="V1202" s="17"/>
      <c r="W1202" s="6"/>
      <c r="X1202" s="22"/>
      <c r="Y1202" s="14"/>
      <c r="Z1202" s="14"/>
      <c r="AA1202" s="14"/>
      <c r="AB1202" s="14"/>
      <c r="AC1202" s="14"/>
      <c r="AD1202" s="14"/>
      <c r="AE1202" s="14"/>
      <c r="AF1202" s="14"/>
      <c r="AG1202" s="19"/>
      <c r="AH1202" s="20"/>
      <c r="AI1202" s="5"/>
      <c r="AJ1202" s="5"/>
      <c r="AK1202" s="5"/>
      <c r="AL1202" s="5"/>
      <c r="AM1202" s="5"/>
      <c r="AN1202" s="5"/>
      <c r="AO1202" s="5"/>
      <c r="AP1202" s="5"/>
      <c r="AQ1202" s="5"/>
      <c r="AR1202" s="5"/>
      <c r="AS1202" s="5"/>
      <c r="AT1202" s="5"/>
      <c r="AU1202" s="5"/>
      <c r="AV1202" s="5"/>
      <c r="AW1202" s="5"/>
      <c r="AX1202" s="5"/>
      <c r="AY1202" s="5"/>
      <c r="AZ1202" s="5"/>
      <c r="BA1202" s="5"/>
      <c r="BB1202" s="5"/>
      <c r="BC1202" s="5"/>
      <c r="BD1202" s="5"/>
      <c r="BE1202" s="5"/>
      <c r="BF1202" s="5"/>
      <c r="BG1202" s="5"/>
      <c r="BH1202" s="5"/>
      <c r="BI1202" s="5"/>
      <c r="BJ1202" s="5"/>
      <c r="BK1202" s="5"/>
      <c r="BL1202" s="5"/>
      <c r="BM1202" s="5"/>
    </row>
    <row r="1203" ht="15.75" customHeight="1">
      <c r="A1203" s="5"/>
      <c r="B1203" s="5"/>
      <c r="C1203" s="5"/>
      <c r="D1203" s="5"/>
      <c r="E1203" s="14"/>
      <c r="F1203" s="15"/>
      <c r="G1203" s="14"/>
      <c r="H1203" s="16"/>
      <c r="I1203" s="14"/>
      <c r="J1203" s="16"/>
      <c r="K1203" s="14"/>
      <c r="L1203" s="16"/>
      <c r="M1203" s="14"/>
      <c r="N1203" s="16"/>
      <c r="O1203" s="14"/>
      <c r="P1203" s="16"/>
      <c r="Q1203" s="14"/>
      <c r="R1203" s="5"/>
      <c r="S1203" s="14"/>
      <c r="T1203" s="16"/>
      <c r="U1203" s="16"/>
      <c r="V1203" s="17"/>
      <c r="W1203" s="6"/>
      <c r="X1203" s="22"/>
      <c r="Y1203" s="14"/>
      <c r="Z1203" s="14"/>
      <c r="AA1203" s="14"/>
      <c r="AB1203" s="14"/>
      <c r="AC1203" s="14"/>
      <c r="AD1203" s="14"/>
      <c r="AE1203" s="14"/>
      <c r="AF1203" s="14"/>
      <c r="AG1203" s="19"/>
      <c r="AH1203" s="20"/>
      <c r="AI1203" s="5"/>
      <c r="AJ1203" s="5"/>
      <c r="AK1203" s="5"/>
      <c r="AL1203" s="5"/>
      <c r="AM1203" s="5"/>
      <c r="AN1203" s="5"/>
      <c r="AO1203" s="5"/>
      <c r="AP1203" s="5"/>
      <c r="AQ1203" s="5"/>
      <c r="AR1203" s="5"/>
      <c r="AS1203" s="5"/>
      <c r="AT1203" s="5"/>
      <c r="AU1203" s="5"/>
      <c r="AV1203" s="5"/>
      <c r="AW1203" s="5"/>
      <c r="AX1203" s="5"/>
      <c r="AY1203" s="5"/>
      <c r="AZ1203" s="5"/>
      <c r="BA1203" s="5"/>
      <c r="BB1203" s="5"/>
      <c r="BC1203" s="5"/>
      <c r="BD1203" s="5"/>
      <c r="BE1203" s="5"/>
      <c r="BF1203" s="5"/>
      <c r="BG1203" s="5"/>
      <c r="BH1203" s="5"/>
      <c r="BI1203" s="5"/>
      <c r="BJ1203" s="5"/>
      <c r="BK1203" s="5"/>
      <c r="BL1203" s="5"/>
      <c r="BM1203" s="5"/>
    </row>
    <row r="1204" ht="15.75" customHeight="1">
      <c r="A1204" s="5"/>
      <c r="B1204" s="5"/>
      <c r="C1204" s="5"/>
      <c r="D1204" s="5"/>
      <c r="E1204" s="14"/>
      <c r="F1204" s="15"/>
      <c r="G1204" s="14"/>
      <c r="H1204" s="16"/>
      <c r="I1204" s="14"/>
      <c r="J1204" s="16"/>
      <c r="K1204" s="14"/>
      <c r="L1204" s="16"/>
      <c r="M1204" s="14"/>
      <c r="N1204" s="16"/>
      <c r="O1204" s="14"/>
      <c r="P1204" s="16"/>
      <c r="Q1204" s="14"/>
      <c r="R1204" s="5"/>
      <c r="S1204" s="14"/>
      <c r="T1204" s="16"/>
      <c r="U1204" s="16"/>
      <c r="V1204" s="17"/>
      <c r="W1204" s="6"/>
      <c r="X1204" s="22"/>
      <c r="Y1204" s="14"/>
      <c r="Z1204" s="14"/>
      <c r="AA1204" s="14"/>
      <c r="AB1204" s="14"/>
      <c r="AC1204" s="14"/>
      <c r="AD1204" s="14"/>
      <c r="AE1204" s="14"/>
      <c r="AF1204" s="14"/>
      <c r="AG1204" s="19"/>
      <c r="AH1204" s="20"/>
      <c r="AI1204" s="5"/>
      <c r="AJ1204" s="5"/>
      <c r="AK1204" s="5"/>
      <c r="AL1204" s="5"/>
      <c r="AM1204" s="5"/>
      <c r="AN1204" s="5"/>
      <c r="AO1204" s="5"/>
      <c r="AP1204" s="5"/>
      <c r="AQ1204" s="5"/>
      <c r="AR1204" s="5"/>
      <c r="AS1204" s="5"/>
      <c r="AT1204" s="5"/>
      <c r="AU1204" s="5"/>
      <c r="AV1204" s="5"/>
      <c r="AW1204" s="5"/>
      <c r="AX1204" s="5"/>
      <c r="AY1204" s="5"/>
      <c r="AZ1204" s="5"/>
      <c r="BA1204" s="5"/>
      <c r="BB1204" s="5"/>
      <c r="BC1204" s="5"/>
      <c r="BD1204" s="5"/>
      <c r="BE1204" s="5"/>
      <c r="BF1204" s="5"/>
      <c r="BG1204" s="5"/>
      <c r="BH1204" s="5"/>
      <c r="BI1204" s="5"/>
      <c r="BJ1204" s="5"/>
      <c r="BK1204" s="5"/>
      <c r="BL1204" s="5"/>
      <c r="BM1204" s="5"/>
    </row>
    <row r="1205" ht="15.75" customHeight="1">
      <c r="A1205" s="5"/>
      <c r="B1205" s="5"/>
      <c r="C1205" s="5"/>
      <c r="D1205" s="5"/>
      <c r="E1205" s="14"/>
      <c r="F1205" s="15"/>
      <c r="G1205" s="14"/>
      <c r="H1205" s="16"/>
      <c r="I1205" s="14"/>
      <c r="J1205" s="16"/>
      <c r="K1205" s="14"/>
      <c r="L1205" s="16"/>
      <c r="M1205" s="14"/>
      <c r="N1205" s="16"/>
      <c r="O1205" s="14"/>
      <c r="P1205" s="16"/>
      <c r="Q1205" s="14"/>
      <c r="R1205" s="5"/>
      <c r="S1205" s="14"/>
      <c r="T1205" s="16"/>
      <c r="U1205" s="16"/>
      <c r="V1205" s="17"/>
      <c r="W1205" s="6"/>
      <c r="X1205" s="22"/>
      <c r="Y1205" s="14"/>
      <c r="Z1205" s="14"/>
      <c r="AA1205" s="14"/>
      <c r="AB1205" s="14"/>
      <c r="AC1205" s="14"/>
      <c r="AD1205" s="14"/>
      <c r="AE1205" s="14"/>
      <c r="AF1205" s="14"/>
      <c r="AG1205" s="19"/>
      <c r="AH1205" s="20"/>
      <c r="AI1205" s="5"/>
      <c r="AJ1205" s="5"/>
      <c r="AK1205" s="5"/>
      <c r="AL1205" s="5"/>
      <c r="AM1205" s="5"/>
      <c r="AN1205" s="5"/>
      <c r="AO1205" s="5"/>
      <c r="AP1205" s="5"/>
      <c r="AQ1205" s="5"/>
      <c r="AR1205" s="5"/>
      <c r="AS1205" s="5"/>
      <c r="AT1205" s="5"/>
      <c r="AU1205" s="5"/>
      <c r="AV1205" s="5"/>
      <c r="AW1205" s="5"/>
      <c r="AX1205" s="5"/>
      <c r="AY1205" s="5"/>
      <c r="AZ1205" s="5"/>
      <c r="BA1205" s="5"/>
      <c r="BB1205" s="5"/>
      <c r="BC1205" s="5"/>
      <c r="BD1205" s="5"/>
      <c r="BE1205" s="5"/>
      <c r="BF1205" s="5"/>
      <c r="BG1205" s="5"/>
      <c r="BH1205" s="5"/>
      <c r="BI1205" s="5"/>
      <c r="BJ1205" s="5"/>
      <c r="BK1205" s="5"/>
      <c r="BL1205" s="5"/>
      <c r="BM1205" s="5"/>
    </row>
    <row r="1206" ht="15.75" customHeight="1">
      <c r="A1206" s="5"/>
      <c r="B1206" s="5"/>
      <c r="C1206" s="5"/>
      <c r="D1206" s="5"/>
      <c r="E1206" s="14"/>
      <c r="F1206" s="15"/>
      <c r="G1206" s="14"/>
      <c r="H1206" s="16"/>
      <c r="I1206" s="14"/>
      <c r="J1206" s="16"/>
      <c r="K1206" s="14"/>
      <c r="L1206" s="16"/>
      <c r="M1206" s="14"/>
      <c r="N1206" s="16"/>
      <c r="O1206" s="14"/>
      <c r="P1206" s="16"/>
      <c r="Q1206" s="14"/>
      <c r="R1206" s="5"/>
      <c r="S1206" s="14"/>
      <c r="T1206" s="16"/>
      <c r="U1206" s="16"/>
      <c r="V1206" s="17"/>
      <c r="W1206" s="6"/>
      <c r="X1206" s="22"/>
      <c r="Y1206" s="14"/>
      <c r="Z1206" s="14"/>
      <c r="AA1206" s="14"/>
      <c r="AB1206" s="14"/>
      <c r="AC1206" s="14"/>
      <c r="AD1206" s="14"/>
      <c r="AE1206" s="14"/>
      <c r="AF1206" s="14"/>
      <c r="AG1206" s="19"/>
      <c r="AH1206" s="20"/>
      <c r="AI1206" s="5"/>
      <c r="AJ1206" s="5"/>
      <c r="AK1206" s="5"/>
      <c r="AL1206" s="5"/>
      <c r="AM1206" s="5"/>
      <c r="AN1206" s="5"/>
      <c r="AO1206" s="5"/>
      <c r="AP1206" s="5"/>
      <c r="AQ1206" s="5"/>
      <c r="AR1206" s="5"/>
      <c r="AS1206" s="5"/>
      <c r="AT1206" s="5"/>
      <c r="AU1206" s="5"/>
      <c r="AV1206" s="5"/>
      <c r="AW1206" s="5"/>
      <c r="AX1206" s="5"/>
      <c r="AY1206" s="5"/>
      <c r="AZ1206" s="5"/>
      <c r="BA1206" s="5"/>
      <c r="BB1206" s="5"/>
      <c r="BC1206" s="5"/>
      <c r="BD1206" s="5"/>
      <c r="BE1206" s="5"/>
      <c r="BF1206" s="5"/>
      <c r="BG1206" s="5"/>
      <c r="BH1206" s="5"/>
      <c r="BI1206" s="5"/>
      <c r="BJ1206" s="5"/>
      <c r="BK1206" s="5"/>
      <c r="BL1206" s="5"/>
      <c r="BM1206" s="5"/>
    </row>
    <row r="1207" ht="15.75" customHeight="1">
      <c r="A1207" s="5"/>
      <c r="B1207" s="5"/>
      <c r="C1207" s="5"/>
      <c r="D1207" s="5"/>
      <c r="E1207" s="14"/>
      <c r="F1207" s="15"/>
      <c r="G1207" s="14"/>
      <c r="H1207" s="16"/>
      <c r="I1207" s="14"/>
      <c r="J1207" s="16"/>
      <c r="K1207" s="14"/>
      <c r="L1207" s="16"/>
      <c r="M1207" s="14"/>
      <c r="N1207" s="16"/>
      <c r="O1207" s="14"/>
      <c r="P1207" s="16"/>
      <c r="Q1207" s="14"/>
      <c r="R1207" s="5"/>
      <c r="S1207" s="14"/>
      <c r="T1207" s="16"/>
      <c r="U1207" s="16"/>
      <c r="V1207" s="17"/>
      <c r="W1207" s="6"/>
      <c r="X1207" s="22"/>
      <c r="Y1207" s="14"/>
      <c r="Z1207" s="14"/>
      <c r="AA1207" s="14"/>
      <c r="AB1207" s="14"/>
      <c r="AC1207" s="14"/>
      <c r="AD1207" s="14"/>
      <c r="AE1207" s="14"/>
      <c r="AF1207" s="14"/>
      <c r="AG1207" s="19"/>
      <c r="AH1207" s="20"/>
      <c r="AI1207" s="5"/>
      <c r="AJ1207" s="5"/>
      <c r="AK1207" s="5"/>
      <c r="AL1207" s="5"/>
      <c r="AM1207" s="5"/>
      <c r="AN1207" s="5"/>
      <c r="AO1207" s="5"/>
      <c r="AP1207" s="5"/>
      <c r="AQ1207" s="5"/>
      <c r="AR1207" s="5"/>
      <c r="AS1207" s="5"/>
      <c r="AT1207" s="5"/>
      <c r="AU1207" s="5"/>
      <c r="AV1207" s="5"/>
      <c r="AW1207" s="5"/>
      <c r="AX1207" s="5"/>
      <c r="AY1207" s="5"/>
      <c r="AZ1207" s="5"/>
      <c r="BA1207" s="5"/>
      <c r="BB1207" s="5"/>
      <c r="BC1207" s="5"/>
      <c r="BD1207" s="5"/>
      <c r="BE1207" s="5"/>
      <c r="BF1207" s="5"/>
      <c r="BG1207" s="5"/>
      <c r="BH1207" s="5"/>
      <c r="BI1207" s="5"/>
      <c r="BJ1207" s="5"/>
      <c r="BK1207" s="5"/>
      <c r="BL1207" s="5"/>
      <c r="BM1207" s="5"/>
    </row>
    <row r="1208" ht="15.75" customHeight="1">
      <c r="A1208" s="5"/>
      <c r="B1208" s="5"/>
      <c r="C1208" s="5"/>
      <c r="D1208" s="5"/>
      <c r="E1208" s="14"/>
      <c r="F1208" s="15"/>
      <c r="G1208" s="14"/>
      <c r="H1208" s="16"/>
      <c r="I1208" s="14"/>
      <c r="J1208" s="16"/>
      <c r="K1208" s="14"/>
      <c r="L1208" s="16"/>
      <c r="M1208" s="14"/>
      <c r="N1208" s="16"/>
      <c r="O1208" s="14"/>
      <c r="P1208" s="16"/>
      <c r="Q1208" s="14"/>
      <c r="R1208" s="5"/>
      <c r="S1208" s="14"/>
      <c r="T1208" s="16"/>
      <c r="U1208" s="16"/>
      <c r="V1208" s="17"/>
      <c r="W1208" s="6"/>
      <c r="X1208" s="22"/>
      <c r="Y1208" s="14"/>
      <c r="Z1208" s="14"/>
      <c r="AA1208" s="14"/>
      <c r="AB1208" s="14"/>
      <c r="AC1208" s="14"/>
      <c r="AD1208" s="14"/>
      <c r="AE1208" s="14"/>
      <c r="AF1208" s="14"/>
      <c r="AG1208" s="19"/>
      <c r="AH1208" s="20"/>
      <c r="AI1208" s="5"/>
      <c r="AJ1208" s="5"/>
      <c r="AK1208" s="5"/>
      <c r="AL1208" s="5"/>
      <c r="AM1208" s="5"/>
      <c r="AN1208" s="5"/>
      <c r="AO1208" s="5"/>
      <c r="AP1208" s="5"/>
      <c r="AQ1208" s="5"/>
      <c r="AR1208" s="5"/>
      <c r="AS1208" s="5"/>
      <c r="AT1208" s="5"/>
      <c r="AU1208" s="5"/>
      <c r="AV1208" s="5"/>
      <c r="AW1208" s="5"/>
      <c r="AX1208" s="5"/>
      <c r="AY1208" s="5"/>
      <c r="AZ1208" s="5"/>
      <c r="BA1208" s="5"/>
      <c r="BB1208" s="5"/>
      <c r="BC1208" s="5"/>
      <c r="BD1208" s="5"/>
      <c r="BE1208" s="5"/>
      <c r="BF1208" s="5"/>
      <c r="BG1208" s="5"/>
      <c r="BH1208" s="5"/>
      <c r="BI1208" s="5"/>
      <c r="BJ1208" s="5"/>
      <c r="BK1208" s="5"/>
      <c r="BL1208" s="5"/>
      <c r="BM1208" s="5"/>
    </row>
    <row r="1209" ht="15.75" customHeight="1">
      <c r="A1209" s="5"/>
      <c r="B1209" s="5"/>
      <c r="C1209" s="5"/>
      <c r="D1209" s="5"/>
      <c r="E1209" s="14"/>
      <c r="F1209" s="15"/>
      <c r="G1209" s="14"/>
      <c r="H1209" s="16"/>
      <c r="I1209" s="14"/>
      <c r="J1209" s="16"/>
      <c r="K1209" s="14"/>
      <c r="L1209" s="16"/>
      <c r="M1209" s="14"/>
      <c r="N1209" s="16"/>
      <c r="O1209" s="14"/>
      <c r="P1209" s="16"/>
      <c r="Q1209" s="14"/>
      <c r="R1209" s="5"/>
      <c r="S1209" s="14"/>
      <c r="T1209" s="16"/>
      <c r="U1209" s="16"/>
      <c r="V1209" s="17"/>
      <c r="W1209" s="6"/>
      <c r="X1209" s="22"/>
      <c r="Y1209" s="14"/>
      <c r="Z1209" s="14"/>
      <c r="AA1209" s="14"/>
      <c r="AB1209" s="14"/>
      <c r="AC1209" s="14"/>
      <c r="AD1209" s="14"/>
      <c r="AE1209" s="14"/>
      <c r="AF1209" s="14"/>
      <c r="AG1209" s="19"/>
      <c r="AH1209" s="20"/>
      <c r="AI1209" s="5"/>
      <c r="AJ1209" s="5"/>
      <c r="AK1209" s="5"/>
      <c r="AL1209" s="5"/>
      <c r="AM1209" s="5"/>
      <c r="AN1209" s="5"/>
      <c r="AO1209" s="5"/>
      <c r="AP1209" s="5"/>
      <c r="AQ1209" s="5"/>
      <c r="AR1209" s="5"/>
      <c r="AS1209" s="5"/>
      <c r="AT1209" s="5"/>
      <c r="AU1209" s="5"/>
      <c r="AV1209" s="5"/>
      <c r="AW1209" s="5"/>
      <c r="AX1209" s="5"/>
      <c r="AY1209" s="5"/>
      <c r="AZ1209" s="5"/>
      <c r="BA1209" s="5"/>
      <c r="BB1209" s="5"/>
      <c r="BC1209" s="5"/>
      <c r="BD1209" s="5"/>
      <c r="BE1209" s="5"/>
      <c r="BF1209" s="5"/>
      <c r="BG1209" s="5"/>
      <c r="BH1209" s="5"/>
      <c r="BI1209" s="5"/>
      <c r="BJ1209" s="5"/>
      <c r="BK1209" s="5"/>
      <c r="BL1209" s="5"/>
      <c r="BM1209" s="5"/>
    </row>
    <row r="1210" ht="15.75" customHeight="1">
      <c r="A1210" s="5"/>
      <c r="B1210" s="5"/>
      <c r="C1210" s="5"/>
      <c r="D1210" s="5"/>
      <c r="E1210" s="14"/>
      <c r="F1210" s="15"/>
      <c r="G1210" s="14"/>
      <c r="H1210" s="16"/>
      <c r="I1210" s="14"/>
      <c r="J1210" s="16"/>
      <c r="K1210" s="14"/>
      <c r="L1210" s="16"/>
      <c r="M1210" s="14"/>
      <c r="N1210" s="16"/>
      <c r="O1210" s="14"/>
      <c r="P1210" s="16"/>
      <c r="Q1210" s="14"/>
      <c r="R1210" s="5"/>
      <c r="S1210" s="14"/>
      <c r="T1210" s="16"/>
      <c r="U1210" s="16"/>
      <c r="V1210" s="17"/>
      <c r="W1210" s="6"/>
      <c r="X1210" s="22"/>
      <c r="Y1210" s="14"/>
      <c r="Z1210" s="14"/>
      <c r="AA1210" s="14"/>
      <c r="AB1210" s="14"/>
      <c r="AC1210" s="14"/>
      <c r="AD1210" s="14"/>
      <c r="AE1210" s="14"/>
      <c r="AF1210" s="14"/>
      <c r="AG1210" s="19"/>
      <c r="AH1210" s="20"/>
      <c r="AI1210" s="5"/>
      <c r="AJ1210" s="5"/>
      <c r="AK1210" s="5"/>
      <c r="AL1210" s="5"/>
      <c r="AM1210" s="5"/>
      <c r="AN1210" s="5"/>
      <c r="AO1210" s="5"/>
      <c r="AP1210" s="5"/>
      <c r="AQ1210" s="5"/>
      <c r="AR1210" s="5"/>
      <c r="AS1210" s="5"/>
      <c r="AT1210" s="5"/>
      <c r="AU1210" s="5"/>
      <c r="AV1210" s="5"/>
      <c r="AW1210" s="5"/>
      <c r="AX1210" s="5"/>
      <c r="AY1210" s="5"/>
      <c r="AZ1210" s="5"/>
      <c r="BA1210" s="5"/>
      <c r="BB1210" s="5"/>
      <c r="BC1210" s="5"/>
      <c r="BD1210" s="5"/>
      <c r="BE1210" s="5"/>
      <c r="BF1210" s="5"/>
      <c r="BG1210" s="5"/>
      <c r="BH1210" s="5"/>
      <c r="BI1210" s="5"/>
      <c r="BJ1210" s="5"/>
      <c r="BK1210" s="5"/>
      <c r="BL1210" s="5"/>
      <c r="BM1210" s="5"/>
    </row>
    <row r="1211" ht="15.75" customHeight="1">
      <c r="A1211" s="5"/>
      <c r="B1211" s="5"/>
      <c r="C1211" s="5"/>
      <c r="D1211" s="5"/>
      <c r="E1211" s="14"/>
      <c r="F1211" s="15"/>
      <c r="G1211" s="14"/>
      <c r="H1211" s="16"/>
      <c r="I1211" s="14"/>
      <c r="J1211" s="16"/>
      <c r="K1211" s="14"/>
      <c r="L1211" s="16"/>
      <c r="M1211" s="14"/>
      <c r="N1211" s="16"/>
      <c r="O1211" s="14"/>
      <c r="P1211" s="16"/>
      <c r="Q1211" s="14"/>
      <c r="R1211" s="5"/>
      <c r="S1211" s="14"/>
      <c r="T1211" s="16"/>
      <c r="U1211" s="16"/>
      <c r="V1211" s="17"/>
      <c r="W1211" s="6"/>
      <c r="X1211" s="22"/>
      <c r="Y1211" s="14"/>
      <c r="Z1211" s="14"/>
      <c r="AA1211" s="14"/>
      <c r="AB1211" s="14"/>
      <c r="AC1211" s="14"/>
      <c r="AD1211" s="14"/>
      <c r="AE1211" s="14"/>
      <c r="AF1211" s="14"/>
      <c r="AG1211" s="19"/>
      <c r="AH1211" s="20"/>
      <c r="AI1211" s="5"/>
      <c r="AJ1211" s="5"/>
      <c r="AK1211" s="5"/>
      <c r="AL1211" s="5"/>
      <c r="AM1211" s="5"/>
      <c r="AN1211" s="5"/>
      <c r="AO1211" s="5"/>
      <c r="AP1211" s="5"/>
      <c r="AQ1211" s="5"/>
      <c r="AR1211" s="5"/>
      <c r="AS1211" s="5"/>
      <c r="AT1211" s="5"/>
      <c r="AU1211" s="5"/>
      <c r="AV1211" s="5"/>
      <c r="AW1211" s="5"/>
      <c r="AX1211" s="5"/>
      <c r="AY1211" s="5"/>
      <c r="AZ1211" s="5"/>
      <c r="BA1211" s="5"/>
      <c r="BB1211" s="5"/>
      <c r="BC1211" s="5"/>
      <c r="BD1211" s="5"/>
      <c r="BE1211" s="5"/>
      <c r="BF1211" s="5"/>
      <c r="BG1211" s="5"/>
      <c r="BH1211" s="5"/>
      <c r="BI1211" s="5"/>
      <c r="BJ1211" s="5"/>
      <c r="BK1211" s="5"/>
      <c r="BL1211" s="5"/>
      <c r="BM1211" s="5"/>
    </row>
    <row r="1212" ht="15.75" customHeight="1">
      <c r="A1212" s="5"/>
      <c r="B1212" s="5"/>
      <c r="C1212" s="5"/>
      <c r="D1212" s="5"/>
      <c r="E1212" s="14"/>
      <c r="F1212" s="15"/>
      <c r="G1212" s="14"/>
      <c r="H1212" s="16"/>
      <c r="I1212" s="14"/>
      <c r="J1212" s="16"/>
      <c r="K1212" s="14"/>
      <c r="L1212" s="16"/>
      <c r="M1212" s="14"/>
      <c r="N1212" s="16"/>
      <c r="O1212" s="14"/>
      <c r="P1212" s="16"/>
      <c r="Q1212" s="14"/>
      <c r="R1212" s="5"/>
      <c r="S1212" s="14"/>
      <c r="T1212" s="16"/>
      <c r="U1212" s="16"/>
      <c r="V1212" s="17"/>
      <c r="W1212" s="6"/>
      <c r="X1212" s="22"/>
      <c r="Y1212" s="14"/>
      <c r="Z1212" s="14"/>
      <c r="AA1212" s="14"/>
      <c r="AB1212" s="14"/>
      <c r="AC1212" s="14"/>
      <c r="AD1212" s="14"/>
      <c r="AE1212" s="14"/>
      <c r="AF1212" s="14"/>
      <c r="AG1212" s="19"/>
      <c r="AH1212" s="20"/>
      <c r="AI1212" s="5"/>
      <c r="AJ1212" s="5"/>
      <c r="AK1212" s="5"/>
      <c r="AL1212" s="5"/>
      <c r="AM1212" s="5"/>
      <c r="AN1212" s="5"/>
      <c r="AO1212" s="5"/>
      <c r="AP1212" s="5"/>
      <c r="AQ1212" s="5"/>
      <c r="AR1212" s="5"/>
      <c r="AS1212" s="5"/>
      <c r="AT1212" s="5"/>
      <c r="AU1212" s="5"/>
      <c r="AV1212" s="5"/>
      <c r="AW1212" s="5"/>
      <c r="AX1212" s="5"/>
      <c r="AY1212" s="5"/>
      <c r="AZ1212" s="5"/>
      <c r="BA1212" s="5"/>
      <c r="BB1212" s="5"/>
      <c r="BC1212" s="5"/>
      <c r="BD1212" s="5"/>
      <c r="BE1212" s="5"/>
      <c r="BF1212" s="5"/>
      <c r="BG1212" s="5"/>
      <c r="BH1212" s="5"/>
      <c r="BI1212" s="5"/>
      <c r="BJ1212" s="5"/>
      <c r="BK1212" s="5"/>
      <c r="BL1212" s="5"/>
      <c r="BM1212" s="5"/>
    </row>
    <row r="1213" ht="15.75" customHeight="1">
      <c r="A1213" s="5"/>
      <c r="B1213" s="5"/>
      <c r="C1213" s="5"/>
      <c r="D1213" s="5"/>
      <c r="E1213" s="14"/>
      <c r="F1213" s="15"/>
      <c r="G1213" s="14"/>
      <c r="H1213" s="16"/>
      <c r="I1213" s="14"/>
      <c r="J1213" s="16"/>
      <c r="K1213" s="14"/>
      <c r="L1213" s="16"/>
      <c r="M1213" s="14"/>
      <c r="N1213" s="16"/>
      <c r="O1213" s="14"/>
      <c r="P1213" s="16"/>
      <c r="Q1213" s="14"/>
      <c r="R1213" s="5"/>
      <c r="S1213" s="14"/>
      <c r="T1213" s="16"/>
      <c r="U1213" s="16"/>
      <c r="V1213" s="17"/>
      <c r="W1213" s="6"/>
      <c r="X1213" s="22"/>
      <c r="Y1213" s="14"/>
      <c r="Z1213" s="14"/>
      <c r="AA1213" s="14"/>
      <c r="AB1213" s="14"/>
      <c r="AC1213" s="14"/>
      <c r="AD1213" s="14"/>
      <c r="AE1213" s="14"/>
      <c r="AF1213" s="14"/>
      <c r="AG1213" s="19"/>
      <c r="AH1213" s="20"/>
      <c r="AI1213" s="5"/>
      <c r="AJ1213" s="5"/>
      <c r="AK1213" s="5"/>
      <c r="AL1213" s="5"/>
      <c r="AM1213" s="5"/>
      <c r="AN1213" s="5"/>
      <c r="AO1213" s="5"/>
      <c r="AP1213" s="5"/>
      <c r="AQ1213" s="5"/>
      <c r="AR1213" s="5"/>
      <c r="AS1213" s="5"/>
      <c r="AT1213" s="5"/>
      <c r="AU1213" s="5"/>
      <c r="AV1213" s="5"/>
      <c r="AW1213" s="5"/>
      <c r="AX1213" s="5"/>
      <c r="AY1213" s="5"/>
      <c r="AZ1213" s="5"/>
      <c r="BA1213" s="5"/>
      <c r="BB1213" s="5"/>
      <c r="BC1213" s="5"/>
      <c r="BD1213" s="5"/>
      <c r="BE1213" s="5"/>
      <c r="BF1213" s="5"/>
      <c r="BG1213" s="5"/>
      <c r="BH1213" s="5"/>
      <c r="BI1213" s="5"/>
      <c r="BJ1213" s="5"/>
      <c r="BK1213" s="5"/>
      <c r="BL1213" s="5"/>
      <c r="BM1213" s="5"/>
    </row>
    <row r="1214" ht="15.75" customHeight="1">
      <c r="A1214" s="5"/>
      <c r="B1214" s="5"/>
      <c r="C1214" s="5"/>
      <c r="D1214" s="5"/>
      <c r="E1214" s="14"/>
      <c r="F1214" s="15"/>
      <c r="G1214" s="14"/>
      <c r="H1214" s="16"/>
      <c r="I1214" s="14"/>
      <c r="J1214" s="16"/>
      <c r="K1214" s="14"/>
      <c r="L1214" s="16"/>
      <c r="M1214" s="14"/>
      <c r="N1214" s="16"/>
      <c r="O1214" s="14"/>
      <c r="P1214" s="16"/>
      <c r="Q1214" s="14"/>
      <c r="R1214" s="5"/>
      <c r="S1214" s="14"/>
      <c r="T1214" s="16"/>
      <c r="U1214" s="16"/>
      <c r="V1214" s="17"/>
      <c r="W1214" s="6"/>
      <c r="X1214" s="22"/>
      <c r="Y1214" s="14"/>
      <c r="Z1214" s="14"/>
      <c r="AA1214" s="14"/>
      <c r="AB1214" s="14"/>
      <c r="AC1214" s="14"/>
      <c r="AD1214" s="14"/>
      <c r="AE1214" s="14"/>
      <c r="AF1214" s="14"/>
      <c r="AG1214" s="19"/>
      <c r="AH1214" s="20"/>
      <c r="AI1214" s="5"/>
      <c r="AJ1214" s="5"/>
      <c r="AK1214" s="5"/>
      <c r="AL1214" s="5"/>
      <c r="AM1214" s="5"/>
      <c r="AN1214" s="5"/>
      <c r="AO1214" s="5"/>
      <c r="AP1214" s="5"/>
      <c r="AQ1214" s="5"/>
      <c r="AR1214" s="5"/>
      <c r="AS1214" s="5"/>
      <c r="AT1214" s="5"/>
      <c r="AU1214" s="5"/>
      <c r="AV1214" s="5"/>
      <c r="AW1214" s="5"/>
      <c r="AX1214" s="5"/>
      <c r="AY1214" s="5"/>
      <c r="AZ1214" s="5"/>
      <c r="BA1214" s="5"/>
      <c r="BB1214" s="5"/>
      <c r="BC1214" s="5"/>
      <c r="BD1214" s="5"/>
      <c r="BE1214" s="5"/>
      <c r="BF1214" s="5"/>
      <c r="BG1214" s="5"/>
      <c r="BH1214" s="5"/>
      <c r="BI1214" s="5"/>
      <c r="BJ1214" s="5"/>
      <c r="BK1214" s="5"/>
      <c r="BL1214" s="5"/>
      <c r="BM1214" s="5"/>
    </row>
    <row r="1215" ht="15.75" customHeight="1">
      <c r="A1215" s="5"/>
      <c r="B1215" s="5"/>
      <c r="C1215" s="5"/>
      <c r="D1215" s="5"/>
      <c r="E1215" s="14"/>
      <c r="F1215" s="15"/>
      <c r="G1215" s="14"/>
      <c r="H1215" s="16"/>
      <c r="I1215" s="14"/>
      <c r="J1215" s="16"/>
      <c r="K1215" s="14"/>
      <c r="L1215" s="16"/>
      <c r="M1215" s="14"/>
      <c r="N1215" s="16"/>
      <c r="O1215" s="14"/>
      <c r="P1215" s="16"/>
      <c r="Q1215" s="14"/>
      <c r="R1215" s="5"/>
      <c r="S1215" s="14"/>
      <c r="T1215" s="16"/>
      <c r="U1215" s="16"/>
      <c r="V1215" s="17"/>
      <c r="W1215" s="6"/>
      <c r="X1215" s="22"/>
      <c r="Y1215" s="14"/>
      <c r="Z1215" s="14"/>
      <c r="AA1215" s="14"/>
      <c r="AB1215" s="14"/>
      <c r="AC1215" s="14"/>
      <c r="AD1215" s="14"/>
      <c r="AE1215" s="14"/>
      <c r="AF1215" s="14"/>
      <c r="AG1215" s="19"/>
      <c r="AH1215" s="20"/>
      <c r="AI1215" s="5"/>
      <c r="AJ1215" s="5"/>
      <c r="AK1215" s="5"/>
      <c r="AL1215" s="5"/>
      <c r="AM1215" s="5"/>
      <c r="AN1215" s="5"/>
      <c r="AO1215" s="5"/>
      <c r="AP1215" s="5"/>
      <c r="AQ1215" s="5"/>
      <c r="AR1215" s="5"/>
      <c r="AS1215" s="5"/>
      <c r="AT1215" s="5"/>
      <c r="AU1215" s="5"/>
      <c r="AV1215" s="5"/>
      <c r="AW1215" s="5"/>
      <c r="AX1215" s="5"/>
      <c r="AY1215" s="5"/>
      <c r="AZ1215" s="5"/>
      <c r="BA1215" s="5"/>
      <c r="BB1215" s="5"/>
      <c r="BC1215" s="5"/>
      <c r="BD1215" s="5"/>
      <c r="BE1215" s="5"/>
      <c r="BF1215" s="5"/>
      <c r="BG1215" s="5"/>
      <c r="BH1215" s="5"/>
      <c r="BI1215" s="5"/>
      <c r="BJ1215" s="5"/>
      <c r="BK1215" s="5"/>
      <c r="BL1215" s="5"/>
      <c r="BM1215" s="5"/>
    </row>
    <row r="1216" ht="15.75" customHeight="1">
      <c r="A1216" s="5"/>
      <c r="B1216" s="5"/>
      <c r="C1216" s="5"/>
      <c r="D1216" s="5"/>
      <c r="E1216" s="14"/>
      <c r="F1216" s="15"/>
      <c r="G1216" s="14"/>
      <c r="H1216" s="16"/>
      <c r="I1216" s="14"/>
      <c r="J1216" s="16"/>
      <c r="K1216" s="14"/>
      <c r="L1216" s="16"/>
      <c r="M1216" s="14"/>
      <c r="N1216" s="16"/>
      <c r="O1216" s="14"/>
      <c r="P1216" s="16"/>
      <c r="Q1216" s="14"/>
      <c r="R1216" s="5"/>
      <c r="S1216" s="14"/>
      <c r="T1216" s="16"/>
      <c r="U1216" s="16"/>
      <c r="V1216" s="17"/>
      <c r="W1216" s="6"/>
      <c r="X1216" s="22"/>
      <c r="Y1216" s="14"/>
      <c r="Z1216" s="14"/>
      <c r="AA1216" s="14"/>
      <c r="AB1216" s="14"/>
      <c r="AC1216" s="14"/>
      <c r="AD1216" s="14"/>
      <c r="AE1216" s="14"/>
      <c r="AF1216" s="14"/>
      <c r="AG1216" s="19"/>
      <c r="AH1216" s="20"/>
      <c r="AI1216" s="5"/>
      <c r="AJ1216" s="5"/>
      <c r="AK1216" s="5"/>
      <c r="AL1216" s="5"/>
      <c r="AM1216" s="5"/>
      <c r="AN1216" s="5"/>
      <c r="AO1216" s="5"/>
      <c r="AP1216" s="5"/>
      <c r="AQ1216" s="5"/>
      <c r="AR1216" s="5"/>
      <c r="AS1216" s="5"/>
      <c r="AT1216" s="5"/>
      <c r="AU1216" s="5"/>
      <c r="AV1216" s="5"/>
      <c r="AW1216" s="5"/>
      <c r="AX1216" s="5"/>
      <c r="AY1216" s="5"/>
      <c r="AZ1216" s="5"/>
      <c r="BA1216" s="5"/>
      <c r="BB1216" s="5"/>
      <c r="BC1216" s="5"/>
      <c r="BD1216" s="5"/>
      <c r="BE1216" s="5"/>
      <c r="BF1216" s="5"/>
      <c r="BG1216" s="5"/>
      <c r="BH1216" s="5"/>
      <c r="BI1216" s="5"/>
      <c r="BJ1216" s="5"/>
      <c r="BK1216" s="5"/>
      <c r="BL1216" s="5"/>
      <c r="BM1216" s="5"/>
    </row>
    <row r="1217" ht="15.75" customHeight="1">
      <c r="A1217" s="5"/>
      <c r="B1217" s="5"/>
      <c r="C1217" s="5"/>
      <c r="D1217" s="5"/>
      <c r="E1217" s="14"/>
      <c r="F1217" s="15"/>
      <c r="G1217" s="14"/>
      <c r="H1217" s="16"/>
      <c r="I1217" s="14"/>
      <c r="J1217" s="16"/>
      <c r="K1217" s="14"/>
      <c r="L1217" s="16"/>
      <c r="M1217" s="14"/>
      <c r="N1217" s="16"/>
      <c r="O1217" s="14"/>
      <c r="P1217" s="16"/>
      <c r="Q1217" s="14"/>
      <c r="R1217" s="5"/>
      <c r="S1217" s="14"/>
      <c r="T1217" s="16"/>
      <c r="U1217" s="16"/>
      <c r="V1217" s="17"/>
      <c r="W1217" s="6"/>
      <c r="X1217" s="22"/>
      <c r="Y1217" s="14"/>
      <c r="Z1217" s="14"/>
      <c r="AA1217" s="14"/>
      <c r="AB1217" s="14"/>
      <c r="AC1217" s="14"/>
      <c r="AD1217" s="14"/>
      <c r="AE1217" s="14"/>
      <c r="AF1217" s="14"/>
      <c r="AG1217" s="19"/>
      <c r="AH1217" s="20"/>
      <c r="AI1217" s="5"/>
      <c r="AJ1217" s="5"/>
      <c r="AK1217" s="5"/>
      <c r="AL1217" s="5"/>
      <c r="AM1217" s="5"/>
      <c r="AN1217" s="5"/>
      <c r="AO1217" s="5"/>
      <c r="AP1217" s="5"/>
      <c r="AQ1217" s="5"/>
      <c r="AR1217" s="5"/>
      <c r="AS1217" s="5"/>
      <c r="AT1217" s="5"/>
      <c r="AU1217" s="5"/>
      <c r="AV1217" s="5"/>
      <c r="AW1217" s="5"/>
      <c r="AX1217" s="5"/>
      <c r="AY1217" s="5"/>
      <c r="AZ1217" s="5"/>
      <c r="BA1217" s="5"/>
      <c r="BB1217" s="5"/>
      <c r="BC1217" s="5"/>
      <c r="BD1217" s="5"/>
      <c r="BE1217" s="5"/>
      <c r="BF1217" s="5"/>
      <c r="BG1217" s="5"/>
      <c r="BH1217" s="5"/>
      <c r="BI1217" s="5"/>
      <c r="BJ1217" s="5"/>
      <c r="BK1217" s="5"/>
      <c r="BL1217" s="5"/>
      <c r="BM1217" s="5"/>
    </row>
    <row r="1218" ht="15.75" customHeight="1">
      <c r="A1218" s="5"/>
      <c r="B1218" s="5"/>
      <c r="C1218" s="5"/>
      <c r="D1218" s="5"/>
      <c r="E1218" s="14"/>
      <c r="F1218" s="15"/>
      <c r="G1218" s="14"/>
      <c r="H1218" s="16"/>
      <c r="I1218" s="14"/>
      <c r="J1218" s="16"/>
      <c r="K1218" s="14"/>
      <c r="L1218" s="16"/>
      <c r="M1218" s="14"/>
      <c r="N1218" s="16"/>
      <c r="O1218" s="14"/>
      <c r="P1218" s="16"/>
      <c r="Q1218" s="14"/>
      <c r="R1218" s="5"/>
      <c r="S1218" s="14"/>
      <c r="T1218" s="16"/>
      <c r="U1218" s="16"/>
      <c r="V1218" s="17"/>
      <c r="W1218" s="6"/>
      <c r="X1218" s="22"/>
      <c r="Y1218" s="14"/>
      <c r="Z1218" s="14"/>
      <c r="AA1218" s="14"/>
      <c r="AB1218" s="14"/>
      <c r="AC1218" s="14"/>
      <c r="AD1218" s="14"/>
      <c r="AE1218" s="14"/>
      <c r="AF1218" s="14"/>
      <c r="AG1218" s="19"/>
      <c r="AH1218" s="20"/>
      <c r="AI1218" s="5"/>
      <c r="AJ1218" s="5"/>
      <c r="AK1218" s="5"/>
      <c r="AL1218" s="5"/>
      <c r="AM1218" s="5"/>
      <c r="AN1218" s="5"/>
      <c r="AO1218" s="5"/>
      <c r="AP1218" s="5"/>
      <c r="AQ1218" s="5"/>
      <c r="AR1218" s="5"/>
      <c r="AS1218" s="5"/>
      <c r="AT1218" s="5"/>
      <c r="AU1218" s="5"/>
      <c r="AV1218" s="5"/>
      <c r="AW1218" s="5"/>
      <c r="AX1218" s="5"/>
      <c r="AY1218" s="5"/>
      <c r="AZ1218" s="5"/>
      <c r="BA1218" s="5"/>
      <c r="BB1218" s="5"/>
      <c r="BC1218" s="5"/>
      <c r="BD1218" s="5"/>
      <c r="BE1218" s="5"/>
      <c r="BF1218" s="5"/>
      <c r="BG1218" s="5"/>
      <c r="BH1218" s="5"/>
      <c r="BI1218" s="5"/>
      <c r="BJ1218" s="5"/>
      <c r="BK1218" s="5"/>
      <c r="BL1218" s="5"/>
      <c r="BM1218" s="5"/>
    </row>
    <row r="1219" ht="15.75" customHeight="1">
      <c r="A1219" s="5"/>
      <c r="B1219" s="5"/>
      <c r="C1219" s="5"/>
      <c r="D1219" s="5"/>
      <c r="E1219" s="14"/>
      <c r="F1219" s="15"/>
      <c r="G1219" s="14"/>
      <c r="H1219" s="16"/>
      <c r="I1219" s="14"/>
      <c r="J1219" s="16"/>
      <c r="K1219" s="14"/>
      <c r="L1219" s="16"/>
      <c r="M1219" s="14"/>
      <c r="N1219" s="16"/>
      <c r="O1219" s="14"/>
      <c r="P1219" s="16"/>
      <c r="Q1219" s="14"/>
      <c r="R1219" s="5"/>
      <c r="S1219" s="14"/>
      <c r="T1219" s="16"/>
      <c r="U1219" s="16"/>
      <c r="V1219" s="17"/>
      <c r="W1219" s="6"/>
      <c r="X1219" s="22"/>
      <c r="Y1219" s="14"/>
      <c r="Z1219" s="14"/>
      <c r="AA1219" s="14"/>
      <c r="AB1219" s="14"/>
      <c r="AC1219" s="14"/>
      <c r="AD1219" s="14"/>
      <c r="AE1219" s="14"/>
      <c r="AF1219" s="14"/>
      <c r="AG1219" s="19"/>
      <c r="AH1219" s="20"/>
      <c r="AI1219" s="5"/>
      <c r="AJ1219" s="5"/>
      <c r="AK1219" s="5"/>
      <c r="AL1219" s="5"/>
      <c r="AM1219" s="5"/>
      <c r="AN1219" s="5"/>
      <c r="AO1219" s="5"/>
      <c r="AP1219" s="5"/>
      <c r="AQ1219" s="5"/>
      <c r="AR1219" s="5"/>
      <c r="AS1219" s="5"/>
      <c r="AT1219" s="5"/>
      <c r="AU1219" s="5"/>
      <c r="AV1219" s="5"/>
      <c r="AW1219" s="5"/>
      <c r="AX1219" s="5"/>
      <c r="AY1219" s="5"/>
      <c r="AZ1219" s="5"/>
      <c r="BA1219" s="5"/>
      <c r="BB1219" s="5"/>
      <c r="BC1219" s="5"/>
      <c r="BD1219" s="5"/>
      <c r="BE1219" s="5"/>
      <c r="BF1219" s="5"/>
      <c r="BG1219" s="5"/>
      <c r="BH1219" s="5"/>
      <c r="BI1219" s="5"/>
      <c r="BJ1219" s="5"/>
      <c r="BK1219" s="5"/>
      <c r="BL1219" s="5"/>
      <c r="BM1219" s="5"/>
    </row>
    <row r="1220" ht="15.75" customHeight="1">
      <c r="A1220" s="5"/>
      <c r="B1220" s="5"/>
      <c r="C1220" s="5"/>
      <c r="D1220" s="5"/>
      <c r="E1220" s="14"/>
      <c r="F1220" s="15"/>
      <c r="G1220" s="14"/>
      <c r="H1220" s="16"/>
      <c r="I1220" s="14"/>
      <c r="J1220" s="16"/>
      <c r="K1220" s="14"/>
      <c r="L1220" s="16"/>
      <c r="M1220" s="14"/>
      <c r="N1220" s="16"/>
      <c r="O1220" s="14"/>
      <c r="P1220" s="16"/>
      <c r="Q1220" s="14"/>
      <c r="R1220" s="5"/>
      <c r="S1220" s="14"/>
      <c r="T1220" s="16"/>
      <c r="U1220" s="16"/>
      <c r="V1220" s="17"/>
      <c r="W1220" s="6"/>
      <c r="X1220" s="22"/>
      <c r="Y1220" s="14"/>
      <c r="Z1220" s="14"/>
      <c r="AA1220" s="14"/>
      <c r="AB1220" s="14"/>
      <c r="AC1220" s="14"/>
      <c r="AD1220" s="14"/>
      <c r="AE1220" s="14"/>
      <c r="AF1220" s="14"/>
      <c r="AG1220" s="19"/>
      <c r="AH1220" s="20"/>
      <c r="AI1220" s="5"/>
      <c r="AJ1220" s="5"/>
      <c r="AK1220" s="5"/>
      <c r="AL1220" s="5"/>
      <c r="AM1220" s="5"/>
      <c r="AN1220" s="5"/>
      <c r="AO1220" s="5"/>
      <c r="AP1220" s="5"/>
      <c r="AQ1220" s="5"/>
      <c r="AR1220" s="5"/>
      <c r="AS1220" s="5"/>
      <c r="AT1220" s="5"/>
      <c r="AU1220" s="5"/>
      <c r="AV1220" s="5"/>
      <c r="AW1220" s="5"/>
      <c r="AX1220" s="5"/>
      <c r="AY1220" s="5"/>
      <c r="AZ1220" s="5"/>
      <c r="BA1220" s="5"/>
      <c r="BB1220" s="5"/>
      <c r="BC1220" s="5"/>
      <c r="BD1220" s="5"/>
      <c r="BE1220" s="5"/>
      <c r="BF1220" s="5"/>
      <c r="BG1220" s="5"/>
      <c r="BH1220" s="5"/>
      <c r="BI1220" s="5"/>
      <c r="BJ1220" s="5"/>
      <c r="BK1220" s="5"/>
      <c r="BL1220" s="5"/>
      <c r="BM1220" s="5"/>
    </row>
    <row r="1221" ht="15.75" customHeight="1">
      <c r="A1221" s="5"/>
      <c r="B1221" s="5"/>
      <c r="C1221" s="5"/>
      <c r="D1221" s="5"/>
      <c r="E1221" s="14"/>
      <c r="F1221" s="15"/>
      <c r="G1221" s="14"/>
      <c r="H1221" s="16"/>
      <c r="I1221" s="14"/>
      <c r="J1221" s="16"/>
      <c r="K1221" s="14"/>
      <c r="L1221" s="16"/>
      <c r="M1221" s="14"/>
      <c r="N1221" s="16"/>
      <c r="O1221" s="14"/>
      <c r="P1221" s="16"/>
      <c r="Q1221" s="14"/>
      <c r="R1221" s="5"/>
      <c r="S1221" s="14"/>
      <c r="T1221" s="16"/>
      <c r="U1221" s="16"/>
      <c r="V1221" s="17"/>
      <c r="W1221" s="6"/>
      <c r="X1221" s="22"/>
      <c r="Y1221" s="14"/>
      <c r="Z1221" s="14"/>
      <c r="AA1221" s="14"/>
      <c r="AB1221" s="14"/>
      <c r="AC1221" s="14"/>
      <c r="AD1221" s="14"/>
      <c r="AE1221" s="14"/>
      <c r="AF1221" s="14"/>
      <c r="AG1221" s="19"/>
      <c r="AH1221" s="20"/>
      <c r="AI1221" s="5"/>
      <c r="AJ1221" s="5"/>
      <c r="AK1221" s="5"/>
      <c r="AL1221" s="5"/>
      <c r="AM1221" s="5"/>
      <c r="AN1221" s="5"/>
      <c r="AO1221" s="5"/>
      <c r="AP1221" s="5"/>
      <c r="AQ1221" s="5"/>
      <c r="AR1221" s="5"/>
      <c r="AS1221" s="5"/>
      <c r="AT1221" s="5"/>
      <c r="AU1221" s="5"/>
      <c r="AV1221" s="5"/>
      <c r="AW1221" s="5"/>
      <c r="AX1221" s="5"/>
      <c r="AY1221" s="5"/>
      <c r="AZ1221" s="5"/>
      <c r="BA1221" s="5"/>
      <c r="BB1221" s="5"/>
      <c r="BC1221" s="5"/>
      <c r="BD1221" s="5"/>
      <c r="BE1221" s="5"/>
      <c r="BF1221" s="5"/>
      <c r="BG1221" s="5"/>
      <c r="BH1221" s="5"/>
      <c r="BI1221" s="5"/>
      <c r="BJ1221" s="5"/>
      <c r="BK1221" s="5"/>
      <c r="BL1221" s="5"/>
      <c r="BM1221" s="5"/>
    </row>
    <row r="1222" ht="15.75" customHeight="1">
      <c r="A1222" s="5"/>
      <c r="B1222" s="5"/>
      <c r="C1222" s="5"/>
      <c r="D1222" s="5"/>
      <c r="E1222" s="14"/>
      <c r="F1222" s="15"/>
      <c r="G1222" s="14"/>
      <c r="H1222" s="16"/>
      <c r="I1222" s="14"/>
      <c r="J1222" s="16"/>
      <c r="K1222" s="14"/>
      <c r="L1222" s="16"/>
      <c r="M1222" s="14"/>
      <c r="N1222" s="16"/>
      <c r="O1222" s="14"/>
      <c r="P1222" s="16"/>
      <c r="Q1222" s="14"/>
      <c r="R1222" s="5"/>
      <c r="S1222" s="14"/>
      <c r="T1222" s="16"/>
      <c r="U1222" s="16"/>
      <c r="V1222" s="17"/>
      <c r="W1222" s="6"/>
      <c r="X1222" s="22"/>
      <c r="Y1222" s="14"/>
      <c r="Z1222" s="14"/>
      <c r="AA1222" s="14"/>
      <c r="AB1222" s="14"/>
      <c r="AC1222" s="14"/>
      <c r="AD1222" s="14"/>
      <c r="AE1222" s="14"/>
      <c r="AF1222" s="14"/>
      <c r="AG1222" s="19"/>
      <c r="AH1222" s="20"/>
      <c r="AI1222" s="5"/>
      <c r="AJ1222" s="5"/>
      <c r="AK1222" s="5"/>
      <c r="AL1222" s="5"/>
      <c r="AM1222" s="5"/>
      <c r="AN1222" s="5"/>
      <c r="AO1222" s="5"/>
      <c r="AP1222" s="5"/>
      <c r="AQ1222" s="5"/>
      <c r="AR1222" s="5"/>
      <c r="AS1222" s="5"/>
      <c r="AT1222" s="5"/>
      <c r="AU1222" s="5"/>
      <c r="AV1222" s="5"/>
      <c r="AW1222" s="5"/>
      <c r="AX1222" s="5"/>
      <c r="AY1222" s="5"/>
      <c r="AZ1222" s="5"/>
      <c r="BA1222" s="5"/>
      <c r="BB1222" s="5"/>
      <c r="BC1222" s="5"/>
      <c r="BD1222" s="5"/>
      <c r="BE1222" s="5"/>
      <c r="BF1222" s="5"/>
      <c r="BG1222" s="5"/>
      <c r="BH1222" s="5"/>
      <c r="BI1222" s="5"/>
      <c r="BJ1222" s="5"/>
      <c r="BK1222" s="5"/>
      <c r="BL1222" s="5"/>
      <c r="BM1222" s="5"/>
    </row>
    <row r="1223" ht="15.75" customHeight="1">
      <c r="A1223" s="5"/>
      <c r="B1223" s="5"/>
      <c r="C1223" s="5"/>
      <c r="D1223" s="5"/>
      <c r="E1223" s="14"/>
      <c r="F1223" s="15"/>
      <c r="G1223" s="14"/>
      <c r="H1223" s="16"/>
      <c r="I1223" s="14"/>
      <c r="J1223" s="16"/>
      <c r="K1223" s="14"/>
      <c r="L1223" s="16"/>
      <c r="M1223" s="14"/>
      <c r="N1223" s="16"/>
      <c r="O1223" s="14"/>
      <c r="P1223" s="16"/>
      <c r="Q1223" s="14"/>
      <c r="R1223" s="5"/>
      <c r="S1223" s="14"/>
      <c r="T1223" s="16"/>
      <c r="U1223" s="16"/>
      <c r="V1223" s="17"/>
      <c r="W1223" s="6"/>
      <c r="X1223" s="22"/>
      <c r="Y1223" s="14"/>
      <c r="Z1223" s="14"/>
      <c r="AA1223" s="14"/>
      <c r="AB1223" s="14"/>
      <c r="AC1223" s="14"/>
      <c r="AD1223" s="14"/>
      <c r="AE1223" s="14"/>
      <c r="AF1223" s="14"/>
      <c r="AG1223" s="19"/>
      <c r="AH1223" s="20"/>
      <c r="AI1223" s="5"/>
      <c r="AJ1223" s="5"/>
      <c r="AK1223" s="5"/>
      <c r="AL1223" s="5"/>
      <c r="AM1223" s="5"/>
      <c r="AN1223" s="5"/>
      <c r="AO1223" s="5"/>
      <c r="AP1223" s="5"/>
      <c r="AQ1223" s="5"/>
      <c r="AR1223" s="5"/>
      <c r="AS1223" s="5"/>
      <c r="AT1223" s="5"/>
      <c r="AU1223" s="5"/>
      <c r="AV1223" s="5"/>
      <c r="AW1223" s="5"/>
      <c r="AX1223" s="5"/>
      <c r="AY1223" s="5"/>
      <c r="AZ1223" s="5"/>
      <c r="BA1223" s="5"/>
      <c r="BB1223" s="5"/>
      <c r="BC1223" s="5"/>
      <c r="BD1223" s="5"/>
      <c r="BE1223" s="5"/>
      <c r="BF1223" s="5"/>
      <c r="BG1223" s="5"/>
      <c r="BH1223" s="5"/>
      <c r="BI1223" s="5"/>
      <c r="BJ1223" s="5"/>
      <c r="BK1223" s="5"/>
      <c r="BL1223" s="5"/>
      <c r="BM1223" s="5"/>
    </row>
    <row r="1224" ht="15.75" customHeight="1">
      <c r="A1224" s="5"/>
      <c r="B1224" s="5"/>
      <c r="C1224" s="5"/>
      <c r="D1224" s="5"/>
      <c r="E1224" s="14"/>
      <c r="F1224" s="15"/>
      <c r="G1224" s="14"/>
      <c r="H1224" s="16"/>
      <c r="I1224" s="14"/>
      <c r="J1224" s="16"/>
      <c r="K1224" s="14"/>
      <c r="L1224" s="16"/>
      <c r="M1224" s="14"/>
      <c r="N1224" s="16"/>
      <c r="O1224" s="14"/>
      <c r="P1224" s="16"/>
      <c r="Q1224" s="14"/>
      <c r="R1224" s="5"/>
      <c r="S1224" s="14"/>
      <c r="T1224" s="16"/>
      <c r="U1224" s="16"/>
      <c r="V1224" s="17"/>
      <c r="W1224" s="6"/>
      <c r="X1224" s="22"/>
      <c r="Y1224" s="14"/>
      <c r="Z1224" s="14"/>
      <c r="AA1224" s="14"/>
      <c r="AB1224" s="14"/>
      <c r="AC1224" s="14"/>
      <c r="AD1224" s="14"/>
      <c r="AE1224" s="14"/>
      <c r="AF1224" s="14"/>
      <c r="AG1224" s="19"/>
      <c r="AH1224" s="20"/>
      <c r="AI1224" s="5"/>
      <c r="AJ1224" s="5"/>
      <c r="AK1224" s="5"/>
      <c r="AL1224" s="5"/>
      <c r="AM1224" s="5"/>
      <c r="AN1224" s="5"/>
      <c r="AO1224" s="5"/>
      <c r="AP1224" s="5"/>
      <c r="AQ1224" s="5"/>
      <c r="AR1224" s="5"/>
      <c r="AS1224" s="5"/>
      <c r="AT1224" s="5"/>
      <c r="AU1224" s="5"/>
      <c r="AV1224" s="5"/>
      <c r="AW1224" s="5"/>
      <c r="AX1224" s="5"/>
      <c r="AY1224" s="5"/>
      <c r="AZ1224" s="5"/>
      <c r="BA1224" s="5"/>
      <c r="BB1224" s="5"/>
      <c r="BC1224" s="5"/>
      <c r="BD1224" s="5"/>
      <c r="BE1224" s="5"/>
      <c r="BF1224" s="5"/>
      <c r="BG1224" s="5"/>
      <c r="BH1224" s="5"/>
      <c r="BI1224" s="5"/>
      <c r="BJ1224" s="5"/>
      <c r="BK1224" s="5"/>
      <c r="BL1224" s="5"/>
      <c r="BM1224" s="5"/>
    </row>
    <row r="1225" ht="15.75" customHeight="1">
      <c r="A1225" s="5"/>
      <c r="B1225" s="5"/>
      <c r="C1225" s="5"/>
      <c r="D1225" s="5"/>
      <c r="E1225" s="14"/>
      <c r="F1225" s="15"/>
      <c r="G1225" s="14"/>
      <c r="H1225" s="16"/>
      <c r="I1225" s="14"/>
      <c r="J1225" s="16"/>
      <c r="K1225" s="14"/>
      <c r="L1225" s="16"/>
      <c r="M1225" s="14"/>
      <c r="N1225" s="16"/>
      <c r="O1225" s="14"/>
      <c r="P1225" s="16"/>
      <c r="Q1225" s="14"/>
      <c r="R1225" s="5"/>
      <c r="S1225" s="14"/>
      <c r="T1225" s="16"/>
      <c r="U1225" s="16"/>
      <c r="V1225" s="17"/>
      <c r="W1225" s="6"/>
      <c r="X1225" s="22"/>
      <c r="Y1225" s="14"/>
      <c r="Z1225" s="14"/>
      <c r="AA1225" s="14"/>
      <c r="AB1225" s="14"/>
      <c r="AC1225" s="14"/>
      <c r="AD1225" s="14"/>
      <c r="AE1225" s="14"/>
      <c r="AF1225" s="14"/>
      <c r="AG1225" s="19"/>
      <c r="AH1225" s="20"/>
      <c r="AI1225" s="5"/>
      <c r="AJ1225" s="5"/>
      <c r="AK1225" s="5"/>
      <c r="AL1225" s="5"/>
      <c r="AM1225" s="5"/>
      <c r="AN1225" s="5"/>
      <c r="AO1225" s="5"/>
      <c r="AP1225" s="5"/>
      <c r="AQ1225" s="5"/>
      <c r="AR1225" s="5"/>
      <c r="AS1225" s="5"/>
      <c r="AT1225" s="5"/>
      <c r="AU1225" s="5"/>
      <c r="AV1225" s="5"/>
      <c r="AW1225" s="5"/>
      <c r="AX1225" s="5"/>
      <c r="AY1225" s="5"/>
      <c r="AZ1225" s="5"/>
      <c r="BA1225" s="5"/>
      <c r="BB1225" s="5"/>
      <c r="BC1225" s="5"/>
      <c r="BD1225" s="5"/>
      <c r="BE1225" s="5"/>
      <c r="BF1225" s="5"/>
      <c r="BG1225" s="5"/>
      <c r="BH1225" s="5"/>
      <c r="BI1225" s="5"/>
      <c r="BJ1225" s="5"/>
      <c r="BK1225" s="5"/>
      <c r="BL1225" s="5"/>
      <c r="BM1225" s="5"/>
    </row>
    <row r="1226" ht="15.75" customHeight="1">
      <c r="A1226" s="5"/>
      <c r="B1226" s="5"/>
      <c r="C1226" s="5"/>
      <c r="D1226" s="5"/>
      <c r="E1226" s="14"/>
      <c r="F1226" s="15"/>
      <c r="G1226" s="14"/>
      <c r="H1226" s="16"/>
      <c r="I1226" s="14"/>
      <c r="J1226" s="16"/>
      <c r="K1226" s="14"/>
      <c r="L1226" s="16"/>
      <c r="M1226" s="14"/>
      <c r="N1226" s="16"/>
      <c r="O1226" s="14"/>
      <c r="P1226" s="16"/>
      <c r="Q1226" s="14"/>
      <c r="R1226" s="5"/>
      <c r="S1226" s="14"/>
      <c r="T1226" s="16"/>
      <c r="U1226" s="16"/>
      <c r="V1226" s="17"/>
      <c r="W1226" s="6"/>
      <c r="X1226" s="22"/>
      <c r="Y1226" s="14"/>
      <c r="Z1226" s="14"/>
      <c r="AA1226" s="14"/>
      <c r="AB1226" s="14"/>
      <c r="AC1226" s="14"/>
      <c r="AD1226" s="14"/>
      <c r="AE1226" s="14"/>
      <c r="AF1226" s="14"/>
      <c r="AG1226" s="19"/>
      <c r="AH1226" s="20"/>
      <c r="AI1226" s="5"/>
      <c r="AJ1226" s="5"/>
      <c r="AK1226" s="5"/>
      <c r="AL1226" s="5"/>
      <c r="AM1226" s="5"/>
      <c r="AN1226" s="5"/>
      <c r="AO1226" s="5"/>
      <c r="AP1226" s="5"/>
      <c r="AQ1226" s="5"/>
      <c r="AR1226" s="5"/>
      <c r="AS1226" s="5"/>
      <c r="AT1226" s="5"/>
      <c r="AU1226" s="5"/>
      <c r="AV1226" s="5"/>
      <c r="AW1226" s="5"/>
      <c r="AX1226" s="5"/>
      <c r="AY1226" s="5"/>
      <c r="AZ1226" s="5"/>
      <c r="BA1226" s="5"/>
      <c r="BB1226" s="5"/>
      <c r="BC1226" s="5"/>
      <c r="BD1226" s="5"/>
      <c r="BE1226" s="5"/>
      <c r="BF1226" s="5"/>
      <c r="BG1226" s="5"/>
      <c r="BH1226" s="5"/>
      <c r="BI1226" s="5"/>
      <c r="BJ1226" s="5"/>
      <c r="BK1226" s="5"/>
      <c r="BL1226" s="5"/>
      <c r="BM1226" s="5"/>
    </row>
    <row r="1227" ht="15.75" customHeight="1">
      <c r="A1227" s="5"/>
      <c r="B1227" s="5"/>
      <c r="C1227" s="5"/>
      <c r="D1227" s="5"/>
      <c r="E1227" s="14"/>
      <c r="F1227" s="15"/>
      <c r="G1227" s="14"/>
      <c r="H1227" s="16"/>
      <c r="I1227" s="14"/>
      <c r="J1227" s="16"/>
      <c r="K1227" s="14"/>
      <c r="L1227" s="16"/>
      <c r="M1227" s="14"/>
      <c r="N1227" s="16"/>
      <c r="O1227" s="14"/>
      <c r="P1227" s="16"/>
      <c r="Q1227" s="14"/>
      <c r="R1227" s="5"/>
      <c r="S1227" s="14"/>
      <c r="T1227" s="16"/>
      <c r="U1227" s="16"/>
      <c r="V1227" s="17"/>
      <c r="W1227" s="6"/>
      <c r="X1227" s="22"/>
      <c r="Y1227" s="14"/>
      <c r="Z1227" s="14"/>
      <c r="AA1227" s="14"/>
      <c r="AB1227" s="14"/>
      <c r="AC1227" s="14"/>
      <c r="AD1227" s="14"/>
      <c r="AE1227" s="14"/>
      <c r="AF1227" s="14"/>
      <c r="AG1227" s="19"/>
      <c r="AH1227" s="20"/>
      <c r="AI1227" s="5"/>
      <c r="AJ1227" s="5"/>
      <c r="AK1227" s="5"/>
      <c r="AL1227" s="5"/>
      <c r="AM1227" s="5"/>
      <c r="AN1227" s="5"/>
      <c r="AO1227" s="5"/>
      <c r="AP1227" s="5"/>
      <c r="AQ1227" s="5"/>
      <c r="AR1227" s="5"/>
      <c r="AS1227" s="5"/>
      <c r="AT1227" s="5"/>
      <c r="AU1227" s="5"/>
      <c r="AV1227" s="5"/>
      <c r="AW1227" s="5"/>
      <c r="AX1227" s="5"/>
      <c r="AY1227" s="5"/>
      <c r="AZ1227" s="5"/>
      <c r="BA1227" s="5"/>
      <c r="BB1227" s="5"/>
      <c r="BC1227" s="5"/>
      <c r="BD1227" s="5"/>
      <c r="BE1227" s="5"/>
      <c r="BF1227" s="5"/>
      <c r="BG1227" s="5"/>
      <c r="BH1227" s="5"/>
      <c r="BI1227" s="5"/>
      <c r="BJ1227" s="5"/>
      <c r="BK1227" s="5"/>
      <c r="BL1227" s="5"/>
      <c r="BM1227" s="5"/>
    </row>
    <row r="1228" ht="15.75" customHeight="1">
      <c r="A1228" s="5"/>
      <c r="B1228" s="5"/>
      <c r="C1228" s="5"/>
      <c r="D1228" s="5"/>
      <c r="E1228" s="14"/>
      <c r="F1228" s="15"/>
      <c r="G1228" s="14"/>
      <c r="H1228" s="16"/>
      <c r="I1228" s="14"/>
      <c r="J1228" s="16"/>
      <c r="K1228" s="14"/>
      <c r="L1228" s="16"/>
      <c r="M1228" s="14"/>
      <c r="N1228" s="16"/>
      <c r="O1228" s="14"/>
      <c r="P1228" s="16"/>
      <c r="Q1228" s="14"/>
      <c r="R1228" s="5"/>
      <c r="S1228" s="14"/>
      <c r="T1228" s="16"/>
      <c r="U1228" s="16"/>
      <c r="V1228" s="17"/>
      <c r="W1228" s="6"/>
      <c r="X1228" s="22"/>
      <c r="Y1228" s="14"/>
      <c r="Z1228" s="14"/>
      <c r="AA1228" s="14"/>
      <c r="AB1228" s="14"/>
      <c r="AC1228" s="14"/>
      <c r="AD1228" s="14"/>
      <c r="AE1228" s="14"/>
      <c r="AF1228" s="14"/>
      <c r="AG1228" s="19"/>
      <c r="AH1228" s="20"/>
      <c r="AI1228" s="5"/>
      <c r="AJ1228" s="5"/>
      <c r="AK1228" s="5"/>
      <c r="AL1228" s="5"/>
      <c r="AM1228" s="5"/>
      <c r="AN1228" s="5"/>
      <c r="AO1228" s="5"/>
      <c r="AP1228" s="5"/>
      <c r="AQ1228" s="5"/>
      <c r="AR1228" s="5"/>
      <c r="AS1228" s="5"/>
      <c r="AT1228" s="5"/>
      <c r="AU1228" s="5"/>
      <c r="AV1228" s="5"/>
      <c r="AW1228" s="5"/>
      <c r="AX1228" s="5"/>
      <c r="AY1228" s="5"/>
      <c r="AZ1228" s="5"/>
      <c r="BA1228" s="5"/>
      <c r="BB1228" s="5"/>
      <c r="BC1228" s="5"/>
      <c r="BD1228" s="5"/>
      <c r="BE1228" s="5"/>
      <c r="BF1228" s="5"/>
      <c r="BG1228" s="5"/>
      <c r="BH1228" s="5"/>
      <c r="BI1228" s="5"/>
      <c r="BJ1228" s="5"/>
      <c r="BK1228" s="5"/>
      <c r="BL1228" s="5"/>
      <c r="BM1228" s="5"/>
    </row>
    <row r="1229" ht="15.75" customHeight="1">
      <c r="A1229" s="5"/>
      <c r="B1229" s="5"/>
      <c r="C1229" s="5"/>
      <c r="D1229" s="5"/>
      <c r="E1229" s="14"/>
      <c r="F1229" s="15"/>
      <c r="G1229" s="14"/>
      <c r="H1229" s="16"/>
      <c r="I1229" s="14"/>
      <c r="J1229" s="16"/>
      <c r="K1229" s="14"/>
      <c r="L1229" s="16"/>
      <c r="M1229" s="14"/>
      <c r="N1229" s="16"/>
      <c r="O1229" s="14"/>
      <c r="P1229" s="16"/>
      <c r="Q1229" s="14"/>
      <c r="R1229" s="5"/>
      <c r="S1229" s="14"/>
      <c r="T1229" s="16"/>
      <c r="U1229" s="16"/>
      <c r="V1229" s="17"/>
      <c r="W1229" s="6"/>
      <c r="X1229" s="22"/>
      <c r="Y1229" s="14"/>
      <c r="Z1229" s="14"/>
      <c r="AA1229" s="14"/>
      <c r="AB1229" s="14"/>
      <c r="AC1229" s="14"/>
      <c r="AD1229" s="14"/>
      <c r="AE1229" s="14"/>
      <c r="AF1229" s="14"/>
      <c r="AG1229" s="19"/>
      <c r="AH1229" s="20"/>
      <c r="AI1229" s="5"/>
      <c r="AJ1229" s="5"/>
      <c r="AK1229" s="5"/>
      <c r="AL1229" s="5"/>
      <c r="AM1229" s="5"/>
      <c r="AN1229" s="5"/>
      <c r="AO1229" s="5"/>
      <c r="AP1229" s="5"/>
      <c r="AQ1229" s="5"/>
      <c r="AR1229" s="5"/>
      <c r="AS1229" s="5"/>
      <c r="AT1229" s="5"/>
      <c r="AU1229" s="5"/>
      <c r="AV1229" s="5"/>
      <c r="AW1229" s="5"/>
      <c r="AX1229" s="5"/>
      <c r="AY1229" s="5"/>
      <c r="AZ1229" s="5"/>
      <c r="BA1229" s="5"/>
      <c r="BB1229" s="5"/>
      <c r="BC1229" s="5"/>
      <c r="BD1229" s="5"/>
      <c r="BE1229" s="5"/>
      <c r="BF1229" s="5"/>
      <c r="BG1229" s="5"/>
      <c r="BH1229" s="5"/>
      <c r="BI1229" s="5"/>
      <c r="BJ1229" s="5"/>
      <c r="BK1229" s="5"/>
      <c r="BL1229" s="5"/>
      <c r="BM1229" s="5"/>
    </row>
    <row r="1230" ht="15.75" customHeight="1">
      <c r="A1230" s="5"/>
      <c r="B1230" s="5"/>
      <c r="C1230" s="5"/>
      <c r="D1230" s="5"/>
      <c r="E1230" s="14"/>
      <c r="F1230" s="15"/>
      <c r="G1230" s="14"/>
      <c r="H1230" s="16"/>
      <c r="I1230" s="14"/>
      <c r="J1230" s="16"/>
      <c r="K1230" s="14"/>
      <c r="L1230" s="16"/>
      <c r="M1230" s="14"/>
      <c r="N1230" s="16"/>
      <c r="O1230" s="14"/>
      <c r="P1230" s="16"/>
      <c r="Q1230" s="14"/>
      <c r="R1230" s="5"/>
      <c r="S1230" s="14"/>
      <c r="T1230" s="16"/>
      <c r="U1230" s="16"/>
      <c r="V1230" s="17"/>
      <c r="W1230" s="6"/>
      <c r="X1230" s="22"/>
      <c r="Y1230" s="14"/>
      <c r="Z1230" s="14"/>
      <c r="AA1230" s="14"/>
      <c r="AB1230" s="14"/>
      <c r="AC1230" s="14"/>
      <c r="AD1230" s="14"/>
      <c r="AE1230" s="14"/>
      <c r="AF1230" s="14"/>
      <c r="AG1230" s="19"/>
      <c r="AH1230" s="20"/>
      <c r="AI1230" s="5"/>
      <c r="AJ1230" s="5"/>
      <c r="AK1230" s="5"/>
      <c r="AL1230" s="5"/>
      <c r="AM1230" s="5"/>
      <c r="AN1230" s="5"/>
      <c r="AO1230" s="5"/>
      <c r="AP1230" s="5"/>
      <c r="AQ1230" s="5"/>
      <c r="AR1230" s="5"/>
      <c r="AS1230" s="5"/>
      <c r="AT1230" s="5"/>
      <c r="AU1230" s="5"/>
      <c r="AV1230" s="5"/>
      <c r="AW1230" s="5"/>
      <c r="AX1230" s="5"/>
      <c r="AY1230" s="5"/>
      <c r="AZ1230" s="5"/>
      <c r="BA1230" s="5"/>
      <c r="BB1230" s="5"/>
      <c r="BC1230" s="5"/>
      <c r="BD1230" s="5"/>
      <c r="BE1230" s="5"/>
      <c r="BF1230" s="5"/>
      <c r="BG1230" s="5"/>
      <c r="BH1230" s="5"/>
      <c r="BI1230" s="5"/>
      <c r="BJ1230" s="5"/>
      <c r="BK1230" s="5"/>
      <c r="BL1230" s="5"/>
      <c r="BM1230" s="5"/>
    </row>
    <row r="1231" ht="15.75" customHeight="1">
      <c r="A1231" s="5"/>
      <c r="B1231" s="5"/>
      <c r="C1231" s="5"/>
      <c r="D1231" s="5"/>
      <c r="E1231" s="14"/>
      <c r="F1231" s="15"/>
      <c r="G1231" s="14"/>
      <c r="H1231" s="16"/>
      <c r="I1231" s="14"/>
      <c r="J1231" s="16"/>
      <c r="K1231" s="14"/>
      <c r="L1231" s="16"/>
      <c r="M1231" s="14"/>
      <c r="N1231" s="16"/>
      <c r="O1231" s="14"/>
      <c r="P1231" s="16"/>
      <c r="Q1231" s="14"/>
      <c r="R1231" s="5"/>
      <c r="S1231" s="14"/>
      <c r="T1231" s="16"/>
      <c r="U1231" s="16"/>
      <c r="V1231" s="17"/>
      <c r="W1231" s="6"/>
      <c r="X1231" s="22"/>
      <c r="Y1231" s="14"/>
      <c r="Z1231" s="14"/>
      <c r="AA1231" s="14"/>
      <c r="AB1231" s="14"/>
      <c r="AC1231" s="14"/>
      <c r="AD1231" s="14"/>
      <c r="AE1231" s="14"/>
      <c r="AF1231" s="14"/>
      <c r="AG1231" s="19"/>
      <c r="AH1231" s="20"/>
      <c r="AI1231" s="5"/>
      <c r="AJ1231" s="5"/>
      <c r="AK1231" s="5"/>
      <c r="AL1231" s="5"/>
      <c r="AM1231" s="5"/>
      <c r="AN1231" s="5"/>
      <c r="AO1231" s="5"/>
      <c r="AP1231" s="5"/>
      <c r="AQ1231" s="5"/>
      <c r="AR1231" s="5"/>
      <c r="AS1231" s="5"/>
      <c r="AT1231" s="5"/>
      <c r="AU1231" s="5"/>
      <c r="AV1231" s="5"/>
      <c r="AW1231" s="5"/>
      <c r="AX1231" s="5"/>
      <c r="AY1231" s="5"/>
      <c r="AZ1231" s="5"/>
      <c r="BA1231" s="5"/>
      <c r="BB1231" s="5"/>
      <c r="BC1231" s="5"/>
      <c r="BD1231" s="5"/>
      <c r="BE1231" s="5"/>
      <c r="BF1231" s="5"/>
      <c r="BG1231" s="5"/>
      <c r="BH1231" s="5"/>
      <c r="BI1231" s="5"/>
      <c r="BJ1231" s="5"/>
      <c r="BK1231" s="5"/>
      <c r="BL1231" s="5"/>
      <c r="BM1231" s="5"/>
    </row>
    <row r="1232" ht="15.75" customHeight="1">
      <c r="A1232" s="5"/>
      <c r="B1232" s="5"/>
      <c r="C1232" s="5"/>
      <c r="D1232" s="5"/>
      <c r="E1232" s="14"/>
      <c r="F1232" s="15"/>
      <c r="G1232" s="14"/>
      <c r="H1232" s="16"/>
      <c r="I1232" s="14"/>
      <c r="J1232" s="16"/>
      <c r="K1232" s="14"/>
      <c r="L1232" s="16"/>
      <c r="M1232" s="14"/>
      <c r="N1232" s="16"/>
      <c r="O1232" s="14"/>
      <c r="P1232" s="16"/>
      <c r="Q1232" s="14"/>
      <c r="R1232" s="5"/>
      <c r="S1232" s="14"/>
      <c r="T1232" s="16"/>
      <c r="U1232" s="16"/>
      <c r="V1232" s="17"/>
      <c r="W1232" s="6"/>
      <c r="X1232" s="22"/>
      <c r="Y1232" s="14"/>
      <c r="Z1232" s="14"/>
      <c r="AA1232" s="14"/>
      <c r="AB1232" s="14"/>
      <c r="AC1232" s="14"/>
      <c r="AD1232" s="14"/>
      <c r="AE1232" s="14"/>
      <c r="AF1232" s="14"/>
      <c r="AG1232" s="19"/>
      <c r="AH1232" s="20"/>
      <c r="AI1232" s="5"/>
      <c r="AJ1232" s="5"/>
      <c r="AK1232" s="5"/>
      <c r="AL1232" s="5"/>
      <c r="AM1232" s="5"/>
      <c r="AN1232" s="5"/>
      <c r="AO1232" s="5"/>
      <c r="AP1232" s="5"/>
      <c r="AQ1232" s="5"/>
      <c r="AR1232" s="5"/>
      <c r="AS1232" s="5"/>
      <c r="AT1232" s="5"/>
      <c r="AU1232" s="5"/>
      <c r="AV1232" s="5"/>
      <c r="AW1232" s="5"/>
      <c r="AX1232" s="5"/>
      <c r="AY1232" s="5"/>
      <c r="AZ1232" s="5"/>
      <c r="BA1232" s="5"/>
      <c r="BB1232" s="5"/>
      <c r="BC1232" s="5"/>
      <c r="BD1232" s="5"/>
      <c r="BE1232" s="5"/>
      <c r="BF1232" s="5"/>
      <c r="BG1232" s="5"/>
      <c r="BH1232" s="5"/>
      <c r="BI1232" s="5"/>
      <c r="BJ1232" s="5"/>
      <c r="BK1232" s="5"/>
      <c r="BL1232" s="5"/>
      <c r="BM1232" s="5"/>
    </row>
    <row r="1233" ht="15.75" customHeight="1">
      <c r="A1233" s="5"/>
      <c r="B1233" s="5"/>
      <c r="C1233" s="5"/>
      <c r="D1233" s="5"/>
      <c r="E1233" s="14"/>
      <c r="F1233" s="15"/>
      <c r="G1233" s="14"/>
      <c r="H1233" s="16"/>
      <c r="I1233" s="14"/>
      <c r="J1233" s="16"/>
      <c r="K1233" s="14"/>
      <c r="L1233" s="16"/>
      <c r="M1233" s="14"/>
      <c r="N1233" s="16"/>
      <c r="O1233" s="14"/>
      <c r="P1233" s="16"/>
      <c r="Q1233" s="14"/>
      <c r="R1233" s="5"/>
      <c r="S1233" s="14"/>
      <c r="T1233" s="16"/>
      <c r="U1233" s="16"/>
      <c r="V1233" s="17"/>
      <c r="W1233" s="6"/>
      <c r="X1233" s="22"/>
      <c r="Y1233" s="14"/>
      <c r="Z1233" s="14"/>
      <c r="AA1233" s="14"/>
      <c r="AB1233" s="14"/>
      <c r="AC1233" s="14"/>
      <c r="AD1233" s="14"/>
      <c r="AE1233" s="14"/>
      <c r="AF1233" s="14"/>
      <c r="AG1233" s="19"/>
      <c r="AH1233" s="20"/>
      <c r="AI1233" s="5"/>
      <c r="AJ1233" s="5"/>
      <c r="AK1233" s="5"/>
      <c r="AL1233" s="5"/>
      <c r="AM1233" s="5"/>
      <c r="AN1233" s="5"/>
      <c r="AO1233" s="5"/>
      <c r="AP1233" s="5"/>
      <c r="AQ1233" s="5"/>
      <c r="AR1233" s="5"/>
      <c r="AS1233" s="5"/>
      <c r="AT1233" s="5"/>
      <c r="AU1233" s="5"/>
      <c r="AV1233" s="5"/>
      <c r="AW1233" s="5"/>
      <c r="AX1233" s="5"/>
      <c r="AY1233" s="5"/>
      <c r="AZ1233" s="5"/>
      <c r="BA1233" s="5"/>
      <c r="BB1233" s="5"/>
      <c r="BC1233" s="5"/>
      <c r="BD1233" s="5"/>
      <c r="BE1233" s="5"/>
      <c r="BF1233" s="5"/>
      <c r="BG1233" s="5"/>
      <c r="BH1233" s="5"/>
      <c r="BI1233" s="5"/>
      <c r="BJ1233" s="5"/>
      <c r="BK1233" s="5"/>
      <c r="BL1233" s="5"/>
      <c r="BM1233" s="5"/>
    </row>
    <row r="1234" ht="15.75" customHeight="1">
      <c r="A1234" s="5"/>
      <c r="B1234" s="5"/>
      <c r="C1234" s="5"/>
      <c r="D1234" s="5"/>
      <c r="E1234" s="14"/>
      <c r="F1234" s="15"/>
      <c r="G1234" s="14"/>
      <c r="H1234" s="16"/>
      <c r="I1234" s="14"/>
      <c r="J1234" s="16"/>
      <c r="K1234" s="14"/>
      <c r="L1234" s="16"/>
      <c r="M1234" s="14"/>
      <c r="N1234" s="16"/>
      <c r="O1234" s="14"/>
      <c r="P1234" s="16"/>
      <c r="Q1234" s="14"/>
      <c r="R1234" s="5"/>
      <c r="S1234" s="14"/>
      <c r="T1234" s="16"/>
      <c r="U1234" s="16"/>
      <c r="V1234" s="17"/>
      <c r="W1234" s="6"/>
      <c r="X1234" s="22"/>
      <c r="Y1234" s="14"/>
      <c r="Z1234" s="14"/>
      <c r="AA1234" s="14"/>
      <c r="AB1234" s="14"/>
      <c r="AC1234" s="14"/>
      <c r="AD1234" s="14"/>
      <c r="AE1234" s="14"/>
      <c r="AF1234" s="14"/>
      <c r="AG1234" s="19"/>
      <c r="AH1234" s="20"/>
      <c r="AI1234" s="5"/>
      <c r="AJ1234" s="5"/>
      <c r="AK1234" s="5"/>
      <c r="AL1234" s="5"/>
      <c r="AM1234" s="5"/>
      <c r="AN1234" s="5"/>
      <c r="AO1234" s="5"/>
      <c r="AP1234" s="5"/>
      <c r="AQ1234" s="5"/>
      <c r="AR1234" s="5"/>
      <c r="AS1234" s="5"/>
      <c r="AT1234" s="5"/>
      <c r="AU1234" s="5"/>
      <c r="AV1234" s="5"/>
      <c r="AW1234" s="5"/>
      <c r="AX1234" s="5"/>
      <c r="AY1234" s="5"/>
      <c r="AZ1234" s="5"/>
      <c r="BA1234" s="5"/>
      <c r="BB1234" s="5"/>
      <c r="BC1234" s="5"/>
      <c r="BD1234" s="5"/>
      <c r="BE1234" s="5"/>
      <c r="BF1234" s="5"/>
      <c r="BG1234" s="5"/>
      <c r="BH1234" s="5"/>
      <c r="BI1234" s="5"/>
      <c r="BJ1234" s="5"/>
      <c r="BK1234" s="5"/>
      <c r="BL1234" s="5"/>
      <c r="BM1234" s="5"/>
    </row>
    <row r="1235" ht="15.75" customHeight="1">
      <c r="A1235" s="5"/>
      <c r="B1235" s="5"/>
      <c r="C1235" s="5"/>
      <c r="D1235" s="5"/>
      <c r="E1235" s="14"/>
      <c r="F1235" s="15"/>
      <c r="G1235" s="14"/>
      <c r="H1235" s="16"/>
      <c r="I1235" s="14"/>
      <c r="J1235" s="16"/>
      <c r="K1235" s="14"/>
      <c r="L1235" s="16"/>
      <c r="M1235" s="14"/>
      <c r="N1235" s="16"/>
      <c r="O1235" s="14"/>
      <c r="P1235" s="16"/>
      <c r="Q1235" s="14"/>
      <c r="R1235" s="5"/>
      <c r="S1235" s="14"/>
      <c r="T1235" s="16"/>
      <c r="U1235" s="16"/>
      <c r="V1235" s="17"/>
      <c r="W1235" s="6"/>
      <c r="X1235" s="22"/>
      <c r="Y1235" s="14"/>
      <c r="Z1235" s="14"/>
      <c r="AA1235" s="14"/>
      <c r="AB1235" s="14"/>
      <c r="AC1235" s="14"/>
      <c r="AD1235" s="14"/>
      <c r="AE1235" s="14"/>
      <c r="AF1235" s="14"/>
      <c r="AG1235" s="19"/>
      <c r="AH1235" s="20"/>
      <c r="AI1235" s="5"/>
      <c r="AJ1235" s="5"/>
      <c r="AK1235" s="5"/>
      <c r="AL1235" s="5"/>
      <c r="AM1235" s="5"/>
      <c r="AN1235" s="5"/>
      <c r="AO1235" s="5"/>
      <c r="AP1235" s="5"/>
      <c r="AQ1235" s="5"/>
      <c r="AR1235" s="5"/>
      <c r="AS1235" s="5"/>
      <c r="AT1235" s="5"/>
      <c r="AU1235" s="5"/>
      <c r="AV1235" s="5"/>
      <c r="AW1235" s="5"/>
      <c r="AX1235" s="5"/>
      <c r="AY1235" s="5"/>
      <c r="AZ1235" s="5"/>
      <c r="BA1235" s="5"/>
      <c r="BB1235" s="5"/>
      <c r="BC1235" s="5"/>
      <c r="BD1235" s="5"/>
      <c r="BE1235" s="5"/>
      <c r="BF1235" s="5"/>
      <c r="BG1235" s="5"/>
      <c r="BH1235" s="5"/>
      <c r="BI1235" s="5"/>
      <c r="BJ1235" s="5"/>
      <c r="BK1235" s="5"/>
      <c r="BL1235" s="5"/>
      <c r="BM1235" s="5"/>
    </row>
    <row r="1236" ht="15.75" customHeight="1">
      <c r="A1236" s="5"/>
      <c r="B1236" s="5"/>
      <c r="C1236" s="5"/>
      <c r="D1236" s="5"/>
      <c r="E1236" s="14"/>
      <c r="F1236" s="15"/>
      <c r="G1236" s="14"/>
      <c r="H1236" s="16"/>
      <c r="I1236" s="14"/>
      <c r="J1236" s="16"/>
      <c r="K1236" s="14"/>
      <c r="L1236" s="16"/>
      <c r="M1236" s="14"/>
      <c r="N1236" s="16"/>
      <c r="O1236" s="14"/>
      <c r="P1236" s="16"/>
      <c r="Q1236" s="14"/>
      <c r="R1236" s="5"/>
      <c r="S1236" s="14"/>
      <c r="T1236" s="16"/>
      <c r="U1236" s="16"/>
      <c r="V1236" s="17"/>
      <c r="W1236" s="6"/>
      <c r="X1236" s="22"/>
      <c r="Y1236" s="14"/>
      <c r="Z1236" s="14"/>
      <c r="AA1236" s="14"/>
      <c r="AB1236" s="14"/>
      <c r="AC1236" s="14"/>
      <c r="AD1236" s="14"/>
      <c r="AE1236" s="14"/>
      <c r="AF1236" s="14"/>
      <c r="AG1236" s="19"/>
      <c r="AH1236" s="20"/>
      <c r="AI1236" s="5"/>
      <c r="AJ1236" s="5"/>
      <c r="AK1236" s="5"/>
      <c r="AL1236" s="5"/>
      <c r="AM1236" s="5"/>
      <c r="AN1236" s="5"/>
      <c r="AO1236" s="5"/>
      <c r="AP1236" s="5"/>
      <c r="AQ1236" s="5"/>
      <c r="AR1236" s="5"/>
      <c r="AS1236" s="5"/>
      <c r="AT1236" s="5"/>
      <c r="AU1236" s="5"/>
      <c r="AV1236" s="5"/>
      <c r="AW1236" s="5"/>
      <c r="AX1236" s="5"/>
      <c r="AY1236" s="5"/>
      <c r="AZ1236" s="5"/>
      <c r="BA1236" s="5"/>
      <c r="BB1236" s="5"/>
      <c r="BC1236" s="5"/>
      <c r="BD1236" s="5"/>
      <c r="BE1236" s="5"/>
      <c r="BF1236" s="5"/>
      <c r="BG1236" s="5"/>
      <c r="BH1236" s="5"/>
      <c r="BI1236" s="5"/>
      <c r="BJ1236" s="5"/>
      <c r="BK1236" s="5"/>
      <c r="BL1236" s="5"/>
      <c r="BM1236" s="5"/>
    </row>
    <row r="1237" ht="15.75" customHeight="1">
      <c r="A1237" s="5"/>
      <c r="B1237" s="5"/>
      <c r="C1237" s="5"/>
      <c r="D1237" s="5"/>
      <c r="E1237" s="14"/>
      <c r="F1237" s="15"/>
      <c r="G1237" s="14"/>
      <c r="H1237" s="16"/>
      <c r="I1237" s="14"/>
      <c r="J1237" s="16"/>
      <c r="K1237" s="14"/>
      <c r="L1237" s="16"/>
      <c r="M1237" s="14"/>
      <c r="N1237" s="16"/>
      <c r="O1237" s="14"/>
      <c r="P1237" s="16"/>
      <c r="Q1237" s="14"/>
      <c r="R1237" s="5"/>
      <c r="S1237" s="14"/>
      <c r="T1237" s="16"/>
      <c r="U1237" s="16"/>
      <c r="V1237" s="17"/>
      <c r="W1237" s="6"/>
      <c r="X1237" s="22"/>
      <c r="Y1237" s="14"/>
      <c r="Z1237" s="14"/>
      <c r="AA1237" s="14"/>
      <c r="AB1237" s="14"/>
      <c r="AC1237" s="14"/>
      <c r="AD1237" s="14"/>
      <c r="AE1237" s="14"/>
      <c r="AF1237" s="14"/>
      <c r="AG1237" s="19"/>
      <c r="AH1237" s="20"/>
      <c r="AI1237" s="5"/>
      <c r="AJ1237" s="5"/>
      <c r="AK1237" s="5"/>
      <c r="AL1237" s="5"/>
      <c r="AM1237" s="5"/>
      <c r="AN1237" s="5"/>
      <c r="AO1237" s="5"/>
      <c r="AP1237" s="5"/>
      <c r="AQ1237" s="5"/>
      <c r="AR1237" s="5"/>
      <c r="AS1237" s="5"/>
      <c r="AT1237" s="5"/>
      <c r="AU1237" s="5"/>
      <c r="AV1237" s="5"/>
      <c r="AW1237" s="5"/>
      <c r="AX1237" s="5"/>
      <c r="AY1237" s="5"/>
      <c r="AZ1237" s="5"/>
      <c r="BA1237" s="5"/>
      <c r="BB1237" s="5"/>
      <c r="BC1237" s="5"/>
      <c r="BD1237" s="5"/>
      <c r="BE1237" s="5"/>
      <c r="BF1237" s="5"/>
      <c r="BG1237" s="5"/>
      <c r="BH1237" s="5"/>
      <c r="BI1237" s="5"/>
      <c r="BJ1237" s="5"/>
      <c r="BK1237" s="5"/>
      <c r="BL1237" s="5"/>
      <c r="BM1237" s="5"/>
    </row>
    <row r="1238" ht="15.75" customHeight="1">
      <c r="A1238" s="5"/>
      <c r="B1238" s="5"/>
      <c r="C1238" s="5"/>
      <c r="D1238" s="5"/>
      <c r="E1238" s="14"/>
      <c r="F1238" s="15"/>
      <c r="G1238" s="14"/>
      <c r="H1238" s="16"/>
      <c r="I1238" s="14"/>
      <c r="J1238" s="16"/>
      <c r="K1238" s="14"/>
      <c r="L1238" s="16"/>
      <c r="M1238" s="14"/>
      <c r="N1238" s="16"/>
      <c r="O1238" s="14"/>
      <c r="P1238" s="16"/>
      <c r="Q1238" s="14"/>
      <c r="R1238" s="5"/>
      <c r="S1238" s="14"/>
      <c r="T1238" s="16"/>
      <c r="U1238" s="16"/>
      <c r="V1238" s="17"/>
      <c r="W1238" s="6"/>
      <c r="X1238" s="22"/>
      <c r="Y1238" s="14"/>
      <c r="Z1238" s="14"/>
      <c r="AA1238" s="14"/>
      <c r="AB1238" s="14"/>
      <c r="AC1238" s="14"/>
      <c r="AD1238" s="14"/>
      <c r="AE1238" s="14"/>
      <c r="AF1238" s="14"/>
      <c r="AG1238" s="19"/>
      <c r="AH1238" s="20"/>
      <c r="AI1238" s="5"/>
      <c r="AJ1238" s="5"/>
      <c r="AK1238" s="5"/>
      <c r="AL1238" s="5"/>
      <c r="AM1238" s="5"/>
      <c r="AN1238" s="5"/>
      <c r="AO1238" s="5"/>
      <c r="AP1238" s="5"/>
      <c r="AQ1238" s="5"/>
      <c r="AR1238" s="5"/>
      <c r="AS1238" s="5"/>
      <c r="AT1238" s="5"/>
      <c r="AU1238" s="5"/>
      <c r="AV1238" s="5"/>
      <c r="AW1238" s="5"/>
      <c r="AX1238" s="5"/>
      <c r="AY1238" s="5"/>
      <c r="AZ1238" s="5"/>
      <c r="BA1238" s="5"/>
      <c r="BB1238" s="5"/>
      <c r="BC1238" s="5"/>
      <c r="BD1238" s="5"/>
      <c r="BE1238" s="5"/>
      <c r="BF1238" s="5"/>
      <c r="BG1238" s="5"/>
      <c r="BH1238" s="5"/>
      <c r="BI1238" s="5"/>
      <c r="BJ1238" s="5"/>
      <c r="BK1238" s="5"/>
      <c r="BL1238" s="5"/>
      <c r="BM1238" s="5"/>
    </row>
    <row r="1239" ht="15.75" customHeight="1">
      <c r="A1239" s="5"/>
      <c r="B1239" s="5"/>
      <c r="C1239" s="5"/>
      <c r="D1239" s="5"/>
      <c r="E1239" s="14"/>
      <c r="F1239" s="15"/>
      <c r="G1239" s="14"/>
      <c r="H1239" s="16"/>
      <c r="I1239" s="14"/>
      <c r="J1239" s="16"/>
      <c r="K1239" s="14"/>
      <c r="L1239" s="16"/>
      <c r="M1239" s="14"/>
      <c r="N1239" s="16"/>
      <c r="O1239" s="14"/>
      <c r="P1239" s="16"/>
      <c r="Q1239" s="14"/>
      <c r="R1239" s="5"/>
      <c r="S1239" s="14"/>
      <c r="T1239" s="16"/>
      <c r="U1239" s="16"/>
      <c r="V1239" s="17"/>
      <c r="W1239" s="6"/>
      <c r="X1239" s="22"/>
      <c r="Y1239" s="14"/>
      <c r="Z1239" s="14"/>
      <c r="AA1239" s="14"/>
      <c r="AB1239" s="14"/>
      <c r="AC1239" s="14"/>
      <c r="AD1239" s="14"/>
      <c r="AE1239" s="14"/>
      <c r="AF1239" s="14"/>
      <c r="AG1239" s="19"/>
      <c r="AH1239" s="20"/>
      <c r="AI1239" s="5"/>
      <c r="AJ1239" s="5"/>
      <c r="AK1239" s="5"/>
      <c r="AL1239" s="5"/>
      <c r="AM1239" s="5"/>
      <c r="AN1239" s="5"/>
      <c r="AO1239" s="5"/>
      <c r="AP1239" s="5"/>
      <c r="AQ1239" s="5"/>
      <c r="AR1239" s="5"/>
      <c r="AS1239" s="5"/>
      <c r="AT1239" s="5"/>
      <c r="AU1239" s="5"/>
      <c r="AV1239" s="5"/>
      <c r="AW1239" s="5"/>
      <c r="AX1239" s="5"/>
      <c r="AY1239" s="5"/>
      <c r="AZ1239" s="5"/>
      <c r="BA1239" s="5"/>
      <c r="BB1239" s="5"/>
      <c r="BC1239" s="5"/>
      <c r="BD1239" s="5"/>
      <c r="BE1239" s="5"/>
      <c r="BF1239" s="5"/>
      <c r="BG1239" s="5"/>
      <c r="BH1239" s="5"/>
      <c r="BI1239" s="5"/>
      <c r="BJ1239" s="5"/>
      <c r="BK1239" s="5"/>
      <c r="BL1239" s="5"/>
      <c r="BM1239" s="5"/>
    </row>
    <row r="1240" ht="15.75" customHeight="1">
      <c r="A1240" s="5"/>
      <c r="B1240" s="5"/>
      <c r="C1240" s="5"/>
      <c r="D1240" s="5"/>
      <c r="E1240" s="14"/>
      <c r="F1240" s="15"/>
      <c r="G1240" s="14"/>
      <c r="H1240" s="16"/>
      <c r="I1240" s="14"/>
      <c r="J1240" s="16"/>
      <c r="K1240" s="14"/>
      <c r="L1240" s="16"/>
      <c r="M1240" s="14"/>
      <c r="N1240" s="16"/>
      <c r="O1240" s="14"/>
      <c r="P1240" s="16"/>
      <c r="Q1240" s="14"/>
      <c r="R1240" s="5"/>
      <c r="S1240" s="14"/>
      <c r="T1240" s="16"/>
      <c r="U1240" s="16"/>
      <c r="V1240" s="17"/>
      <c r="W1240" s="6"/>
      <c r="X1240" s="22"/>
      <c r="Y1240" s="14"/>
      <c r="Z1240" s="14"/>
      <c r="AA1240" s="14"/>
      <c r="AB1240" s="14"/>
      <c r="AC1240" s="14"/>
      <c r="AD1240" s="14"/>
      <c r="AE1240" s="14"/>
      <c r="AF1240" s="14"/>
      <c r="AG1240" s="19"/>
      <c r="AH1240" s="20"/>
      <c r="AI1240" s="5"/>
      <c r="AJ1240" s="5"/>
      <c r="AK1240" s="5"/>
      <c r="AL1240" s="5"/>
      <c r="AM1240" s="5"/>
      <c r="AN1240" s="5"/>
      <c r="AO1240" s="5"/>
      <c r="AP1240" s="5"/>
      <c r="AQ1240" s="5"/>
      <c r="AR1240" s="5"/>
      <c r="AS1240" s="5"/>
      <c r="AT1240" s="5"/>
      <c r="AU1240" s="5"/>
      <c r="AV1240" s="5"/>
      <c r="AW1240" s="5"/>
      <c r="AX1240" s="5"/>
      <c r="AY1240" s="5"/>
      <c r="AZ1240" s="5"/>
      <c r="BA1240" s="5"/>
      <c r="BB1240" s="5"/>
      <c r="BC1240" s="5"/>
      <c r="BD1240" s="5"/>
      <c r="BE1240" s="5"/>
      <c r="BF1240" s="5"/>
      <c r="BG1240" s="5"/>
      <c r="BH1240" s="5"/>
      <c r="BI1240" s="5"/>
      <c r="BJ1240" s="5"/>
      <c r="BK1240" s="5"/>
      <c r="BL1240" s="5"/>
      <c r="BM1240" s="5"/>
    </row>
    <row r="1241" ht="15.75" customHeight="1">
      <c r="A1241" s="5"/>
      <c r="B1241" s="5"/>
      <c r="C1241" s="5"/>
      <c r="D1241" s="5"/>
      <c r="E1241" s="14"/>
      <c r="F1241" s="15"/>
      <c r="G1241" s="14"/>
      <c r="H1241" s="16"/>
      <c r="I1241" s="14"/>
      <c r="J1241" s="16"/>
      <c r="K1241" s="14"/>
      <c r="L1241" s="16"/>
      <c r="M1241" s="14"/>
      <c r="N1241" s="16"/>
      <c r="O1241" s="14"/>
      <c r="P1241" s="16"/>
      <c r="Q1241" s="14"/>
      <c r="R1241" s="5"/>
      <c r="S1241" s="14"/>
      <c r="T1241" s="16"/>
      <c r="U1241" s="16"/>
      <c r="V1241" s="17"/>
      <c r="W1241" s="6"/>
      <c r="X1241" s="22"/>
      <c r="Y1241" s="14"/>
      <c r="Z1241" s="14"/>
      <c r="AA1241" s="14"/>
      <c r="AB1241" s="14"/>
      <c r="AC1241" s="14"/>
      <c r="AD1241" s="14"/>
      <c r="AE1241" s="14"/>
      <c r="AF1241" s="14"/>
      <c r="AG1241" s="19"/>
      <c r="AH1241" s="20"/>
      <c r="AI1241" s="5"/>
      <c r="AJ1241" s="5"/>
      <c r="AK1241" s="5"/>
      <c r="AL1241" s="5"/>
      <c r="AM1241" s="5"/>
      <c r="AN1241" s="5"/>
      <c r="AO1241" s="5"/>
      <c r="AP1241" s="5"/>
      <c r="AQ1241" s="5"/>
      <c r="AR1241" s="5"/>
      <c r="AS1241" s="5"/>
      <c r="AT1241" s="5"/>
      <c r="AU1241" s="5"/>
      <c r="AV1241" s="5"/>
      <c r="AW1241" s="5"/>
      <c r="AX1241" s="5"/>
      <c r="AY1241" s="5"/>
      <c r="AZ1241" s="5"/>
      <c r="BA1241" s="5"/>
      <c r="BB1241" s="5"/>
      <c r="BC1241" s="5"/>
      <c r="BD1241" s="5"/>
      <c r="BE1241" s="5"/>
      <c r="BF1241" s="5"/>
      <c r="BG1241" s="5"/>
      <c r="BH1241" s="5"/>
      <c r="BI1241" s="5"/>
      <c r="BJ1241" s="5"/>
      <c r="BK1241" s="5"/>
      <c r="BL1241" s="5"/>
      <c r="BM1241" s="5"/>
    </row>
    <row r="1242" ht="15.75" customHeight="1">
      <c r="A1242" s="5"/>
      <c r="B1242" s="5"/>
      <c r="C1242" s="5"/>
      <c r="D1242" s="5"/>
      <c r="E1242" s="14"/>
      <c r="F1242" s="15"/>
      <c r="G1242" s="14"/>
      <c r="H1242" s="16"/>
      <c r="I1242" s="14"/>
      <c r="J1242" s="16"/>
      <c r="K1242" s="14"/>
      <c r="L1242" s="16"/>
      <c r="M1242" s="14"/>
      <c r="N1242" s="16"/>
      <c r="O1242" s="14"/>
      <c r="P1242" s="16"/>
      <c r="Q1242" s="14"/>
      <c r="R1242" s="5"/>
      <c r="S1242" s="14"/>
      <c r="T1242" s="16"/>
      <c r="U1242" s="16"/>
      <c r="V1242" s="17"/>
      <c r="W1242" s="6"/>
      <c r="X1242" s="22"/>
      <c r="Y1242" s="14"/>
      <c r="Z1242" s="14"/>
      <c r="AA1242" s="14"/>
      <c r="AB1242" s="14"/>
      <c r="AC1242" s="14"/>
      <c r="AD1242" s="14"/>
      <c r="AE1242" s="14"/>
      <c r="AF1242" s="14"/>
      <c r="AG1242" s="19"/>
      <c r="AH1242" s="20"/>
      <c r="AI1242" s="5"/>
      <c r="AJ1242" s="5"/>
      <c r="AK1242" s="5"/>
      <c r="AL1242" s="5"/>
      <c r="AM1242" s="5"/>
      <c r="AN1242" s="5"/>
      <c r="AO1242" s="5"/>
      <c r="AP1242" s="5"/>
      <c r="AQ1242" s="5"/>
      <c r="AR1242" s="5"/>
      <c r="AS1242" s="5"/>
      <c r="AT1242" s="5"/>
      <c r="AU1242" s="5"/>
      <c r="AV1242" s="5"/>
      <c r="AW1242" s="5"/>
      <c r="AX1242" s="5"/>
      <c r="AY1242" s="5"/>
      <c r="AZ1242" s="5"/>
      <c r="BA1242" s="5"/>
      <c r="BB1242" s="5"/>
      <c r="BC1242" s="5"/>
      <c r="BD1242" s="5"/>
      <c r="BE1242" s="5"/>
      <c r="BF1242" s="5"/>
      <c r="BG1242" s="5"/>
      <c r="BH1242" s="5"/>
      <c r="BI1242" s="5"/>
      <c r="BJ1242" s="5"/>
      <c r="BK1242" s="5"/>
      <c r="BL1242" s="5"/>
      <c r="BM1242" s="5"/>
    </row>
    <row r="1243" ht="15.75" customHeight="1">
      <c r="A1243" s="5"/>
      <c r="B1243" s="5"/>
      <c r="C1243" s="5"/>
      <c r="D1243" s="5"/>
      <c r="E1243" s="14"/>
      <c r="F1243" s="15"/>
      <c r="G1243" s="14"/>
      <c r="H1243" s="16"/>
      <c r="I1243" s="14"/>
      <c r="J1243" s="16"/>
      <c r="K1243" s="14"/>
      <c r="L1243" s="16"/>
      <c r="M1243" s="14"/>
      <c r="N1243" s="16"/>
      <c r="O1243" s="14"/>
      <c r="P1243" s="16"/>
      <c r="Q1243" s="14"/>
      <c r="R1243" s="5"/>
      <c r="S1243" s="14"/>
      <c r="T1243" s="16"/>
      <c r="U1243" s="16"/>
      <c r="V1243" s="17"/>
      <c r="W1243" s="6"/>
      <c r="X1243" s="22"/>
      <c r="Y1243" s="14"/>
      <c r="Z1243" s="14"/>
      <c r="AA1243" s="14"/>
      <c r="AB1243" s="14"/>
      <c r="AC1243" s="14"/>
      <c r="AD1243" s="14"/>
      <c r="AE1243" s="14"/>
      <c r="AF1243" s="14"/>
      <c r="AG1243" s="19"/>
      <c r="AH1243" s="20"/>
      <c r="AI1243" s="5"/>
      <c r="AJ1243" s="5"/>
      <c r="AK1243" s="5"/>
      <c r="AL1243" s="5"/>
      <c r="AM1243" s="5"/>
      <c r="AN1243" s="5"/>
      <c r="AO1243" s="5"/>
      <c r="AP1243" s="5"/>
      <c r="AQ1243" s="5"/>
      <c r="AR1243" s="5"/>
      <c r="AS1243" s="5"/>
      <c r="AT1243" s="5"/>
      <c r="AU1243" s="5"/>
      <c r="AV1243" s="5"/>
      <c r="AW1243" s="5"/>
      <c r="AX1243" s="5"/>
      <c r="AY1243" s="5"/>
      <c r="AZ1243" s="5"/>
      <c r="BA1243" s="5"/>
      <c r="BB1243" s="5"/>
      <c r="BC1243" s="5"/>
      <c r="BD1243" s="5"/>
      <c r="BE1243" s="5"/>
      <c r="BF1243" s="5"/>
      <c r="BG1243" s="5"/>
      <c r="BH1243" s="5"/>
      <c r="BI1243" s="5"/>
      <c r="BJ1243" s="5"/>
      <c r="BK1243" s="5"/>
      <c r="BL1243" s="5"/>
      <c r="BM1243" s="5"/>
    </row>
    <row r="1244" ht="15.75" customHeight="1">
      <c r="A1244" s="5"/>
      <c r="B1244" s="5"/>
      <c r="C1244" s="5"/>
      <c r="D1244" s="5"/>
      <c r="E1244" s="14"/>
      <c r="F1244" s="15"/>
      <c r="G1244" s="14"/>
      <c r="H1244" s="16"/>
      <c r="I1244" s="14"/>
      <c r="J1244" s="16"/>
      <c r="K1244" s="14"/>
      <c r="L1244" s="16"/>
      <c r="M1244" s="14"/>
      <c r="N1244" s="16"/>
      <c r="O1244" s="14"/>
      <c r="P1244" s="16"/>
      <c r="Q1244" s="14"/>
      <c r="R1244" s="5"/>
      <c r="S1244" s="14"/>
      <c r="T1244" s="16"/>
      <c r="U1244" s="16"/>
      <c r="V1244" s="17"/>
      <c r="W1244" s="6"/>
      <c r="X1244" s="22"/>
      <c r="Y1244" s="14"/>
      <c r="Z1244" s="14"/>
      <c r="AA1244" s="14"/>
      <c r="AB1244" s="14"/>
      <c r="AC1244" s="14"/>
      <c r="AD1244" s="14"/>
      <c r="AE1244" s="14"/>
      <c r="AF1244" s="14"/>
      <c r="AG1244" s="19"/>
      <c r="AH1244" s="20"/>
      <c r="AI1244" s="5"/>
      <c r="AJ1244" s="5"/>
      <c r="AK1244" s="5"/>
      <c r="AL1244" s="5"/>
      <c r="AM1244" s="5"/>
      <c r="AN1244" s="5"/>
      <c r="AO1244" s="5"/>
      <c r="AP1244" s="5"/>
      <c r="AQ1244" s="5"/>
      <c r="AR1244" s="5"/>
      <c r="AS1244" s="5"/>
      <c r="AT1244" s="5"/>
      <c r="AU1244" s="5"/>
      <c r="AV1244" s="5"/>
      <c r="AW1244" s="5"/>
      <c r="AX1244" s="5"/>
      <c r="AY1244" s="5"/>
      <c r="AZ1244" s="5"/>
      <c r="BA1244" s="5"/>
      <c r="BB1244" s="5"/>
      <c r="BC1244" s="5"/>
      <c r="BD1244" s="5"/>
      <c r="BE1244" s="5"/>
      <c r="BF1244" s="5"/>
      <c r="BG1244" s="5"/>
      <c r="BH1244" s="5"/>
      <c r="BI1244" s="5"/>
      <c r="BJ1244" s="5"/>
      <c r="BK1244" s="5"/>
      <c r="BL1244" s="5"/>
      <c r="BM1244" s="5"/>
    </row>
    <row r="1245" ht="15.75" customHeight="1">
      <c r="A1245" s="5"/>
      <c r="B1245" s="5"/>
      <c r="C1245" s="5"/>
      <c r="D1245" s="5"/>
      <c r="E1245" s="14"/>
      <c r="F1245" s="15"/>
      <c r="G1245" s="14"/>
      <c r="H1245" s="16"/>
      <c r="I1245" s="14"/>
      <c r="J1245" s="16"/>
      <c r="K1245" s="14"/>
      <c r="L1245" s="16"/>
      <c r="M1245" s="14"/>
      <c r="N1245" s="16"/>
      <c r="O1245" s="14"/>
      <c r="P1245" s="16"/>
      <c r="Q1245" s="14"/>
      <c r="R1245" s="5"/>
      <c r="S1245" s="14"/>
      <c r="T1245" s="16"/>
      <c r="U1245" s="16"/>
      <c r="V1245" s="17"/>
      <c r="W1245" s="6"/>
      <c r="X1245" s="22"/>
      <c r="Y1245" s="14"/>
      <c r="Z1245" s="14"/>
      <c r="AA1245" s="14"/>
      <c r="AB1245" s="14"/>
      <c r="AC1245" s="14"/>
      <c r="AD1245" s="14"/>
      <c r="AE1245" s="14"/>
      <c r="AF1245" s="14"/>
      <c r="AG1245" s="19"/>
      <c r="AH1245" s="20"/>
      <c r="AI1245" s="5"/>
      <c r="AJ1245" s="5"/>
      <c r="AK1245" s="5"/>
      <c r="AL1245" s="5"/>
      <c r="AM1245" s="5"/>
      <c r="AN1245" s="5"/>
      <c r="AO1245" s="5"/>
      <c r="AP1245" s="5"/>
      <c r="AQ1245" s="5"/>
      <c r="AR1245" s="5"/>
      <c r="AS1245" s="5"/>
      <c r="AT1245" s="5"/>
      <c r="AU1245" s="5"/>
      <c r="AV1245" s="5"/>
      <c r="AW1245" s="5"/>
      <c r="AX1245" s="5"/>
      <c r="AY1245" s="5"/>
      <c r="AZ1245" s="5"/>
      <c r="BA1245" s="5"/>
      <c r="BB1245" s="5"/>
      <c r="BC1245" s="5"/>
      <c r="BD1245" s="5"/>
      <c r="BE1245" s="5"/>
      <c r="BF1245" s="5"/>
      <c r="BG1245" s="5"/>
      <c r="BH1245" s="5"/>
      <c r="BI1245" s="5"/>
      <c r="BJ1245" s="5"/>
      <c r="BK1245" s="5"/>
      <c r="BL1245" s="5"/>
      <c r="BM1245" s="5"/>
    </row>
    <row r="1246" ht="15.75" customHeight="1">
      <c r="A1246" s="5"/>
      <c r="B1246" s="5"/>
      <c r="C1246" s="5"/>
      <c r="D1246" s="5"/>
      <c r="E1246" s="14"/>
      <c r="F1246" s="15"/>
      <c r="G1246" s="14"/>
      <c r="H1246" s="16"/>
      <c r="I1246" s="14"/>
      <c r="J1246" s="16"/>
      <c r="K1246" s="14"/>
      <c r="L1246" s="16"/>
      <c r="M1246" s="14"/>
      <c r="N1246" s="16"/>
      <c r="O1246" s="14"/>
      <c r="P1246" s="16"/>
      <c r="Q1246" s="14"/>
      <c r="R1246" s="5"/>
      <c r="S1246" s="14"/>
      <c r="T1246" s="16"/>
      <c r="U1246" s="16"/>
      <c r="V1246" s="17"/>
      <c r="W1246" s="6"/>
      <c r="X1246" s="22"/>
      <c r="Y1246" s="14"/>
      <c r="Z1246" s="14"/>
      <c r="AA1246" s="14"/>
      <c r="AB1246" s="14"/>
      <c r="AC1246" s="14"/>
      <c r="AD1246" s="14"/>
      <c r="AE1246" s="14"/>
      <c r="AF1246" s="14"/>
      <c r="AG1246" s="19"/>
      <c r="AH1246" s="20"/>
      <c r="AI1246" s="5"/>
      <c r="AJ1246" s="5"/>
      <c r="AK1246" s="5"/>
      <c r="AL1246" s="5"/>
      <c r="AM1246" s="5"/>
      <c r="AN1246" s="5"/>
      <c r="AO1246" s="5"/>
      <c r="AP1246" s="5"/>
      <c r="AQ1246" s="5"/>
      <c r="AR1246" s="5"/>
      <c r="AS1246" s="5"/>
      <c r="AT1246" s="5"/>
      <c r="AU1246" s="5"/>
      <c r="AV1246" s="5"/>
      <c r="AW1246" s="5"/>
      <c r="AX1246" s="5"/>
      <c r="AY1246" s="5"/>
      <c r="AZ1246" s="5"/>
      <c r="BA1246" s="5"/>
      <c r="BB1246" s="5"/>
      <c r="BC1246" s="5"/>
      <c r="BD1246" s="5"/>
      <c r="BE1246" s="5"/>
      <c r="BF1246" s="5"/>
      <c r="BG1246" s="5"/>
      <c r="BH1246" s="5"/>
      <c r="BI1246" s="5"/>
      <c r="BJ1246" s="5"/>
      <c r="BK1246" s="5"/>
      <c r="BL1246" s="5"/>
      <c r="BM1246" s="5"/>
    </row>
    <row r="1247" ht="15.75" customHeight="1">
      <c r="A1247" s="5"/>
      <c r="B1247" s="5"/>
      <c r="C1247" s="5"/>
      <c r="D1247" s="5"/>
      <c r="E1247" s="14"/>
      <c r="F1247" s="15"/>
      <c r="G1247" s="14"/>
      <c r="H1247" s="16"/>
      <c r="I1247" s="14"/>
      <c r="J1247" s="16"/>
      <c r="K1247" s="14"/>
      <c r="L1247" s="16"/>
      <c r="M1247" s="14"/>
      <c r="N1247" s="16"/>
      <c r="O1247" s="14"/>
      <c r="P1247" s="16"/>
      <c r="Q1247" s="14"/>
      <c r="R1247" s="5"/>
      <c r="S1247" s="14"/>
      <c r="T1247" s="16"/>
      <c r="U1247" s="16"/>
      <c r="V1247" s="17"/>
      <c r="W1247" s="6"/>
      <c r="X1247" s="22"/>
      <c r="Y1247" s="14"/>
      <c r="Z1247" s="14"/>
      <c r="AA1247" s="14"/>
      <c r="AB1247" s="14"/>
      <c r="AC1247" s="14"/>
      <c r="AD1247" s="14"/>
      <c r="AE1247" s="14"/>
      <c r="AF1247" s="14"/>
      <c r="AG1247" s="19"/>
      <c r="AH1247" s="20"/>
      <c r="AI1247" s="5"/>
      <c r="AJ1247" s="5"/>
      <c r="AK1247" s="5"/>
      <c r="AL1247" s="5"/>
      <c r="AM1247" s="5"/>
      <c r="AN1247" s="5"/>
      <c r="AO1247" s="5"/>
      <c r="AP1247" s="5"/>
      <c r="AQ1247" s="5"/>
      <c r="AR1247" s="5"/>
      <c r="AS1247" s="5"/>
      <c r="AT1247" s="5"/>
      <c r="AU1247" s="5"/>
      <c r="AV1247" s="5"/>
      <c r="AW1247" s="5"/>
      <c r="AX1247" s="5"/>
      <c r="AY1247" s="5"/>
      <c r="AZ1247" s="5"/>
      <c r="BA1247" s="5"/>
      <c r="BB1247" s="5"/>
      <c r="BC1247" s="5"/>
      <c r="BD1247" s="5"/>
      <c r="BE1247" s="5"/>
      <c r="BF1247" s="5"/>
      <c r="BG1247" s="5"/>
      <c r="BH1247" s="5"/>
      <c r="BI1247" s="5"/>
      <c r="BJ1247" s="5"/>
      <c r="BK1247" s="5"/>
      <c r="BL1247" s="5"/>
      <c r="BM1247" s="5"/>
    </row>
    <row r="1248" ht="15.75" customHeight="1">
      <c r="A1248" s="5"/>
      <c r="B1248" s="5"/>
      <c r="C1248" s="5"/>
      <c r="D1248" s="5"/>
      <c r="E1248" s="14"/>
      <c r="F1248" s="15"/>
      <c r="G1248" s="14"/>
      <c r="H1248" s="16"/>
      <c r="I1248" s="14"/>
      <c r="J1248" s="16"/>
      <c r="K1248" s="14"/>
      <c r="L1248" s="16"/>
      <c r="M1248" s="14"/>
      <c r="N1248" s="16"/>
      <c r="O1248" s="14"/>
      <c r="P1248" s="16"/>
      <c r="Q1248" s="14"/>
      <c r="R1248" s="5"/>
      <c r="S1248" s="14"/>
      <c r="T1248" s="16"/>
      <c r="U1248" s="16"/>
      <c r="V1248" s="17"/>
      <c r="W1248" s="6"/>
      <c r="X1248" s="22"/>
      <c r="Y1248" s="14"/>
      <c r="Z1248" s="14"/>
      <c r="AA1248" s="14"/>
      <c r="AB1248" s="14"/>
      <c r="AC1248" s="14"/>
      <c r="AD1248" s="14"/>
      <c r="AE1248" s="14"/>
      <c r="AF1248" s="14"/>
      <c r="AG1248" s="19"/>
      <c r="AH1248" s="20"/>
      <c r="AI1248" s="5"/>
      <c r="AJ1248" s="5"/>
      <c r="AK1248" s="5"/>
      <c r="AL1248" s="5"/>
      <c r="AM1248" s="5"/>
      <c r="AN1248" s="5"/>
      <c r="AO1248" s="5"/>
      <c r="AP1248" s="5"/>
      <c r="AQ1248" s="5"/>
      <c r="AR1248" s="5"/>
      <c r="AS1248" s="5"/>
      <c r="AT1248" s="5"/>
      <c r="AU1248" s="5"/>
      <c r="AV1248" s="5"/>
      <c r="AW1248" s="5"/>
      <c r="AX1248" s="5"/>
      <c r="AY1248" s="5"/>
      <c r="AZ1248" s="5"/>
      <c r="BA1248" s="5"/>
      <c r="BB1248" s="5"/>
      <c r="BC1248" s="5"/>
      <c r="BD1248" s="5"/>
      <c r="BE1248" s="5"/>
      <c r="BF1248" s="5"/>
      <c r="BG1248" s="5"/>
      <c r="BH1248" s="5"/>
      <c r="BI1248" s="5"/>
      <c r="BJ1248" s="5"/>
      <c r="BK1248" s="5"/>
      <c r="BL1248" s="5"/>
      <c r="BM1248" s="5"/>
    </row>
    <row r="1249" ht="15.75" customHeight="1">
      <c r="A1249" s="5"/>
      <c r="B1249" s="5"/>
      <c r="C1249" s="5"/>
      <c r="D1249" s="5"/>
      <c r="E1249" s="14"/>
      <c r="F1249" s="15"/>
      <c r="G1249" s="14"/>
      <c r="H1249" s="16"/>
      <c r="I1249" s="14"/>
      <c r="J1249" s="16"/>
      <c r="K1249" s="14"/>
      <c r="L1249" s="16"/>
      <c r="M1249" s="14"/>
      <c r="N1249" s="16"/>
      <c r="O1249" s="14"/>
      <c r="P1249" s="16"/>
      <c r="Q1249" s="14"/>
      <c r="R1249" s="5"/>
      <c r="S1249" s="14"/>
      <c r="T1249" s="16"/>
      <c r="U1249" s="16"/>
      <c r="V1249" s="17"/>
      <c r="W1249" s="6"/>
      <c r="X1249" s="22"/>
      <c r="Y1249" s="14"/>
      <c r="Z1249" s="14"/>
      <c r="AA1249" s="14"/>
      <c r="AB1249" s="14"/>
      <c r="AC1249" s="14"/>
      <c r="AD1249" s="14"/>
      <c r="AE1249" s="14"/>
      <c r="AF1249" s="14"/>
      <c r="AG1249" s="19"/>
      <c r="AH1249" s="20"/>
      <c r="AI1249" s="5"/>
      <c r="AJ1249" s="5"/>
      <c r="AK1249" s="5"/>
      <c r="AL1249" s="5"/>
      <c r="AM1249" s="5"/>
      <c r="AN1249" s="5"/>
      <c r="AO1249" s="5"/>
      <c r="AP1249" s="5"/>
      <c r="AQ1249" s="5"/>
      <c r="AR1249" s="5"/>
      <c r="AS1249" s="5"/>
      <c r="AT1249" s="5"/>
      <c r="AU1249" s="5"/>
      <c r="AV1249" s="5"/>
      <c r="AW1249" s="5"/>
      <c r="AX1249" s="5"/>
      <c r="AY1249" s="5"/>
      <c r="AZ1249" s="5"/>
      <c r="BA1249" s="5"/>
      <c r="BB1249" s="5"/>
      <c r="BC1249" s="5"/>
      <c r="BD1249" s="5"/>
      <c r="BE1249" s="5"/>
      <c r="BF1249" s="5"/>
      <c r="BG1249" s="5"/>
      <c r="BH1249" s="5"/>
      <c r="BI1249" s="5"/>
      <c r="BJ1249" s="5"/>
      <c r="BK1249" s="5"/>
      <c r="BL1249" s="5"/>
      <c r="BM1249" s="5"/>
    </row>
    <row r="1250" ht="15.75" customHeight="1">
      <c r="A1250" s="5"/>
      <c r="B1250" s="5"/>
      <c r="C1250" s="5"/>
      <c r="D1250" s="5"/>
      <c r="E1250" s="14"/>
      <c r="F1250" s="15"/>
      <c r="G1250" s="14"/>
      <c r="H1250" s="16"/>
      <c r="I1250" s="14"/>
      <c r="J1250" s="16"/>
      <c r="K1250" s="14"/>
      <c r="L1250" s="16"/>
      <c r="M1250" s="14"/>
      <c r="N1250" s="16"/>
      <c r="O1250" s="14"/>
      <c r="P1250" s="16"/>
      <c r="Q1250" s="14"/>
      <c r="R1250" s="5"/>
      <c r="S1250" s="14"/>
      <c r="T1250" s="16"/>
      <c r="U1250" s="16"/>
      <c r="V1250" s="17"/>
      <c r="W1250" s="6"/>
      <c r="X1250" s="22"/>
      <c r="Y1250" s="14"/>
      <c r="Z1250" s="14"/>
      <c r="AA1250" s="14"/>
      <c r="AB1250" s="14"/>
      <c r="AC1250" s="14"/>
      <c r="AD1250" s="14"/>
      <c r="AE1250" s="14"/>
      <c r="AF1250" s="14"/>
      <c r="AG1250" s="19"/>
      <c r="AH1250" s="20"/>
      <c r="AI1250" s="5"/>
      <c r="AJ1250" s="5"/>
      <c r="AK1250" s="5"/>
      <c r="AL1250" s="5"/>
      <c r="AM1250" s="5"/>
      <c r="AN1250" s="5"/>
      <c r="AO1250" s="5"/>
      <c r="AP1250" s="5"/>
      <c r="AQ1250" s="5"/>
      <c r="AR1250" s="5"/>
      <c r="AS1250" s="5"/>
      <c r="AT1250" s="5"/>
      <c r="AU1250" s="5"/>
      <c r="AV1250" s="5"/>
      <c r="AW1250" s="5"/>
      <c r="AX1250" s="5"/>
      <c r="AY1250" s="5"/>
      <c r="AZ1250" s="5"/>
      <c r="BA1250" s="5"/>
      <c r="BB1250" s="5"/>
      <c r="BC1250" s="5"/>
      <c r="BD1250" s="5"/>
      <c r="BE1250" s="5"/>
      <c r="BF1250" s="5"/>
      <c r="BG1250" s="5"/>
      <c r="BH1250" s="5"/>
      <c r="BI1250" s="5"/>
      <c r="BJ1250" s="5"/>
      <c r="BK1250" s="5"/>
      <c r="BL1250" s="5"/>
      <c r="BM1250" s="5"/>
    </row>
    <row r="1251" ht="15.75" customHeight="1">
      <c r="A1251" s="5"/>
      <c r="B1251" s="5"/>
      <c r="C1251" s="5"/>
      <c r="D1251" s="5"/>
      <c r="E1251" s="14"/>
      <c r="F1251" s="15"/>
      <c r="G1251" s="14"/>
      <c r="H1251" s="16"/>
      <c r="I1251" s="14"/>
      <c r="J1251" s="16"/>
      <c r="K1251" s="14"/>
      <c r="L1251" s="16"/>
      <c r="M1251" s="14"/>
      <c r="N1251" s="16"/>
      <c r="O1251" s="14"/>
      <c r="P1251" s="16"/>
      <c r="Q1251" s="14"/>
      <c r="R1251" s="5"/>
      <c r="S1251" s="14"/>
      <c r="T1251" s="16"/>
      <c r="U1251" s="16"/>
      <c r="V1251" s="17"/>
      <c r="W1251" s="6"/>
      <c r="X1251" s="22"/>
      <c r="Y1251" s="14"/>
      <c r="Z1251" s="14"/>
      <c r="AA1251" s="14"/>
      <c r="AB1251" s="14"/>
      <c r="AC1251" s="14"/>
      <c r="AD1251" s="14"/>
      <c r="AE1251" s="14"/>
      <c r="AF1251" s="14"/>
      <c r="AG1251" s="19"/>
      <c r="AH1251" s="20"/>
      <c r="AI1251" s="5"/>
      <c r="AJ1251" s="5"/>
      <c r="AK1251" s="5"/>
      <c r="AL1251" s="5"/>
      <c r="AM1251" s="5"/>
      <c r="AN1251" s="5"/>
      <c r="AO1251" s="5"/>
      <c r="AP1251" s="5"/>
      <c r="AQ1251" s="5"/>
      <c r="AR1251" s="5"/>
      <c r="AS1251" s="5"/>
      <c r="AT1251" s="5"/>
      <c r="AU1251" s="5"/>
      <c r="AV1251" s="5"/>
      <c r="AW1251" s="5"/>
      <c r="AX1251" s="5"/>
      <c r="AY1251" s="5"/>
      <c r="AZ1251" s="5"/>
      <c r="BA1251" s="5"/>
      <c r="BB1251" s="5"/>
      <c r="BC1251" s="5"/>
      <c r="BD1251" s="5"/>
      <c r="BE1251" s="5"/>
      <c r="BF1251" s="5"/>
      <c r="BG1251" s="5"/>
      <c r="BH1251" s="5"/>
      <c r="BI1251" s="5"/>
      <c r="BJ1251" s="5"/>
      <c r="BK1251" s="5"/>
      <c r="BL1251" s="5"/>
      <c r="BM1251" s="5"/>
    </row>
    <row r="1252" ht="15.75" customHeight="1">
      <c r="A1252" s="5"/>
      <c r="B1252" s="5"/>
      <c r="C1252" s="5"/>
      <c r="D1252" s="5"/>
      <c r="E1252" s="14"/>
      <c r="F1252" s="15"/>
      <c r="G1252" s="14"/>
      <c r="H1252" s="16"/>
      <c r="I1252" s="14"/>
      <c r="J1252" s="16"/>
      <c r="K1252" s="14"/>
      <c r="L1252" s="16"/>
      <c r="M1252" s="14"/>
      <c r="N1252" s="16"/>
      <c r="O1252" s="14"/>
      <c r="P1252" s="16"/>
      <c r="Q1252" s="14"/>
      <c r="R1252" s="5"/>
      <c r="S1252" s="14"/>
      <c r="T1252" s="16"/>
      <c r="U1252" s="16"/>
      <c r="V1252" s="17"/>
      <c r="W1252" s="6"/>
      <c r="X1252" s="22"/>
      <c r="Y1252" s="14"/>
      <c r="Z1252" s="14"/>
      <c r="AA1252" s="14"/>
      <c r="AB1252" s="14"/>
      <c r="AC1252" s="14"/>
      <c r="AD1252" s="14"/>
      <c r="AE1252" s="14"/>
      <c r="AF1252" s="14"/>
      <c r="AG1252" s="19"/>
      <c r="AH1252" s="20"/>
      <c r="AI1252" s="5"/>
      <c r="AJ1252" s="5"/>
      <c r="AK1252" s="5"/>
      <c r="AL1252" s="5"/>
      <c r="AM1252" s="5"/>
      <c r="AN1252" s="5"/>
      <c r="AO1252" s="5"/>
      <c r="AP1252" s="5"/>
      <c r="AQ1252" s="5"/>
      <c r="AR1252" s="5"/>
      <c r="AS1252" s="5"/>
      <c r="AT1252" s="5"/>
      <c r="AU1252" s="5"/>
      <c r="AV1252" s="5"/>
      <c r="AW1252" s="5"/>
      <c r="AX1252" s="5"/>
      <c r="AY1252" s="5"/>
      <c r="AZ1252" s="5"/>
      <c r="BA1252" s="5"/>
      <c r="BB1252" s="5"/>
      <c r="BC1252" s="5"/>
      <c r="BD1252" s="5"/>
      <c r="BE1252" s="5"/>
      <c r="BF1252" s="5"/>
      <c r="BG1252" s="5"/>
      <c r="BH1252" s="5"/>
      <c r="BI1252" s="5"/>
      <c r="BJ1252" s="5"/>
      <c r="BK1252" s="5"/>
      <c r="BL1252" s="5"/>
      <c r="BM1252" s="5"/>
    </row>
    <row r="1253" ht="15.75" customHeight="1">
      <c r="A1253" s="5"/>
      <c r="B1253" s="5"/>
      <c r="C1253" s="5"/>
      <c r="D1253" s="5"/>
      <c r="E1253" s="14"/>
      <c r="F1253" s="15"/>
      <c r="G1253" s="14"/>
      <c r="H1253" s="16"/>
      <c r="I1253" s="14"/>
      <c r="J1253" s="16"/>
      <c r="K1253" s="14"/>
      <c r="L1253" s="16"/>
      <c r="M1253" s="14"/>
      <c r="N1253" s="16"/>
      <c r="O1253" s="14"/>
      <c r="P1253" s="16"/>
      <c r="Q1253" s="14"/>
      <c r="R1253" s="5"/>
      <c r="S1253" s="14"/>
      <c r="T1253" s="16"/>
      <c r="U1253" s="16"/>
      <c r="V1253" s="17"/>
      <c r="W1253" s="6"/>
      <c r="X1253" s="22"/>
      <c r="Y1253" s="14"/>
      <c r="Z1253" s="14"/>
      <c r="AA1253" s="14"/>
      <c r="AB1253" s="14"/>
      <c r="AC1253" s="14"/>
      <c r="AD1253" s="14"/>
      <c r="AE1253" s="14"/>
      <c r="AF1253" s="14"/>
      <c r="AG1253" s="19"/>
      <c r="AH1253" s="20"/>
      <c r="AI1253" s="5"/>
      <c r="AJ1253" s="5"/>
      <c r="AK1253" s="5"/>
      <c r="AL1253" s="5"/>
      <c r="AM1253" s="5"/>
      <c r="AN1253" s="5"/>
      <c r="AO1253" s="5"/>
      <c r="AP1253" s="5"/>
      <c r="AQ1253" s="5"/>
      <c r="AR1253" s="5"/>
      <c r="AS1253" s="5"/>
      <c r="AT1253" s="5"/>
      <c r="AU1253" s="5"/>
      <c r="AV1253" s="5"/>
      <c r="AW1253" s="5"/>
      <c r="AX1253" s="5"/>
      <c r="AY1253" s="5"/>
      <c r="AZ1253" s="5"/>
      <c r="BA1253" s="5"/>
      <c r="BB1253" s="5"/>
      <c r="BC1253" s="5"/>
      <c r="BD1253" s="5"/>
      <c r="BE1253" s="5"/>
      <c r="BF1253" s="5"/>
      <c r="BG1253" s="5"/>
      <c r="BH1253" s="5"/>
      <c r="BI1253" s="5"/>
      <c r="BJ1253" s="5"/>
      <c r="BK1253" s="5"/>
      <c r="BL1253" s="5"/>
      <c r="BM1253" s="5"/>
    </row>
    <row r="1254" ht="15.75" customHeight="1">
      <c r="A1254" s="5"/>
      <c r="B1254" s="5"/>
      <c r="C1254" s="5"/>
      <c r="D1254" s="5"/>
      <c r="E1254" s="14"/>
      <c r="F1254" s="15"/>
      <c r="G1254" s="14"/>
      <c r="H1254" s="16"/>
      <c r="I1254" s="14"/>
      <c r="J1254" s="16"/>
      <c r="K1254" s="14"/>
      <c r="L1254" s="16"/>
      <c r="M1254" s="14"/>
      <c r="N1254" s="16"/>
      <c r="O1254" s="14"/>
      <c r="P1254" s="16"/>
      <c r="Q1254" s="14"/>
      <c r="R1254" s="5"/>
      <c r="S1254" s="14"/>
      <c r="T1254" s="16"/>
      <c r="U1254" s="16"/>
      <c r="V1254" s="17"/>
      <c r="W1254" s="6"/>
      <c r="X1254" s="22"/>
      <c r="Y1254" s="14"/>
      <c r="Z1254" s="14"/>
      <c r="AA1254" s="14"/>
      <c r="AB1254" s="14"/>
      <c r="AC1254" s="14"/>
      <c r="AD1254" s="14"/>
      <c r="AE1254" s="14"/>
      <c r="AF1254" s="14"/>
      <c r="AG1254" s="19"/>
      <c r="AH1254" s="20"/>
      <c r="AI1254" s="5"/>
      <c r="AJ1254" s="5"/>
      <c r="AK1254" s="5"/>
      <c r="AL1254" s="5"/>
      <c r="AM1254" s="5"/>
      <c r="AN1254" s="5"/>
      <c r="AO1254" s="5"/>
      <c r="AP1254" s="5"/>
      <c r="AQ1254" s="5"/>
      <c r="AR1254" s="5"/>
      <c r="AS1254" s="5"/>
      <c r="AT1254" s="5"/>
      <c r="AU1254" s="5"/>
      <c r="AV1254" s="5"/>
      <c r="AW1254" s="5"/>
      <c r="AX1254" s="5"/>
      <c r="AY1254" s="5"/>
      <c r="AZ1254" s="5"/>
      <c r="BA1254" s="5"/>
      <c r="BB1254" s="5"/>
      <c r="BC1254" s="5"/>
      <c r="BD1254" s="5"/>
      <c r="BE1254" s="5"/>
      <c r="BF1254" s="5"/>
      <c r="BG1254" s="5"/>
      <c r="BH1254" s="5"/>
      <c r="BI1254" s="5"/>
      <c r="BJ1254" s="5"/>
      <c r="BK1254" s="5"/>
      <c r="BL1254" s="5"/>
      <c r="BM1254" s="5"/>
    </row>
    <row r="1255" ht="15.75" customHeight="1">
      <c r="A1255" s="5"/>
      <c r="B1255" s="5"/>
      <c r="C1255" s="5"/>
      <c r="D1255" s="5"/>
      <c r="E1255" s="14"/>
      <c r="F1255" s="15"/>
      <c r="G1255" s="14"/>
      <c r="H1255" s="16"/>
      <c r="I1255" s="14"/>
      <c r="J1255" s="16"/>
      <c r="K1255" s="14"/>
      <c r="L1255" s="16"/>
      <c r="M1255" s="14"/>
      <c r="N1255" s="16"/>
      <c r="O1255" s="14"/>
      <c r="P1255" s="16"/>
      <c r="Q1255" s="14"/>
      <c r="R1255" s="5"/>
      <c r="S1255" s="14"/>
      <c r="T1255" s="16"/>
      <c r="U1255" s="16"/>
      <c r="V1255" s="17"/>
      <c r="W1255" s="6"/>
      <c r="X1255" s="22"/>
      <c r="Y1255" s="14"/>
      <c r="Z1255" s="14"/>
      <c r="AA1255" s="14"/>
      <c r="AB1255" s="14"/>
      <c r="AC1255" s="14"/>
      <c r="AD1255" s="14"/>
      <c r="AE1255" s="14"/>
      <c r="AF1255" s="14"/>
      <c r="AG1255" s="19"/>
      <c r="AH1255" s="20"/>
      <c r="AI1255" s="5"/>
      <c r="AJ1255" s="5"/>
      <c r="AK1255" s="5"/>
      <c r="AL1255" s="5"/>
      <c r="AM1255" s="5"/>
      <c r="AN1255" s="5"/>
      <c r="AO1255" s="5"/>
      <c r="AP1255" s="5"/>
      <c r="AQ1255" s="5"/>
      <c r="AR1255" s="5"/>
      <c r="AS1255" s="5"/>
      <c r="AT1255" s="5"/>
      <c r="AU1255" s="5"/>
      <c r="AV1255" s="5"/>
      <c r="AW1255" s="5"/>
      <c r="AX1255" s="5"/>
      <c r="AY1255" s="5"/>
      <c r="AZ1255" s="5"/>
      <c r="BA1255" s="5"/>
      <c r="BB1255" s="5"/>
      <c r="BC1255" s="5"/>
      <c r="BD1255" s="5"/>
      <c r="BE1255" s="5"/>
      <c r="BF1255" s="5"/>
      <c r="BG1255" s="5"/>
      <c r="BH1255" s="5"/>
      <c r="BI1255" s="5"/>
      <c r="BJ1255" s="5"/>
      <c r="BK1255" s="5"/>
      <c r="BL1255" s="5"/>
      <c r="BM1255" s="5"/>
    </row>
    <row r="1256" ht="15.75" customHeight="1">
      <c r="A1256" s="5"/>
      <c r="B1256" s="5"/>
      <c r="C1256" s="5"/>
      <c r="D1256" s="5"/>
      <c r="E1256" s="14"/>
      <c r="F1256" s="15"/>
      <c r="G1256" s="14"/>
      <c r="H1256" s="16"/>
      <c r="I1256" s="14"/>
      <c r="J1256" s="16"/>
      <c r="K1256" s="14"/>
      <c r="L1256" s="16"/>
      <c r="M1256" s="14"/>
      <c r="N1256" s="16"/>
      <c r="O1256" s="14"/>
      <c r="P1256" s="16"/>
      <c r="Q1256" s="14"/>
      <c r="R1256" s="5"/>
      <c r="S1256" s="14"/>
      <c r="T1256" s="16"/>
      <c r="U1256" s="16"/>
      <c r="V1256" s="17"/>
      <c r="W1256" s="6"/>
      <c r="X1256" s="22"/>
      <c r="Y1256" s="14"/>
      <c r="Z1256" s="14"/>
      <c r="AA1256" s="14"/>
      <c r="AB1256" s="14"/>
      <c r="AC1256" s="14"/>
      <c r="AD1256" s="14"/>
      <c r="AE1256" s="14"/>
      <c r="AF1256" s="14"/>
      <c r="AG1256" s="19"/>
      <c r="AH1256" s="20"/>
      <c r="AI1256" s="5"/>
      <c r="AJ1256" s="5"/>
      <c r="AK1256" s="5"/>
      <c r="AL1256" s="5"/>
      <c r="AM1256" s="5"/>
      <c r="AN1256" s="5"/>
      <c r="AO1256" s="5"/>
      <c r="AP1256" s="5"/>
      <c r="AQ1256" s="5"/>
      <c r="AR1256" s="5"/>
      <c r="AS1256" s="5"/>
      <c r="AT1256" s="5"/>
      <c r="AU1256" s="5"/>
      <c r="AV1256" s="5"/>
      <c r="AW1256" s="5"/>
      <c r="AX1256" s="5"/>
      <c r="AY1256" s="5"/>
      <c r="AZ1256" s="5"/>
      <c r="BA1256" s="5"/>
      <c r="BB1256" s="5"/>
      <c r="BC1256" s="5"/>
      <c r="BD1256" s="5"/>
      <c r="BE1256" s="5"/>
      <c r="BF1256" s="5"/>
      <c r="BG1256" s="5"/>
      <c r="BH1256" s="5"/>
      <c r="BI1256" s="5"/>
      <c r="BJ1256" s="5"/>
      <c r="BK1256" s="5"/>
      <c r="BL1256" s="5"/>
      <c r="BM1256" s="5"/>
    </row>
    <row r="1257" ht="15.75" customHeight="1">
      <c r="A1257" s="5"/>
      <c r="B1257" s="5"/>
      <c r="C1257" s="5"/>
      <c r="D1257" s="5"/>
      <c r="E1257" s="14"/>
      <c r="F1257" s="15"/>
      <c r="G1257" s="14"/>
      <c r="H1257" s="16"/>
      <c r="I1257" s="14"/>
      <c r="J1257" s="16"/>
      <c r="K1257" s="14"/>
      <c r="L1257" s="16"/>
      <c r="M1257" s="14"/>
      <c r="N1257" s="16"/>
      <c r="O1257" s="14"/>
      <c r="P1257" s="16"/>
      <c r="Q1257" s="14"/>
      <c r="R1257" s="5"/>
      <c r="S1257" s="14"/>
      <c r="T1257" s="16"/>
      <c r="U1257" s="16"/>
      <c r="V1257" s="17"/>
      <c r="W1257" s="6"/>
      <c r="X1257" s="22"/>
      <c r="Y1257" s="14"/>
      <c r="Z1257" s="14"/>
      <c r="AA1257" s="14"/>
      <c r="AB1257" s="14"/>
      <c r="AC1257" s="14"/>
      <c r="AD1257" s="14"/>
      <c r="AE1257" s="14"/>
      <c r="AF1257" s="14"/>
      <c r="AG1257" s="19"/>
      <c r="AH1257" s="20"/>
      <c r="AI1257" s="5"/>
      <c r="AJ1257" s="5"/>
      <c r="AK1257" s="5"/>
      <c r="AL1257" s="5"/>
      <c r="AM1257" s="5"/>
      <c r="AN1257" s="5"/>
      <c r="AO1257" s="5"/>
      <c r="AP1257" s="5"/>
      <c r="AQ1257" s="5"/>
      <c r="AR1257" s="5"/>
      <c r="AS1257" s="5"/>
      <c r="AT1257" s="5"/>
      <c r="AU1257" s="5"/>
      <c r="AV1257" s="5"/>
      <c r="AW1257" s="5"/>
      <c r="AX1257" s="5"/>
      <c r="AY1257" s="5"/>
      <c r="AZ1257" s="5"/>
      <c r="BA1257" s="5"/>
      <c r="BB1257" s="5"/>
      <c r="BC1257" s="5"/>
      <c r="BD1257" s="5"/>
      <c r="BE1257" s="5"/>
      <c r="BF1257" s="5"/>
      <c r="BG1257" s="5"/>
      <c r="BH1257" s="5"/>
      <c r="BI1257" s="5"/>
      <c r="BJ1257" s="5"/>
      <c r="BK1257" s="5"/>
      <c r="BL1257" s="5"/>
      <c r="BM1257" s="5"/>
    </row>
    <row r="1258" ht="15.75" customHeight="1">
      <c r="A1258" s="5"/>
      <c r="B1258" s="5"/>
      <c r="C1258" s="5"/>
      <c r="D1258" s="5"/>
      <c r="E1258" s="14"/>
      <c r="F1258" s="15"/>
      <c r="G1258" s="14"/>
      <c r="H1258" s="16"/>
      <c r="I1258" s="14"/>
      <c r="J1258" s="16"/>
      <c r="K1258" s="14"/>
      <c r="L1258" s="16"/>
      <c r="M1258" s="14"/>
      <c r="N1258" s="16"/>
      <c r="O1258" s="14"/>
      <c r="P1258" s="16"/>
      <c r="Q1258" s="14"/>
      <c r="R1258" s="5"/>
      <c r="S1258" s="14"/>
      <c r="T1258" s="16"/>
      <c r="U1258" s="16"/>
      <c r="V1258" s="17"/>
      <c r="W1258" s="6"/>
      <c r="X1258" s="22"/>
      <c r="Y1258" s="14"/>
      <c r="Z1258" s="14"/>
      <c r="AA1258" s="14"/>
      <c r="AB1258" s="14"/>
      <c r="AC1258" s="14"/>
      <c r="AD1258" s="14"/>
      <c r="AE1258" s="14"/>
      <c r="AF1258" s="14"/>
      <c r="AG1258" s="19"/>
      <c r="AH1258" s="20"/>
      <c r="AI1258" s="5"/>
      <c r="AJ1258" s="5"/>
      <c r="AK1258" s="5"/>
      <c r="AL1258" s="5"/>
      <c r="AM1258" s="5"/>
      <c r="AN1258" s="5"/>
      <c r="AO1258" s="5"/>
      <c r="AP1258" s="5"/>
      <c r="AQ1258" s="5"/>
      <c r="AR1258" s="5"/>
      <c r="AS1258" s="5"/>
      <c r="AT1258" s="5"/>
      <c r="AU1258" s="5"/>
      <c r="AV1258" s="5"/>
      <c r="AW1258" s="5"/>
      <c r="AX1258" s="5"/>
      <c r="AY1258" s="5"/>
      <c r="AZ1258" s="5"/>
      <c r="BA1258" s="5"/>
      <c r="BB1258" s="5"/>
      <c r="BC1258" s="5"/>
      <c r="BD1258" s="5"/>
      <c r="BE1258" s="5"/>
      <c r="BF1258" s="5"/>
      <c r="BG1258" s="5"/>
      <c r="BH1258" s="5"/>
      <c r="BI1258" s="5"/>
      <c r="BJ1258" s="5"/>
      <c r="BK1258" s="5"/>
      <c r="BL1258" s="5"/>
      <c r="BM1258" s="5"/>
    </row>
    <row r="1259" ht="15.75" customHeight="1">
      <c r="A1259" s="5"/>
      <c r="B1259" s="5"/>
      <c r="C1259" s="5"/>
      <c r="D1259" s="5"/>
      <c r="E1259" s="14"/>
      <c r="F1259" s="15"/>
      <c r="G1259" s="14"/>
      <c r="H1259" s="16"/>
      <c r="I1259" s="14"/>
      <c r="J1259" s="16"/>
      <c r="K1259" s="14"/>
      <c r="L1259" s="16"/>
      <c r="M1259" s="14"/>
      <c r="N1259" s="16"/>
      <c r="O1259" s="14"/>
      <c r="P1259" s="16"/>
      <c r="Q1259" s="14"/>
      <c r="R1259" s="5"/>
      <c r="S1259" s="14"/>
      <c r="T1259" s="16"/>
      <c r="U1259" s="16"/>
      <c r="V1259" s="17"/>
      <c r="W1259" s="6"/>
      <c r="X1259" s="22"/>
      <c r="Y1259" s="14"/>
      <c r="Z1259" s="14"/>
      <c r="AA1259" s="14"/>
      <c r="AB1259" s="14"/>
      <c r="AC1259" s="14"/>
      <c r="AD1259" s="14"/>
      <c r="AE1259" s="14"/>
      <c r="AF1259" s="14"/>
      <c r="AG1259" s="19"/>
      <c r="AH1259" s="20"/>
      <c r="AI1259" s="5"/>
      <c r="AJ1259" s="5"/>
      <c r="AK1259" s="5"/>
      <c r="AL1259" s="5"/>
      <c r="AM1259" s="5"/>
      <c r="AN1259" s="5"/>
      <c r="AO1259" s="5"/>
      <c r="AP1259" s="5"/>
      <c r="AQ1259" s="5"/>
      <c r="AR1259" s="5"/>
      <c r="AS1259" s="5"/>
      <c r="AT1259" s="5"/>
      <c r="AU1259" s="5"/>
      <c r="AV1259" s="5"/>
      <c r="AW1259" s="5"/>
      <c r="AX1259" s="5"/>
      <c r="AY1259" s="5"/>
      <c r="AZ1259" s="5"/>
      <c r="BA1259" s="5"/>
      <c r="BB1259" s="5"/>
      <c r="BC1259" s="5"/>
      <c r="BD1259" s="5"/>
      <c r="BE1259" s="5"/>
      <c r="BF1259" s="5"/>
      <c r="BG1259" s="5"/>
      <c r="BH1259" s="5"/>
      <c r="BI1259" s="5"/>
      <c r="BJ1259" s="5"/>
      <c r="BK1259" s="5"/>
      <c r="BL1259" s="5"/>
      <c r="BM1259" s="5"/>
    </row>
    <row r="1260" ht="15.75" customHeight="1">
      <c r="A1260" s="5"/>
      <c r="B1260" s="5"/>
      <c r="C1260" s="5"/>
      <c r="D1260" s="5"/>
      <c r="E1260" s="14"/>
      <c r="F1260" s="15"/>
      <c r="G1260" s="14"/>
      <c r="H1260" s="16"/>
      <c r="I1260" s="14"/>
      <c r="J1260" s="16"/>
      <c r="K1260" s="14"/>
      <c r="L1260" s="16"/>
      <c r="M1260" s="14"/>
      <c r="N1260" s="16"/>
      <c r="O1260" s="14"/>
      <c r="P1260" s="16"/>
      <c r="Q1260" s="14"/>
      <c r="R1260" s="5"/>
      <c r="S1260" s="14"/>
      <c r="T1260" s="16"/>
      <c r="U1260" s="16"/>
      <c r="V1260" s="17"/>
      <c r="W1260" s="6"/>
      <c r="X1260" s="22"/>
      <c r="Y1260" s="14"/>
      <c r="Z1260" s="14"/>
      <c r="AA1260" s="14"/>
      <c r="AB1260" s="14"/>
      <c r="AC1260" s="14"/>
      <c r="AD1260" s="14"/>
      <c r="AE1260" s="14"/>
      <c r="AF1260" s="14"/>
      <c r="AG1260" s="19"/>
      <c r="AH1260" s="20"/>
      <c r="AI1260" s="5"/>
      <c r="AJ1260" s="5"/>
      <c r="AK1260" s="5"/>
      <c r="AL1260" s="5"/>
      <c r="AM1260" s="5"/>
      <c r="AN1260" s="5"/>
      <c r="AO1260" s="5"/>
      <c r="AP1260" s="5"/>
      <c r="AQ1260" s="5"/>
      <c r="AR1260" s="5"/>
      <c r="AS1260" s="5"/>
      <c r="AT1260" s="5"/>
      <c r="AU1260" s="5"/>
      <c r="AV1260" s="5"/>
      <c r="AW1260" s="5"/>
      <c r="AX1260" s="5"/>
      <c r="AY1260" s="5"/>
      <c r="AZ1260" s="5"/>
      <c r="BA1260" s="5"/>
      <c r="BB1260" s="5"/>
      <c r="BC1260" s="5"/>
      <c r="BD1260" s="5"/>
      <c r="BE1260" s="5"/>
      <c r="BF1260" s="5"/>
      <c r="BG1260" s="5"/>
      <c r="BH1260" s="5"/>
      <c r="BI1260" s="5"/>
      <c r="BJ1260" s="5"/>
      <c r="BK1260" s="5"/>
      <c r="BL1260" s="5"/>
      <c r="BM1260" s="5"/>
    </row>
    <row r="1261" ht="15.75" customHeight="1">
      <c r="A1261" s="5"/>
      <c r="B1261" s="5"/>
      <c r="C1261" s="5"/>
      <c r="D1261" s="5"/>
      <c r="E1261" s="14"/>
      <c r="F1261" s="15"/>
      <c r="G1261" s="14"/>
      <c r="H1261" s="16"/>
      <c r="I1261" s="14"/>
      <c r="J1261" s="16"/>
      <c r="K1261" s="14"/>
      <c r="L1261" s="16"/>
      <c r="M1261" s="14"/>
      <c r="N1261" s="16"/>
      <c r="O1261" s="14"/>
      <c r="P1261" s="16"/>
      <c r="Q1261" s="14"/>
      <c r="R1261" s="5"/>
      <c r="S1261" s="14"/>
      <c r="T1261" s="16"/>
      <c r="U1261" s="16"/>
      <c r="V1261" s="17"/>
      <c r="W1261" s="6"/>
      <c r="X1261" s="22"/>
      <c r="Y1261" s="14"/>
      <c r="Z1261" s="14"/>
      <c r="AA1261" s="14"/>
      <c r="AB1261" s="14"/>
      <c r="AC1261" s="14"/>
      <c r="AD1261" s="14"/>
      <c r="AE1261" s="14"/>
      <c r="AF1261" s="14"/>
      <c r="AG1261" s="19"/>
      <c r="AH1261" s="20"/>
      <c r="AI1261" s="5"/>
      <c r="AJ1261" s="5"/>
      <c r="AK1261" s="5"/>
      <c r="AL1261" s="5"/>
      <c r="AM1261" s="5"/>
      <c r="AN1261" s="5"/>
      <c r="AO1261" s="5"/>
      <c r="AP1261" s="5"/>
      <c r="AQ1261" s="5"/>
      <c r="AR1261" s="5"/>
      <c r="AS1261" s="5"/>
      <c r="AT1261" s="5"/>
      <c r="AU1261" s="5"/>
      <c r="AV1261" s="5"/>
      <c r="AW1261" s="5"/>
      <c r="AX1261" s="5"/>
      <c r="AY1261" s="5"/>
      <c r="AZ1261" s="5"/>
      <c r="BA1261" s="5"/>
      <c r="BB1261" s="5"/>
      <c r="BC1261" s="5"/>
      <c r="BD1261" s="5"/>
      <c r="BE1261" s="5"/>
      <c r="BF1261" s="5"/>
      <c r="BG1261" s="5"/>
      <c r="BH1261" s="5"/>
      <c r="BI1261" s="5"/>
      <c r="BJ1261" s="5"/>
      <c r="BK1261" s="5"/>
      <c r="BL1261" s="5"/>
      <c r="BM1261" s="5"/>
    </row>
    <row r="1262" ht="15.75" customHeight="1">
      <c r="A1262" s="5"/>
      <c r="B1262" s="5"/>
      <c r="C1262" s="5"/>
      <c r="D1262" s="5"/>
      <c r="E1262" s="14"/>
      <c r="F1262" s="15"/>
      <c r="G1262" s="14"/>
      <c r="H1262" s="16"/>
      <c r="I1262" s="14"/>
      <c r="J1262" s="16"/>
      <c r="K1262" s="14"/>
      <c r="L1262" s="16"/>
      <c r="M1262" s="14"/>
      <c r="N1262" s="16"/>
      <c r="O1262" s="14"/>
      <c r="P1262" s="16"/>
      <c r="Q1262" s="14"/>
      <c r="R1262" s="5"/>
      <c r="S1262" s="14"/>
      <c r="T1262" s="16"/>
      <c r="U1262" s="16"/>
      <c r="V1262" s="17"/>
      <c r="W1262" s="6"/>
      <c r="X1262" s="22"/>
      <c r="Y1262" s="14"/>
      <c r="Z1262" s="14"/>
      <c r="AA1262" s="14"/>
      <c r="AB1262" s="14"/>
      <c r="AC1262" s="14"/>
      <c r="AD1262" s="14"/>
      <c r="AE1262" s="14"/>
      <c r="AF1262" s="14"/>
      <c r="AG1262" s="19"/>
      <c r="AH1262" s="20"/>
      <c r="AI1262" s="5"/>
      <c r="AJ1262" s="5"/>
      <c r="AK1262" s="5"/>
      <c r="AL1262" s="5"/>
      <c r="AM1262" s="5"/>
      <c r="AN1262" s="5"/>
      <c r="AO1262" s="5"/>
      <c r="AP1262" s="5"/>
      <c r="AQ1262" s="5"/>
      <c r="AR1262" s="5"/>
      <c r="AS1262" s="5"/>
      <c r="AT1262" s="5"/>
      <c r="AU1262" s="5"/>
      <c r="AV1262" s="5"/>
      <c r="AW1262" s="5"/>
      <c r="AX1262" s="5"/>
      <c r="AY1262" s="5"/>
      <c r="AZ1262" s="5"/>
      <c r="BA1262" s="5"/>
      <c r="BB1262" s="5"/>
      <c r="BC1262" s="5"/>
      <c r="BD1262" s="5"/>
      <c r="BE1262" s="5"/>
      <c r="BF1262" s="5"/>
      <c r="BG1262" s="5"/>
      <c r="BH1262" s="5"/>
      <c r="BI1262" s="5"/>
      <c r="BJ1262" s="5"/>
      <c r="BK1262" s="5"/>
      <c r="BL1262" s="5"/>
      <c r="BM1262" s="5"/>
    </row>
    <row r="1263" ht="15.75" customHeight="1">
      <c r="A1263" s="5"/>
      <c r="B1263" s="5"/>
      <c r="C1263" s="5"/>
      <c r="D1263" s="5"/>
      <c r="E1263" s="14"/>
      <c r="F1263" s="15"/>
      <c r="G1263" s="14"/>
      <c r="H1263" s="16"/>
      <c r="I1263" s="14"/>
      <c r="J1263" s="16"/>
      <c r="K1263" s="14"/>
      <c r="L1263" s="16"/>
      <c r="M1263" s="14"/>
      <c r="N1263" s="16"/>
      <c r="O1263" s="14"/>
      <c r="P1263" s="16"/>
      <c r="Q1263" s="14"/>
      <c r="R1263" s="5"/>
      <c r="S1263" s="14"/>
      <c r="T1263" s="16"/>
      <c r="U1263" s="16"/>
      <c r="V1263" s="17"/>
      <c r="W1263" s="6"/>
      <c r="X1263" s="22"/>
      <c r="Y1263" s="14"/>
      <c r="Z1263" s="14"/>
      <c r="AA1263" s="14"/>
      <c r="AB1263" s="14"/>
      <c r="AC1263" s="14"/>
      <c r="AD1263" s="14"/>
      <c r="AE1263" s="14"/>
      <c r="AF1263" s="14"/>
      <c r="AG1263" s="19"/>
      <c r="AH1263" s="20"/>
      <c r="AI1263" s="5"/>
      <c r="AJ1263" s="5"/>
      <c r="AK1263" s="5"/>
      <c r="AL1263" s="5"/>
      <c r="AM1263" s="5"/>
      <c r="AN1263" s="5"/>
      <c r="AO1263" s="5"/>
      <c r="AP1263" s="5"/>
      <c r="AQ1263" s="5"/>
      <c r="AR1263" s="5"/>
      <c r="AS1263" s="5"/>
      <c r="AT1263" s="5"/>
      <c r="AU1263" s="5"/>
      <c r="AV1263" s="5"/>
      <c r="AW1263" s="5"/>
      <c r="AX1263" s="5"/>
      <c r="AY1263" s="5"/>
      <c r="AZ1263" s="5"/>
      <c r="BA1263" s="5"/>
      <c r="BB1263" s="5"/>
      <c r="BC1263" s="5"/>
      <c r="BD1263" s="5"/>
      <c r="BE1263" s="5"/>
      <c r="BF1263" s="5"/>
      <c r="BG1263" s="5"/>
      <c r="BH1263" s="5"/>
      <c r="BI1263" s="5"/>
      <c r="BJ1263" s="5"/>
      <c r="BK1263" s="5"/>
      <c r="BL1263" s="5"/>
      <c r="BM1263" s="5"/>
    </row>
    <row r="1264" ht="15.75" customHeight="1">
      <c r="A1264" s="5"/>
      <c r="B1264" s="5"/>
      <c r="C1264" s="5"/>
      <c r="D1264" s="5"/>
      <c r="E1264" s="14"/>
      <c r="F1264" s="15"/>
      <c r="G1264" s="14"/>
      <c r="H1264" s="16"/>
      <c r="I1264" s="14"/>
      <c r="J1264" s="16"/>
      <c r="K1264" s="14"/>
      <c r="L1264" s="16"/>
      <c r="M1264" s="14"/>
      <c r="N1264" s="16"/>
      <c r="O1264" s="14"/>
      <c r="P1264" s="16"/>
      <c r="Q1264" s="14"/>
      <c r="R1264" s="5"/>
      <c r="S1264" s="14"/>
      <c r="T1264" s="16"/>
      <c r="U1264" s="16"/>
      <c r="V1264" s="17"/>
      <c r="W1264" s="6"/>
      <c r="X1264" s="22"/>
      <c r="Y1264" s="14"/>
      <c r="Z1264" s="14"/>
      <c r="AA1264" s="14"/>
      <c r="AB1264" s="14"/>
      <c r="AC1264" s="14"/>
      <c r="AD1264" s="14"/>
      <c r="AE1264" s="14"/>
      <c r="AF1264" s="14"/>
      <c r="AG1264" s="19"/>
      <c r="AH1264" s="20"/>
      <c r="AI1264" s="5"/>
      <c r="AJ1264" s="5"/>
      <c r="AK1264" s="5"/>
      <c r="AL1264" s="5"/>
      <c r="AM1264" s="5"/>
      <c r="AN1264" s="5"/>
      <c r="AO1264" s="5"/>
      <c r="AP1264" s="5"/>
      <c r="AQ1264" s="5"/>
      <c r="AR1264" s="5"/>
      <c r="AS1264" s="5"/>
      <c r="AT1264" s="5"/>
      <c r="AU1264" s="5"/>
      <c r="AV1264" s="5"/>
      <c r="AW1264" s="5"/>
      <c r="AX1264" s="5"/>
      <c r="AY1264" s="5"/>
      <c r="AZ1264" s="5"/>
      <c r="BA1264" s="5"/>
      <c r="BB1264" s="5"/>
      <c r="BC1264" s="5"/>
      <c r="BD1264" s="5"/>
      <c r="BE1264" s="5"/>
      <c r="BF1264" s="5"/>
      <c r="BG1264" s="5"/>
      <c r="BH1264" s="5"/>
      <c r="BI1264" s="5"/>
      <c r="BJ1264" s="5"/>
      <c r="BK1264" s="5"/>
      <c r="BL1264" s="5"/>
      <c r="BM1264" s="5"/>
    </row>
    <row r="1265" ht="15.75" customHeight="1">
      <c r="A1265" s="5"/>
      <c r="B1265" s="5"/>
      <c r="C1265" s="5"/>
      <c r="D1265" s="5"/>
      <c r="E1265" s="14"/>
      <c r="F1265" s="15"/>
      <c r="G1265" s="14"/>
      <c r="H1265" s="16"/>
      <c r="I1265" s="14"/>
      <c r="J1265" s="16"/>
      <c r="K1265" s="14"/>
      <c r="L1265" s="16"/>
      <c r="M1265" s="14"/>
      <c r="N1265" s="16"/>
      <c r="O1265" s="14"/>
      <c r="P1265" s="16"/>
      <c r="Q1265" s="14"/>
      <c r="R1265" s="5"/>
      <c r="S1265" s="14"/>
      <c r="T1265" s="16"/>
      <c r="U1265" s="16"/>
      <c r="V1265" s="17"/>
      <c r="W1265" s="6"/>
      <c r="X1265" s="22"/>
      <c r="Y1265" s="14"/>
      <c r="Z1265" s="14"/>
      <c r="AA1265" s="14"/>
      <c r="AB1265" s="14"/>
      <c r="AC1265" s="14"/>
      <c r="AD1265" s="14"/>
      <c r="AE1265" s="14"/>
      <c r="AF1265" s="14"/>
      <c r="AG1265" s="19"/>
      <c r="AH1265" s="20"/>
      <c r="AI1265" s="5"/>
      <c r="AJ1265" s="5"/>
      <c r="AK1265" s="5"/>
      <c r="AL1265" s="5"/>
      <c r="AM1265" s="5"/>
      <c r="AN1265" s="5"/>
      <c r="AO1265" s="5"/>
      <c r="AP1265" s="5"/>
      <c r="AQ1265" s="5"/>
      <c r="AR1265" s="5"/>
      <c r="AS1265" s="5"/>
      <c r="AT1265" s="5"/>
      <c r="AU1265" s="5"/>
      <c r="AV1265" s="5"/>
      <c r="AW1265" s="5"/>
      <c r="AX1265" s="5"/>
      <c r="AY1265" s="5"/>
      <c r="AZ1265" s="5"/>
      <c r="BA1265" s="5"/>
      <c r="BB1265" s="5"/>
      <c r="BC1265" s="5"/>
      <c r="BD1265" s="5"/>
      <c r="BE1265" s="5"/>
      <c r="BF1265" s="5"/>
      <c r="BG1265" s="5"/>
      <c r="BH1265" s="5"/>
      <c r="BI1265" s="5"/>
      <c r="BJ1265" s="5"/>
      <c r="BK1265" s="5"/>
      <c r="BL1265" s="5"/>
      <c r="BM1265" s="5"/>
    </row>
    <row r="1266" ht="15.75" customHeight="1">
      <c r="A1266" s="5"/>
      <c r="B1266" s="5"/>
      <c r="C1266" s="5"/>
      <c r="D1266" s="5"/>
      <c r="E1266" s="14"/>
      <c r="F1266" s="15"/>
      <c r="G1266" s="14"/>
      <c r="H1266" s="16"/>
      <c r="I1266" s="14"/>
      <c r="J1266" s="16"/>
      <c r="K1266" s="14"/>
      <c r="L1266" s="16"/>
      <c r="M1266" s="14"/>
      <c r="N1266" s="16"/>
      <c r="O1266" s="14"/>
      <c r="P1266" s="16"/>
      <c r="Q1266" s="14"/>
      <c r="R1266" s="5"/>
      <c r="S1266" s="14"/>
      <c r="T1266" s="16"/>
      <c r="U1266" s="16"/>
      <c r="V1266" s="17"/>
      <c r="W1266" s="6"/>
      <c r="X1266" s="22"/>
      <c r="Y1266" s="14"/>
      <c r="Z1266" s="14"/>
      <c r="AA1266" s="14"/>
      <c r="AB1266" s="14"/>
      <c r="AC1266" s="14"/>
      <c r="AD1266" s="14"/>
      <c r="AE1266" s="14"/>
      <c r="AF1266" s="14"/>
      <c r="AG1266" s="19"/>
      <c r="AH1266" s="20"/>
      <c r="AI1266" s="5"/>
      <c r="AJ1266" s="5"/>
      <c r="AK1266" s="5"/>
      <c r="AL1266" s="5"/>
      <c r="AM1266" s="5"/>
      <c r="AN1266" s="5"/>
      <c r="AO1266" s="5"/>
      <c r="AP1266" s="5"/>
      <c r="AQ1266" s="5"/>
      <c r="AR1266" s="5"/>
      <c r="AS1266" s="5"/>
      <c r="AT1266" s="5"/>
      <c r="AU1266" s="5"/>
      <c r="AV1266" s="5"/>
      <c r="AW1266" s="5"/>
      <c r="AX1266" s="5"/>
      <c r="AY1266" s="5"/>
      <c r="AZ1266" s="5"/>
      <c r="BA1266" s="5"/>
      <c r="BB1266" s="5"/>
      <c r="BC1266" s="5"/>
      <c r="BD1266" s="5"/>
      <c r="BE1266" s="5"/>
      <c r="BF1266" s="5"/>
      <c r="BG1266" s="5"/>
      <c r="BH1266" s="5"/>
      <c r="BI1266" s="5"/>
      <c r="BJ1266" s="5"/>
      <c r="BK1266" s="5"/>
      <c r="BL1266" s="5"/>
      <c r="BM1266" s="5"/>
    </row>
    <row r="1267" ht="15.75" customHeight="1">
      <c r="A1267" s="5"/>
      <c r="B1267" s="5"/>
      <c r="C1267" s="5"/>
      <c r="D1267" s="5"/>
      <c r="E1267" s="14"/>
      <c r="F1267" s="15"/>
      <c r="G1267" s="14"/>
      <c r="H1267" s="16"/>
      <c r="I1267" s="14"/>
      <c r="J1267" s="16"/>
      <c r="K1267" s="14"/>
      <c r="L1267" s="16"/>
      <c r="M1267" s="14"/>
      <c r="N1267" s="16"/>
      <c r="O1267" s="14"/>
      <c r="P1267" s="16"/>
      <c r="Q1267" s="14"/>
      <c r="R1267" s="5"/>
      <c r="S1267" s="14"/>
      <c r="T1267" s="16"/>
      <c r="U1267" s="16"/>
      <c r="V1267" s="17"/>
      <c r="W1267" s="6"/>
      <c r="X1267" s="22"/>
      <c r="Y1267" s="14"/>
      <c r="Z1267" s="14"/>
      <c r="AA1267" s="14"/>
      <c r="AB1267" s="14"/>
      <c r="AC1267" s="14"/>
      <c r="AD1267" s="14"/>
      <c r="AE1267" s="14"/>
      <c r="AF1267" s="14"/>
      <c r="AG1267" s="19"/>
      <c r="AH1267" s="20"/>
      <c r="AI1267" s="5"/>
      <c r="AJ1267" s="5"/>
      <c r="AK1267" s="5"/>
      <c r="AL1267" s="5"/>
      <c r="AM1267" s="5"/>
      <c r="AN1267" s="5"/>
      <c r="AO1267" s="5"/>
      <c r="AP1267" s="5"/>
      <c r="AQ1267" s="5"/>
      <c r="AR1267" s="5"/>
      <c r="AS1267" s="5"/>
      <c r="AT1267" s="5"/>
      <c r="AU1267" s="5"/>
      <c r="AV1267" s="5"/>
      <c r="AW1267" s="5"/>
      <c r="AX1267" s="5"/>
      <c r="AY1267" s="5"/>
      <c r="AZ1267" s="5"/>
      <c r="BA1267" s="5"/>
      <c r="BB1267" s="5"/>
      <c r="BC1267" s="5"/>
      <c r="BD1267" s="5"/>
      <c r="BE1267" s="5"/>
      <c r="BF1267" s="5"/>
      <c r="BG1267" s="5"/>
      <c r="BH1267" s="5"/>
      <c r="BI1267" s="5"/>
      <c r="BJ1267" s="5"/>
      <c r="BK1267" s="5"/>
      <c r="BL1267" s="5"/>
      <c r="BM1267" s="5"/>
    </row>
    <row r="1268" ht="15.75" customHeight="1">
      <c r="A1268" s="5"/>
      <c r="B1268" s="5"/>
      <c r="C1268" s="5"/>
      <c r="D1268" s="5"/>
      <c r="E1268" s="14"/>
      <c r="F1268" s="15"/>
      <c r="G1268" s="14"/>
      <c r="H1268" s="16"/>
      <c r="I1268" s="14"/>
      <c r="J1268" s="16"/>
      <c r="K1268" s="14"/>
      <c r="L1268" s="16"/>
      <c r="M1268" s="14"/>
      <c r="N1268" s="16"/>
      <c r="O1268" s="14"/>
      <c r="P1268" s="16"/>
      <c r="Q1268" s="14"/>
      <c r="R1268" s="5"/>
      <c r="S1268" s="14"/>
      <c r="T1268" s="16"/>
      <c r="U1268" s="16"/>
      <c r="V1268" s="17"/>
      <c r="W1268" s="6"/>
      <c r="X1268" s="22"/>
      <c r="Y1268" s="14"/>
      <c r="Z1268" s="14"/>
      <c r="AA1268" s="14"/>
      <c r="AB1268" s="14"/>
      <c r="AC1268" s="14"/>
      <c r="AD1268" s="14"/>
      <c r="AE1268" s="14"/>
      <c r="AF1268" s="14"/>
      <c r="AG1268" s="19"/>
      <c r="AH1268" s="20"/>
      <c r="AI1268" s="5"/>
      <c r="AJ1268" s="5"/>
      <c r="AK1268" s="5"/>
      <c r="AL1268" s="5"/>
      <c r="AM1268" s="5"/>
      <c r="AN1268" s="5"/>
      <c r="AO1268" s="5"/>
      <c r="AP1268" s="5"/>
      <c r="AQ1268" s="5"/>
      <c r="AR1268" s="5"/>
      <c r="AS1268" s="5"/>
      <c r="AT1268" s="5"/>
      <c r="AU1268" s="5"/>
      <c r="AV1268" s="5"/>
      <c r="AW1268" s="5"/>
      <c r="AX1268" s="5"/>
      <c r="AY1268" s="5"/>
      <c r="AZ1268" s="5"/>
      <c r="BA1268" s="5"/>
      <c r="BB1268" s="5"/>
      <c r="BC1268" s="5"/>
      <c r="BD1268" s="5"/>
      <c r="BE1268" s="5"/>
      <c r="BF1268" s="5"/>
      <c r="BG1268" s="5"/>
      <c r="BH1268" s="5"/>
      <c r="BI1268" s="5"/>
      <c r="BJ1268" s="5"/>
      <c r="BK1268" s="5"/>
      <c r="BL1268" s="5"/>
      <c r="BM1268" s="5"/>
    </row>
    <row r="1269" ht="15.75" customHeight="1">
      <c r="A1269" s="5"/>
      <c r="B1269" s="5"/>
      <c r="C1269" s="5"/>
      <c r="D1269" s="5"/>
      <c r="E1269" s="14"/>
      <c r="F1269" s="15"/>
      <c r="G1269" s="14"/>
      <c r="H1269" s="16"/>
      <c r="I1269" s="14"/>
      <c r="J1269" s="16"/>
      <c r="K1269" s="14"/>
      <c r="L1269" s="16"/>
      <c r="M1269" s="14"/>
      <c r="N1269" s="16"/>
      <c r="O1269" s="14"/>
      <c r="P1269" s="16"/>
      <c r="Q1269" s="14"/>
      <c r="R1269" s="5"/>
      <c r="S1269" s="14"/>
      <c r="T1269" s="16"/>
      <c r="U1269" s="16"/>
      <c r="V1269" s="17"/>
      <c r="W1269" s="6"/>
      <c r="X1269" s="22"/>
      <c r="Y1269" s="14"/>
      <c r="Z1269" s="14"/>
      <c r="AA1269" s="14"/>
      <c r="AB1269" s="14"/>
      <c r="AC1269" s="14"/>
      <c r="AD1269" s="14"/>
      <c r="AE1269" s="14"/>
      <c r="AF1269" s="14"/>
      <c r="AG1269" s="19"/>
      <c r="AH1269" s="20"/>
      <c r="AI1269" s="5"/>
      <c r="AJ1269" s="5"/>
      <c r="AK1269" s="5"/>
      <c r="AL1269" s="5"/>
      <c r="AM1269" s="5"/>
      <c r="AN1269" s="5"/>
      <c r="AO1269" s="5"/>
      <c r="AP1269" s="5"/>
      <c r="AQ1269" s="5"/>
      <c r="AR1269" s="5"/>
      <c r="AS1269" s="5"/>
      <c r="AT1269" s="5"/>
      <c r="AU1269" s="5"/>
      <c r="AV1269" s="5"/>
      <c r="AW1269" s="5"/>
      <c r="AX1269" s="5"/>
      <c r="AY1269" s="5"/>
      <c r="AZ1269" s="5"/>
      <c r="BA1269" s="5"/>
      <c r="BB1269" s="5"/>
      <c r="BC1269" s="5"/>
      <c r="BD1269" s="5"/>
      <c r="BE1269" s="5"/>
      <c r="BF1269" s="5"/>
      <c r="BG1269" s="5"/>
      <c r="BH1269" s="5"/>
      <c r="BI1269" s="5"/>
      <c r="BJ1269" s="5"/>
      <c r="BK1269" s="5"/>
      <c r="BL1269" s="5"/>
      <c r="BM1269" s="5"/>
    </row>
    <row r="1270" ht="15.75" customHeight="1">
      <c r="A1270" s="5"/>
      <c r="B1270" s="5"/>
      <c r="C1270" s="5"/>
      <c r="D1270" s="5"/>
      <c r="E1270" s="14"/>
      <c r="F1270" s="15"/>
      <c r="G1270" s="14"/>
      <c r="H1270" s="16"/>
      <c r="I1270" s="14"/>
      <c r="J1270" s="16"/>
      <c r="K1270" s="14"/>
      <c r="L1270" s="16"/>
      <c r="M1270" s="14"/>
      <c r="N1270" s="16"/>
      <c r="O1270" s="14"/>
      <c r="P1270" s="16"/>
      <c r="Q1270" s="14"/>
      <c r="R1270" s="5"/>
      <c r="S1270" s="14"/>
      <c r="T1270" s="16"/>
      <c r="U1270" s="16"/>
      <c r="V1270" s="17"/>
      <c r="W1270" s="6"/>
      <c r="X1270" s="22"/>
      <c r="Y1270" s="14"/>
      <c r="Z1270" s="14"/>
      <c r="AA1270" s="14"/>
      <c r="AB1270" s="14"/>
      <c r="AC1270" s="14"/>
      <c r="AD1270" s="14"/>
      <c r="AE1270" s="14"/>
      <c r="AF1270" s="14"/>
      <c r="AG1270" s="19"/>
      <c r="AH1270" s="20"/>
      <c r="AI1270" s="5"/>
      <c r="AJ1270" s="5"/>
      <c r="AK1270" s="5"/>
      <c r="AL1270" s="5"/>
      <c r="AM1270" s="5"/>
      <c r="AN1270" s="5"/>
      <c r="AO1270" s="5"/>
      <c r="AP1270" s="5"/>
      <c r="AQ1270" s="5"/>
      <c r="AR1270" s="5"/>
      <c r="AS1270" s="5"/>
      <c r="AT1270" s="5"/>
      <c r="AU1270" s="5"/>
      <c r="AV1270" s="5"/>
      <c r="AW1270" s="5"/>
      <c r="AX1270" s="5"/>
      <c r="AY1270" s="5"/>
      <c r="AZ1270" s="5"/>
      <c r="BA1270" s="5"/>
      <c r="BB1270" s="5"/>
      <c r="BC1270" s="5"/>
      <c r="BD1270" s="5"/>
      <c r="BE1270" s="5"/>
      <c r="BF1270" s="5"/>
      <c r="BG1270" s="5"/>
      <c r="BH1270" s="5"/>
      <c r="BI1270" s="5"/>
      <c r="BJ1270" s="5"/>
      <c r="BK1270" s="5"/>
      <c r="BL1270" s="5"/>
      <c r="BM1270" s="5"/>
    </row>
    <row r="1271" ht="15.75" customHeight="1">
      <c r="A1271" s="5"/>
      <c r="B1271" s="5"/>
      <c r="C1271" s="5"/>
      <c r="D1271" s="5"/>
      <c r="E1271" s="14"/>
      <c r="F1271" s="15"/>
      <c r="G1271" s="14"/>
      <c r="H1271" s="16"/>
      <c r="I1271" s="14"/>
      <c r="J1271" s="16"/>
      <c r="K1271" s="14"/>
      <c r="L1271" s="16"/>
      <c r="M1271" s="14"/>
      <c r="N1271" s="16"/>
      <c r="O1271" s="14"/>
      <c r="P1271" s="16"/>
      <c r="Q1271" s="14"/>
      <c r="R1271" s="5"/>
      <c r="S1271" s="14"/>
      <c r="T1271" s="16"/>
      <c r="U1271" s="16"/>
      <c r="V1271" s="17"/>
      <c r="W1271" s="6"/>
      <c r="X1271" s="22"/>
      <c r="Y1271" s="14"/>
      <c r="Z1271" s="14"/>
      <c r="AA1271" s="14"/>
      <c r="AB1271" s="14"/>
      <c r="AC1271" s="14"/>
      <c r="AD1271" s="14"/>
      <c r="AE1271" s="14"/>
      <c r="AF1271" s="14"/>
      <c r="AG1271" s="19"/>
      <c r="AH1271" s="20"/>
      <c r="AI1271" s="5"/>
      <c r="AJ1271" s="5"/>
      <c r="AK1271" s="5"/>
      <c r="AL1271" s="5"/>
      <c r="AM1271" s="5"/>
      <c r="AN1271" s="5"/>
      <c r="AO1271" s="5"/>
      <c r="AP1271" s="5"/>
      <c r="AQ1271" s="5"/>
      <c r="AR1271" s="5"/>
      <c r="AS1271" s="5"/>
      <c r="AT1271" s="5"/>
      <c r="AU1271" s="5"/>
      <c r="AV1271" s="5"/>
      <c r="AW1271" s="5"/>
      <c r="AX1271" s="5"/>
      <c r="AY1271" s="5"/>
      <c r="AZ1271" s="5"/>
      <c r="BA1271" s="5"/>
      <c r="BB1271" s="5"/>
      <c r="BC1271" s="5"/>
      <c r="BD1271" s="5"/>
      <c r="BE1271" s="5"/>
      <c r="BF1271" s="5"/>
      <c r="BG1271" s="5"/>
      <c r="BH1271" s="5"/>
      <c r="BI1271" s="5"/>
      <c r="BJ1271" s="5"/>
      <c r="BK1271" s="5"/>
      <c r="BL1271" s="5"/>
      <c r="BM1271" s="5"/>
    </row>
    <row r="1272" ht="15.75" customHeight="1">
      <c r="A1272" s="5"/>
      <c r="B1272" s="5"/>
      <c r="C1272" s="5"/>
      <c r="D1272" s="5"/>
      <c r="E1272" s="14"/>
      <c r="F1272" s="15"/>
      <c r="G1272" s="14"/>
      <c r="H1272" s="16"/>
      <c r="I1272" s="14"/>
      <c r="J1272" s="16"/>
      <c r="K1272" s="14"/>
      <c r="L1272" s="16"/>
      <c r="M1272" s="14"/>
      <c r="N1272" s="16"/>
      <c r="O1272" s="14"/>
      <c r="P1272" s="16"/>
      <c r="Q1272" s="14"/>
      <c r="R1272" s="5"/>
      <c r="S1272" s="14"/>
      <c r="T1272" s="16"/>
      <c r="U1272" s="16"/>
      <c r="V1272" s="17"/>
      <c r="W1272" s="6"/>
      <c r="X1272" s="22"/>
      <c r="Y1272" s="14"/>
      <c r="Z1272" s="14"/>
      <c r="AA1272" s="14"/>
      <c r="AB1272" s="14"/>
      <c r="AC1272" s="14"/>
      <c r="AD1272" s="14"/>
      <c r="AE1272" s="14"/>
      <c r="AF1272" s="14"/>
      <c r="AG1272" s="19"/>
      <c r="AH1272" s="20"/>
      <c r="AI1272" s="5"/>
      <c r="AJ1272" s="5"/>
      <c r="AK1272" s="5"/>
      <c r="AL1272" s="5"/>
      <c r="AM1272" s="5"/>
      <c r="AN1272" s="5"/>
      <c r="AO1272" s="5"/>
      <c r="AP1272" s="5"/>
      <c r="AQ1272" s="5"/>
      <c r="AR1272" s="5"/>
      <c r="AS1272" s="5"/>
      <c r="AT1272" s="5"/>
      <c r="AU1272" s="5"/>
      <c r="AV1272" s="5"/>
      <c r="AW1272" s="5"/>
      <c r="AX1272" s="5"/>
      <c r="AY1272" s="5"/>
      <c r="AZ1272" s="5"/>
      <c r="BA1272" s="5"/>
      <c r="BB1272" s="5"/>
      <c r="BC1272" s="5"/>
      <c r="BD1272" s="5"/>
      <c r="BE1272" s="5"/>
      <c r="BF1272" s="5"/>
      <c r="BG1272" s="5"/>
      <c r="BH1272" s="5"/>
      <c r="BI1272" s="5"/>
      <c r="BJ1272" s="5"/>
      <c r="BK1272" s="5"/>
      <c r="BL1272" s="5"/>
      <c r="BM1272" s="5"/>
    </row>
    <row r="1273" ht="15.75" customHeight="1">
      <c r="A1273" s="5"/>
      <c r="B1273" s="5"/>
      <c r="C1273" s="5"/>
      <c r="D1273" s="5"/>
      <c r="E1273" s="14"/>
      <c r="F1273" s="15"/>
      <c r="G1273" s="14"/>
      <c r="H1273" s="16"/>
      <c r="I1273" s="14"/>
      <c r="J1273" s="16"/>
      <c r="K1273" s="14"/>
      <c r="L1273" s="16"/>
      <c r="M1273" s="14"/>
      <c r="N1273" s="16"/>
      <c r="O1273" s="14"/>
      <c r="P1273" s="16"/>
      <c r="Q1273" s="14"/>
      <c r="R1273" s="5"/>
      <c r="S1273" s="14"/>
      <c r="T1273" s="16"/>
      <c r="U1273" s="16"/>
      <c r="V1273" s="17"/>
      <c r="W1273" s="6"/>
      <c r="X1273" s="22"/>
      <c r="Y1273" s="14"/>
      <c r="Z1273" s="14"/>
      <c r="AA1273" s="14"/>
      <c r="AB1273" s="14"/>
      <c r="AC1273" s="14"/>
      <c r="AD1273" s="14"/>
      <c r="AE1273" s="14"/>
      <c r="AF1273" s="14"/>
      <c r="AG1273" s="19"/>
      <c r="AH1273" s="20"/>
      <c r="AI1273" s="5"/>
      <c r="AJ1273" s="5"/>
      <c r="AK1273" s="5"/>
      <c r="AL1273" s="5"/>
      <c r="AM1273" s="5"/>
      <c r="AN1273" s="5"/>
      <c r="AO1273" s="5"/>
      <c r="AP1273" s="5"/>
      <c r="AQ1273" s="5"/>
      <c r="AR1273" s="5"/>
      <c r="AS1273" s="5"/>
      <c r="AT1273" s="5"/>
      <c r="AU1273" s="5"/>
      <c r="AV1273" s="5"/>
      <c r="AW1273" s="5"/>
      <c r="AX1273" s="5"/>
      <c r="AY1273" s="5"/>
      <c r="AZ1273" s="5"/>
      <c r="BA1273" s="5"/>
      <c r="BB1273" s="5"/>
      <c r="BC1273" s="5"/>
      <c r="BD1273" s="5"/>
      <c r="BE1273" s="5"/>
      <c r="BF1273" s="5"/>
      <c r="BG1273" s="5"/>
      <c r="BH1273" s="5"/>
      <c r="BI1273" s="5"/>
      <c r="BJ1273" s="5"/>
      <c r="BK1273" s="5"/>
      <c r="BL1273" s="5"/>
      <c r="BM1273" s="5"/>
    </row>
    <row r="1274" ht="15.75" customHeight="1">
      <c r="A1274" s="5"/>
      <c r="B1274" s="5"/>
      <c r="C1274" s="5"/>
      <c r="D1274" s="5"/>
      <c r="E1274" s="14"/>
      <c r="F1274" s="15"/>
      <c r="G1274" s="14"/>
      <c r="H1274" s="16"/>
      <c r="I1274" s="14"/>
      <c r="J1274" s="16"/>
      <c r="K1274" s="14"/>
      <c r="L1274" s="16"/>
      <c r="M1274" s="14"/>
      <c r="N1274" s="16"/>
      <c r="O1274" s="14"/>
      <c r="P1274" s="16"/>
      <c r="Q1274" s="14"/>
      <c r="R1274" s="5"/>
      <c r="S1274" s="14"/>
      <c r="T1274" s="16"/>
      <c r="U1274" s="16"/>
      <c r="V1274" s="17"/>
      <c r="W1274" s="6"/>
      <c r="X1274" s="22"/>
      <c r="Y1274" s="14"/>
      <c r="Z1274" s="14"/>
      <c r="AA1274" s="14"/>
      <c r="AB1274" s="14"/>
      <c r="AC1274" s="14"/>
      <c r="AD1274" s="14"/>
      <c r="AE1274" s="14"/>
      <c r="AF1274" s="14"/>
      <c r="AG1274" s="19"/>
      <c r="AH1274" s="20"/>
      <c r="AI1274" s="5"/>
      <c r="AJ1274" s="5"/>
      <c r="AK1274" s="5"/>
      <c r="AL1274" s="5"/>
      <c r="AM1274" s="5"/>
      <c r="AN1274" s="5"/>
      <c r="AO1274" s="5"/>
      <c r="AP1274" s="5"/>
      <c r="AQ1274" s="5"/>
      <c r="AR1274" s="5"/>
      <c r="AS1274" s="5"/>
      <c r="AT1274" s="5"/>
      <c r="AU1274" s="5"/>
      <c r="AV1274" s="5"/>
      <c r="AW1274" s="5"/>
      <c r="AX1274" s="5"/>
      <c r="AY1274" s="5"/>
      <c r="AZ1274" s="5"/>
      <c r="BA1274" s="5"/>
      <c r="BB1274" s="5"/>
      <c r="BC1274" s="5"/>
      <c r="BD1274" s="5"/>
      <c r="BE1274" s="5"/>
      <c r="BF1274" s="5"/>
      <c r="BG1274" s="5"/>
      <c r="BH1274" s="5"/>
      <c r="BI1274" s="5"/>
      <c r="BJ1274" s="5"/>
      <c r="BK1274" s="5"/>
      <c r="BL1274" s="5"/>
      <c r="BM1274" s="5"/>
    </row>
    <row r="1275" ht="15.75" customHeight="1">
      <c r="A1275" s="5"/>
      <c r="B1275" s="5"/>
      <c r="C1275" s="5"/>
      <c r="D1275" s="5"/>
      <c r="E1275" s="14"/>
      <c r="F1275" s="15"/>
      <c r="G1275" s="14"/>
      <c r="H1275" s="16"/>
      <c r="I1275" s="14"/>
      <c r="J1275" s="16"/>
      <c r="K1275" s="14"/>
      <c r="L1275" s="16"/>
      <c r="M1275" s="14"/>
      <c r="N1275" s="16"/>
      <c r="O1275" s="14"/>
      <c r="P1275" s="16"/>
      <c r="Q1275" s="14"/>
      <c r="R1275" s="5"/>
      <c r="S1275" s="14"/>
      <c r="T1275" s="16"/>
      <c r="U1275" s="16"/>
      <c r="V1275" s="17"/>
      <c r="W1275" s="6"/>
      <c r="X1275" s="22"/>
      <c r="Y1275" s="14"/>
      <c r="Z1275" s="14"/>
      <c r="AA1275" s="14"/>
      <c r="AB1275" s="14"/>
      <c r="AC1275" s="14"/>
      <c r="AD1275" s="14"/>
      <c r="AE1275" s="14"/>
      <c r="AF1275" s="14"/>
      <c r="AG1275" s="19"/>
      <c r="AH1275" s="20"/>
      <c r="AI1275" s="5"/>
      <c r="AJ1275" s="5"/>
      <c r="AK1275" s="5"/>
      <c r="AL1275" s="5"/>
      <c r="AM1275" s="5"/>
      <c r="AN1275" s="5"/>
      <c r="AO1275" s="5"/>
      <c r="AP1275" s="5"/>
      <c r="AQ1275" s="5"/>
      <c r="AR1275" s="5"/>
      <c r="AS1275" s="5"/>
      <c r="AT1275" s="5"/>
      <c r="AU1275" s="5"/>
      <c r="AV1275" s="5"/>
      <c r="AW1275" s="5"/>
      <c r="AX1275" s="5"/>
      <c r="AY1275" s="5"/>
      <c r="AZ1275" s="5"/>
      <c r="BA1275" s="5"/>
      <c r="BB1275" s="5"/>
      <c r="BC1275" s="5"/>
      <c r="BD1275" s="5"/>
      <c r="BE1275" s="5"/>
      <c r="BF1275" s="5"/>
      <c r="BG1275" s="5"/>
      <c r="BH1275" s="5"/>
      <c r="BI1275" s="5"/>
      <c r="BJ1275" s="5"/>
      <c r="BK1275" s="5"/>
      <c r="BL1275" s="5"/>
      <c r="BM1275" s="5"/>
    </row>
    <row r="1276" ht="15.75" customHeight="1">
      <c r="A1276" s="5"/>
      <c r="B1276" s="5"/>
      <c r="C1276" s="5"/>
      <c r="D1276" s="5"/>
      <c r="E1276" s="14"/>
      <c r="F1276" s="15"/>
      <c r="G1276" s="14"/>
      <c r="H1276" s="16"/>
      <c r="I1276" s="14"/>
      <c r="J1276" s="16"/>
      <c r="K1276" s="14"/>
      <c r="L1276" s="16"/>
      <c r="M1276" s="14"/>
      <c r="N1276" s="16"/>
      <c r="O1276" s="14"/>
      <c r="P1276" s="16"/>
      <c r="Q1276" s="14"/>
      <c r="R1276" s="5"/>
      <c r="S1276" s="14"/>
      <c r="T1276" s="16"/>
      <c r="U1276" s="16"/>
      <c r="V1276" s="17"/>
      <c r="W1276" s="6"/>
      <c r="X1276" s="22"/>
      <c r="Y1276" s="14"/>
      <c r="Z1276" s="14"/>
      <c r="AA1276" s="14"/>
      <c r="AB1276" s="14"/>
      <c r="AC1276" s="14"/>
      <c r="AD1276" s="14"/>
      <c r="AE1276" s="14"/>
      <c r="AF1276" s="14"/>
      <c r="AG1276" s="19"/>
      <c r="AH1276" s="20"/>
      <c r="AI1276" s="5"/>
      <c r="AJ1276" s="5"/>
      <c r="AK1276" s="5"/>
      <c r="AL1276" s="5"/>
      <c r="AM1276" s="5"/>
      <c r="AN1276" s="5"/>
      <c r="AO1276" s="5"/>
      <c r="AP1276" s="5"/>
      <c r="AQ1276" s="5"/>
      <c r="AR1276" s="5"/>
      <c r="AS1276" s="5"/>
      <c r="AT1276" s="5"/>
      <c r="AU1276" s="5"/>
      <c r="AV1276" s="5"/>
      <c r="AW1276" s="5"/>
      <c r="AX1276" s="5"/>
      <c r="AY1276" s="5"/>
      <c r="AZ1276" s="5"/>
      <c r="BA1276" s="5"/>
      <c r="BB1276" s="5"/>
      <c r="BC1276" s="5"/>
      <c r="BD1276" s="5"/>
      <c r="BE1276" s="5"/>
      <c r="BF1276" s="5"/>
      <c r="BG1276" s="5"/>
      <c r="BH1276" s="5"/>
      <c r="BI1276" s="5"/>
      <c r="BJ1276" s="5"/>
      <c r="BK1276" s="5"/>
      <c r="BL1276" s="5"/>
      <c r="BM1276" s="5"/>
    </row>
    <row r="1277" ht="15.75" customHeight="1">
      <c r="A1277" s="5"/>
      <c r="B1277" s="5"/>
      <c r="C1277" s="5"/>
      <c r="D1277" s="5"/>
      <c r="E1277" s="14"/>
      <c r="F1277" s="15"/>
      <c r="G1277" s="14"/>
      <c r="H1277" s="16"/>
      <c r="I1277" s="14"/>
      <c r="J1277" s="16"/>
      <c r="K1277" s="14"/>
      <c r="L1277" s="16"/>
      <c r="M1277" s="14"/>
      <c r="N1277" s="16"/>
      <c r="O1277" s="14"/>
      <c r="P1277" s="16"/>
      <c r="Q1277" s="14"/>
      <c r="R1277" s="5"/>
      <c r="S1277" s="14"/>
      <c r="T1277" s="16"/>
      <c r="U1277" s="16"/>
      <c r="V1277" s="17"/>
      <c r="W1277" s="6"/>
      <c r="X1277" s="22"/>
      <c r="Y1277" s="14"/>
      <c r="Z1277" s="14"/>
      <c r="AA1277" s="14"/>
      <c r="AB1277" s="14"/>
      <c r="AC1277" s="14"/>
      <c r="AD1277" s="14"/>
      <c r="AE1277" s="14"/>
      <c r="AF1277" s="14"/>
      <c r="AG1277" s="19"/>
      <c r="AH1277" s="20"/>
      <c r="AI1277" s="5"/>
      <c r="AJ1277" s="5"/>
      <c r="AK1277" s="5"/>
      <c r="AL1277" s="5"/>
      <c r="AM1277" s="5"/>
      <c r="AN1277" s="5"/>
      <c r="AO1277" s="5"/>
      <c r="AP1277" s="5"/>
      <c r="AQ1277" s="5"/>
      <c r="AR1277" s="5"/>
      <c r="AS1277" s="5"/>
      <c r="AT1277" s="5"/>
      <c r="AU1277" s="5"/>
      <c r="AV1277" s="5"/>
      <c r="AW1277" s="5"/>
      <c r="AX1277" s="5"/>
      <c r="AY1277" s="5"/>
      <c r="AZ1277" s="5"/>
      <c r="BA1277" s="5"/>
      <c r="BB1277" s="5"/>
      <c r="BC1277" s="5"/>
      <c r="BD1277" s="5"/>
      <c r="BE1277" s="5"/>
      <c r="BF1277" s="5"/>
      <c r="BG1277" s="5"/>
      <c r="BH1277" s="5"/>
      <c r="BI1277" s="5"/>
      <c r="BJ1277" s="5"/>
      <c r="BK1277" s="5"/>
      <c r="BL1277" s="5"/>
      <c r="BM1277" s="5"/>
    </row>
    <row r="1278" ht="15.75" customHeight="1">
      <c r="A1278" s="5"/>
      <c r="B1278" s="5"/>
      <c r="C1278" s="5"/>
      <c r="D1278" s="5"/>
      <c r="E1278" s="14"/>
      <c r="F1278" s="15"/>
      <c r="G1278" s="14"/>
      <c r="H1278" s="16"/>
      <c r="I1278" s="14"/>
      <c r="J1278" s="16"/>
      <c r="K1278" s="14"/>
      <c r="L1278" s="16"/>
      <c r="M1278" s="14"/>
      <c r="N1278" s="16"/>
      <c r="O1278" s="14"/>
      <c r="P1278" s="16"/>
      <c r="Q1278" s="14"/>
      <c r="R1278" s="5"/>
      <c r="S1278" s="14"/>
      <c r="T1278" s="16"/>
      <c r="U1278" s="16"/>
      <c r="V1278" s="17"/>
      <c r="W1278" s="6"/>
      <c r="X1278" s="22"/>
      <c r="Y1278" s="14"/>
      <c r="Z1278" s="14"/>
      <c r="AA1278" s="14"/>
      <c r="AB1278" s="14"/>
      <c r="AC1278" s="14"/>
      <c r="AD1278" s="14"/>
      <c r="AE1278" s="14"/>
      <c r="AF1278" s="14"/>
      <c r="AG1278" s="19"/>
      <c r="AH1278" s="20"/>
      <c r="AI1278" s="5"/>
      <c r="AJ1278" s="5"/>
      <c r="AK1278" s="5"/>
      <c r="AL1278" s="5"/>
      <c r="AM1278" s="5"/>
      <c r="AN1278" s="5"/>
      <c r="AO1278" s="5"/>
      <c r="AP1278" s="5"/>
      <c r="AQ1278" s="5"/>
      <c r="AR1278" s="5"/>
      <c r="AS1278" s="5"/>
      <c r="AT1278" s="5"/>
      <c r="AU1278" s="5"/>
      <c r="AV1278" s="5"/>
      <c r="AW1278" s="5"/>
      <c r="AX1278" s="5"/>
      <c r="AY1278" s="5"/>
      <c r="AZ1278" s="5"/>
      <c r="BA1278" s="5"/>
      <c r="BB1278" s="5"/>
      <c r="BC1278" s="5"/>
      <c r="BD1278" s="5"/>
      <c r="BE1278" s="5"/>
      <c r="BF1278" s="5"/>
      <c r="BG1278" s="5"/>
      <c r="BH1278" s="5"/>
      <c r="BI1278" s="5"/>
      <c r="BJ1278" s="5"/>
      <c r="BK1278" s="5"/>
      <c r="BL1278" s="5"/>
      <c r="BM1278" s="5"/>
    </row>
    <row r="1279" ht="15.75" customHeight="1">
      <c r="A1279" s="5"/>
      <c r="B1279" s="5"/>
      <c r="C1279" s="5"/>
      <c r="D1279" s="5"/>
      <c r="E1279" s="14"/>
      <c r="F1279" s="15"/>
      <c r="G1279" s="14"/>
      <c r="H1279" s="16"/>
      <c r="I1279" s="14"/>
      <c r="J1279" s="16"/>
      <c r="K1279" s="14"/>
      <c r="L1279" s="16"/>
      <c r="M1279" s="14"/>
      <c r="N1279" s="16"/>
      <c r="O1279" s="14"/>
      <c r="P1279" s="16"/>
      <c r="Q1279" s="14"/>
      <c r="R1279" s="5"/>
      <c r="S1279" s="14"/>
      <c r="T1279" s="16"/>
      <c r="U1279" s="16"/>
      <c r="V1279" s="17"/>
      <c r="W1279" s="6"/>
      <c r="X1279" s="22"/>
      <c r="Y1279" s="14"/>
      <c r="Z1279" s="14"/>
      <c r="AA1279" s="14"/>
      <c r="AB1279" s="14"/>
      <c r="AC1279" s="14"/>
      <c r="AD1279" s="14"/>
      <c r="AE1279" s="14"/>
      <c r="AF1279" s="14"/>
      <c r="AG1279" s="19"/>
      <c r="AH1279" s="20"/>
      <c r="AI1279" s="5"/>
      <c r="AJ1279" s="5"/>
      <c r="AK1279" s="5"/>
      <c r="AL1279" s="5"/>
      <c r="AM1279" s="5"/>
      <c r="AN1279" s="5"/>
      <c r="AO1279" s="5"/>
      <c r="AP1279" s="5"/>
      <c r="AQ1279" s="5"/>
      <c r="AR1279" s="5"/>
      <c r="AS1279" s="5"/>
      <c r="AT1279" s="5"/>
      <c r="AU1279" s="5"/>
      <c r="AV1279" s="5"/>
      <c r="AW1279" s="5"/>
      <c r="AX1279" s="5"/>
      <c r="AY1279" s="5"/>
      <c r="AZ1279" s="5"/>
      <c r="BA1279" s="5"/>
      <c r="BB1279" s="5"/>
      <c r="BC1279" s="5"/>
      <c r="BD1279" s="5"/>
      <c r="BE1279" s="5"/>
      <c r="BF1279" s="5"/>
      <c r="BG1279" s="5"/>
      <c r="BH1279" s="5"/>
      <c r="BI1279" s="5"/>
      <c r="BJ1279" s="5"/>
      <c r="BK1279" s="5"/>
      <c r="BL1279" s="5"/>
      <c r="BM1279" s="5"/>
    </row>
    <row r="1280" ht="15.75" customHeight="1">
      <c r="A1280" s="5"/>
      <c r="B1280" s="5"/>
      <c r="C1280" s="5"/>
      <c r="D1280" s="5"/>
      <c r="E1280" s="14"/>
      <c r="F1280" s="15"/>
      <c r="G1280" s="14"/>
      <c r="H1280" s="16"/>
      <c r="I1280" s="14"/>
      <c r="J1280" s="16"/>
      <c r="K1280" s="14"/>
      <c r="L1280" s="16"/>
      <c r="M1280" s="14"/>
      <c r="N1280" s="16"/>
      <c r="O1280" s="14"/>
      <c r="P1280" s="16"/>
      <c r="Q1280" s="14"/>
      <c r="R1280" s="5"/>
      <c r="S1280" s="14"/>
      <c r="T1280" s="16"/>
      <c r="U1280" s="16"/>
      <c r="V1280" s="17"/>
      <c r="W1280" s="6"/>
      <c r="X1280" s="22"/>
      <c r="Y1280" s="14"/>
      <c r="Z1280" s="14"/>
      <c r="AA1280" s="14"/>
      <c r="AB1280" s="14"/>
      <c r="AC1280" s="14"/>
      <c r="AD1280" s="14"/>
      <c r="AE1280" s="14"/>
      <c r="AF1280" s="14"/>
      <c r="AG1280" s="19"/>
      <c r="AH1280" s="20"/>
      <c r="AI1280" s="5"/>
      <c r="AJ1280" s="5"/>
      <c r="AK1280" s="5"/>
      <c r="AL1280" s="5"/>
      <c r="AM1280" s="5"/>
      <c r="AN1280" s="5"/>
      <c r="AO1280" s="5"/>
      <c r="AP1280" s="5"/>
      <c r="AQ1280" s="5"/>
      <c r="AR1280" s="5"/>
      <c r="AS1280" s="5"/>
      <c r="AT1280" s="5"/>
      <c r="AU1280" s="5"/>
      <c r="AV1280" s="5"/>
      <c r="AW1280" s="5"/>
      <c r="AX1280" s="5"/>
      <c r="AY1280" s="5"/>
      <c r="AZ1280" s="5"/>
      <c r="BA1280" s="5"/>
      <c r="BB1280" s="5"/>
      <c r="BC1280" s="5"/>
      <c r="BD1280" s="5"/>
      <c r="BE1280" s="5"/>
      <c r="BF1280" s="5"/>
      <c r="BG1280" s="5"/>
      <c r="BH1280" s="5"/>
      <c r="BI1280" s="5"/>
      <c r="BJ1280" s="5"/>
      <c r="BK1280" s="5"/>
      <c r="BL1280" s="5"/>
      <c r="BM1280" s="5"/>
    </row>
    <row r="1281" ht="15.75" customHeight="1">
      <c r="A1281" s="5"/>
      <c r="B1281" s="5"/>
      <c r="C1281" s="5"/>
      <c r="D1281" s="5"/>
      <c r="E1281" s="14"/>
      <c r="F1281" s="15"/>
      <c r="G1281" s="14"/>
      <c r="H1281" s="16"/>
      <c r="I1281" s="14"/>
      <c r="J1281" s="16"/>
      <c r="K1281" s="14"/>
      <c r="L1281" s="16"/>
      <c r="M1281" s="14"/>
      <c r="N1281" s="16"/>
      <c r="O1281" s="14"/>
      <c r="P1281" s="16"/>
      <c r="Q1281" s="14"/>
      <c r="R1281" s="5"/>
      <c r="S1281" s="14"/>
      <c r="T1281" s="16"/>
      <c r="U1281" s="16"/>
      <c r="V1281" s="17"/>
      <c r="W1281" s="6"/>
      <c r="X1281" s="22"/>
      <c r="Y1281" s="14"/>
      <c r="Z1281" s="14"/>
      <c r="AA1281" s="14"/>
      <c r="AB1281" s="14"/>
      <c r="AC1281" s="14"/>
      <c r="AD1281" s="14"/>
      <c r="AE1281" s="14"/>
      <c r="AF1281" s="14"/>
      <c r="AG1281" s="19"/>
      <c r="AH1281" s="20"/>
      <c r="AI1281" s="5"/>
      <c r="AJ1281" s="5"/>
      <c r="AK1281" s="5"/>
      <c r="AL1281" s="5"/>
      <c r="AM1281" s="5"/>
      <c r="AN1281" s="5"/>
      <c r="AO1281" s="5"/>
      <c r="AP1281" s="5"/>
      <c r="AQ1281" s="5"/>
      <c r="AR1281" s="5"/>
      <c r="AS1281" s="5"/>
      <c r="AT1281" s="5"/>
      <c r="AU1281" s="5"/>
      <c r="AV1281" s="5"/>
      <c r="AW1281" s="5"/>
      <c r="AX1281" s="5"/>
      <c r="AY1281" s="5"/>
      <c r="AZ1281" s="5"/>
      <c r="BA1281" s="5"/>
      <c r="BB1281" s="5"/>
      <c r="BC1281" s="5"/>
      <c r="BD1281" s="5"/>
      <c r="BE1281" s="5"/>
      <c r="BF1281" s="5"/>
      <c r="BG1281" s="5"/>
      <c r="BH1281" s="5"/>
      <c r="BI1281" s="5"/>
      <c r="BJ1281" s="5"/>
      <c r="BK1281" s="5"/>
      <c r="BL1281" s="5"/>
      <c r="BM1281" s="5"/>
    </row>
    <row r="1282" ht="15.75" customHeight="1">
      <c r="A1282" s="5"/>
      <c r="B1282" s="5"/>
      <c r="C1282" s="5"/>
      <c r="D1282" s="5"/>
      <c r="E1282" s="14"/>
      <c r="F1282" s="15"/>
      <c r="G1282" s="14"/>
      <c r="H1282" s="16"/>
      <c r="I1282" s="14"/>
      <c r="J1282" s="16"/>
      <c r="K1282" s="14"/>
      <c r="L1282" s="16"/>
      <c r="M1282" s="14"/>
      <c r="N1282" s="16"/>
      <c r="O1282" s="14"/>
      <c r="P1282" s="16"/>
      <c r="Q1282" s="14"/>
      <c r="R1282" s="5"/>
      <c r="S1282" s="14"/>
      <c r="T1282" s="16"/>
      <c r="U1282" s="16"/>
      <c r="V1282" s="17"/>
      <c r="W1282" s="6"/>
      <c r="X1282" s="22"/>
      <c r="Y1282" s="14"/>
      <c r="Z1282" s="14"/>
      <c r="AA1282" s="14"/>
      <c r="AB1282" s="14"/>
      <c r="AC1282" s="14"/>
      <c r="AD1282" s="14"/>
      <c r="AE1282" s="14"/>
      <c r="AF1282" s="14"/>
      <c r="AG1282" s="19"/>
      <c r="AH1282" s="20"/>
      <c r="AI1282" s="5"/>
      <c r="AJ1282" s="5"/>
      <c r="AK1282" s="5"/>
      <c r="AL1282" s="5"/>
      <c r="AM1282" s="5"/>
      <c r="AN1282" s="5"/>
      <c r="AO1282" s="5"/>
      <c r="AP1282" s="5"/>
      <c r="AQ1282" s="5"/>
      <c r="AR1282" s="5"/>
      <c r="AS1282" s="5"/>
      <c r="AT1282" s="5"/>
      <c r="AU1282" s="5"/>
      <c r="AV1282" s="5"/>
      <c r="AW1282" s="5"/>
      <c r="AX1282" s="5"/>
      <c r="AY1282" s="5"/>
      <c r="AZ1282" s="5"/>
      <c r="BA1282" s="5"/>
      <c r="BB1282" s="5"/>
      <c r="BC1282" s="5"/>
      <c r="BD1282" s="5"/>
      <c r="BE1282" s="5"/>
      <c r="BF1282" s="5"/>
      <c r="BG1282" s="5"/>
      <c r="BH1282" s="5"/>
      <c r="BI1282" s="5"/>
      <c r="BJ1282" s="5"/>
      <c r="BK1282" s="5"/>
      <c r="BL1282" s="5"/>
      <c r="BM1282" s="5"/>
    </row>
    <row r="1283" ht="15.75" customHeight="1">
      <c r="A1283" s="5"/>
      <c r="B1283" s="5"/>
      <c r="C1283" s="5"/>
      <c r="D1283" s="5"/>
      <c r="E1283" s="14"/>
      <c r="F1283" s="15"/>
      <c r="G1283" s="14"/>
      <c r="H1283" s="16"/>
      <c r="I1283" s="14"/>
      <c r="J1283" s="16"/>
      <c r="K1283" s="14"/>
      <c r="L1283" s="16"/>
      <c r="M1283" s="14"/>
      <c r="N1283" s="16"/>
      <c r="O1283" s="14"/>
      <c r="P1283" s="16"/>
      <c r="Q1283" s="14"/>
      <c r="R1283" s="5"/>
      <c r="S1283" s="14"/>
      <c r="T1283" s="16"/>
      <c r="U1283" s="16"/>
      <c r="V1283" s="17"/>
      <c r="W1283" s="6"/>
      <c r="X1283" s="22"/>
      <c r="Y1283" s="14"/>
      <c r="Z1283" s="14"/>
      <c r="AA1283" s="14"/>
      <c r="AB1283" s="14"/>
      <c r="AC1283" s="14"/>
      <c r="AD1283" s="14"/>
      <c r="AE1283" s="14"/>
      <c r="AF1283" s="14"/>
      <c r="AG1283" s="19"/>
      <c r="AH1283" s="20"/>
      <c r="AI1283" s="5"/>
      <c r="AJ1283" s="5"/>
      <c r="AK1283" s="5"/>
      <c r="AL1283" s="5"/>
      <c r="AM1283" s="5"/>
      <c r="AN1283" s="5"/>
      <c r="AO1283" s="5"/>
      <c r="AP1283" s="5"/>
      <c r="AQ1283" s="5"/>
      <c r="AR1283" s="5"/>
      <c r="AS1283" s="5"/>
      <c r="AT1283" s="5"/>
      <c r="AU1283" s="5"/>
      <c r="AV1283" s="5"/>
      <c r="AW1283" s="5"/>
      <c r="AX1283" s="5"/>
      <c r="AY1283" s="5"/>
      <c r="AZ1283" s="5"/>
      <c r="BA1283" s="5"/>
      <c r="BB1283" s="5"/>
      <c r="BC1283" s="5"/>
      <c r="BD1283" s="5"/>
      <c r="BE1283" s="5"/>
      <c r="BF1283" s="5"/>
      <c r="BG1283" s="5"/>
      <c r="BH1283" s="5"/>
      <c r="BI1283" s="5"/>
      <c r="BJ1283" s="5"/>
      <c r="BK1283" s="5"/>
      <c r="BL1283" s="5"/>
      <c r="BM1283" s="5"/>
    </row>
    <row r="1284" ht="15.75" customHeight="1">
      <c r="A1284" s="5"/>
      <c r="B1284" s="5"/>
      <c r="C1284" s="5"/>
      <c r="D1284" s="5"/>
      <c r="E1284" s="14"/>
      <c r="F1284" s="15"/>
      <c r="G1284" s="14"/>
      <c r="H1284" s="16"/>
      <c r="I1284" s="14"/>
      <c r="J1284" s="16"/>
      <c r="K1284" s="14"/>
      <c r="L1284" s="16"/>
      <c r="M1284" s="14"/>
      <c r="N1284" s="16"/>
      <c r="O1284" s="14"/>
      <c r="P1284" s="16"/>
      <c r="Q1284" s="14"/>
      <c r="R1284" s="5"/>
      <c r="S1284" s="14"/>
      <c r="T1284" s="16"/>
      <c r="U1284" s="16"/>
      <c r="V1284" s="17"/>
      <c r="W1284" s="6"/>
      <c r="X1284" s="22"/>
      <c r="Y1284" s="14"/>
      <c r="Z1284" s="14"/>
      <c r="AA1284" s="14"/>
      <c r="AB1284" s="14"/>
      <c r="AC1284" s="14"/>
      <c r="AD1284" s="14"/>
      <c r="AE1284" s="14"/>
      <c r="AF1284" s="14"/>
      <c r="AG1284" s="19"/>
      <c r="AH1284" s="20"/>
      <c r="AI1284" s="5"/>
      <c r="AJ1284" s="5"/>
      <c r="AK1284" s="5"/>
      <c r="AL1284" s="5"/>
      <c r="AM1284" s="5"/>
      <c r="AN1284" s="5"/>
      <c r="AO1284" s="5"/>
      <c r="AP1284" s="5"/>
      <c r="AQ1284" s="5"/>
      <c r="AR1284" s="5"/>
      <c r="AS1284" s="5"/>
      <c r="AT1284" s="5"/>
      <c r="AU1284" s="5"/>
      <c r="AV1284" s="5"/>
      <c r="AW1284" s="5"/>
      <c r="AX1284" s="5"/>
      <c r="AY1284" s="5"/>
      <c r="AZ1284" s="5"/>
      <c r="BA1284" s="5"/>
      <c r="BB1284" s="5"/>
      <c r="BC1284" s="5"/>
      <c r="BD1284" s="5"/>
      <c r="BE1284" s="5"/>
      <c r="BF1284" s="5"/>
      <c r="BG1284" s="5"/>
      <c r="BH1284" s="5"/>
      <c r="BI1284" s="5"/>
      <c r="BJ1284" s="5"/>
      <c r="BK1284" s="5"/>
      <c r="BL1284" s="5"/>
      <c r="BM1284" s="5"/>
    </row>
    <row r="1285" ht="15.75" customHeight="1">
      <c r="A1285" s="5"/>
      <c r="B1285" s="5"/>
      <c r="C1285" s="5"/>
      <c r="D1285" s="5"/>
      <c r="E1285" s="14"/>
      <c r="F1285" s="15"/>
      <c r="G1285" s="14"/>
      <c r="H1285" s="16"/>
      <c r="I1285" s="14"/>
      <c r="J1285" s="16"/>
      <c r="K1285" s="14"/>
      <c r="L1285" s="16"/>
      <c r="M1285" s="14"/>
      <c r="N1285" s="16"/>
      <c r="O1285" s="14"/>
      <c r="P1285" s="16"/>
      <c r="Q1285" s="14"/>
      <c r="R1285" s="5"/>
      <c r="S1285" s="14"/>
      <c r="T1285" s="16"/>
      <c r="U1285" s="16"/>
      <c r="V1285" s="17"/>
      <c r="W1285" s="6"/>
      <c r="X1285" s="22"/>
      <c r="Y1285" s="14"/>
      <c r="Z1285" s="14"/>
      <c r="AA1285" s="14"/>
      <c r="AB1285" s="14"/>
      <c r="AC1285" s="14"/>
      <c r="AD1285" s="14"/>
      <c r="AE1285" s="14"/>
      <c r="AF1285" s="14"/>
      <c r="AG1285" s="19"/>
      <c r="AH1285" s="20"/>
      <c r="AI1285" s="5"/>
      <c r="AJ1285" s="5"/>
      <c r="AK1285" s="5"/>
      <c r="AL1285" s="5"/>
      <c r="AM1285" s="5"/>
      <c r="AN1285" s="5"/>
      <c r="AO1285" s="5"/>
      <c r="AP1285" s="5"/>
      <c r="AQ1285" s="5"/>
      <c r="AR1285" s="5"/>
      <c r="AS1285" s="5"/>
      <c r="AT1285" s="5"/>
      <c r="AU1285" s="5"/>
      <c r="AV1285" s="5"/>
      <c r="AW1285" s="5"/>
      <c r="AX1285" s="5"/>
      <c r="AY1285" s="5"/>
      <c r="AZ1285" s="5"/>
      <c r="BA1285" s="5"/>
      <c r="BB1285" s="5"/>
      <c r="BC1285" s="5"/>
      <c r="BD1285" s="5"/>
      <c r="BE1285" s="5"/>
      <c r="BF1285" s="5"/>
      <c r="BG1285" s="5"/>
      <c r="BH1285" s="5"/>
      <c r="BI1285" s="5"/>
      <c r="BJ1285" s="5"/>
      <c r="BK1285" s="5"/>
      <c r="BL1285" s="5"/>
      <c r="BM1285" s="5"/>
    </row>
    <row r="1286" ht="15.75" customHeight="1">
      <c r="A1286" s="5"/>
      <c r="B1286" s="5"/>
      <c r="C1286" s="5"/>
      <c r="D1286" s="5"/>
      <c r="E1286" s="14"/>
      <c r="F1286" s="15"/>
      <c r="G1286" s="14"/>
      <c r="H1286" s="16"/>
      <c r="I1286" s="14"/>
      <c r="J1286" s="16"/>
      <c r="K1286" s="14"/>
      <c r="L1286" s="16"/>
      <c r="M1286" s="14"/>
      <c r="N1286" s="16"/>
      <c r="O1286" s="14"/>
      <c r="P1286" s="16"/>
      <c r="Q1286" s="14"/>
      <c r="R1286" s="5"/>
      <c r="S1286" s="14"/>
      <c r="T1286" s="16"/>
      <c r="U1286" s="16"/>
      <c r="V1286" s="17"/>
      <c r="W1286" s="6"/>
      <c r="X1286" s="22"/>
      <c r="Y1286" s="14"/>
      <c r="Z1286" s="14"/>
      <c r="AA1286" s="14"/>
      <c r="AB1286" s="14"/>
      <c r="AC1286" s="14"/>
      <c r="AD1286" s="14"/>
      <c r="AE1286" s="14"/>
      <c r="AF1286" s="14"/>
      <c r="AG1286" s="19"/>
      <c r="AH1286" s="20"/>
      <c r="AI1286" s="5"/>
      <c r="AJ1286" s="5"/>
      <c r="AK1286" s="5"/>
      <c r="AL1286" s="5"/>
      <c r="AM1286" s="5"/>
      <c r="AN1286" s="5"/>
      <c r="AO1286" s="5"/>
      <c r="AP1286" s="5"/>
      <c r="AQ1286" s="5"/>
      <c r="AR1286" s="5"/>
      <c r="AS1286" s="5"/>
      <c r="AT1286" s="5"/>
      <c r="AU1286" s="5"/>
      <c r="AV1286" s="5"/>
      <c r="AW1286" s="5"/>
      <c r="AX1286" s="5"/>
      <c r="AY1286" s="5"/>
      <c r="AZ1286" s="5"/>
      <c r="BA1286" s="5"/>
      <c r="BB1286" s="5"/>
      <c r="BC1286" s="5"/>
      <c r="BD1286" s="5"/>
      <c r="BE1286" s="5"/>
      <c r="BF1286" s="5"/>
      <c r="BG1286" s="5"/>
      <c r="BH1286" s="5"/>
      <c r="BI1286" s="5"/>
      <c r="BJ1286" s="5"/>
      <c r="BK1286" s="5"/>
      <c r="BL1286" s="5"/>
      <c r="BM1286" s="5"/>
    </row>
    <row r="1287" ht="15.75" customHeight="1">
      <c r="A1287" s="5"/>
      <c r="B1287" s="5"/>
      <c r="C1287" s="5"/>
      <c r="D1287" s="5"/>
      <c r="E1287" s="14"/>
      <c r="F1287" s="15"/>
      <c r="G1287" s="14"/>
      <c r="H1287" s="16"/>
      <c r="I1287" s="14"/>
      <c r="J1287" s="16"/>
      <c r="K1287" s="14"/>
      <c r="L1287" s="16"/>
      <c r="M1287" s="14"/>
      <c r="N1287" s="16"/>
      <c r="O1287" s="14"/>
      <c r="P1287" s="16"/>
      <c r="Q1287" s="14"/>
      <c r="R1287" s="5"/>
      <c r="S1287" s="14"/>
      <c r="T1287" s="16"/>
      <c r="U1287" s="16"/>
      <c r="V1287" s="17"/>
      <c r="W1287" s="6"/>
      <c r="X1287" s="22"/>
      <c r="Y1287" s="14"/>
      <c r="Z1287" s="14"/>
      <c r="AA1287" s="14"/>
      <c r="AB1287" s="14"/>
      <c r="AC1287" s="14"/>
      <c r="AD1287" s="14"/>
      <c r="AE1287" s="14"/>
      <c r="AF1287" s="14"/>
      <c r="AG1287" s="19"/>
      <c r="AH1287" s="20"/>
      <c r="AI1287" s="5"/>
      <c r="AJ1287" s="5"/>
      <c r="AK1287" s="5"/>
      <c r="AL1287" s="5"/>
      <c r="AM1287" s="5"/>
      <c r="AN1287" s="5"/>
      <c r="AO1287" s="5"/>
      <c r="AP1287" s="5"/>
      <c r="AQ1287" s="5"/>
      <c r="AR1287" s="5"/>
      <c r="AS1287" s="5"/>
      <c r="AT1287" s="5"/>
      <c r="AU1287" s="5"/>
      <c r="AV1287" s="5"/>
      <c r="AW1287" s="5"/>
      <c r="AX1287" s="5"/>
      <c r="AY1287" s="5"/>
      <c r="AZ1287" s="5"/>
      <c r="BA1287" s="5"/>
      <c r="BB1287" s="5"/>
      <c r="BC1287" s="5"/>
      <c r="BD1287" s="5"/>
      <c r="BE1287" s="5"/>
      <c r="BF1287" s="5"/>
      <c r="BG1287" s="5"/>
      <c r="BH1287" s="5"/>
      <c r="BI1287" s="5"/>
      <c r="BJ1287" s="5"/>
      <c r="BK1287" s="5"/>
      <c r="BL1287" s="5"/>
      <c r="BM1287" s="5"/>
    </row>
    <row r="1288" ht="15.75" customHeight="1">
      <c r="A1288" s="5"/>
      <c r="B1288" s="5"/>
      <c r="C1288" s="5"/>
      <c r="D1288" s="5"/>
      <c r="E1288" s="14"/>
      <c r="F1288" s="15"/>
      <c r="G1288" s="14"/>
      <c r="H1288" s="16"/>
      <c r="I1288" s="14"/>
      <c r="J1288" s="16"/>
      <c r="K1288" s="14"/>
      <c r="L1288" s="16"/>
      <c r="M1288" s="14"/>
      <c r="N1288" s="16"/>
      <c r="O1288" s="14"/>
      <c r="P1288" s="16"/>
      <c r="Q1288" s="14"/>
      <c r="R1288" s="5"/>
      <c r="S1288" s="14"/>
      <c r="T1288" s="16"/>
      <c r="U1288" s="16"/>
      <c r="V1288" s="17"/>
      <c r="W1288" s="6"/>
      <c r="X1288" s="22"/>
      <c r="Y1288" s="14"/>
      <c r="Z1288" s="14"/>
      <c r="AA1288" s="14"/>
      <c r="AB1288" s="14"/>
      <c r="AC1288" s="14"/>
      <c r="AD1288" s="14"/>
      <c r="AE1288" s="14"/>
      <c r="AF1288" s="14"/>
      <c r="AG1288" s="19"/>
      <c r="AH1288" s="20"/>
      <c r="AI1288" s="5"/>
      <c r="AJ1288" s="5"/>
      <c r="AK1288" s="5"/>
      <c r="AL1288" s="5"/>
      <c r="AM1288" s="5"/>
      <c r="AN1288" s="5"/>
      <c r="AO1288" s="5"/>
      <c r="AP1288" s="5"/>
      <c r="AQ1288" s="5"/>
      <c r="AR1288" s="5"/>
      <c r="AS1288" s="5"/>
      <c r="AT1288" s="5"/>
      <c r="AU1288" s="5"/>
      <c r="AV1288" s="5"/>
      <c r="AW1288" s="5"/>
      <c r="AX1288" s="5"/>
      <c r="AY1288" s="5"/>
      <c r="AZ1288" s="5"/>
      <c r="BA1288" s="5"/>
      <c r="BB1288" s="5"/>
      <c r="BC1288" s="5"/>
      <c r="BD1288" s="5"/>
      <c r="BE1288" s="5"/>
      <c r="BF1288" s="5"/>
      <c r="BG1288" s="5"/>
      <c r="BH1288" s="5"/>
      <c r="BI1288" s="5"/>
      <c r="BJ1288" s="5"/>
      <c r="BK1288" s="5"/>
      <c r="BL1288" s="5"/>
      <c r="BM1288" s="5"/>
    </row>
    <row r="1289" ht="15.75" customHeight="1">
      <c r="A1289" s="5"/>
      <c r="B1289" s="5"/>
      <c r="C1289" s="5"/>
      <c r="D1289" s="5"/>
      <c r="E1289" s="14"/>
      <c r="F1289" s="15"/>
      <c r="G1289" s="14"/>
      <c r="H1289" s="16"/>
      <c r="I1289" s="14"/>
      <c r="J1289" s="16"/>
      <c r="K1289" s="14"/>
      <c r="L1289" s="16"/>
      <c r="M1289" s="14"/>
      <c r="N1289" s="16"/>
      <c r="O1289" s="14"/>
      <c r="P1289" s="16"/>
      <c r="Q1289" s="14"/>
      <c r="R1289" s="5"/>
      <c r="S1289" s="14"/>
      <c r="T1289" s="16"/>
      <c r="U1289" s="16"/>
      <c r="V1289" s="17"/>
      <c r="W1289" s="6"/>
      <c r="X1289" s="22"/>
      <c r="Y1289" s="14"/>
      <c r="Z1289" s="14"/>
      <c r="AA1289" s="14"/>
      <c r="AB1289" s="14"/>
      <c r="AC1289" s="14"/>
      <c r="AD1289" s="14"/>
      <c r="AE1289" s="14"/>
      <c r="AF1289" s="14"/>
      <c r="AG1289" s="19"/>
      <c r="AH1289" s="20"/>
      <c r="AI1289" s="5"/>
      <c r="AJ1289" s="5"/>
      <c r="AK1289" s="5"/>
      <c r="AL1289" s="5"/>
      <c r="AM1289" s="5"/>
      <c r="AN1289" s="5"/>
      <c r="AO1289" s="5"/>
      <c r="AP1289" s="5"/>
      <c r="AQ1289" s="5"/>
      <c r="AR1289" s="5"/>
      <c r="AS1289" s="5"/>
      <c r="AT1289" s="5"/>
      <c r="AU1289" s="5"/>
      <c r="AV1289" s="5"/>
      <c r="AW1289" s="5"/>
      <c r="AX1289" s="5"/>
      <c r="AY1289" s="5"/>
      <c r="AZ1289" s="5"/>
      <c r="BA1289" s="5"/>
      <c r="BB1289" s="5"/>
      <c r="BC1289" s="5"/>
      <c r="BD1289" s="5"/>
      <c r="BE1289" s="5"/>
      <c r="BF1289" s="5"/>
      <c r="BG1289" s="5"/>
      <c r="BH1289" s="5"/>
      <c r="BI1289" s="5"/>
      <c r="BJ1289" s="5"/>
      <c r="BK1289" s="5"/>
      <c r="BL1289" s="5"/>
      <c r="BM1289" s="5"/>
    </row>
    <row r="1290" ht="15.75" customHeight="1">
      <c r="A1290" s="5"/>
      <c r="B1290" s="5"/>
      <c r="C1290" s="5"/>
      <c r="D1290" s="5"/>
      <c r="E1290" s="14"/>
      <c r="F1290" s="15"/>
      <c r="G1290" s="14"/>
      <c r="H1290" s="16"/>
      <c r="I1290" s="14"/>
      <c r="J1290" s="16"/>
      <c r="K1290" s="14"/>
      <c r="L1290" s="16"/>
      <c r="M1290" s="14"/>
      <c r="N1290" s="16"/>
      <c r="O1290" s="14"/>
      <c r="P1290" s="16"/>
      <c r="Q1290" s="14"/>
      <c r="R1290" s="5"/>
      <c r="S1290" s="14"/>
      <c r="T1290" s="16"/>
      <c r="U1290" s="16"/>
      <c r="V1290" s="17"/>
      <c r="W1290" s="6"/>
      <c r="X1290" s="22"/>
      <c r="Y1290" s="14"/>
      <c r="Z1290" s="14"/>
      <c r="AA1290" s="14"/>
      <c r="AB1290" s="14"/>
      <c r="AC1290" s="14"/>
      <c r="AD1290" s="14"/>
      <c r="AE1290" s="14"/>
      <c r="AF1290" s="14"/>
      <c r="AG1290" s="19"/>
      <c r="AH1290" s="20"/>
      <c r="AI1290" s="5"/>
      <c r="AJ1290" s="5"/>
      <c r="AK1290" s="5"/>
      <c r="AL1290" s="5"/>
      <c r="AM1290" s="5"/>
      <c r="AN1290" s="5"/>
      <c r="AO1290" s="5"/>
      <c r="AP1290" s="5"/>
      <c r="AQ1290" s="5"/>
      <c r="AR1290" s="5"/>
      <c r="AS1290" s="5"/>
      <c r="AT1290" s="5"/>
      <c r="AU1290" s="5"/>
      <c r="AV1290" s="5"/>
      <c r="AW1290" s="5"/>
      <c r="AX1290" s="5"/>
      <c r="AY1290" s="5"/>
      <c r="AZ1290" s="5"/>
      <c r="BA1290" s="5"/>
      <c r="BB1290" s="5"/>
      <c r="BC1290" s="5"/>
      <c r="BD1290" s="5"/>
      <c r="BE1290" s="5"/>
      <c r="BF1290" s="5"/>
      <c r="BG1290" s="5"/>
      <c r="BH1290" s="5"/>
      <c r="BI1290" s="5"/>
      <c r="BJ1290" s="5"/>
      <c r="BK1290" s="5"/>
      <c r="BL1290" s="5"/>
      <c r="BM1290" s="5"/>
    </row>
    <row r="1291" ht="15.75" customHeight="1">
      <c r="A1291" s="5"/>
      <c r="B1291" s="5"/>
      <c r="C1291" s="5"/>
      <c r="D1291" s="5"/>
      <c r="E1291" s="14"/>
      <c r="F1291" s="15"/>
      <c r="G1291" s="14"/>
      <c r="H1291" s="16"/>
      <c r="I1291" s="14"/>
      <c r="J1291" s="16"/>
      <c r="K1291" s="14"/>
      <c r="L1291" s="16"/>
      <c r="M1291" s="14"/>
      <c r="N1291" s="16"/>
      <c r="O1291" s="14"/>
      <c r="P1291" s="16"/>
      <c r="Q1291" s="14"/>
      <c r="R1291" s="5"/>
      <c r="S1291" s="14"/>
      <c r="T1291" s="16"/>
      <c r="U1291" s="16"/>
      <c r="V1291" s="17"/>
      <c r="W1291" s="6"/>
      <c r="X1291" s="22"/>
      <c r="Y1291" s="14"/>
      <c r="Z1291" s="14"/>
      <c r="AA1291" s="14"/>
      <c r="AB1291" s="14"/>
      <c r="AC1291" s="14"/>
      <c r="AD1291" s="14"/>
      <c r="AE1291" s="14"/>
      <c r="AF1291" s="14"/>
      <c r="AG1291" s="19"/>
      <c r="AH1291" s="20"/>
      <c r="AI1291" s="5"/>
      <c r="AJ1291" s="5"/>
      <c r="AK1291" s="5"/>
      <c r="AL1291" s="5"/>
      <c r="AM1291" s="5"/>
      <c r="AN1291" s="5"/>
      <c r="AO1291" s="5"/>
      <c r="AP1291" s="5"/>
      <c r="AQ1291" s="5"/>
      <c r="AR1291" s="5"/>
      <c r="AS1291" s="5"/>
      <c r="AT1291" s="5"/>
      <c r="AU1291" s="5"/>
      <c r="AV1291" s="5"/>
      <c r="AW1291" s="5"/>
      <c r="AX1291" s="5"/>
      <c r="AY1291" s="5"/>
      <c r="AZ1291" s="5"/>
      <c r="BA1291" s="5"/>
      <c r="BB1291" s="5"/>
      <c r="BC1291" s="5"/>
      <c r="BD1291" s="5"/>
      <c r="BE1291" s="5"/>
      <c r="BF1291" s="5"/>
      <c r="BG1291" s="5"/>
      <c r="BH1291" s="5"/>
      <c r="BI1291" s="5"/>
      <c r="BJ1291" s="5"/>
      <c r="BK1291" s="5"/>
      <c r="BL1291" s="5"/>
      <c r="BM1291" s="5"/>
    </row>
    <row r="1292" ht="15.75" customHeight="1">
      <c r="A1292" s="5"/>
      <c r="B1292" s="5"/>
      <c r="C1292" s="5"/>
      <c r="D1292" s="5"/>
      <c r="E1292" s="14"/>
      <c r="F1292" s="15"/>
      <c r="G1292" s="14"/>
      <c r="H1292" s="16"/>
      <c r="I1292" s="14"/>
      <c r="J1292" s="16"/>
      <c r="K1292" s="14"/>
      <c r="L1292" s="16"/>
      <c r="M1292" s="14"/>
      <c r="N1292" s="16"/>
      <c r="O1292" s="14"/>
      <c r="P1292" s="16"/>
      <c r="Q1292" s="14"/>
      <c r="R1292" s="5"/>
      <c r="S1292" s="14"/>
      <c r="T1292" s="16"/>
      <c r="U1292" s="16"/>
      <c r="V1292" s="17"/>
      <c r="W1292" s="6"/>
      <c r="X1292" s="22"/>
      <c r="Y1292" s="14"/>
      <c r="Z1292" s="14"/>
      <c r="AA1292" s="14"/>
      <c r="AB1292" s="14"/>
      <c r="AC1292" s="14"/>
      <c r="AD1292" s="14"/>
      <c r="AE1292" s="14"/>
      <c r="AF1292" s="14"/>
      <c r="AG1292" s="19"/>
      <c r="AH1292" s="20"/>
      <c r="AI1292" s="5"/>
      <c r="AJ1292" s="5"/>
      <c r="AK1292" s="5"/>
      <c r="AL1292" s="5"/>
      <c r="AM1292" s="5"/>
      <c r="AN1292" s="5"/>
      <c r="AO1292" s="5"/>
      <c r="AP1292" s="5"/>
      <c r="AQ1292" s="5"/>
      <c r="AR1292" s="5"/>
      <c r="AS1292" s="5"/>
      <c r="AT1292" s="5"/>
      <c r="AU1292" s="5"/>
      <c r="AV1292" s="5"/>
      <c r="AW1292" s="5"/>
      <c r="AX1292" s="5"/>
      <c r="AY1292" s="5"/>
      <c r="AZ1292" s="5"/>
      <c r="BA1292" s="5"/>
      <c r="BB1292" s="5"/>
      <c r="BC1292" s="5"/>
      <c r="BD1292" s="5"/>
      <c r="BE1292" s="5"/>
      <c r="BF1292" s="5"/>
      <c r="BG1292" s="5"/>
      <c r="BH1292" s="5"/>
      <c r="BI1292" s="5"/>
      <c r="BJ1292" s="5"/>
      <c r="BK1292" s="5"/>
      <c r="BL1292" s="5"/>
      <c r="BM1292" s="5"/>
    </row>
    <row r="1293" ht="15.75" customHeight="1">
      <c r="A1293" s="5"/>
      <c r="B1293" s="5"/>
      <c r="C1293" s="5"/>
      <c r="D1293" s="5"/>
      <c r="E1293" s="14"/>
      <c r="F1293" s="15"/>
      <c r="G1293" s="14"/>
      <c r="H1293" s="16"/>
      <c r="I1293" s="14"/>
      <c r="J1293" s="16"/>
      <c r="K1293" s="14"/>
      <c r="L1293" s="16"/>
      <c r="M1293" s="14"/>
      <c r="N1293" s="16"/>
      <c r="O1293" s="14"/>
      <c r="P1293" s="16"/>
      <c r="Q1293" s="14"/>
      <c r="R1293" s="5"/>
      <c r="S1293" s="14"/>
      <c r="T1293" s="16"/>
      <c r="U1293" s="16"/>
      <c r="V1293" s="17"/>
      <c r="W1293" s="6"/>
      <c r="X1293" s="22"/>
      <c r="Y1293" s="14"/>
      <c r="Z1293" s="14"/>
      <c r="AA1293" s="14"/>
      <c r="AB1293" s="14"/>
      <c r="AC1293" s="14"/>
      <c r="AD1293" s="14"/>
      <c r="AE1293" s="14"/>
      <c r="AF1293" s="14"/>
      <c r="AG1293" s="19"/>
      <c r="AH1293" s="20"/>
      <c r="AI1293" s="5"/>
      <c r="AJ1293" s="5"/>
      <c r="AK1293" s="5"/>
      <c r="AL1293" s="5"/>
      <c r="AM1293" s="5"/>
      <c r="AN1293" s="5"/>
      <c r="AO1293" s="5"/>
      <c r="AP1293" s="5"/>
      <c r="AQ1293" s="5"/>
      <c r="AR1293" s="5"/>
      <c r="AS1293" s="5"/>
      <c r="AT1293" s="5"/>
      <c r="AU1293" s="5"/>
      <c r="AV1293" s="5"/>
      <c r="AW1293" s="5"/>
      <c r="AX1293" s="5"/>
      <c r="AY1293" s="5"/>
      <c r="AZ1293" s="5"/>
      <c r="BA1293" s="5"/>
      <c r="BB1293" s="5"/>
      <c r="BC1293" s="5"/>
      <c r="BD1293" s="5"/>
      <c r="BE1293" s="5"/>
      <c r="BF1293" s="5"/>
      <c r="BG1293" s="5"/>
      <c r="BH1293" s="5"/>
      <c r="BI1293" s="5"/>
      <c r="BJ1293" s="5"/>
      <c r="BK1293" s="5"/>
      <c r="BL1293" s="5"/>
      <c r="BM1293" s="5"/>
    </row>
    <row r="1294" ht="15.75" customHeight="1">
      <c r="A1294" s="5"/>
      <c r="B1294" s="5"/>
      <c r="C1294" s="5"/>
      <c r="D1294" s="5"/>
      <c r="E1294" s="14"/>
      <c r="F1294" s="15"/>
      <c r="G1294" s="14"/>
      <c r="H1294" s="16"/>
      <c r="I1294" s="14"/>
      <c r="J1294" s="16"/>
      <c r="K1294" s="14"/>
      <c r="L1294" s="16"/>
      <c r="M1294" s="14"/>
      <c r="N1294" s="16"/>
      <c r="O1294" s="14"/>
      <c r="P1294" s="16"/>
      <c r="Q1294" s="14"/>
      <c r="R1294" s="5"/>
      <c r="S1294" s="14"/>
      <c r="T1294" s="16"/>
      <c r="U1294" s="16"/>
      <c r="V1294" s="17"/>
      <c r="W1294" s="6"/>
      <c r="X1294" s="22"/>
      <c r="Y1294" s="14"/>
      <c r="Z1294" s="14"/>
      <c r="AA1294" s="14"/>
      <c r="AB1294" s="14"/>
      <c r="AC1294" s="14"/>
      <c r="AD1294" s="14"/>
      <c r="AE1294" s="14"/>
      <c r="AF1294" s="14"/>
      <c r="AG1294" s="19"/>
      <c r="AH1294" s="20"/>
      <c r="AI1294" s="5"/>
      <c r="AJ1294" s="5"/>
      <c r="AK1294" s="5"/>
      <c r="AL1294" s="5"/>
      <c r="AM1294" s="5"/>
      <c r="AN1294" s="5"/>
      <c r="AO1294" s="5"/>
      <c r="AP1294" s="5"/>
      <c r="AQ1294" s="5"/>
      <c r="AR1294" s="5"/>
      <c r="AS1294" s="5"/>
      <c r="AT1294" s="5"/>
      <c r="AU1294" s="5"/>
      <c r="AV1294" s="5"/>
      <c r="AW1294" s="5"/>
      <c r="AX1294" s="5"/>
      <c r="AY1294" s="5"/>
      <c r="AZ1294" s="5"/>
      <c r="BA1294" s="5"/>
      <c r="BB1294" s="5"/>
      <c r="BC1294" s="5"/>
      <c r="BD1294" s="5"/>
      <c r="BE1294" s="5"/>
      <c r="BF1294" s="5"/>
      <c r="BG1294" s="5"/>
      <c r="BH1294" s="5"/>
      <c r="BI1294" s="5"/>
      <c r="BJ1294" s="5"/>
      <c r="BK1294" s="5"/>
      <c r="BL1294" s="5"/>
      <c r="BM1294" s="5"/>
    </row>
    <row r="1295" ht="15.75" customHeight="1">
      <c r="A1295" s="5"/>
      <c r="B1295" s="5"/>
      <c r="C1295" s="5"/>
      <c r="D1295" s="5"/>
      <c r="E1295" s="14"/>
      <c r="F1295" s="15"/>
      <c r="G1295" s="14"/>
      <c r="H1295" s="16"/>
      <c r="I1295" s="14"/>
      <c r="J1295" s="16"/>
      <c r="K1295" s="14"/>
      <c r="L1295" s="16"/>
      <c r="M1295" s="14"/>
      <c r="N1295" s="16"/>
      <c r="O1295" s="14"/>
      <c r="P1295" s="16"/>
      <c r="Q1295" s="14"/>
      <c r="R1295" s="5"/>
      <c r="S1295" s="14"/>
      <c r="T1295" s="16"/>
      <c r="U1295" s="16"/>
      <c r="V1295" s="17"/>
      <c r="W1295" s="6"/>
      <c r="X1295" s="22"/>
      <c r="Y1295" s="14"/>
      <c r="Z1295" s="14"/>
      <c r="AA1295" s="14"/>
      <c r="AB1295" s="14"/>
      <c r="AC1295" s="14"/>
      <c r="AD1295" s="14"/>
      <c r="AE1295" s="14"/>
      <c r="AF1295" s="14"/>
      <c r="AG1295" s="19"/>
      <c r="AH1295" s="20"/>
      <c r="AI1295" s="5"/>
      <c r="AJ1295" s="5"/>
      <c r="AK1295" s="5"/>
      <c r="AL1295" s="5"/>
      <c r="AM1295" s="5"/>
      <c r="AN1295" s="5"/>
      <c r="AO1295" s="5"/>
      <c r="AP1295" s="5"/>
      <c r="AQ1295" s="5"/>
      <c r="AR1295" s="5"/>
      <c r="AS1295" s="5"/>
      <c r="AT1295" s="5"/>
      <c r="AU1295" s="5"/>
      <c r="AV1295" s="5"/>
      <c r="AW1295" s="5"/>
      <c r="AX1295" s="5"/>
      <c r="AY1295" s="5"/>
      <c r="AZ1295" s="5"/>
      <c r="BA1295" s="5"/>
      <c r="BB1295" s="5"/>
      <c r="BC1295" s="5"/>
      <c r="BD1295" s="5"/>
      <c r="BE1295" s="5"/>
      <c r="BF1295" s="5"/>
      <c r="BG1295" s="5"/>
      <c r="BH1295" s="5"/>
      <c r="BI1295" s="5"/>
      <c r="BJ1295" s="5"/>
      <c r="BK1295" s="5"/>
      <c r="BL1295" s="5"/>
      <c r="BM1295" s="5"/>
    </row>
    <row r="1296" ht="15.75" customHeight="1">
      <c r="A1296" s="5"/>
      <c r="B1296" s="5"/>
      <c r="C1296" s="5"/>
      <c r="D1296" s="5"/>
      <c r="E1296" s="14"/>
      <c r="F1296" s="15"/>
      <c r="G1296" s="14"/>
      <c r="H1296" s="16"/>
      <c r="I1296" s="14"/>
      <c r="J1296" s="16"/>
      <c r="K1296" s="14"/>
      <c r="L1296" s="16"/>
      <c r="M1296" s="14"/>
      <c r="N1296" s="16"/>
      <c r="O1296" s="14"/>
      <c r="P1296" s="16"/>
      <c r="Q1296" s="14"/>
      <c r="R1296" s="5"/>
      <c r="S1296" s="14"/>
      <c r="T1296" s="16"/>
      <c r="U1296" s="16"/>
      <c r="V1296" s="17"/>
      <c r="W1296" s="6"/>
      <c r="X1296" s="22"/>
      <c r="Y1296" s="14"/>
      <c r="Z1296" s="14"/>
      <c r="AA1296" s="14"/>
      <c r="AB1296" s="14"/>
      <c r="AC1296" s="14"/>
      <c r="AD1296" s="14"/>
      <c r="AE1296" s="14"/>
      <c r="AF1296" s="14"/>
      <c r="AG1296" s="19"/>
      <c r="AH1296" s="20"/>
      <c r="AI1296" s="5"/>
      <c r="AJ1296" s="5"/>
      <c r="AK1296" s="5"/>
      <c r="AL1296" s="5"/>
      <c r="AM1296" s="5"/>
      <c r="AN1296" s="5"/>
      <c r="AO1296" s="5"/>
      <c r="AP1296" s="5"/>
      <c r="AQ1296" s="5"/>
      <c r="AR1296" s="5"/>
      <c r="AS1296" s="5"/>
      <c r="AT1296" s="5"/>
      <c r="AU1296" s="5"/>
      <c r="AV1296" s="5"/>
      <c r="AW1296" s="5"/>
      <c r="AX1296" s="5"/>
      <c r="AY1296" s="5"/>
      <c r="AZ1296" s="5"/>
      <c r="BA1296" s="5"/>
      <c r="BB1296" s="5"/>
      <c r="BC1296" s="5"/>
      <c r="BD1296" s="5"/>
      <c r="BE1296" s="5"/>
      <c r="BF1296" s="5"/>
      <c r="BG1296" s="5"/>
      <c r="BH1296" s="5"/>
      <c r="BI1296" s="5"/>
      <c r="BJ1296" s="5"/>
      <c r="BK1296" s="5"/>
      <c r="BL1296" s="5"/>
      <c r="BM1296" s="5"/>
    </row>
    <row r="1297" ht="15.75" customHeight="1">
      <c r="A1297" s="5"/>
      <c r="B1297" s="5"/>
      <c r="C1297" s="5"/>
      <c r="D1297" s="5"/>
      <c r="E1297" s="14"/>
      <c r="F1297" s="15"/>
      <c r="G1297" s="14"/>
      <c r="H1297" s="16"/>
      <c r="I1297" s="14"/>
      <c r="J1297" s="16"/>
      <c r="K1297" s="14"/>
      <c r="L1297" s="16"/>
      <c r="M1297" s="14"/>
      <c r="N1297" s="16"/>
      <c r="O1297" s="14"/>
      <c r="P1297" s="16"/>
      <c r="Q1297" s="14"/>
      <c r="R1297" s="5"/>
      <c r="S1297" s="14"/>
      <c r="T1297" s="16"/>
      <c r="U1297" s="16"/>
      <c r="V1297" s="17"/>
      <c r="W1297" s="6"/>
      <c r="X1297" s="22"/>
      <c r="Y1297" s="14"/>
      <c r="Z1297" s="14"/>
      <c r="AA1297" s="14"/>
      <c r="AB1297" s="14"/>
      <c r="AC1297" s="14"/>
      <c r="AD1297" s="14"/>
      <c r="AE1297" s="14"/>
      <c r="AF1297" s="14"/>
      <c r="AG1297" s="19"/>
      <c r="AH1297" s="20"/>
      <c r="AI1297" s="5"/>
      <c r="AJ1297" s="5"/>
      <c r="AK1297" s="5"/>
      <c r="AL1297" s="5"/>
      <c r="AM1297" s="5"/>
      <c r="AN1297" s="5"/>
      <c r="AO1297" s="5"/>
      <c r="AP1297" s="5"/>
      <c r="AQ1297" s="5"/>
      <c r="AR1297" s="5"/>
      <c r="AS1297" s="5"/>
      <c r="AT1297" s="5"/>
      <c r="AU1297" s="5"/>
      <c r="AV1297" s="5"/>
      <c r="AW1297" s="5"/>
      <c r="AX1297" s="5"/>
      <c r="AY1297" s="5"/>
      <c r="AZ1297" s="5"/>
      <c r="BA1297" s="5"/>
      <c r="BB1297" s="5"/>
      <c r="BC1297" s="5"/>
      <c r="BD1297" s="5"/>
      <c r="BE1297" s="5"/>
      <c r="BF1297" s="5"/>
      <c r="BG1297" s="5"/>
      <c r="BH1297" s="5"/>
      <c r="BI1297" s="5"/>
      <c r="BJ1297" s="5"/>
      <c r="BK1297" s="5"/>
      <c r="BL1297" s="5"/>
      <c r="BM1297" s="5"/>
    </row>
    <row r="1298" ht="15.75" customHeight="1">
      <c r="A1298" s="5"/>
      <c r="B1298" s="5"/>
      <c r="C1298" s="5"/>
      <c r="D1298" s="5"/>
      <c r="E1298" s="14"/>
      <c r="F1298" s="15"/>
      <c r="G1298" s="14"/>
      <c r="H1298" s="16"/>
      <c r="I1298" s="14"/>
      <c r="J1298" s="16"/>
      <c r="K1298" s="14"/>
      <c r="L1298" s="16"/>
      <c r="M1298" s="14"/>
      <c r="N1298" s="16"/>
      <c r="O1298" s="14"/>
      <c r="P1298" s="16"/>
      <c r="Q1298" s="14"/>
      <c r="R1298" s="5"/>
      <c r="S1298" s="14"/>
      <c r="T1298" s="16"/>
      <c r="U1298" s="16"/>
      <c r="V1298" s="17"/>
      <c r="W1298" s="6"/>
      <c r="X1298" s="22"/>
      <c r="Y1298" s="14"/>
      <c r="Z1298" s="14"/>
      <c r="AA1298" s="14"/>
      <c r="AB1298" s="14"/>
      <c r="AC1298" s="14"/>
      <c r="AD1298" s="14"/>
      <c r="AE1298" s="14"/>
      <c r="AF1298" s="14"/>
      <c r="AG1298" s="19"/>
      <c r="AH1298" s="20"/>
      <c r="AI1298" s="5"/>
      <c r="AJ1298" s="5"/>
      <c r="AK1298" s="5"/>
      <c r="AL1298" s="5"/>
      <c r="AM1298" s="5"/>
      <c r="AN1298" s="5"/>
      <c r="AO1298" s="5"/>
      <c r="AP1298" s="5"/>
      <c r="AQ1298" s="5"/>
      <c r="AR1298" s="5"/>
      <c r="AS1298" s="5"/>
      <c r="AT1298" s="5"/>
      <c r="AU1298" s="5"/>
      <c r="AV1298" s="5"/>
      <c r="AW1298" s="5"/>
      <c r="AX1298" s="5"/>
      <c r="AY1298" s="5"/>
      <c r="AZ1298" s="5"/>
      <c r="BA1298" s="5"/>
      <c r="BB1298" s="5"/>
      <c r="BC1298" s="5"/>
      <c r="BD1298" s="5"/>
      <c r="BE1298" s="5"/>
      <c r="BF1298" s="5"/>
      <c r="BG1298" s="5"/>
      <c r="BH1298" s="5"/>
      <c r="BI1298" s="5"/>
      <c r="BJ1298" s="5"/>
      <c r="BK1298" s="5"/>
      <c r="BL1298" s="5"/>
      <c r="BM1298" s="5"/>
    </row>
    <row r="1299" ht="15.75" customHeight="1">
      <c r="A1299" s="5"/>
      <c r="B1299" s="5"/>
      <c r="C1299" s="5"/>
      <c r="D1299" s="5"/>
      <c r="E1299" s="14"/>
      <c r="F1299" s="15"/>
      <c r="G1299" s="14"/>
      <c r="H1299" s="16"/>
      <c r="I1299" s="14"/>
      <c r="J1299" s="16"/>
      <c r="K1299" s="14"/>
      <c r="L1299" s="16"/>
      <c r="M1299" s="14"/>
      <c r="N1299" s="16"/>
      <c r="O1299" s="14"/>
      <c r="P1299" s="16"/>
      <c r="Q1299" s="14"/>
      <c r="R1299" s="5"/>
      <c r="S1299" s="14"/>
      <c r="T1299" s="16"/>
      <c r="U1299" s="16"/>
      <c r="V1299" s="17"/>
      <c r="W1299" s="6"/>
      <c r="X1299" s="22"/>
      <c r="Y1299" s="14"/>
      <c r="Z1299" s="14"/>
      <c r="AA1299" s="14"/>
      <c r="AB1299" s="14"/>
      <c r="AC1299" s="14"/>
      <c r="AD1299" s="14"/>
      <c r="AE1299" s="14"/>
      <c r="AF1299" s="14"/>
      <c r="AG1299" s="19"/>
      <c r="AH1299" s="20"/>
      <c r="AI1299" s="5"/>
      <c r="AJ1299" s="5"/>
      <c r="AK1299" s="5"/>
      <c r="AL1299" s="5"/>
      <c r="AM1299" s="5"/>
      <c r="AN1299" s="5"/>
      <c r="AO1299" s="5"/>
      <c r="AP1299" s="5"/>
      <c r="AQ1299" s="5"/>
      <c r="AR1299" s="5"/>
      <c r="AS1299" s="5"/>
      <c r="AT1299" s="5"/>
      <c r="AU1299" s="5"/>
      <c r="AV1299" s="5"/>
      <c r="AW1299" s="5"/>
      <c r="AX1299" s="5"/>
      <c r="AY1299" s="5"/>
      <c r="AZ1299" s="5"/>
      <c r="BA1299" s="5"/>
      <c r="BB1299" s="5"/>
      <c r="BC1299" s="5"/>
      <c r="BD1299" s="5"/>
      <c r="BE1299" s="5"/>
      <c r="BF1299" s="5"/>
      <c r="BG1299" s="5"/>
      <c r="BH1299" s="5"/>
      <c r="BI1299" s="5"/>
      <c r="BJ1299" s="5"/>
      <c r="BK1299" s="5"/>
      <c r="BL1299" s="5"/>
      <c r="BM1299" s="5"/>
    </row>
    <row r="1300" ht="15.75" customHeight="1">
      <c r="A1300" s="5"/>
      <c r="B1300" s="5"/>
      <c r="C1300" s="5"/>
      <c r="D1300" s="5"/>
      <c r="E1300" s="14"/>
      <c r="F1300" s="15"/>
      <c r="G1300" s="14"/>
      <c r="H1300" s="16"/>
      <c r="I1300" s="14"/>
      <c r="J1300" s="16"/>
      <c r="K1300" s="14"/>
      <c r="L1300" s="16"/>
      <c r="M1300" s="14"/>
      <c r="N1300" s="16"/>
      <c r="O1300" s="14"/>
      <c r="P1300" s="16"/>
      <c r="Q1300" s="14"/>
      <c r="R1300" s="5"/>
      <c r="S1300" s="14"/>
      <c r="T1300" s="16"/>
      <c r="U1300" s="16"/>
      <c r="V1300" s="17"/>
      <c r="W1300" s="6"/>
      <c r="X1300" s="22"/>
      <c r="Y1300" s="14"/>
      <c r="Z1300" s="14"/>
      <c r="AA1300" s="14"/>
      <c r="AB1300" s="14"/>
      <c r="AC1300" s="14"/>
      <c r="AD1300" s="14"/>
      <c r="AE1300" s="14"/>
      <c r="AF1300" s="14"/>
      <c r="AG1300" s="19"/>
      <c r="AH1300" s="20"/>
      <c r="AI1300" s="5"/>
      <c r="AJ1300" s="5"/>
      <c r="AK1300" s="5"/>
      <c r="AL1300" s="5"/>
      <c r="AM1300" s="5"/>
      <c r="AN1300" s="5"/>
      <c r="AO1300" s="5"/>
      <c r="AP1300" s="5"/>
      <c r="AQ1300" s="5"/>
      <c r="AR1300" s="5"/>
      <c r="AS1300" s="5"/>
      <c r="AT1300" s="5"/>
      <c r="AU1300" s="5"/>
      <c r="AV1300" s="5"/>
      <c r="AW1300" s="5"/>
      <c r="AX1300" s="5"/>
      <c r="AY1300" s="5"/>
      <c r="AZ1300" s="5"/>
      <c r="BA1300" s="5"/>
      <c r="BB1300" s="5"/>
      <c r="BC1300" s="5"/>
      <c r="BD1300" s="5"/>
      <c r="BE1300" s="5"/>
      <c r="BF1300" s="5"/>
      <c r="BG1300" s="5"/>
      <c r="BH1300" s="5"/>
      <c r="BI1300" s="5"/>
      <c r="BJ1300" s="5"/>
      <c r="BK1300" s="5"/>
      <c r="BL1300" s="5"/>
      <c r="BM1300" s="5"/>
    </row>
    <row r="1301" ht="15.75" customHeight="1">
      <c r="A1301" s="5"/>
      <c r="B1301" s="5"/>
      <c r="C1301" s="5"/>
      <c r="D1301" s="5"/>
      <c r="E1301" s="14"/>
      <c r="F1301" s="15"/>
      <c r="G1301" s="14"/>
      <c r="H1301" s="16"/>
      <c r="I1301" s="14"/>
      <c r="J1301" s="16"/>
      <c r="K1301" s="14"/>
      <c r="L1301" s="16"/>
      <c r="M1301" s="14"/>
      <c r="N1301" s="16"/>
      <c r="O1301" s="14"/>
      <c r="P1301" s="16"/>
      <c r="Q1301" s="14"/>
      <c r="R1301" s="5"/>
      <c r="S1301" s="14"/>
      <c r="T1301" s="16"/>
      <c r="U1301" s="16"/>
      <c r="V1301" s="17"/>
      <c r="W1301" s="6"/>
      <c r="X1301" s="22"/>
      <c r="Y1301" s="14"/>
      <c r="Z1301" s="14"/>
      <c r="AA1301" s="14"/>
      <c r="AB1301" s="14"/>
      <c r="AC1301" s="14"/>
      <c r="AD1301" s="14"/>
      <c r="AE1301" s="14"/>
      <c r="AF1301" s="14"/>
      <c r="AG1301" s="19"/>
      <c r="AH1301" s="20"/>
      <c r="AI1301" s="5"/>
      <c r="AJ1301" s="5"/>
      <c r="AK1301" s="5"/>
      <c r="AL1301" s="5"/>
      <c r="AM1301" s="5"/>
      <c r="AN1301" s="5"/>
      <c r="AO1301" s="5"/>
      <c r="AP1301" s="5"/>
      <c r="AQ1301" s="5"/>
      <c r="AR1301" s="5"/>
      <c r="AS1301" s="5"/>
      <c r="AT1301" s="5"/>
      <c r="AU1301" s="5"/>
      <c r="AV1301" s="5"/>
      <c r="AW1301" s="5"/>
      <c r="AX1301" s="5"/>
      <c r="AY1301" s="5"/>
      <c r="AZ1301" s="5"/>
      <c r="BA1301" s="5"/>
      <c r="BB1301" s="5"/>
      <c r="BC1301" s="5"/>
      <c r="BD1301" s="5"/>
      <c r="BE1301" s="5"/>
      <c r="BF1301" s="5"/>
      <c r="BG1301" s="5"/>
      <c r="BH1301" s="5"/>
      <c r="BI1301" s="5"/>
      <c r="BJ1301" s="5"/>
      <c r="BK1301" s="5"/>
      <c r="BL1301" s="5"/>
      <c r="BM1301" s="5"/>
    </row>
    <row r="1302" ht="15.75" customHeight="1">
      <c r="A1302" s="5"/>
      <c r="B1302" s="5"/>
      <c r="C1302" s="5"/>
      <c r="D1302" s="5"/>
      <c r="E1302" s="14"/>
      <c r="F1302" s="15"/>
      <c r="G1302" s="14"/>
      <c r="H1302" s="16"/>
      <c r="I1302" s="14"/>
      <c r="J1302" s="16"/>
      <c r="K1302" s="14"/>
      <c r="L1302" s="16"/>
      <c r="M1302" s="14"/>
      <c r="N1302" s="16"/>
      <c r="O1302" s="14"/>
      <c r="P1302" s="16"/>
      <c r="Q1302" s="14"/>
      <c r="R1302" s="5"/>
      <c r="S1302" s="14"/>
      <c r="T1302" s="16"/>
      <c r="U1302" s="16"/>
      <c r="V1302" s="17"/>
      <c r="W1302" s="6"/>
      <c r="X1302" s="22"/>
      <c r="Y1302" s="14"/>
      <c r="Z1302" s="14"/>
      <c r="AA1302" s="14"/>
      <c r="AB1302" s="14"/>
      <c r="AC1302" s="14"/>
      <c r="AD1302" s="14"/>
      <c r="AE1302" s="14"/>
      <c r="AF1302" s="14"/>
      <c r="AG1302" s="19"/>
      <c r="AH1302" s="20"/>
      <c r="AI1302" s="5"/>
      <c r="AJ1302" s="5"/>
      <c r="AK1302" s="5"/>
      <c r="AL1302" s="5"/>
      <c r="AM1302" s="5"/>
      <c r="AN1302" s="5"/>
      <c r="AO1302" s="5"/>
      <c r="AP1302" s="5"/>
      <c r="AQ1302" s="5"/>
      <c r="AR1302" s="5"/>
      <c r="AS1302" s="5"/>
      <c r="AT1302" s="5"/>
      <c r="AU1302" s="5"/>
      <c r="AV1302" s="5"/>
      <c r="AW1302" s="5"/>
      <c r="AX1302" s="5"/>
      <c r="AY1302" s="5"/>
      <c r="AZ1302" s="5"/>
      <c r="BA1302" s="5"/>
      <c r="BB1302" s="5"/>
      <c r="BC1302" s="5"/>
      <c r="BD1302" s="5"/>
      <c r="BE1302" s="5"/>
      <c r="BF1302" s="5"/>
      <c r="BG1302" s="5"/>
      <c r="BH1302" s="5"/>
      <c r="BI1302" s="5"/>
      <c r="BJ1302" s="5"/>
      <c r="BK1302" s="5"/>
      <c r="BL1302" s="5"/>
      <c r="BM1302" s="5"/>
    </row>
    <row r="1303" ht="15.75" customHeight="1">
      <c r="A1303" s="5"/>
      <c r="B1303" s="5"/>
      <c r="C1303" s="5"/>
      <c r="D1303" s="5"/>
      <c r="E1303" s="14"/>
      <c r="F1303" s="15"/>
      <c r="G1303" s="14"/>
      <c r="H1303" s="16"/>
      <c r="I1303" s="14"/>
      <c r="J1303" s="16"/>
      <c r="K1303" s="14"/>
      <c r="L1303" s="16"/>
      <c r="M1303" s="14"/>
      <c r="N1303" s="16"/>
      <c r="O1303" s="14"/>
      <c r="P1303" s="16"/>
      <c r="Q1303" s="14"/>
      <c r="R1303" s="5"/>
      <c r="S1303" s="14"/>
      <c r="T1303" s="16"/>
      <c r="U1303" s="16"/>
      <c r="V1303" s="17"/>
      <c r="W1303" s="6"/>
      <c r="X1303" s="22"/>
      <c r="Y1303" s="14"/>
      <c r="Z1303" s="14"/>
      <c r="AA1303" s="14"/>
      <c r="AB1303" s="14"/>
      <c r="AC1303" s="14"/>
      <c r="AD1303" s="14"/>
      <c r="AE1303" s="14"/>
      <c r="AF1303" s="14"/>
      <c r="AG1303" s="19"/>
      <c r="AH1303" s="20"/>
      <c r="AI1303" s="5"/>
      <c r="AJ1303" s="5"/>
      <c r="AK1303" s="5"/>
      <c r="AL1303" s="5"/>
      <c r="AM1303" s="5"/>
      <c r="AN1303" s="5"/>
      <c r="AO1303" s="5"/>
      <c r="AP1303" s="5"/>
      <c r="AQ1303" s="5"/>
      <c r="AR1303" s="5"/>
      <c r="AS1303" s="5"/>
      <c r="AT1303" s="5"/>
      <c r="AU1303" s="5"/>
      <c r="AV1303" s="5"/>
      <c r="AW1303" s="5"/>
      <c r="AX1303" s="5"/>
      <c r="AY1303" s="5"/>
      <c r="AZ1303" s="5"/>
      <c r="BA1303" s="5"/>
      <c r="BB1303" s="5"/>
      <c r="BC1303" s="5"/>
      <c r="BD1303" s="5"/>
      <c r="BE1303" s="5"/>
      <c r="BF1303" s="5"/>
      <c r="BG1303" s="5"/>
      <c r="BH1303" s="5"/>
      <c r="BI1303" s="5"/>
      <c r="BJ1303" s="5"/>
      <c r="BK1303" s="5"/>
      <c r="BL1303" s="5"/>
      <c r="BM1303" s="5"/>
    </row>
    <row r="1304" ht="15.75" customHeight="1">
      <c r="A1304" s="5"/>
      <c r="B1304" s="5"/>
      <c r="C1304" s="5"/>
      <c r="D1304" s="5"/>
      <c r="E1304" s="14"/>
      <c r="F1304" s="15"/>
      <c r="G1304" s="14"/>
      <c r="H1304" s="16"/>
      <c r="I1304" s="14"/>
      <c r="J1304" s="16"/>
      <c r="K1304" s="14"/>
      <c r="L1304" s="16"/>
      <c r="M1304" s="14"/>
      <c r="N1304" s="16"/>
      <c r="O1304" s="14"/>
      <c r="P1304" s="16"/>
      <c r="Q1304" s="14"/>
      <c r="R1304" s="5"/>
      <c r="S1304" s="14"/>
      <c r="T1304" s="16"/>
      <c r="U1304" s="16"/>
      <c r="V1304" s="17"/>
      <c r="W1304" s="6"/>
      <c r="X1304" s="22"/>
      <c r="Y1304" s="14"/>
      <c r="Z1304" s="14"/>
      <c r="AA1304" s="14"/>
      <c r="AB1304" s="14"/>
      <c r="AC1304" s="14"/>
      <c r="AD1304" s="14"/>
      <c r="AE1304" s="14"/>
      <c r="AF1304" s="14"/>
      <c r="AG1304" s="19"/>
      <c r="AH1304" s="20"/>
      <c r="AI1304" s="5"/>
      <c r="AJ1304" s="5"/>
      <c r="AK1304" s="5"/>
      <c r="AL1304" s="5"/>
      <c r="AM1304" s="5"/>
      <c r="AN1304" s="5"/>
      <c r="AO1304" s="5"/>
      <c r="AP1304" s="5"/>
      <c r="AQ1304" s="5"/>
      <c r="AR1304" s="5"/>
      <c r="AS1304" s="5"/>
      <c r="AT1304" s="5"/>
      <c r="AU1304" s="5"/>
      <c r="AV1304" s="5"/>
      <c r="AW1304" s="5"/>
      <c r="AX1304" s="5"/>
      <c r="AY1304" s="5"/>
      <c r="AZ1304" s="5"/>
      <c r="BA1304" s="5"/>
      <c r="BB1304" s="5"/>
      <c r="BC1304" s="5"/>
      <c r="BD1304" s="5"/>
      <c r="BE1304" s="5"/>
      <c r="BF1304" s="5"/>
      <c r="BG1304" s="5"/>
      <c r="BH1304" s="5"/>
      <c r="BI1304" s="5"/>
      <c r="BJ1304" s="5"/>
      <c r="BK1304" s="5"/>
      <c r="BL1304" s="5"/>
      <c r="BM1304" s="5"/>
    </row>
    <row r="1305" ht="15.75" customHeight="1">
      <c r="A1305" s="5"/>
      <c r="B1305" s="5"/>
      <c r="C1305" s="5"/>
      <c r="D1305" s="5"/>
      <c r="E1305" s="14"/>
      <c r="F1305" s="15"/>
      <c r="G1305" s="14"/>
      <c r="H1305" s="16"/>
      <c r="I1305" s="14"/>
      <c r="J1305" s="16"/>
      <c r="K1305" s="14"/>
      <c r="L1305" s="16"/>
      <c r="M1305" s="14"/>
      <c r="N1305" s="16"/>
      <c r="O1305" s="14"/>
      <c r="P1305" s="16"/>
      <c r="Q1305" s="14"/>
      <c r="R1305" s="5"/>
      <c r="S1305" s="14"/>
      <c r="T1305" s="16"/>
      <c r="U1305" s="16"/>
      <c r="V1305" s="17"/>
      <c r="W1305" s="6"/>
      <c r="X1305" s="22"/>
      <c r="Y1305" s="14"/>
      <c r="Z1305" s="14"/>
      <c r="AA1305" s="14"/>
      <c r="AB1305" s="14"/>
      <c r="AC1305" s="14"/>
      <c r="AD1305" s="14"/>
      <c r="AE1305" s="14"/>
      <c r="AF1305" s="14"/>
      <c r="AG1305" s="19"/>
      <c r="AH1305" s="20"/>
      <c r="AI1305" s="5"/>
      <c r="AJ1305" s="5"/>
      <c r="AK1305" s="5"/>
      <c r="AL1305" s="5"/>
      <c r="AM1305" s="5"/>
      <c r="AN1305" s="5"/>
      <c r="AO1305" s="5"/>
      <c r="AP1305" s="5"/>
      <c r="AQ1305" s="5"/>
      <c r="AR1305" s="5"/>
      <c r="AS1305" s="5"/>
      <c r="AT1305" s="5"/>
      <c r="AU1305" s="5"/>
      <c r="AV1305" s="5"/>
      <c r="AW1305" s="5"/>
      <c r="AX1305" s="5"/>
      <c r="AY1305" s="5"/>
      <c r="AZ1305" s="5"/>
      <c r="BA1305" s="5"/>
      <c r="BB1305" s="5"/>
      <c r="BC1305" s="5"/>
      <c r="BD1305" s="5"/>
      <c r="BE1305" s="5"/>
      <c r="BF1305" s="5"/>
      <c r="BG1305" s="5"/>
      <c r="BH1305" s="5"/>
      <c r="BI1305" s="5"/>
      <c r="BJ1305" s="5"/>
      <c r="BK1305" s="5"/>
      <c r="BL1305" s="5"/>
      <c r="BM1305" s="5"/>
    </row>
    <row r="1306" ht="15.75" customHeight="1">
      <c r="A1306" s="5"/>
      <c r="B1306" s="5"/>
      <c r="C1306" s="5"/>
      <c r="D1306" s="5"/>
      <c r="E1306" s="14"/>
      <c r="F1306" s="15"/>
      <c r="G1306" s="14"/>
      <c r="H1306" s="16"/>
      <c r="I1306" s="14"/>
      <c r="J1306" s="16"/>
      <c r="K1306" s="14"/>
      <c r="L1306" s="16"/>
      <c r="M1306" s="14"/>
      <c r="N1306" s="16"/>
      <c r="O1306" s="14"/>
      <c r="P1306" s="16"/>
      <c r="Q1306" s="14"/>
      <c r="R1306" s="5"/>
      <c r="S1306" s="14"/>
      <c r="T1306" s="16"/>
      <c r="U1306" s="16"/>
      <c r="V1306" s="17"/>
      <c r="W1306" s="6"/>
      <c r="X1306" s="22"/>
      <c r="Y1306" s="14"/>
      <c r="Z1306" s="14"/>
      <c r="AA1306" s="14"/>
      <c r="AB1306" s="14"/>
      <c r="AC1306" s="14"/>
      <c r="AD1306" s="14"/>
      <c r="AE1306" s="14"/>
      <c r="AF1306" s="14"/>
      <c r="AG1306" s="19"/>
      <c r="AH1306" s="20"/>
      <c r="AI1306" s="5"/>
      <c r="AJ1306" s="5"/>
      <c r="AK1306" s="5"/>
      <c r="AL1306" s="5"/>
      <c r="AM1306" s="5"/>
      <c r="AN1306" s="5"/>
      <c r="AO1306" s="5"/>
      <c r="AP1306" s="5"/>
      <c r="AQ1306" s="5"/>
      <c r="AR1306" s="5"/>
      <c r="AS1306" s="5"/>
      <c r="AT1306" s="5"/>
      <c r="AU1306" s="5"/>
      <c r="AV1306" s="5"/>
      <c r="AW1306" s="5"/>
      <c r="AX1306" s="5"/>
      <c r="AY1306" s="5"/>
      <c r="AZ1306" s="5"/>
      <c r="BA1306" s="5"/>
      <c r="BB1306" s="5"/>
      <c r="BC1306" s="5"/>
      <c r="BD1306" s="5"/>
      <c r="BE1306" s="5"/>
      <c r="BF1306" s="5"/>
      <c r="BG1306" s="5"/>
      <c r="BH1306" s="5"/>
      <c r="BI1306" s="5"/>
      <c r="BJ1306" s="5"/>
      <c r="BK1306" s="5"/>
      <c r="BL1306" s="5"/>
      <c r="BM1306" s="5"/>
    </row>
    <row r="1307" ht="15.75" customHeight="1">
      <c r="A1307" s="5"/>
      <c r="B1307" s="5"/>
      <c r="C1307" s="5"/>
      <c r="D1307" s="5"/>
      <c r="E1307" s="14"/>
      <c r="F1307" s="15"/>
      <c r="G1307" s="14"/>
      <c r="H1307" s="16"/>
      <c r="I1307" s="14"/>
      <c r="J1307" s="16"/>
      <c r="K1307" s="14"/>
      <c r="L1307" s="16"/>
      <c r="M1307" s="14"/>
      <c r="N1307" s="16"/>
      <c r="O1307" s="14"/>
      <c r="P1307" s="16"/>
      <c r="Q1307" s="14"/>
      <c r="R1307" s="5"/>
      <c r="S1307" s="14"/>
      <c r="T1307" s="16"/>
      <c r="U1307" s="16"/>
      <c r="V1307" s="17"/>
      <c r="W1307" s="6"/>
      <c r="X1307" s="22"/>
      <c r="Y1307" s="14"/>
      <c r="Z1307" s="14"/>
      <c r="AA1307" s="14"/>
      <c r="AB1307" s="14"/>
      <c r="AC1307" s="14"/>
      <c r="AD1307" s="14"/>
      <c r="AE1307" s="14"/>
      <c r="AF1307" s="14"/>
      <c r="AG1307" s="19"/>
      <c r="AH1307" s="20"/>
      <c r="AI1307" s="5"/>
      <c r="AJ1307" s="5"/>
      <c r="AK1307" s="5"/>
      <c r="AL1307" s="5"/>
      <c r="AM1307" s="5"/>
      <c r="AN1307" s="5"/>
      <c r="AO1307" s="5"/>
      <c r="AP1307" s="5"/>
      <c r="AQ1307" s="5"/>
      <c r="AR1307" s="5"/>
      <c r="AS1307" s="5"/>
      <c r="AT1307" s="5"/>
      <c r="AU1307" s="5"/>
      <c r="AV1307" s="5"/>
      <c r="AW1307" s="5"/>
      <c r="AX1307" s="5"/>
      <c r="AY1307" s="5"/>
      <c r="AZ1307" s="5"/>
      <c r="BA1307" s="5"/>
      <c r="BB1307" s="5"/>
      <c r="BC1307" s="5"/>
      <c r="BD1307" s="5"/>
      <c r="BE1307" s="5"/>
      <c r="BF1307" s="5"/>
      <c r="BG1307" s="5"/>
      <c r="BH1307" s="5"/>
      <c r="BI1307" s="5"/>
      <c r="BJ1307" s="5"/>
      <c r="BK1307" s="5"/>
      <c r="BL1307" s="5"/>
      <c r="BM1307" s="5"/>
    </row>
    <row r="1308" ht="15.75" customHeight="1">
      <c r="A1308" s="5"/>
      <c r="B1308" s="5"/>
      <c r="C1308" s="5"/>
      <c r="D1308" s="5"/>
      <c r="E1308" s="14"/>
      <c r="F1308" s="15"/>
      <c r="G1308" s="14"/>
      <c r="H1308" s="16"/>
      <c r="I1308" s="14"/>
      <c r="J1308" s="16"/>
      <c r="K1308" s="14"/>
      <c r="L1308" s="16"/>
      <c r="M1308" s="14"/>
      <c r="N1308" s="16"/>
      <c r="O1308" s="14"/>
      <c r="P1308" s="16"/>
      <c r="Q1308" s="14"/>
      <c r="R1308" s="5"/>
      <c r="S1308" s="14"/>
      <c r="T1308" s="16"/>
      <c r="U1308" s="16"/>
      <c r="V1308" s="17"/>
      <c r="W1308" s="6"/>
      <c r="X1308" s="22"/>
      <c r="Y1308" s="14"/>
      <c r="Z1308" s="14"/>
      <c r="AA1308" s="14"/>
      <c r="AB1308" s="14"/>
      <c r="AC1308" s="14"/>
      <c r="AD1308" s="14"/>
      <c r="AE1308" s="14"/>
      <c r="AF1308" s="14"/>
      <c r="AG1308" s="19"/>
      <c r="AH1308" s="20"/>
      <c r="AI1308" s="5"/>
      <c r="AJ1308" s="5"/>
      <c r="AK1308" s="5"/>
      <c r="AL1308" s="5"/>
      <c r="AM1308" s="5"/>
      <c r="AN1308" s="5"/>
      <c r="AO1308" s="5"/>
      <c r="AP1308" s="5"/>
      <c r="AQ1308" s="5"/>
      <c r="AR1308" s="5"/>
      <c r="AS1308" s="5"/>
      <c r="AT1308" s="5"/>
      <c r="AU1308" s="5"/>
      <c r="AV1308" s="5"/>
      <c r="AW1308" s="5"/>
      <c r="AX1308" s="5"/>
      <c r="AY1308" s="5"/>
      <c r="AZ1308" s="5"/>
      <c r="BA1308" s="5"/>
      <c r="BB1308" s="5"/>
      <c r="BC1308" s="5"/>
      <c r="BD1308" s="5"/>
      <c r="BE1308" s="5"/>
      <c r="BF1308" s="5"/>
      <c r="BG1308" s="5"/>
      <c r="BH1308" s="5"/>
      <c r="BI1308" s="5"/>
      <c r="BJ1308" s="5"/>
      <c r="BK1308" s="5"/>
      <c r="BL1308" s="5"/>
      <c r="BM1308" s="5"/>
    </row>
    <row r="1309" ht="15.75" customHeight="1">
      <c r="A1309" s="5"/>
      <c r="B1309" s="5"/>
      <c r="C1309" s="5"/>
      <c r="D1309" s="5"/>
      <c r="E1309" s="14"/>
      <c r="F1309" s="15"/>
      <c r="G1309" s="14"/>
      <c r="H1309" s="16"/>
      <c r="I1309" s="14"/>
      <c r="J1309" s="16"/>
      <c r="K1309" s="14"/>
      <c r="L1309" s="16"/>
      <c r="M1309" s="14"/>
      <c r="N1309" s="16"/>
      <c r="O1309" s="14"/>
      <c r="P1309" s="16"/>
      <c r="Q1309" s="14"/>
      <c r="R1309" s="5"/>
      <c r="S1309" s="14"/>
      <c r="T1309" s="16"/>
      <c r="U1309" s="16"/>
      <c r="V1309" s="17"/>
      <c r="W1309" s="6"/>
      <c r="X1309" s="22"/>
      <c r="Y1309" s="14"/>
      <c r="Z1309" s="14"/>
      <c r="AA1309" s="14"/>
      <c r="AB1309" s="14"/>
      <c r="AC1309" s="14"/>
      <c r="AD1309" s="14"/>
      <c r="AE1309" s="14"/>
      <c r="AF1309" s="14"/>
      <c r="AG1309" s="19"/>
      <c r="AH1309" s="20"/>
      <c r="AI1309" s="5"/>
      <c r="AJ1309" s="5"/>
      <c r="AK1309" s="5"/>
      <c r="AL1309" s="5"/>
      <c r="AM1309" s="5"/>
      <c r="AN1309" s="5"/>
      <c r="AO1309" s="5"/>
      <c r="AP1309" s="5"/>
      <c r="AQ1309" s="5"/>
      <c r="AR1309" s="5"/>
      <c r="AS1309" s="5"/>
      <c r="AT1309" s="5"/>
      <c r="AU1309" s="5"/>
      <c r="AV1309" s="5"/>
      <c r="AW1309" s="5"/>
      <c r="AX1309" s="5"/>
      <c r="AY1309" s="5"/>
      <c r="AZ1309" s="5"/>
      <c r="BA1309" s="5"/>
      <c r="BB1309" s="5"/>
      <c r="BC1309" s="5"/>
      <c r="BD1309" s="5"/>
      <c r="BE1309" s="5"/>
      <c r="BF1309" s="5"/>
      <c r="BG1309" s="5"/>
      <c r="BH1309" s="5"/>
      <c r="BI1309" s="5"/>
      <c r="BJ1309" s="5"/>
      <c r="BK1309" s="5"/>
      <c r="BL1309" s="5"/>
      <c r="BM1309" s="5"/>
    </row>
    <row r="1310" ht="15.75" customHeight="1">
      <c r="A1310" s="5"/>
      <c r="B1310" s="5"/>
      <c r="C1310" s="5"/>
      <c r="D1310" s="5"/>
      <c r="E1310" s="14"/>
      <c r="F1310" s="15"/>
      <c r="G1310" s="14"/>
      <c r="H1310" s="16"/>
      <c r="I1310" s="14"/>
      <c r="J1310" s="16"/>
      <c r="K1310" s="14"/>
      <c r="L1310" s="16"/>
      <c r="M1310" s="14"/>
      <c r="N1310" s="16"/>
      <c r="O1310" s="14"/>
      <c r="P1310" s="16"/>
      <c r="Q1310" s="14"/>
      <c r="R1310" s="5"/>
      <c r="S1310" s="14"/>
      <c r="T1310" s="16"/>
      <c r="U1310" s="16"/>
      <c r="V1310" s="17"/>
      <c r="W1310" s="6"/>
      <c r="X1310" s="22"/>
      <c r="Y1310" s="14"/>
      <c r="Z1310" s="14"/>
      <c r="AA1310" s="14"/>
      <c r="AB1310" s="14"/>
      <c r="AC1310" s="14"/>
      <c r="AD1310" s="14"/>
      <c r="AE1310" s="14"/>
      <c r="AF1310" s="14"/>
      <c r="AG1310" s="19"/>
      <c r="AH1310" s="20"/>
      <c r="AI1310" s="5"/>
      <c r="AJ1310" s="5"/>
      <c r="AK1310" s="5"/>
      <c r="AL1310" s="5"/>
      <c r="AM1310" s="5"/>
      <c r="AN1310" s="5"/>
      <c r="AO1310" s="5"/>
      <c r="AP1310" s="5"/>
      <c r="AQ1310" s="5"/>
      <c r="AR1310" s="5"/>
      <c r="AS1310" s="5"/>
      <c r="AT1310" s="5"/>
      <c r="AU1310" s="5"/>
      <c r="AV1310" s="5"/>
      <c r="AW1310" s="5"/>
      <c r="AX1310" s="5"/>
      <c r="AY1310" s="5"/>
      <c r="AZ1310" s="5"/>
      <c r="BA1310" s="5"/>
      <c r="BB1310" s="5"/>
      <c r="BC1310" s="5"/>
      <c r="BD1310" s="5"/>
      <c r="BE1310" s="5"/>
      <c r="BF1310" s="5"/>
      <c r="BG1310" s="5"/>
      <c r="BH1310" s="5"/>
      <c r="BI1310" s="5"/>
      <c r="BJ1310" s="5"/>
      <c r="BK1310" s="5"/>
      <c r="BL1310" s="5"/>
      <c r="BM1310" s="5"/>
    </row>
    <row r="1311" ht="15.75" customHeight="1">
      <c r="A1311" s="5"/>
      <c r="B1311" s="5"/>
      <c r="C1311" s="5"/>
      <c r="D1311" s="5"/>
      <c r="E1311" s="14"/>
      <c r="F1311" s="15"/>
      <c r="G1311" s="14"/>
      <c r="H1311" s="16"/>
      <c r="I1311" s="14"/>
      <c r="J1311" s="16"/>
      <c r="K1311" s="14"/>
      <c r="L1311" s="16"/>
      <c r="M1311" s="14"/>
      <c r="N1311" s="16"/>
      <c r="O1311" s="14"/>
      <c r="P1311" s="16"/>
      <c r="Q1311" s="14"/>
      <c r="R1311" s="5"/>
      <c r="S1311" s="14"/>
      <c r="T1311" s="16"/>
      <c r="U1311" s="16"/>
      <c r="V1311" s="17"/>
      <c r="W1311" s="6"/>
      <c r="X1311" s="22"/>
      <c r="Y1311" s="14"/>
      <c r="Z1311" s="14"/>
      <c r="AA1311" s="14"/>
      <c r="AB1311" s="14"/>
      <c r="AC1311" s="14"/>
      <c r="AD1311" s="14"/>
      <c r="AE1311" s="14"/>
      <c r="AF1311" s="14"/>
      <c r="AG1311" s="19"/>
      <c r="AH1311" s="20"/>
      <c r="AI1311" s="5"/>
      <c r="AJ1311" s="5"/>
      <c r="AK1311" s="5"/>
      <c r="AL1311" s="5"/>
      <c r="AM1311" s="5"/>
      <c r="AN1311" s="5"/>
      <c r="AO1311" s="5"/>
      <c r="AP1311" s="5"/>
      <c r="AQ1311" s="5"/>
      <c r="AR1311" s="5"/>
      <c r="AS1311" s="5"/>
      <c r="AT1311" s="5"/>
      <c r="AU1311" s="5"/>
      <c r="AV1311" s="5"/>
      <c r="AW1311" s="5"/>
      <c r="AX1311" s="5"/>
      <c r="AY1311" s="5"/>
      <c r="AZ1311" s="5"/>
      <c r="BA1311" s="5"/>
      <c r="BB1311" s="5"/>
      <c r="BC1311" s="5"/>
      <c r="BD1311" s="5"/>
      <c r="BE1311" s="5"/>
      <c r="BF1311" s="5"/>
      <c r="BG1311" s="5"/>
      <c r="BH1311" s="5"/>
      <c r="BI1311" s="5"/>
      <c r="BJ1311" s="5"/>
      <c r="BK1311" s="5"/>
      <c r="BL1311" s="5"/>
      <c r="BM1311" s="5"/>
    </row>
    <row r="1312" ht="15.75" customHeight="1">
      <c r="A1312" s="5"/>
      <c r="B1312" s="5"/>
      <c r="C1312" s="5"/>
      <c r="D1312" s="5"/>
      <c r="E1312" s="14"/>
      <c r="F1312" s="15"/>
      <c r="G1312" s="14"/>
      <c r="H1312" s="16"/>
      <c r="I1312" s="14"/>
      <c r="J1312" s="16"/>
      <c r="K1312" s="14"/>
      <c r="L1312" s="16"/>
      <c r="M1312" s="14"/>
      <c r="N1312" s="16"/>
      <c r="O1312" s="14"/>
      <c r="P1312" s="16"/>
      <c r="Q1312" s="14"/>
      <c r="R1312" s="5"/>
      <c r="S1312" s="14"/>
      <c r="T1312" s="16"/>
      <c r="U1312" s="16"/>
      <c r="V1312" s="17"/>
      <c r="W1312" s="6"/>
      <c r="X1312" s="22"/>
      <c r="Y1312" s="14"/>
      <c r="Z1312" s="14"/>
      <c r="AA1312" s="14"/>
      <c r="AB1312" s="14"/>
      <c r="AC1312" s="14"/>
      <c r="AD1312" s="14"/>
      <c r="AE1312" s="14"/>
      <c r="AF1312" s="14"/>
      <c r="AG1312" s="19"/>
      <c r="AH1312" s="20"/>
      <c r="AI1312" s="5"/>
      <c r="AJ1312" s="5"/>
      <c r="AK1312" s="5"/>
      <c r="AL1312" s="5"/>
      <c r="AM1312" s="5"/>
      <c r="AN1312" s="5"/>
      <c r="AO1312" s="5"/>
      <c r="AP1312" s="5"/>
      <c r="AQ1312" s="5"/>
      <c r="AR1312" s="5"/>
      <c r="AS1312" s="5"/>
      <c r="AT1312" s="5"/>
      <c r="AU1312" s="5"/>
      <c r="AV1312" s="5"/>
      <c r="AW1312" s="5"/>
      <c r="AX1312" s="5"/>
      <c r="AY1312" s="5"/>
      <c r="AZ1312" s="5"/>
      <c r="BA1312" s="5"/>
      <c r="BB1312" s="5"/>
      <c r="BC1312" s="5"/>
      <c r="BD1312" s="5"/>
      <c r="BE1312" s="5"/>
      <c r="BF1312" s="5"/>
      <c r="BG1312" s="5"/>
      <c r="BH1312" s="5"/>
      <c r="BI1312" s="5"/>
      <c r="BJ1312" s="5"/>
      <c r="BK1312" s="5"/>
      <c r="BL1312" s="5"/>
      <c r="BM1312" s="5"/>
    </row>
    <row r="1313" ht="15.75" customHeight="1">
      <c r="A1313" s="5"/>
      <c r="B1313" s="5"/>
      <c r="C1313" s="5"/>
      <c r="D1313" s="5"/>
      <c r="E1313" s="14"/>
      <c r="F1313" s="15"/>
      <c r="G1313" s="14"/>
      <c r="H1313" s="16"/>
      <c r="I1313" s="14"/>
      <c r="J1313" s="16"/>
      <c r="K1313" s="14"/>
      <c r="L1313" s="16"/>
      <c r="M1313" s="14"/>
      <c r="N1313" s="16"/>
      <c r="O1313" s="14"/>
      <c r="P1313" s="16"/>
      <c r="Q1313" s="14"/>
      <c r="R1313" s="5"/>
      <c r="S1313" s="14"/>
      <c r="T1313" s="16"/>
      <c r="U1313" s="16"/>
      <c r="V1313" s="17"/>
      <c r="W1313" s="6"/>
      <c r="X1313" s="22"/>
      <c r="Y1313" s="14"/>
      <c r="Z1313" s="14"/>
      <c r="AA1313" s="14"/>
      <c r="AB1313" s="14"/>
      <c r="AC1313" s="14"/>
      <c r="AD1313" s="14"/>
      <c r="AE1313" s="14"/>
      <c r="AF1313" s="14"/>
      <c r="AG1313" s="19"/>
      <c r="AH1313" s="20"/>
      <c r="AI1313" s="5"/>
      <c r="AJ1313" s="5"/>
      <c r="AK1313" s="5"/>
      <c r="AL1313" s="5"/>
      <c r="AM1313" s="5"/>
      <c r="AN1313" s="5"/>
      <c r="AO1313" s="5"/>
      <c r="AP1313" s="5"/>
      <c r="AQ1313" s="5"/>
      <c r="AR1313" s="5"/>
      <c r="AS1313" s="5"/>
      <c r="AT1313" s="5"/>
      <c r="AU1313" s="5"/>
      <c r="AV1313" s="5"/>
      <c r="AW1313" s="5"/>
      <c r="AX1313" s="5"/>
      <c r="AY1313" s="5"/>
      <c r="AZ1313" s="5"/>
      <c r="BA1313" s="5"/>
      <c r="BB1313" s="5"/>
      <c r="BC1313" s="5"/>
      <c r="BD1313" s="5"/>
      <c r="BE1313" s="5"/>
      <c r="BF1313" s="5"/>
      <c r="BG1313" s="5"/>
      <c r="BH1313" s="5"/>
      <c r="BI1313" s="5"/>
      <c r="BJ1313" s="5"/>
      <c r="BK1313" s="5"/>
      <c r="BL1313" s="5"/>
      <c r="BM1313" s="5"/>
    </row>
    <row r="1314" ht="15.75" customHeight="1">
      <c r="A1314" s="5"/>
      <c r="B1314" s="5"/>
      <c r="C1314" s="5"/>
      <c r="D1314" s="5"/>
      <c r="E1314" s="14"/>
      <c r="F1314" s="15"/>
      <c r="G1314" s="14"/>
      <c r="H1314" s="16"/>
      <c r="I1314" s="14"/>
      <c r="J1314" s="16"/>
      <c r="K1314" s="14"/>
      <c r="L1314" s="16"/>
      <c r="M1314" s="14"/>
      <c r="N1314" s="16"/>
      <c r="O1314" s="14"/>
      <c r="P1314" s="16"/>
      <c r="Q1314" s="14"/>
      <c r="R1314" s="5"/>
      <c r="S1314" s="14"/>
      <c r="T1314" s="16"/>
      <c r="U1314" s="16"/>
      <c r="V1314" s="17"/>
      <c r="W1314" s="6"/>
      <c r="X1314" s="22"/>
      <c r="Y1314" s="14"/>
      <c r="Z1314" s="14"/>
      <c r="AA1314" s="14"/>
      <c r="AB1314" s="14"/>
      <c r="AC1314" s="14"/>
      <c r="AD1314" s="14"/>
      <c r="AE1314" s="14"/>
      <c r="AF1314" s="14"/>
      <c r="AG1314" s="19"/>
      <c r="AH1314" s="20"/>
      <c r="AI1314" s="5"/>
      <c r="AJ1314" s="5"/>
      <c r="AK1314" s="5"/>
      <c r="AL1314" s="5"/>
      <c r="AM1314" s="5"/>
      <c r="AN1314" s="5"/>
      <c r="AO1314" s="5"/>
      <c r="AP1314" s="5"/>
      <c r="AQ1314" s="5"/>
      <c r="AR1314" s="5"/>
      <c r="AS1314" s="5"/>
      <c r="AT1314" s="5"/>
      <c r="AU1314" s="5"/>
      <c r="AV1314" s="5"/>
      <c r="AW1314" s="5"/>
      <c r="AX1314" s="5"/>
      <c r="AY1314" s="5"/>
      <c r="AZ1314" s="5"/>
      <c r="BA1314" s="5"/>
      <c r="BB1314" s="5"/>
      <c r="BC1314" s="5"/>
      <c r="BD1314" s="5"/>
      <c r="BE1314" s="5"/>
      <c r="BF1314" s="5"/>
      <c r="BG1314" s="5"/>
      <c r="BH1314" s="5"/>
      <c r="BI1314" s="5"/>
      <c r="BJ1314" s="5"/>
      <c r="BK1314" s="5"/>
      <c r="BL1314" s="5"/>
      <c r="BM1314" s="5"/>
    </row>
    <row r="1315" ht="15.75" customHeight="1">
      <c r="A1315" s="5"/>
      <c r="B1315" s="5"/>
      <c r="C1315" s="5"/>
      <c r="D1315" s="5"/>
      <c r="E1315" s="14"/>
      <c r="F1315" s="15"/>
      <c r="G1315" s="14"/>
      <c r="H1315" s="16"/>
      <c r="I1315" s="14"/>
      <c r="J1315" s="16"/>
      <c r="K1315" s="14"/>
      <c r="L1315" s="16"/>
      <c r="M1315" s="14"/>
      <c r="N1315" s="16"/>
      <c r="O1315" s="14"/>
      <c r="P1315" s="16"/>
      <c r="Q1315" s="14"/>
      <c r="R1315" s="5"/>
      <c r="S1315" s="14"/>
      <c r="T1315" s="16"/>
      <c r="U1315" s="16"/>
      <c r="V1315" s="17"/>
      <c r="W1315" s="6"/>
      <c r="X1315" s="22"/>
      <c r="Y1315" s="14"/>
      <c r="Z1315" s="14"/>
      <c r="AA1315" s="14"/>
      <c r="AB1315" s="14"/>
      <c r="AC1315" s="14"/>
      <c r="AD1315" s="14"/>
      <c r="AE1315" s="14"/>
      <c r="AF1315" s="14"/>
      <c r="AG1315" s="19"/>
      <c r="AH1315" s="20"/>
      <c r="AI1315" s="5"/>
      <c r="AJ1315" s="5"/>
      <c r="AK1315" s="5"/>
      <c r="AL1315" s="5"/>
      <c r="AM1315" s="5"/>
      <c r="AN1315" s="5"/>
      <c r="AO1315" s="5"/>
      <c r="AP1315" s="5"/>
      <c r="AQ1315" s="5"/>
      <c r="AR1315" s="5"/>
      <c r="AS1315" s="5"/>
      <c r="AT1315" s="5"/>
      <c r="AU1315" s="5"/>
      <c r="AV1315" s="5"/>
      <c r="AW1315" s="5"/>
      <c r="AX1315" s="5"/>
      <c r="AY1315" s="5"/>
      <c r="AZ1315" s="5"/>
      <c r="BA1315" s="5"/>
      <c r="BB1315" s="5"/>
      <c r="BC1315" s="5"/>
      <c r="BD1315" s="5"/>
      <c r="BE1315" s="5"/>
      <c r="BF1315" s="5"/>
      <c r="BG1315" s="5"/>
      <c r="BH1315" s="5"/>
      <c r="BI1315" s="5"/>
      <c r="BJ1315" s="5"/>
      <c r="BK1315" s="5"/>
      <c r="BL1315" s="5"/>
      <c r="BM1315" s="5"/>
    </row>
    <row r="1316" ht="15.75" customHeight="1">
      <c r="A1316" s="5"/>
      <c r="B1316" s="5"/>
      <c r="C1316" s="5"/>
      <c r="D1316" s="5"/>
      <c r="E1316" s="14"/>
      <c r="F1316" s="15"/>
      <c r="G1316" s="14"/>
      <c r="H1316" s="16"/>
      <c r="I1316" s="14"/>
      <c r="J1316" s="16"/>
      <c r="K1316" s="14"/>
      <c r="L1316" s="16"/>
      <c r="M1316" s="14"/>
      <c r="N1316" s="16"/>
      <c r="O1316" s="14"/>
      <c r="P1316" s="16"/>
      <c r="Q1316" s="14"/>
      <c r="R1316" s="5"/>
      <c r="S1316" s="14"/>
      <c r="T1316" s="16"/>
      <c r="U1316" s="16"/>
      <c r="V1316" s="17"/>
      <c r="W1316" s="6"/>
      <c r="X1316" s="22"/>
      <c r="Y1316" s="14"/>
      <c r="Z1316" s="14"/>
      <c r="AA1316" s="14"/>
      <c r="AB1316" s="14"/>
      <c r="AC1316" s="14"/>
      <c r="AD1316" s="14"/>
      <c r="AE1316" s="14"/>
      <c r="AF1316" s="14"/>
      <c r="AG1316" s="19"/>
      <c r="AH1316" s="20"/>
      <c r="AI1316" s="5"/>
      <c r="AJ1316" s="5"/>
      <c r="AK1316" s="5"/>
      <c r="AL1316" s="5"/>
      <c r="AM1316" s="5"/>
      <c r="AN1316" s="5"/>
      <c r="AO1316" s="5"/>
      <c r="AP1316" s="5"/>
      <c r="AQ1316" s="5"/>
      <c r="AR1316" s="5"/>
      <c r="AS1316" s="5"/>
      <c r="AT1316" s="5"/>
      <c r="AU1316" s="5"/>
      <c r="AV1316" s="5"/>
      <c r="AW1316" s="5"/>
      <c r="AX1316" s="5"/>
      <c r="AY1316" s="5"/>
      <c r="AZ1316" s="5"/>
      <c r="BA1316" s="5"/>
      <c r="BB1316" s="5"/>
      <c r="BC1316" s="5"/>
      <c r="BD1316" s="5"/>
      <c r="BE1316" s="5"/>
      <c r="BF1316" s="5"/>
      <c r="BG1316" s="5"/>
      <c r="BH1316" s="5"/>
      <c r="BI1316" s="5"/>
      <c r="BJ1316" s="5"/>
      <c r="BK1316" s="5"/>
      <c r="BL1316" s="5"/>
      <c r="BM1316" s="5"/>
    </row>
    <row r="1317" ht="15.75" customHeight="1">
      <c r="A1317" s="5"/>
      <c r="B1317" s="5"/>
      <c r="C1317" s="5"/>
      <c r="D1317" s="5"/>
      <c r="E1317" s="14"/>
      <c r="F1317" s="15"/>
      <c r="G1317" s="14"/>
      <c r="H1317" s="16"/>
      <c r="I1317" s="14"/>
      <c r="J1317" s="16"/>
      <c r="K1317" s="14"/>
      <c r="L1317" s="16"/>
      <c r="M1317" s="14"/>
      <c r="N1317" s="16"/>
      <c r="O1317" s="14"/>
      <c r="P1317" s="16"/>
      <c r="Q1317" s="14"/>
      <c r="R1317" s="5"/>
      <c r="S1317" s="14"/>
      <c r="T1317" s="16"/>
      <c r="U1317" s="16"/>
      <c r="V1317" s="17"/>
      <c r="W1317" s="6"/>
      <c r="X1317" s="22"/>
      <c r="Y1317" s="14"/>
      <c r="Z1317" s="14"/>
      <c r="AA1317" s="14"/>
      <c r="AB1317" s="14"/>
      <c r="AC1317" s="14"/>
      <c r="AD1317" s="14"/>
      <c r="AE1317" s="14"/>
      <c r="AF1317" s="14"/>
      <c r="AG1317" s="19"/>
      <c r="AH1317" s="20"/>
      <c r="AI1317" s="5"/>
      <c r="AJ1317" s="5"/>
      <c r="AK1317" s="5"/>
      <c r="AL1317" s="5"/>
      <c r="AM1317" s="5"/>
      <c r="AN1317" s="5"/>
      <c r="AO1317" s="5"/>
      <c r="AP1317" s="5"/>
      <c r="AQ1317" s="5"/>
      <c r="AR1317" s="5"/>
      <c r="AS1317" s="5"/>
      <c r="AT1317" s="5"/>
      <c r="AU1317" s="5"/>
      <c r="AV1317" s="5"/>
      <c r="AW1317" s="5"/>
      <c r="AX1317" s="5"/>
      <c r="AY1317" s="5"/>
      <c r="AZ1317" s="5"/>
      <c r="BA1317" s="5"/>
      <c r="BB1317" s="5"/>
      <c r="BC1317" s="5"/>
      <c r="BD1317" s="5"/>
      <c r="BE1317" s="5"/>
      <c r="BF1317" s="5"/>
      <c r="BG1317" s="5"/>
      <c r="BH1317" s="5"/>
      <c r="BI1317" s="5"/>
      <c r="BJ1317" s="5"/>
      <c r="BK1317" s="5"/>
      <c r="BL1317" s="5"/>
      <c r="BM1317" s="5"/>
    </row>
    <row r="1318" ht="15.75" customHeight="1">
      <c r="A1318" s="5"/>
      <c r="B1318" s="5"/>
      <c r="C1318" s="5"/>
      <c r="D1318" s="5"/>
      <c r="E1318" s="14"/>
      <c r="F1318" s="15"/>
      <c r="G1318" s="14"/>
      <c r="H1318" s="16"/>
      <c r="I1318" s="14"/>
      <c r="J1318" s="16"/>
      <c r="K1318" s="14"/>
      <c r="L1318" s="16"/>
      <c r="M1318" s="14"/>
      <c r="N1318" s="16"/>
      <c r="O1318" s="14"/>
      <c r="P1318" s="16"/>
      <c r="Q1318" s="14"/>
      <c r="R1318" s="5"/>
      <c r="S1318" s="14"/>
      <c r="T1318" s="16"/>
      <c r="U1318" s="16"/>
      <c r="V1318" s="17"/>
      <c r="W1318" s="6"/>
      <c r="X1318" s="22"/>
      <c r="Y1318" s="14"/>
      <c r="Z1318" s="14"/>
      <c r="AA1318" s="14"/>
      <c r="AB1318" s="14"/>
      <c r="AC1318" s="14"/>
      <c r="AD1318" s="14"/>
      <c r="AE1318" s="14"/>
      <c r="AF1318" s="14"/>
      <c r="AG1318" s="19"/>
      <c r="AH1318" s="20"/>
      <c r="AI1318" s="5"/>
      <c r="AJ1318" s="5"/>
      <c r="AK1318" s="5"/>
      <c r="AL1318" s="5"/>
      <c r="AM1318" s="5"/>
      <c r="AN1318" s="5"/>
      <c r="AO1318" s="5"/>
      <c r="AP1318" s="5"/>
      <c r="AQ1318" s="5"/>
      <c r="AR1318" s="5"/>
      <c r="AS1318" s="5"/>
      <c r="AT1318" s="5"/>
      <c r="AU1318" s="5"/>
      <c r="AV1318" s="5"/>
      <c r="AW1318" s="5"/>
      <c r="AX1318" s="5"/>
      <c r="AY1318" s="5"/>
      <c r="AZ1318" s="5"/>
      <c r="BA1318" s="5"/>
      <c r="BB1318" s="5"/>
      <c r="BC1318" s="5"/>
      <c r="BD1318" s="5"/>
      <c r="BE1318" s="5"/>
      <c r="BF1318" s="5"/>
      <c r="BG1318" s="5"/>
      <c r="BH1318" s="5"/>
      <c r="BI1318" s="5"/>
      <c r="BJ1318" s="5"/>
      <c r="BK1318" s="5"/>
      <c r="BL1318" s="5"/>
      <c r="BM1318" s="5"/>
    </row>
    <row r="1319" ht="15.75" customHeight="1">
      <c r="A1319" s="5"/>
      <c r="B1319" s="5"/>
      <c r="C1319" s="5"/>
      <c r="D1319" s="5"/>
      <c r="E1319" s="14"/>
      <c r="F1319" s="15"/>
      <c r="G1319" s="14"/>
      <c r="H1319" s="16"/>
      <c r="I1319" s="14"/>
      <c r="J1319" s="16"/>
      <c r="K1319" s="14"/>
      <c r="L1319" s="16"/>
      <c r="M1319" s="14"/>
      <c r="N1319" s="16"/>
      <c r="O1319" s="14"/>
      <c r="P1319" s="16"/>
      <c r="Q1319" s="14"/>
      <c r="R1319" s="5"/>
      <c r="S1319" s="14"/>
      <c r="T1319" s="16"/>
      <c r="U1319" s="16"/>
      <c r="V1319" s="17"/>
      <c r="W1319" s="6"/>
      <c r="X1319" s="22"/>
      <c r="Y1319" s="14"/>
      <c r="Z1319" s="14"/>
      <c r="AA1319" s="14"/>
      <c r="AB1319" s="14"/>
      <c r="AC1319" s="14"/>
      <c r="AD1319" s="14"/>
      <c r="AE1319" s="14"/>
      <c r="AF1319" s="14"/>
      <c r="AG1319" s="19"/>
      <c r="AH1319" s="20"/>
      <c r="AI1319" s="5"/>
      <c r="AJ1319" s="5"/>
      <c r="AK1319" s="5"/>
      <c r="AL1319" s="5"/>
      <c r="AM1319" s="5"/>
      <c r="AN1319" s="5"/>
      <c r="AO1319" s="5"/>
      <c r="AP1319" s="5"/>
      <c r="AQ1319" s="5"/>
      <c r="AR1319" s="5"/>
      <c r="AS1319" s="5"/>
      <c r="AT1319" s="5"/>
      <c r="AU1319" s="5"/>
      <c r="AV1319" s="5"/>
      <c r="AW1319" s="5"/>
      <c r="AX1319" s="5"/>
      <c r="AY1319" s="5"/>
      <c r="AZ1319" s="5"/>
      <c r="BA1319" s="5"/>
      <c r="BB1319" s="5"/>
      <c r="BC1319" s="5"/>
      <c r="BD1319" s="5"/>
      <c r="BE1319" s="5"/>
      <c r="BF1319" s="5"/>
      <c r="BG1319" s="5"/>
      <c r="BH1319" s="5"/>
      <c r="BI1319" s="5"/>
      <c r="BJ1319" s="5"/>
      <c r="BK1319" s="5"/>
      <c r="BL1319" s="5"/>
      <c r="BM1319" s="5"/>
    </row>
    <row r="1320" ht="15.75" customHeight="1">
      <c r="A1320" s="5"/>
      <c r="B1320" s="5"/>
      <c r="C1320" s="5"/>
      <c r="D1320" s="5"/>
      <c r="E1320" s="14"/>
      <c r="F1320" s="15"/>
      <c r="G1320" s="14"/>
      <c r="H1320" s="16"/>
      <c r="I1320" s="14"/>
      <c r="J1320" s="16"/>
      <c r="K1320" s="14"/>
      <c r="L1320" s="16"/>
      <c r="M1320" s="14"/>
      <c r="N1320" s="16"/>
      <c r="O1320" s="14"/>
      <c r="P1320" s="16"/>
      <c r="Q1320" s="14"/>
      <c r="R1320" s="5"/>
      <c r="S1320" s="14"/>
      <c r="T1320" s="16"/>
      <c r="U1320" s="16"/>
      <c r="V1320" s="17"/>
      <c r="W1320" s="6"/>
      <c r="X1320" s="22"/>
      <c r="Y1320" s="14"/>
      <c r="Z1320" s="14"/>
      <c r="AA1320" s="14"/>
      <c r="AB1320" s="14"/>
      <c r="AC1320" s="14"/>
      <c r="AD1320" s="14"/>
      <c r="AE1320" s="14"/>
      <c r="AF1320" s="14"/>
      <c r="AG1320" s="19"/>
      <c r="AH1320" s="20"/>
      <c r="AI1320" s="5"/>
      <c r="AJ1320" s="5"/>
      <c r="AK1320" s="5"/>
      <c r="AL1320" s="5"/>
      <c r="AM1320" s="5"/>
      <c r="AN1320" s="5"/>
      <c r="AO1320" s="5"/>
      <c r="AP1320" s="5"/>
      <c r="AQ1320" s="5"/>
      <c r="AR1320" s="5"/>
      <c r="AS1320" s="5"/>
      <c r="AT1320" s="5"/>
      <c r="AU1320" s="5"/>
      <c r="AV1320" s="5"/>
      <c r="AW1320" s="5"/>
      <c r="AX1320" s="5"/>
      <c r="AY1320" s="5"/>
      <c r="AZ1320" s="5"/>
      <c r="BA1320" s="5"/>
      <c r="BB1320" s="5"/>
      <c r="BC1320" s="5"/>
      <c r="BD1320" s="5"/>
      <c r="BE1320" s="5"/>
      <c r="BF1320" s="5"/>
      <c r="BG1320" s="5"/>
      <c r="BH1320" s="5"/>
      <c r="BI1320" s="5"/>
      <c r="BJ1320" s="5"/>
      <c r="BK1320" s="5"/>
      <c r="BL1320" s="5"/>
      <c r="BM1320" s="5"/>
    </row>
    <row r="1321" ht="15.75" customHeight="1">
      <c r="A1321" s="5"/>
      <c r="B1321" s="5"/>
      <c r="C1321" s="5"/>
      <c r="D1321" s="5"/>
      <c r="E1321" s="14"/>
      <c r="F1321" s="15"/>
      <c r="G1321" s="14"/>
      <c r="H1321" s="16"/>
      <c r="I1321" s="14"/>
      <c r="J1321" s="16"/>
      <c r="K1321" s="14"/>
      <c r="L1321" s="16"/>
      <c r="M1321" s="14"/>
      <c r="N1321" s="16"/>
      <c r="O1321" s="14"/>
      <c r="P1321" s="16"/>
      <c r="Q1321" s="14"/>
      <c r="R1321" s="5"/>
      <c r="S1321" s="14"/>
      <c r="T1321" s="16"/>
      <c r="U1321" s="16"/>
      <c r="V1321" s="17"/>
      <c r="W1321" s="6"/>
      <c r="X1321" s="22"/>
      <c r="Y1321" s="14"/>
      <c r="Z1321" s="14"/>
      <c r="AA1321" s="14"/>
      <c r="AB1321" s="14"/>
      <c r="AC1321" s="14"/>
      <c r="AD1321" s="14"/>
      <c r="AE1321" s="14"/>
      <c r="AF1321" s="14"/>
      <c r="AG1321" s="19"/>
      <c r="AH1321" s="20"/>
      <c r="AI1321" s="5"/>
      <c r="AJ1321" s="5"/>
      <c r="AK1321" s="5"/>
      <c r="AL1321" s="5"/>
      <c r="AM1321" s="5"/>
      <c r="AN1321" s="5"/>
      <c r="AO1321" s="5"/>
      <c r="AP1321" s="5"/>
      <c r="AQ1321" s="5"/>
      <c r="AR1321" s="5"/>
      <c r="AS1321" s="5"/>
      <c r="AT1321" s="5"/>
      <c r="AU1321" s="5"/>
      <c r="AV1321" s="5"/>
      <c r="AW1321" s="5"/>
      <c r="AX1321" s="5"/>
      <c r="AY1321" s="5"/>
      <c r="AZ1321" s="5"/>
      <c r="BA1321" s="5"/>
      <c r="BB1321" s="5"/>
      <c r="BC1321" s="5"/>
      <c r="BD1321" s="5"/>
      <c r="BE1321" s="5"/>
      <c r="BF1321" s="5"/>
      <c r="BG1321" s="5"/>
      <c r="BH1321" s="5"/>
      <c r="BI1321" s="5"/>
      <c r="BJ1321" s="5"/>
      <c r="BK1321" s="5"/>
      <c r="BL1321" s="5"/>
      <c r="BM1321" s="5"/>
    </row>
    <row r="1322" ht="15.75" customHeight="1">
      <c r="A1322" s="5"/>
      <c r="B1322" s="5"/>
      <c r="C1322" s="5"/>
      <c r="D1322" s="5"/>
      <c r="E1322" s="14"/>
      <c r="F1322" s="15"/>
      <c r="G1322" s="14"/>
      <c r="H1322" s="16"/>
      <c r="I1322" s="14"/>
      <c r="J1322" s="16"/>
      <c r="K1322" s="14"/>
      <c r="L1322" s="16"/>
      <c r="M1322" s="14"/>
      <c r="N1322" s="16"/>
      <c r="O1322" s="14"/>
      <c r="P1322" s="16"/>
      <c r="Q1322" s="14"/>
      <c r="R1322" s="5"/>
      <c r="S1322" s="14"/>
      <c r="T1322" s="16"/>
      <c r="U1322" s="16"/>
      <c r="V1322" s="17"/>
      <c r="W1322" s="6"/>
      <c r="X1322" s="22"/>
      <c r="Y1322" s="14"/>
      <c r="Z1322" s="14"/>
      <c r="AA1322" s="14"/>
      <c r="AB1322" s="14"/>
      <c r="AC1322" s="14"/>
      <c r="AD1322" s="14"/>
      <c r="AE1322" s="14"/>
      <c r="AF1322" s="14"/>
      <c r="AG1322" s="19"/>
      <c r="AH1322" s="20"/>
      <c r="AI1322" s="5"/>
      <c r="AJ1322" s="5"/>
      <c r="AK1322" s="5"/>
      <c r="AL1322" s="5"/>
      <c r="AM1322" s="5"/>
      <c r="AN1322" s="5"/>
      <c r="AO1322" s="5"/>
      <c r="AP1322" s="5"/>
      <c r="AQ1322" s="5"/>
      <c r="AR1322" s="5"/>
      <c r="AS1322" s="5"/>
      <c r="AT1322" s="5"/>
      <c r="AU1322" s="5"/>
      <c r="AV1322" s="5"/>
      <c r="AW1322" s="5"/>
      <c r="AX1322" s="5"/>
      <c r="AY1322" s="5"/>
      <c r="AZ1322" s="5"/>
      <c r="BA1322" s="5"/>
      <c r="BB1322" s="5"/>
      <c r="BC1322" s="5"/>
      <c r="BD1322" s="5"/>
      <c r="BE1322" s="5"/>
      <c r="BF1322" s="5"/>
      <c r="BG1322" s="5"/>
      <c r="BH1322" s="5"/>
      <c r="BI1322" s="5"/>
      <c r="BJ1322" s="5"/>
      <c r="BK1322" s="5"/>
      <c r="BL1322" s="5"/>
      <c r="BM1322" s="5"/>
    </row>
    <row r="1323" ht="15.75" customHeight="1">
      <c r="A1323" s="5"/>
      <c r="B1323" s="5"/>
      <c r="C1323" s="5"/>
      <c r="D1323" s="5"/>
      <c r="E1323" s="14"/>
      <c r="F1323" s="15"/>
      <c r="G1323" s="14"/>
      <c r="H1323" s="16"/>
      <c r="I1323" s="14"/>
      <c r="J1323" s="16"/>
      <c r="K1323" s="14"/>
      <c r="L1323" s="16"/>
      <c r="M1323" s="14"/>
      <c r="N1323" s="16"/>
      <c r="O1323" s="14"/>
      <c r="P1323" s="16"/>
      <c r="Q1323" s="14"/>
      <c r="R1323" s="5"/>
      <c r="S1323" s="14"/>
      <c r="T1323" s="16"/>
      <c r="U1323" s="16"/>
      <c r="V1323" s="17"/>
      <c r="W1323" s="6"/>
      <c r="X1323" s="22"/>
      <c r="Y1323" s="14"/>
      <c r="Z1323" s="14"/>
      <c r="AA1323" s="14"/>
      <c r="AB1323" s="14"/>
      <c r="AC1323" s="14"/>
      <c r="AD1323" s="14"/>
      <c r="AE1323" s="14"/>
      <c r="AF1323" s="14"/>
      <c r="AG1323" s="19"/>
      <c r="AH1323" s="20"/>
      <c r="AI1323" s="5"/>
      <c r="AJ1323" s="5"/>
      <c r="AK1323" s="5"/>
      <c r="AL1323" s="5"/>
      <c r="AM1323" s="5"/>
      <c r="AN1323" s="5"/>
      <c r="AO1323" s="5"/>
      <c r="AP1323" s="5"/>
      <c r="AQ1323" s="5"/>
      <c r="AR1323" s="5"/>
      <c r="AS1323" s="5"/>
      <c r="AT1323" s="5"/>
      <c r="AU1323" s="5"/>
      <c r="AV1323" s="5"/>
      <c r="AW1323" s="5"/>
      <c r="AX1323" s="5"/>
      <c r="AY1323" s="5"/>
      <c r="AZ1323" s="5"/>
      <c r="BA1323" s="5"/>
      <c r="BB1323" s="5"/>
      <c r="BC1323" s="5"/>
      <c r="BD1323" s="5"/>
      <c r="BE1323" s="5"/>
      <c r="BF1323" s="5"/>
      <c r="BG1323" s="5"/>
      <c r="BH1323" s="5"/>
      <c r="BI1323" s="5"/>
      <c r="BJ1323" s="5"/>
      <c r="BK1323" s="5"/>
      <c r="BL1323" s="5"/>
      <c r="BM1323" s="5"/>
    </row>
    <row r="1324" ht="15.75" customHeight="1">
      <c r="A1324" s="5"/>
      <c r="B1324" s="5"/>
      <c r="C1324" s="5"/>
      <c r="D1324" s="5"/>
      <c r="E1324" s="14"/>
      <c r="F1324" s="15"/>
      <c r="G1324" s="14"/>
      <c r="H1324" s="16"/>
      <c r="I1324" s="14"/>
      <c r="J1324" s="16"/>
      <c r="K1324" s="14"/>
      <c r="L1324" s="16"/>
      <c r="M1324" s="14"/>
      <c r="N1324" s="16"/>
      <c r="O1324" s="14"/>
      <c r="P1324" s="16"/>
      <c r="Q1324" s="14"/>
      <c r="R1324" s="5"/>
      <c r="S1324" s="14"/>
      <c r="T1324" s="16"/>
      <c r="U1324" s="16"/>
      <c r="V1324" s="17"/>
      <c r="W1324" s="6"/>
      <c r="X1324" s="22"/>
      <c r="Y1324" s="14"/>
      <c r="Z1324" s="14"/>
      <c r="AA1324" s="14"/>
      <c r="AB1324" s="14"/>
      <c r="AC1324" s="14"/>
      <c r="AD1324" s="14"/>
      <c r="AE1324" s="14"/>
      <c r="AF1324" s="14"/>
      <c r="AG1324" s="19"/>
      <c r="AH1324" s="20"/>
      <c r="AI1324" s="5"/>
      <c r="AJ1324" s="5"/>
      <c r="AK1324" s="5"/>
      <c r="AL1324" s="5"/>
      <c r="AM1324" s="5"/>
      <c r="AN1324" s="5"/>
      <c r="AO1324" s="5"/>
      <c r="AP1324" s="5"/>
      <c r="AQ1324" s="5"/>
      <c r="AR1324" s="5"/>
      <c r="AS1324" s="5"/>
      <c r="AT1324" s="5"/>
      <c r="AU1324" s="5"/>
      <c r="AV1324" s="5"/>
      <c r="AW1324" s="5"/>
      <c r="AX1324" s="5"/>
      <c r="AY1324" s="5"/>
      <c r="AZ1324" s="5"/>
      <c r="BA1324" s="5"/>
      <c r="BB1324" s="5"/>
      <c r="BC1324" s="5"/>
      <c r="BD1324" s="5"/>
      <c r="BE1324" s="5"/>
      <c r="BF1324" s="5"/>
      <c r="BG1324" s="5"/>
      <c r="BH1324" s="5"/>
      <c r="BI1324" s="5"/>
      <c r="BJ1324" s="5"/>
      <c r="BK1324" s="5"/>
      <c r="BL1324" s="5"/>
      <c r="BM1324" s="5"/>
    </row>
    <row r="1325" ht="15.75" customHeight="1">
      <c r="A1325" s="5"/>
      <c r="B1325" s="5"/>
      <c r="C1325" s="5"/>
      <c r="D1325" s="5"/>
      <c r="E1325" s="14"/>
      <c r="F1325" s="15"/>
      <c r="G1325" s="14"/>
      <c r="H1325" s="16"/>
      <c r="I1325" s="14"/>
      <c r="J1325" s="16"/>
      <c r="K1325" s="14"/>
      <c r="L1325" s="16"/>
      <c r="M1325" s="14"/>
      <c r="N1325" s="16"/>
      <c r="O1325" s="14"/>
      <c r="P1325" s="16"/>
      <c r="Q1325" s="14"/>
      <c r="R1325" s="5"/>
      <c r="S1325" s="14"/>
      <c r="T1325" s="16"/>
      <c r="U1325" s="16"/>
      <c r="V1325" s="17"/>
      <c r="W1325" s="6"/>
      <c r="X1325" s="22"/>
      <c r="Y1325" s="14"/>
      <c r="Z1325" s="14"/>
      <c r="AA1325" s="14"/>
      <c r="AB1325" s="14"/>
      <c r="AC1325" s="14"/>
      <c r="AD1325" s="14"/>
      <c r="AE1325" s="14"/>
      <c r="AF1325" s="14"/>
      <c r="AG1325" s="19"/>
      <c r="AH1325" s="20"/>
      <c r="AI1325" s="5"/>
      <c r="AJ1325" s="5"/>
      <c r="AK1325" s="5"/>
      <c r="AL1325" s="5"/>
      <c r="AM1325" s="5"/>
      <c r="AN1325" s="5"/>
      <c r="AO1325" s="5"/>
      <c r="AP1325" s="5"/>
      <c r="AQ1325" s="5"/>
      <c r="AR1325" s="5"/>
      <c r="AS1325" s="5"/>
      <c r="AT1325" s="5"/>
      <c r="AU1325" s="5"/>
      <c r="AV1325" s="5"/>
      <c r="AW1325" s="5"/>
      <c r="AX1325" s="5"/>
      <c r="AY1325" s="5"/>
      <c r="AZ1325" s="5"/>
      <c r="BA1325" s="5"/>
      <c r="BB1325" s="5"/>
      <c r="BC1325" s="5"/>
      <c r="BD1325" s="5"/>
      <c r="BE1325" s="5"/>
      <c r="BF1325" s="5"/>
      <c r="BG1325" s="5"/>
      <c r="BH1325" s="5"/>
      <c r="BI1325" s="5"/>
      <c r="BJ1325" s="5"/>
      <c r="BK1325" s="5"/>
      <c r="BL1325" s="5"/>
      <c r="BM1325" s="5"/>
    </row>
    <row r="1326" ht="15.75" customHeight="1">
      <c r="A1326" s="5"/>
      <c r="B1326" s="5"/>
      <c r="C1326" s="5"/>
      <c r="D1326" s="5"/>
      <c r="E1326" s="14"/>
      <c r="F1326" s="15"/>
      <c r="G1326" s="14"/>
      <c r="H1326" s="16"/>
      <c r="I1326" s="14"/>
      <c r="J1326" s="16"/>
      <c r="K1326" s="14"/>
      <c r="L1326" s="16"/>
      <c r="M1326" s="14"/>
      <c r="N1326" s="16"/>
      <c r="O1326" s="14"/>
      <c r="P1326" s="16"/>
      <c r="Q1326" s="14"/>
      <c r="R1326" s="5"/>
      <c r="S1326" s="14"/>
      <c r="T1326" s="16"/>
      <c r="U1326" s="16"/>
      <c r="V1326" s="17"/>
      <c r="W1326" s="6"/>
      <c r="X1326" s="22"/>
      <c r="Y1326" s="14"/>
      <c r="Z1326" s="14"/>
      <c r="AA1326" s="14"/>
      <c r="AB1326" s="14"/>
      <c r="AC1326" s="14"/>
      <c r="AD1326" s="14"/>
      <c r="AE1326" s="14"/>
      <c r="AF1326" s="14"/>
      <c r="AG1326" s="19"/>
      <c r="AH1326" s="20"/>
      <c r="AI1326" s="5"/>
      <c r="AJ1326" s="5"/>
      <c r="AK1326" s="5"/>
      <c r="AL1326" s="5"/>
      <c r="AM1326" s="5"/>
      <c r="AN1326" s="5"/>
      <c r="AO1326" s="5"/>
      <c r="AP1326" s="5"/>
      <c r="AQ1326" s="5"/>
      <c r="AR1326" s="5"/>
      <c r="AS1326" s="5"/>
      <c r="AT1326" s="5"/>
      <c r="AU1326" s="5"/>
      <c r="AV1326" s="5"/>
      <c r="AW1326" s="5"/>
      <c r="AX1326" s="5"/>
      <c r="AY1326" s="5"/>
      <c r="AZ1326" s="5"/>
      <c r="BA1326" s="5"/>
      <c r="BB1326" s="5"/>
      <c r="BC1326" s="5"/>
      <c r="BD1326" s="5"/>
      <c r="BE1326" s="5"/>
      <c r="BF1326" s="5"/>
      <c r="BG1326" s="5"/>
      <c r="BH1326" s="5"/>
      <c r="BI1326" s="5"/>
      <c r="BJ1326" s="5"/>
      <c r="BK1326" s="5"/>
      <c r="BL1326" s="5"/>
      <c r="BM1326" s="5"/>
    </row>
    <row r="1327" ht="15.75" customHeight="1">
      <c r="A1327" s="5"/>
      <c r="B1327" s="5"/>
      <c r="C1327" s="5"/>
      <c r="D1327" s="5"/>
      <c r="E1327" s="14"/>
      <c r="F1327" s="15"/>
      <c r="G1327" s="14"/>
      <c r="H1327" s="16"/>
      <c r="I1327" s="14"/>
      <c r="J1327" s="16"/>
      <c r="K1327" s="14"/>
      <c r="L1327" s="16"/>
      <c r="M1327" s="14"/>
      <c r="N1327" s="16"/>
      <c r="O1327" s="14"/>
      <c r="P1327" s="16"/>
      <c r="Q1327" s="14"/>
      <c r="R1327" s="5"/>
      <c r="S1327" s="14"/>
      <c r="T1327" s="16"/>
      <c r="U1327" s="16"/>
      <c r="V1327" s="17"/>
      <c r="W1327" s="6"/>
      <c r="X1327" s="22"/>
      <c r="Y1327" s="14"/>
      <c r="Z1327" s="14"/>
      <c r="AA1327" s="14"/>
      <c r="AB1327" s="14"/>
      <c r="AC1327" s="14"/>
      <c r="AD1327" s="14"/>
      <c r="AE1327" s="14"/>
      <c r="AF1327" s="14"/>
      <c r="AG1327" s="19"/>
      <c r="AH1327" s="20"/>
      <c r="AI1327" s="5"/>
      <c r="AJ1327" s="5"/>
      <c r="AK1327" s="5"/>
      <c r="AL1327" s="5"/>
      <c r="AM1327" s="5"/>
      <c r="AN1327" s="5"/>
      <c r="AO1327" s="5"/>
      <c r="AP1327" s="5"/>
      <c r="AQ1327" s="5"/>
      <c r="AR1327" s="5"/>
      <c r="AS1327" s="5"/>
      <c r="AT1327" s="5"/>
      <c r="AU1327" s="5"/>
      <c r="AV1327" s="5"/>
      <c r="AW1327" s="5"/>
      <c r="AX1327" s="5"/>
      <c r="AY1327" s="5"/>
      <c r="AZ1327" s="5"/>
      <c r="BA1327" s="5"/>
      <c r="BB1327" s="5"/>
      <c r="BC1327" s="5"/>
      <c r="BD1327" s="5"/>
      <c r="BE1327" s="5"/>
      <c r="BF1327" s="5"/>
      <c r="BG1327" s="5"/>
      <c r="BH1327" s="5"/>
      <c r="BI1327" s="5"/>
      <c r="BJ1327" s="5"/>
      <c r="BK1327" s="5"/>
      <c r="BL1327" s="5"/>
      <c r="BM1327" s="5"/>
    </row>
    <row r="1328" ht="15.75" customHeight="1">
      <c r="A1328" s="5"/>
      <c r="B1328" s="5"/>
      <c r="C1328" s="5"/>
      <c r="D1328" s="5"/>
      <c r="E1328" s="14"/>
      <c r="F1328" s="15"/>
      <c r="G1328" s="14"/>
      <c r="H1328" s="16"/>
      <c r="I1328" s="14"/>
      <c r="J1328" s="16"/>
      <c r="K1328" s="14"/>
      <c r="L1328" s="16"/>
      <c r="M1328" s="14"/>
      <c r="N1328" s="16"/>
      <c r="O1328" s="14"/>
      <c r="P1328" s="16"/>
      <c r="Q1328" s="14"/>
      <c r="R1328" s="5"/>
      <c r="S1328" s="14"/>
      <c r="T1328" s="16"/>
      <c r="U1328" s="16"/>
      <c r="V1328" s="17"/>
      <c r="W1328" s="6"/>
      <c r="X1328" s="22"/>
      <c r="Y1328" s="14"/>
      <c r="Z1328" s="14"/>
      <c r="AA1328" s="14"/>
      <c r="AB1328" s="14"/>
      <c r="AC1328" s="14"/>
      <c r="AD1328" s="14"/>
      <c r="AE1328" s="14"/>
      <c r="AF1328" s="14"/>
      <c r="AG1328" s="19"/>
      <c r="AH1328" s="20"/>
      <c r="AI1328" s="5"/>
      <c r="AJ1328" s="5"/>
      <c r="AK1328" s="5"/>
      <c r="AL1328" s="5"/>
      <c r="AM1328" s="5"/>
      <c r="AN1328" s="5"/>
      <c r="AO1328" s="5"/>
      <c r="AP1328" s="5"/>
      <c r="AQ1328" s="5"/>
      <c r="AR1328" s="5"/>
      <c r="AS1328" s="5"/>
      <c r="AT1328" s="5"/>
      <c r="AU1328" s="5"/>
      <c r="AV1328" s="5"/>
      <c r="AW1328" s="5"/>
      <c r="AX1328" s="5"/>
      <c r="AY1328" s="5"/>
      <c r="AZ1328" s="5"/>
      <c r="BA1328" s="5"/>
      <c r="BB1328" s="5"/>
      <c r="BC1328" s="5"/>
      <c r="BD1328" s="5"/>
      <c r="BE1328" s="5"/>
      <c r="BF1328" s="5"/>
      <c r="BG1328" s="5"/>
      <c r="BH1328" s="5"/>
      <c r="BI1328" s="5"/>
      <c r="BJ1328" s="5"/>
      <c r="BK1328" s="5"/>
      <c r="BL1328" s="5"/>
      <c r="BM1328" s="5"/>
    </row>
    <row r="1329" ht="15.75" customHeight="1">
      <c r="A1329" s="5"/>
      <c r="B1329" s="5"/>
      <c r="C1329" s="5"/>
      <c r="D1329" s="5"/>
      <c r="E1329" s="14"/>
      <c r="F1329" s="15"/>
      <c r="G1329" s="14"/>
      <c r="H1329" s="16"/>
      <c r="I1329" s="14"/>
      <c r="J1329" s="16"/>
      <c r="K1329" s="14"/>
      <c r="L1329" s="16"/>
      <c r="M1329" s="14"/>
      <c r="N1329" s="16"/>
      <c r="O1329" s="14"/>
      <c r="P1329" s="16"/>
      <c r="Q1329" s="14"/>
      <c r="R1329" s="5"/>
      <c r="S1329" s="14"/>
      <c r="T1329" s="16"/>
      <c r="U1329" s="16"/>
      <c r="V1329" s="17"/>
      <c r="W1329" s="6"/>
      <c r="X1329" s="22"/>
      <c r="Y1329" s="14"/>
      <c r="Z1329" s="14"/>
      <c r="AA1329" s="14"/>
      <c r="AB1329" s="14"/>
      <c r="AC1329" s="14"/>
      <c r="AD1329" s="14"/>
      <c r="AE1329" s="14"/>
      <c r="AF1329" s="14"/>
      <c r="AG1329" s="19"/>
      <c r="AH1329" s="20"/>
      <c r="AI1329" s="5"/>
      <c r="AJ1329" s="5"/>
      <c r="AK1329" s="5"/>
      <c r="AL1329" s="5"/>
      <c r="AM1329" s="5"/>
      <c r="AN1329" s="5"/>
      <c r="AO1329" s="5"/>
      <c r="AP1329" s="5"/>
      <c r="AQ1329" s="5"/>
      <c r="AR1329" s="5"/>
      <c r="AS1329" s="5"/>
      <c r="AT1329" s="5"/>
      <c r="AU1329" s="5"/>
      <c r="AV1329" s="5"/>
      <c r="AW1329" s="5"/>
      <c r="AX1329" s="5"/>
      <c r="AY1329" s="5"/>
      <c r="AZ1329" s="5"/>
      <c r="BA1329" s="5"/>
      <c r="BB1329" s="5"/>
      <c r="BC1329" s="5"/>
      <c r="BD1329" s="5"/>
      <c r="BE1329" s="5"/>
      <c r="BF1329" s="5"/>
      <c r="BG1329" s="5"/>
      <c r="BH1329" s="5"/>
      <c r="BI1329" s="5"/>
      <c r="BJ1329" s="5"/>
      <c r="BK1329" s="5"/>
      <c r="BL1329" s="5"/>
      <c r="BM1329" s="5"/>
    </row>
    <row r="1330" ht="15.75" customHeight="1">
      <c r="A1330" s="5"/>
      <c r="B1330" s="5"/>
      <c r="C1330" s="5"/>
      <c r="D1330" s="5"/>
      <c r="E1330" s="14"/>
      <c r="F1330" s="15"/>
      <c r="G1330" s="14"/>
      <c r="H1330" s="16"/>
      <c r="I1330" s="14"/>
      <c r="J1330" s="16"/>
      <c r="K1330" s="14"/>
      <c r="L1330" s="16"/>
      <c r="M1330" s="14"/>
      <c r="N1330" s="16"/>
      <c r="O1330" s="14"/>
      <c r="P1330" s="16"/>
      <c r="Q1330" s="14"/>
      <c r="R1330" s="5"/>
      <c r="S1330" s="14"/>
      <c r="T1330" s="16"/>
      <c r="U1330" s="16"/>
      <c r="V1330" s="17"/>
      <c r="W1330" s="6"/>
      <c r="X1330" s="22"/>
      <c r="Y1330" s="14"/>
      <c r="Z1330" s="14"/>
      <c r="AA1330" s="14"/>
      <c r="AB1330" s="14"/>
      <c r="AC1330" s="14"/>
      <c r="AD1330" s="14"/>
      <c r="AE1330" s="14"/>
      <c r="AF1330" s="14"/>
      <c r="AG1330" s="19"/>
      <c r="AH1330" s="20"/>
      <c r="AI1330" s="5"/>
      <c r="AJ1330" s="5"/>
      <c r="AK1330" s="5"/>
      <c r="AL1330" s="5"/>
      <c r="AM1330" s="5"/>
      <c r="AN1330" s="5"/>
      <c r="AO1330" s="5"/>
      <c r="AP1330" s="5"/>
      <c r="AQ1330" s="5"/>
      <c r="AR1330" s="5"/>
      <c r="AS1330" s="5"/>
      <c r="AT1330" s="5"/>
      <c r="AU1330" s="5"/>
      <c r="AV1330" s="5"/>
      <c r="AW1330" s="5"/>
      <c r="AX1330" s="5"/>
      <c r="AY1330" s="5"/>
      <c r="AZ1330" s="5"/>
      <c r="BA1330" s="5"/>
      <c r="BB1330" s="5"/>
      <c r="BC1330" s="5"/>
      <c r="BD1330" s="5"/>
      <c r="BE1330" s="5"/>
      <c r="BF1330" s="5"/>
      <c r="BG1330" s="5"/>
      <c r="BH1330" s="5"/>
      <c r="BI1330" s="5"/>
      <c r="BJ1330" s="5"/>
      <c r="BK1330" s="5"/>
      <c r="BL1330" s="5"/>
      <c r="BM1330" s="5"/>
    </row>
    <row r="1331" ht="15.75" customHeight="1">
      <c r="A1331" s="5"/>
      <c r="B1331" s="5"/>
      <c r="C1331" s="5"/>
      <c r="D1331" s="5"/>
      <c r="E1331" s="14"/>
      <c r="F1331" s="15"/>
      <c r="G1331" s="14"/>
      <c r="H1331" s="16"/>
      <c r="I1331" s="14"/>
      <c r="J1331" s="16"/>
      <c r="K1331" s="14"/>
      <c r="L1331" s="16"/>
      <c r="M1331" s="14"/>
      <c r="N1331" s="16"/>
      <c r="O1331" s="14"/>
      <c r="P1331" s="16"/>
      <c r="Q1331" s="14"/>
      <c r="R1331" s="5"/>
      <c r="S1331" s="14"/>
      <c r="T1331" s="16"/>
      <c r="U1331" s="16"/>
      <c r="V1331" s="17"/>
      <c r="W1331" s="6"/>
      <c r="X1331" s="22"/>
      <c r="Y1331" s="14"/>
      <c r="Z1331" s="14"/>
      <c r="AA1331" s="14"/>
      <c r="AB1331" s="14"/>
      <c r="AC1331" s="14"/>
      <c r="AD1331" s="14"/>
      <c r="AE1331" s="14"/>
      <c r="AF1331" s="14"/>
      <c r="AG1331" s="19"/>
      <c r="AH1331" s="20"/>
      <c r="AI1331" s="5"/>
      <c r="AJ1331" s="5"/>
      <c r="AK1331" s="5"/>
      <c r="AL1331" s="5"/>
      <c r="AM1331" s="5"/>
      <c r="AN1331" s="5"/>
      <c r="AO1331" s="5"/>
      <c r="AP1331" s="5"/>
      <c r="AQ1331" s="5"/>
      <c r="AR1331" s="5"/>
      <c r="AS1331" s="5"/>
      <c r="AT1331" s="5"/>
      <c r="AU1331" s="5"/>
      <c r="AV1331" s="5"/>
      <c r="AW1331" s="5"/>
      <c r="AX1331" s="5"/>
      <c r="AY1331" s="5"/>
      <c r="AZ1331" s="5"/>
      <c r="BA1331" s="5"/>
      <c r="BB1331" s="5"/>
      <c r="BC1331" s="5"/>
      <c r="BD1331" s="5"/>
      <c r="BE1331" s="5"/>
      <c r="BF1331" s="5"/>
      <c r="BG1331" s="5"/>
      <c r="BH1331" s="5"/>
      <c r="BI1331" s="5"/>
      <c r="BJ1331" s="5"/>
      <c r="BK1331" s="5"/>
      <c r="BL1331" s="5"/>
      <c r="BM1331" s="5"/>
    </row>
    <row r="1332" ht="15.75" customHeight="1">
      <c r="A1332" s="5"/>
      <c r="B1332" s="5"/>
      <c r="C1332" s="5"/>
      <c r="D1332" s="5"/>
      <c r="E1332" s="14"/>
      <c r="F1332" s="15"/>
      <c r="G1332" s="14"/>
      <c r="H1332" s="16"/>
      <c r="I1332" s="14"/>
      <c r="J1332" s="16"/>
      <c r="K1332" s="14"/>
      <c r="L1332" s="16"/>
      <c r="M1332" s="14"/>
      <c r="N1332" s="16"/>
      <c r="O1332" s="14"/>
      <c r="P1332" s="16"/>
      <c r="Q1332" s="14"/>
      <c r="R1332" s="5"/>
      <c r="S1332" s="14"/>
      <c r="T1332" s="16"/>
      <c r="U1332" s="16"/>
      <c r="V1332" s="17"/>
      <c r="W1332" s="6"/>
      <c r="X1332" s="22"/>
      <c r="Y1332" s="14"/>
      <c r="Z1332" s="14"/>
      <c r="AA1332" s="14"/>
      <c r="AB1332" s="14"/>
      <c r="AC1332" s="14"/>
      <c r="AD1332" s="14"/>
      <c r="AE1332" s="14"/>
      <c r="AF1332" s="14"/>
      <c r="AG1332" s="19"/>
      <c r="AH1332" s="20"/>
      <c r="AI1332" s="5"/>
      <c r="AJ1332" s="5"/>
      <c r="AK1332" s="5"/>
      <c r="AL1332" s="5"/>
      <c r="AM1332" s="5"/>
      <c r="AN1332" s="5"/>
      <c r="AO1332" s="5"/>
      <c r="AP1332" s="5"/>
      <c r="AQ1332" s="5"/>
      <c r="AR1332" s="5"/>
      <c r="AS1332" s="5"/>
      <c r="AT1332" s="5"/>
      <c r="AU1332" s="5"/>
      <c r="AV1332" s="5"/>
      <c r="AW1332" s="5"/>
      <c r="AX1332" s="5"/>
      <c r="AY1332" s="5"/>
      <c r="AZ1332" s="5"/>
      <c r="BA1332" s="5"/>
      <c r="BB1332" s="5"/>
      <c r="BC1332" s="5"/>
      <c r="BD1332" s="5"/>
      <c r="BE1332" s="5"/>
      <c r="BF1332" s="5"/>
      <c r="BG1332" s="5"/>
      <c r="BH1332" s="5"/>
      <c r="BI1332" s="5"/>
      <c r="BJ1332" s="5"/>
      <c r="BK1332" s="5"/>
      <c r="BL1332" s="5"/>
      <c r="BM1332" s="5"/>
    </row>
    <row r="1333" ht="15.75" customHeight="1">
      <c r="A1333" s="5"/>
      <c r="B1333" s="5"/>
      <c r="C1333" s="5"/>
      <c r="D1333" s="5"/>
      <c r="E1333" s="14"/>
      <c r="F1333" s="15"/>
      <c r="G1333" s="14"/>
      <c r="H1333" s="16"/>
      <c r="I1333" s="14"/>
      <c r="J1333" s="16"/>
      <c r="K1333" s="14"/>
      <c r="L1333" s="16"/>
      <c r="M1333" s="14"/>
      <c r="N1333" s="16"/>
      <c r="O1333" s="14"/>
      <c r="P1333" s="16"/>
      <c r="Q1333" s="14"/>
      <c r="R1333" s="5"/>
      <c r="S1333" s="14"/>
      <c r="T1333" s="16"/>
      <c r="U1333" s="16"/>
      <c r="V1333" s="17"/>
      <c r="W1333" s="6"/>
      <c r="X1333" s="22"/>
      <c r="Y1333" s="14"/>
      <c r="Z1333" s="14"/>
      <c r="AA1333" s="14"/>
      <c r="AB1333" s="14"/>
      <c r="AC1333" s="14"/>
      <c r="AD1333" s="14"/>
      <c r="AE1333" s="14"/>
      <c r="AF1333" s="14"/>
      <c r="AG1333" s="19"/>
      <c r="AH1333" s="20"/>
      <c r="AI1333" s="5"/>
      <c r="AJ1333" s="5"/>
      <c r="AK1333" s="5"/>
      <c r="AL1333" s="5"/>
      <c r="AM1333" s="5"/>
      <c r="AN1333" s="5"/>
      <c r="AO1333" s="5"/>
      <c r="AP1333" s="5"/>
      <c r="AQ1333" s="5"/>
      <c r="AR1333" s="5"/>
      <c r="AS1333" s="5"/>
      <c r="AT1333" s="5"/>
      <c r="AU1333" s="5"/>
      <c r="AV1333" s="5"/>
      <c r="AW1333" s="5"/>
      <c r="AX1333" s="5"/>
      <c r="AY1333" s="5"/>
      <c r="AZ1333" s="5"/>
      <c r="BA1333" s="5"/>
      <c r="BB1333" s="5"/>
      <c r="BC1333" s="5"/>
      <c r="BD1333" s="5"/>
      <c r="BE1333" s="5"/>
      <c r="BF1333" s="5"/>
      <c r="BG1333" s="5"/>
      <c r="BH1333" s="5"/>
      <c r="BI1333" s="5"/>
      <c r="BJ1333" s="5"/>
      <c r="BK1333" s="5"/>
      <c r="BL1333" s="5"/>
      <c r="BM1333" s="5"/>
    </row>
    <row r="1334" ht="15.75" customHeight="1">
      <c r="A1334" s="5"/>
      <c r="B1334" s="5"/>
      <c r="C1334" s="5"/>
      <c r="D1334" s="5"/>
      <c r="E1334" s="14"/>
      <c r="F1334" s="15"/>
      <c r="G1334" s="14"/>
      <c r="H1334" s="16"/>
      <c r="I1334" s="14"/>
      <c r="J1334" s="16"/>
      <c r="K1334" s="14"/>
      <c r="L1334" s="16"/>
      <c r="M1334" s="14"/>
      <c r="N1334" s="16"/>
      <c r="O1334" s="14"/>
      <c r="P1334" s="16"/>
      <c r="Q1334" s="14"/>
      <c r="R1334" s="5"/>
      <c r="S1334" s="14"/>
      <c r="T1334" s="16"/>
      <c r="U1334" s="16"/>
      <c r="V1334" s="17"/>
      <c r="W1334" s="6"/>
      <c r="X1334" s="22"/>
      <c r="Y1334" s="14"/>
      <c r="Z1334" s="14"/>
      <c r="AA1334" s="14"/>
      <c r="AB1334" s="14"/>
      <c r="AC1334" s="14"/>
      <c r="AD1334" s="14"/>
      <c r="AE1334" s="14"/>
      <c r="AF1334" s="14"/>
      <c r="AG1334" s="19"/>
      <c r="AH1334" s="20"/>
      <c r="AI1334" s="5"/>
      <c r="AJ1334" s="5"/>
      <c r="AK1334" s="5"/>
      <c r="AL1334" s="5"/>
      <c r="AM1334" s="5"/>
      <c r="AN1334" s="5"/>
      <c r="AO1334" s="5"/>
      <c r="AP1334" s="5"/>
      <c r="AQ1334" s="5"/>
      <c r="AR1334" s="5"/>
      <c r="AS1334" s="5"/>
      <c r="AT1334" s="5"/>
      <c r="AU1334" s="5"/>
      <c r="AV1334" s="5"/>
      <c r="AW1334" s="5"/>
      <c r="AX1334" s="5"/>
      <c r="AY1334" s="5"/>
      <c r="AZ1334" s="5"/>
      <c r="BA1334" s="5"/>
      <c r="BB1334" s="5"/>
      <c r="BC1334" s="5"/>
      <c r="BD1334" s="5"/>
      <c r="BE1334" s="5"/>
      <c r="BF1334" s="5"/>
      <c r="BG1334" s="5"/>
      <c r="BH1334" s="5"/>
      <c r="BI1334" s="5"/>
      <c r="BJ1334" s="5"/>
      <c r="BK1334" s="5"/>
      <c r="BL1334" s="5"/>
      <c r="BM1334" s="5"/>
    </row>
    <row r="1335" ht="15.75" customHeight="1">
      <c r="A1335" s="5"/>
      <c r="B1335" s="5"/>
      <c r="C1335" s="5"/>
      <c r="D1335" s="5"/>
      <c r="E1335" s="14"/>
      <c r="F1335" s="15"/>
      <c r="G1335" s="14"/>
      <c r="H1335" s="16"/>
      <c r="I1335" s="14"/>
      <c r="J1335" s="16"/>
      <c r="K1335" s="14"/>
      <c r="L1335" s="16"/>
      <c r="M1335" s="14"/>
      <c r="N1335" s="16"/>
      <c r="O1335" s="14"/>
      <c r="P1335" s="16"/>
      <c r="Q1335" s="14"/>
      <c r="R1335" s="5"/>
      <c r="S1335" s="14"/>
      <c r="T1335" s="16"/>
      <c r="U1335" s="16"/>
      <c r="V1335" s="17"/>
      <c r="W1335" s="6"/>
      <c r="X1335" s="22"/>
      <c r="Y1335" s="14"/>
      <c r="Z1335" s="14"/>
      <c r="AA1335" s="14"/>
      <c r="AB1335" s="14"/>
      <c r="AC1335" s="14"/>
      <c r="AD1335" s="14"/>
      <c r="AE1335" s="14"/>
      <c r="AF1335" s="14"/>
      <c r="AG1335" s="19"/>
      <c r="AH1335" s="20"/>
      <c r="AI1335" s="5"/>
      <c r="AJ1335" s="5"/>
      <c r="AK1335" s="5"/>
      <c r="AL1335" s="5"/>
      <c r="AM1335" s="5"/>
      <c r="AN1335" s="5"/>
      <c r="AO1335" s="5"/>
      <c r="AP1335" s="5"/>
      <c r="AQ1335" s="5"/>
      <c r="AR1335" s="5"/>
      <c r="AS1335" s="5"/>
      <c r="AT1335" s="5"/>
      <c r="AU1335" s="5"/>
      <c r="AV1335" s="5"/>
      <c r="AW1335" s="5"/>
      <c r="AX1335" s="5"/>
      <c r="AY1335" s="5"/>
      <c r="AZ1335" s="5"/>
      <c r="BA1335" s="5"/>
      <c r="BB1335" s="5"/>
      <c r="BC1335" s="5"/>
      <c r="BD1335" s="5"/>
      <c r="BE1335" s="5"/>
      <c r="BF1335" s="5"/>
      <c r="BG1335" s="5"/>
      <c r="BH1335" s="5"/>
      <c r="BI1335" s="5"/>
      <c r="BJ1335" s="5"/>
      <c r="BK1335" s="5"/>
      <c r="BL1335" s="5"/>
      <c r="BM1335" s="5"/>
    </row>
    <row r="1336" ht="15.75" customHeight="1">
      <c r="A1336" s="5"/>
      <c r="B1336" s="5"/>
      <c r="C1336" s="5"/>
      <c r="D1336" s="5"/>
      <c r="E1336" s="14"/>
      <c r="F1336" s="15"/>
      <c r="G1336" s="14"/>
      <c r="H1336" s="16"/>
      <c r="I1336" s="14"/>
      <c r="J1336" s="16"/>
      <c r="K1336" s="14"/>
      <c r="L1336" s="16"/>
      <c r="M1336" s="14"/>
      <c r="N1336" s="16"/>
      <c r="O1336" s="14"/>
      <c r="P1336" s="16"/>
      <c r="Q1336" s="14"/>
      <c r="R1336" s="5"/>
      <c r="S1336" s="14"/>
      <c r="T1336" s="16"/>
      <c r="U1336" s="16"/>
      <c r="V1336" s="17"/>
      <c r="W1336" s="6"/>
      <c r="X1336" s="22"/>
      <c r="Y1336" s="14"/>
      <c r="Z1336" s="14"/>
      <c r="AA1336" s="14"/>
      <c r="AB1336" s="14"/>
      <c r="AC1336" s="14"/>
      <c r="AD1336" s="14"/>
      <c r="AE1336" s="14"/>
      <c r="AF1336" s="14"/>
      <c r="AG1336" s="19"/>
      <c r="AH1336" s="20"/>
      <c r="AI1336" s="5"/>
      <c r="AJ1336" s="5"/>
      <c r="AK1336" s="5"/>
      <c r="AL1336" s="5"/>
      <c r="AM1336" s="5"/>
      <c r="AN1336" s="5"/>
      <c r="AO1336" s="5"/>
      <c r="AP1336" s="5"/>
      <c r="AQ1336" s="5"/>
      <c r="AR1336" s="5"/>
      <c r="AS1336" s="5"/>
      <c r="AT1336" s="5"/>
      <c r="AU1336" s="5"/>
      <c r="AV1336" s="5"/>
      <c r="AW1336" s="5"/>
      <c r="AX1336" s="5"/>
      <c r="AY1336" s="5"/>
      <c r="AZ1336" s="5"/>
      <c r="BA1336" s="5"/>
      <c r="BB1336" s="5"/>
      <c r="BC1336" s="5"/>
      <c r="BD1336" s="5"/>
      <c r="BE1336" s="5"/>
      <c r="BF1336" s="5"/>
      <c r="BG1336" s="5"/>
      <c r="BH1336" s="5"/>
      <c r="BI1336" s="5"/>
      <c r="BJ1336" s="5"/>
      <c r="BK1336" s="5"/>
      <c r="BL1336" s="5"/>
      <c r="BM1336" s="5"/>
    </row>
    <row r="1337" ht="15.75" customHeight="1">
      <c r="A1337" s="5"/>
      <c r="B1337" s="5"/>
      <c r="C1337" s="5"/>
      <c r="D1337" s="5"/>
      <c r="E1337" s="14"/>
      <c r="F1337" s="15"/>
      <c r="G1337" s="14"/>
      <c r="H1337" s="16"/>
      <c r="I1337" s="14"/>
      <c r="J1337" s="16"/>
      <c r="K1337" s="14"/>
      <c r="L1337" s="16"/>
      <c r="M1337" s="14"/>
      <c r="N1337" s="16"/>
      <c r="O1337" s="14"/>
      <c r="P1337" s="16"/>
      <c r="Q1337" s="14"/>
      <c r="R1337" s="5"/>
      <c r="S1337" s="14"/>
      <c r="T1337" s="16"/>
      <c r="U1337" s="16"/>
      <c r="V1337" s="17"/>
      <c r="W1337" s="6"/>
      <c r="X1337" s="22"/>
      <c r="Y1337" s="14"/>
      <c r="Z1337" s="14"/>
      <c r="AA1337" s="14"/>
      <c r="AB1337" s="14"/>
      <c r="AC1337" s="14"/>
      <c r="AD1337" s="14"/>
      <c r="AE1337" s="14"/>
      <c r="AF1337" s="14"/>
      <c r="AG1337" s="19"/>
      <c r="AH1337" s="20"/>
      <c r="AI1337" s="5"/>
      <c r="AJ1337" s="5"/>
      <c r="AK1337" s="5"/>
      <c r="AL1337" s="5"/>
      <c r="AM1337" s="5"/>
      <c r="AN1337" s="5"/>
      <c r="AO1337" s="5"/>
      <c r="AP1337" s="5"/>
      <c r="AQ1337" s="5"/>
      <c r="AR1337" s="5"/>
      <c r="AS1337" s="5"/>
      <c r="AT1337" s="5"/>
      <c r="AU1337" s="5"/>
      <c r="AV1337" s="5"/>
      <c r="AW1337" s="5"/>
      <c r="AX1337" s="5"/>
      <c r="AY1337" s="5"/>
      <c r="AZ1337" s="5"/>
      <c r="BA1337" s="5"/>
      <c r="BB1337" s="5"/>
      <c r="BC1337" s="5"/>
      <c r="BD1337" s="5"/>
      <c r="BE1337" s="5"/>
      <c r="BF1337" s="5"/>
      <c r="BG1337" s="5"/>
      <c r="BH1337" s="5"/>
      <c r="BI1337" s="5"/>
      <c r="BJ1337" s="5"/>
      <c r="BK1337" s="5"/>
      <c r="BL1337" s="5"/>
      <c r="BM1337" s="5"/>
    </row>
    <row r="1338" ht="15.75" customHeight="1">
      <c r="A1338" s="5"/>
      <c r="B1338" s="5"/>
      <c r="C1338" s="5"/>
      <c r="D1338" s="5"/>
      <c r="E1338" s="14"/>
      <c r="F1338" s="15"/>
      <c r="G1338" s="14"/>
      <c r="H1338" s="16"/>
      <c r="I1338" s="14"/>
      <c r="J1338" s="16"/>
      <c r="K1338" s="14"/>
      <c r="L1338" s="16"/>
      <c r="M1338" s="14"/>
      <c r="N1338" s="16"/>
      <c r="O1338" s="14"/>
      <c r="P1338" s="16"/>
      <c r="Q1338" s="14"/>
      <c r="R1338" s="5"/>
      <c r="S1338" s="14"/>
      <c r="T1338" s="16"/>
      <c r="U1338" s="16"/>
      <c r="V1338" s="17"/>
      <c r="W1338" s="6"/>
      <c r="X1338" s="22"/>
      <c r="Y1338" s="14"/>
      <c r="Z1338" s="14"/>
      <c r="AA1338" s="14"/>
      <c r="AB1338" s="14"/>
      <c r="AC1338" s="14"/>
      <c r="AD1338" s="14"/>
      <c r="AE1338" s="14"/>
      <c r="AF1338" s="14"/>
      <c r="AG1338" s="19"/>
      <c r="AH1338" s="20"/>
      <c r="AI1338" s="5"/>
      <c r="AJ1338" s="5"/>
      <c r="AK1338" s="5"/>
      <c r="AL1338" s="5"/>
      <c r="AM1338" s="5"/>
      <c r="AN1338" s="5"/>
      <c r="AO1338" s="5"/>
      <c r="AP1338" s="5"/>
      <c r="AQ1338" s="5"/>
      <c r="AR1338" s="5"/>
      <c r="AS1338" s="5"/>
      <c r="AT1338" s="5"/>
      <c r="AU1338" s="5"/>
      <c r="AV1338" s="5"/>
      <c r="AW1338" s="5"/>
      <c r="AX1338" s="5"/>
      <c r="AY1338" s="5"/>
      <c r="AZ1338" s="5"/>
      <c r="BA1338" s="5"/>
      <c r="BB1338" s="5"/>
      <c r="BC1338" s="5"/>
      <c r="BD1338" s="5"/>
      <c r="BE1338" s="5"/>
      <c r="BF1338" s="5"/>
      <c r="BG1338" s="5"/>
      <c r="BH1338" s="5"/>
      <c r="BI1338" s="5"/>
      <c r="BJ1338" s="5"/>
      <c r="BK1338" s="5"/>
      <c r="BL1338" s="5"/>
      <c r="BM1338" s="5"/>
    </row>
    <row r="1339" ht="15.75" customHeight="1">
      <c r="A1339" s="5"/>
      <c r="B1339" s="5"/>
      <c r="C1339" s="5"/>
      <c r="D1339" s="5"/>
      <c r="E1339" s="14"/>
      <c r="F1339" s="15"/>
      <c r="G1339" s="14"/>
      <c r="H1339" s="16"/>
      <c r="I1339" s="14"/>
      <c r="J1339" s="16"/>
      <c r="K1339" s="14"/>
      <c r="L1339" s="16"/>
      <c r="M1339" s="14"/>
      <c r="N1339" s="16"/>
      <c r="O1339" s="14"/>
      <c r="P1339" s="16"/>
      <c r="Q1339" s="14"/>
      <c r="R1339" s="5"/>
      <c r="S1339" s="14"/>
      <c r="T1339" s="16"/>
      <c r="U1339" s="16"/>
      <c r="V1339" s="17"/>
      <c r="W1339" s="6"/>
      <c r="X1339" s="22"/>
      <c r="Y1339" s="14"/>
      <c r="Z1339" s="14"/>
      <c r="AA1339" s="14"/>
      <c r="AB1339" s="14"/>
      <c r="AC1339" s="14"/>
      <c r="AD1339" s="14"/>
      <c r="AE1339" s="14"/>
      <c r="AF1339" s="14"/>
      <c r="AG1339" s="19"/>
      <c r="AH1339" s="20"/>
      <c r="AI1339" s="5"/>
      <c r="AJ1339" s="5"/>
      <c r="AK1339" s="5"/>
      <c r="AL1339" s="5"/>
      <c r="AM1339" s="5"/>
      <c r="AN1339" s="5"/>
      <c r="AO1339" s="5"/>
      <c r="AP1339" s="5"/>
      <c r="AQ1339" s="5"/>
      <c r="AR1339" s="5"/>
      <c r="AS1339" s="5"/>
      <c r="AT1339" s="5"/>
      <c r="AU1339" s="5"/>
      <c r="AV1339" s="5"/>
      <c r="AW1339" s="5"/>
      <c r="AX1339" s="5"/>
      <c r="AY1339" s="5"/>
      <c r="AZ1339" s="5"/>
      <c r="BA1339" s="5"/>
      <c r="BB1339" s="5"/>
      <c r="BC1339" s="5"/>
      <c r="BD1339" s="5"/>
      <c r="BE1339" s="5"/>
      <c r="BF1339" s="5"/>
      <c r="BG1339" s="5"/>
      <c r="BH1339" s="5"/>
      <c r="BI1339" s="5"/>
      <c r="BJ1339" s="5"/>
      <c r="BK1339" s="5"/>
      <c r="BL1339" s="5"/>
      <c r="BM1339" s="5"/>
    </row>
    <row r="1340" ht="15.75" customHeight="1">
      <c r="A1340" s="5"/>
      <c r="B1340" s="5"/>
      <c r="C1340" s="5"/>
      <c r="D1340" s="5"/>
      <c r="E1340" s="14"/>
      <c r="F1340" s="15"/>
      <c r="G1340" s="14"/>
      <c r="H1340" s="16"/>
      <c r="I1340" s="14"/>
      <c r="J1340" s="16"/>
      <c r="K1340" s="14"/>
      <c r="L1340" s="16"/>
      <c r="M1340" s="14"/>
      <c r="N1340" s="16"/>
      <c r="O1340" s="14"/>
      <c r="P1340" s="16"/>
      <c r="Q1340" s="14"/>
      <c r="R1340" s="5"/>
      <c r="S1340" s="14"/>
      <c r="T1340" s="16"/>
      <c r="U1340" s="16"/>
      <c r="V1340" s="17"/>
      <c r="W1340" s="6"/>
      <c r="X1340" s="22"/>
      <c r="Y1340" s="14"/>
      <c r="Z1340" s="14"/>
      <c r="AA1340" s="14"/>
      <c r="AB1340" s="14"/>
      <c r="AC1340" s="14"/>
      <c r="AD1340" s="14"/>
      <c r="AE1340" s="14"/>
      <c r="AF1340" s="14"/>
      <c r="AG1340" s="19"/>
      <c r="AH1340" s="20"/>
      <c r="AI1340" s="5"/>
      <c r="AJ1340" s="5"/>
      <c r="AK1340" s="5"/>
      <c r="AL1340" s="5"/>
      <c r="AM1340" s="5"/>
      <c r="AN1340" s="5"/>
      <c r="AO1340" s="5"/>
      <c r="AP1340" s="5"/>
      <c r="AQ1340" s="5"/>
      <c r="AR1340" s="5"/>
      <c r="AS1340" s="5"/>
      <c r="AT1340" s="5"/>
      <c r="AU1340" s="5"/>
      <c r="AV1340" s="5"/>
      <c r="AW1340" s="5"/>
      <c r="AX1340" s="5"/>
      <c r="AY1340" s="5"/>
      <c r="AZ1340" s="5"/>
      <c r="BA1340" s="5"/>
      <c r="BB1340" s="5"/>
      <c r="BC1340" s="5"/>
      <c r="BD1340" s="5"/>
      <c r="BE1340" s="5"/>
      <c r="BF1340" s="5"/>
      <c r="BG1340" s="5"/>
      <c r="BH1340" s="5"/>
      <c r="BI1340" s="5"/>
      <c r="BJ1340" s="5"/>
      <c r="BK1340" s="5"/>
      <c r="BL1340" s="5"/>
      <c r="BM1340" s="5"/>
    </row>
    <row r="1341" ht="15.75" customHeight="1">
      <c r="A1341" s="5"/>
      <c r="B1341" s="5"/>
      <c r="C1341" s="5"/>
      <c r="D1341" s="5"/>
      <c r="E1341" s="14"/>
      <c r="F1341" s="15"/>
      <c r="G1341" s="14"/>
      <c r="H1341" s="16"/>
      <c r="I1341" s="14"/>
      <c r="J1341" s="16"/>
      <c r="K1341" s="14"/>
      <c r="L1341" s="16"/>
      <c r="M1341" s="14"/>
      <c r="N1341" s="16"/>
      <c r="O1341" s="14"/>
      <c r="P1341" s="16"/>
      <c r="Q1341" s="14"/>
      <c r="R1341" s="5"/>
      <c r="S1341" s="14"/>
      <c r="T1341" s="16"/>
      <c r="U1341" s="16"/>
      <c r="V1341" s="17"/>
      <c r="W1341" s="6"/>
      <c r="X1341" s="22"/>
      <c r="Y1341" s="14"/>
      <c r="Z1341" s="14"/>
      <c r="AA1341" s="14"/>
      <c r="AB1341" s="14"/>
      <c r="AC1341" s="14"/>
      <c r="AD1341" s="14"/>
      <c r="AE1341" s="14"/>
      <c r="AF1341" s="14"/>
      <c r="AG1341" s="19"/>
      <c r="AH1341" s="20"/>
      <c r="AI1341" s="5"/>
      <c r="AJ1341" s="5"/>
      <c r="AK1341" s="5"/>
      <c r="AL1341" s="5"/>
      <c r="AM1341" s="5"/>
      <c r="AN1341" s="5"/>
      <c r="AO1341" s="5"/>
      <c r="AP1341" s="5"/>
      <c r="AQ1341" s="5"/>
      <c r="AR1341" s="5"/>
      <c r="AS1341" s="5"/>
      <c r="AT1341" s="5"/>
      <c r="AU1341" s="5"/>
      <c r="AV1341" s="5"/>
      <c r="AW1341" s="5"/>
      <c r="AX1341" s="5"/>
      <c r="AY1341" s="5"/>
      <c r="AZ1341" s="5"/>
      <c r="BA1341" s="5"/>
      <c r="BB1341" s="5"/>
      <c r="BC1341" s="5"/>
      <c r="BD1341" s="5"/>
      <c r="BE1341" s="5"/>
      <c r="BF1341" s="5"/>
      <c r="BG1341" s="5"/>
      <c r="BH1341" s="5"/>
      <c r="BI1341" s="5"/>
      <c r="BJ1341" s="5"/>
      <c r="BK1341" s="5"/>
      <c r="BL1341" s="5"/>
      <c r="BM1341" s="5"/>
    </row>
    <row r="1342" ht="15.75" customHeight="1">
      <c r="A1342" s="5"/>
      <c r="B1342" s="5"/>
      <c r="C1342" s="5"/>
      <c r="D1342" s="5"/>
      <c r="E1342" s="14"/>
      <c r="F1342" s="15"/>
      <c r="G1342" s="14"/>
      <c r="H1342" s="16"/>
      <c r="I1342" s="14"/>
      <c r="J1342" s="16"/>
      <c r="K1342" s="14"/>
      <c r="L1342" s="16"/>
      <c r="M1342" s="14"/>
      <c r="N1342" s="16"/>
      <c r="O1342" s="14"/>
      <c r="P1342" s="16"/>
      <c r="Q1342" s="14"/>
      <c r="R1342" s="5"/>
      <c r="S1342" s="14"/>
      <c r="T1342" s="16"/>
      <c r="U1342" s="16"/>
      <c r="V1342" s="17"/>
      <c r="W1342" s="6"/>
      <c r="X1342" s="22"/>
      <c r="Y1342" s="14"/>
      <c r="Z1342" s="14"/>
      <c r="AA1342" s="14"/>
      <c r="AB1342" s="14"/>
      <c r="AC1342" s="14"/>
      <c r="AD1342" s="14"/>
      <c r="AE1342" s="14"/>
      <c r="AF1342" s="14"/>
      <c r="AG1342" s="19"/>
      <c r="AH1342" s="20"/>
      <c r="AI1342" s="5"/>
      <c r="AJ1342" s="5"/>
      <c r="AK1342" s="5"/>
      <c r="AL1342" s="5"/>
      <c r="AM1342" s="5"/>
      <c r="AN1342" s="5"/>
      <c r="AO1342" s="5"/>
      <c r="AP1342" s="5"/>
      <c r="AQ1342" s="5"/>
      <c r="AR1342" s="5"/>
      <c r="AS1342" s="5"/>
      <c r="AT1342" s="5"/>
      <c r="AU1342" s="5"/>
      <c r="AV1342" s="5"/>
      <c r="AW1342" s="5"/>
      <c r="AX1342" s="5"/>
      <c r="AY1342" s="5"/>
      <c r="AZ1342" s="5"/>
      <c r="BA1342" s="5"/>
      <c r="BB1342" s="5"/>
      <c r="BC1342" s="5"/>
      <c r="BD1342" s="5"/>
      <c r="BE1342" s="5"/>
      <c r="BF1342" s="5"/>
      <c r="BG1342" s="5"/>
      <c r="BH1342" s="5"/>
      <c r="BI1342" s="5"/>
      <c r="BJ1342" s="5"/>
      <c r="BK1342" s="5"/>
      <c r="BL1342" s="5"/>
      <c r="BM1342" s="5"/>
    </row>
    <row r="1343" ht="15.75" customHeight="1">
      <c r="A1343" s="5"/>
      <c r="B1343" s="5"/>
      <c r="C1343" s="5"/>
      <c r="D1343" s="5"/>
      <c r="E1343" s="14"/>
      <c r="F1343" s="15"/>
      <c r="G1343" s="14"/>
      <c r="H1343" s="16"/>
      <c r="I1343" s="14"/>
      <c r="J1343" s="16"/>
      <c r="K1343" s="14"/>
      <c r="L1343" s="16"/>
      <c r="M1343" s="14"/>
      <c r="N1343" s="16"/>
      <c r="O1343" s="14"/>
      <c r="P1343" s="16"/>
      <c r="Q1343" s="14"/>
      <c r="R1343" s="5"/>
      <c r="S1343" s="14"/>
      <c r="T1343" s="16"/>
      <c r="U1343" s="16"/>
      <c r="V1343" s="17"/>
      <c r="W1343" s="6"/>
      <c r="X1343" s="22"/>
      <c r="Y1343" s="14"/>
      <c r="Z1343" s="14"/>
      <c r="AA1343" s="14"/>
      <c r="AB1343" s="14"/>
      <c r="AC1343" s="14"/>
      <c r="AD1343" s="14"/>
      <c r="AE1343" s="14"/>
      <c r="AF1343" s="14"/>
      <c r="AG1343" s="19"/>
      <c r="AH1343" s="20"/>
      <c r="AI1343" s="5"/>
      <c r="AJ1343" s="5"/>
      <c r="AK1343" s="5"/>
      <c r="AL1343" s="5"/>
      <c r="AM1343" s="5"/>
      <c r="AN1343" s="5"/>
      <c r="AO1343" s="5"/>
      <c r="AP1343" s="5"/>
      <c r="AQ1343" s="5"/>
      <c r="AR1343" s="5"/>
      <c r="AS1343" s="5"/>
      <c r="AT1343" s="5"/>
      <c r="AU1343" s="5"/>
      <c r="AV1343" s="5"/>
      <c r="AW1343" s="5"/>
      <c r="AX1343" s="5"/>
      <c r="AY1343" s="5"/>
      <c r="AZ1343" s="5"/>
      <c r="BA1343" s="5"/>
      <c r="BB1343" s="5"/>
      <c r="BC1343" s="5"/>
      <c r="BD1343" s="5"/>
      <c r="BE1343" s="5"/>
      <c r="BF1343" s="5"/>
      <c r="BG1343" s="5"/>
      <c r="BH1343" s="5"/>
      <c r="BI1343" s="5"/>
      <c r="BJ1343" s="5"/>
      <c r="BK1343" s="5"/>
      <c r="BL1343" s="5"/>
      <c r="BM1343" s="5"/>
    </row>
    <row r="1344" ht="15.75" customHeight="1">
      <c r="A1344" s="5"/>
      <c r="B1344" s="5"/>
      <c r="C1344" s="5"/>
      <c r="D1344" s="5"/>
      <c r="E1344" s="14"/>
      <c r="F1344" s="15"/>
      <c r="G1344" s="14"/>
      <c r="H1344" s="16"/>
      <c r="I1344" s="14"/>
      <c r="J1344" s="16"/>
      <c r="K1344" s="14"/>
      <c r="L1344" s="16"/>
      <c r="M1344" s="14"/>
      <c r="N1344" s="16"/>
      <c r="O1344" s="14"/>
      <c r="P1344" s="16"/>
      <c r="Q1344" s="14"/>
      <c r="R1344" s="5"/>
      <c r="S1344" s="14"/>
      <c r="T1344" s="16"/>
      <c r="U1344" s="16"/>
      <c r="V1344" s="17"/>
      <c r="W1344" s="6"/>
      <c r="X1344" s="22"/>
      <c r="Y1344" s="14"/>
      <c r="Z1344" s="14"/>
      <c r="AA1344" s="14"/>
      <c r="AB1344" s="14"/>
      <c r="AC1344" s="14"/>
      <c r="AD1344" s="14"/>
      <c r="AE1344" s="14"/>
      <c r="AF1344" s="14"/>
      <c r="AG1344" s="19"/>
      <c r="AH1344" s="20"/>
      <c r="AI1344" s="5"/>
      <c r="AJ1344" s="5"/>
      <c r="AK1344" s="5"/>
      <c r="AL1344" s="5"/>
      <c r="AM1344" s="5"/>
      <c r="AN1344" s="5"/>
      <c r="AO1344" s="5"/>
      <c r="AP1344" s="5"/>
      <c r="AQ1344" s="5"/>
      <c r="AR1344" s="5"/>
      <c r="AS1344" s="5"/>
      <c r="AT1344" s="5"/>
      <c r="AU1344" s="5"/>
      <c r="AV1344" s="5"/>
      <c r="AW1344" s="5"/>
      <c r="AX1344" s="5"/>
      <c r="AY1344" s="5"/>
      <c r="AZ1344" s="5"/>
      <c r="BA1344" s="5"/>
      <c r="BB1344" s="5"/>
      <c r="BC1344" s="5"/>
      <c r="BD1344" s="5"/>
      <c r="BE1344" s="5"/>
      <c r="BF1344" s="5"/>
      <c r="BG1344" s="5"/>
      <c r="BH1344" s="5"/>
      <c r="BI1344" s="5"/>
      <c r="BJ1344" s="5"/>
      <c r="BK1344" s="5"/>
      <c r="BL1344" s="5"/>
      <c r="BM1344" s="5"/>
    </row>
    <row r="1345" ht="15.75" customHeight="1">
      <c r="A1345" s="5"/>
      <c r="B1345" s="5"/>
      <c r="C1345" s="5"/>
      <c r="D1345" s="5"/>
      <c r="E1345" s="14"/>
      <c r="F1345" s="15"/>
      <c r="G1345" s="14"/>
      <c r="H1345" s="16"/>
      <c r="I1345" s="14"/>
      <c r="J1345" s="16"/>
      <c r="K1345" s="14"/>
      <c r="L1345" s="16"/>
      <c r="M1345" s="14"/>
      <c r="N1345" s="16"/>
      <c r="O1345" s="14"/>
      <c r="P1345" s="16"/>
      <c r="Q1345" s="14"/>
      <c r="R1345" s="5"/>
      <c r="S1345" s="14"/>
      <c r="T1345" s="16"/>
      <c r="U1345" s="16"/>
      <c r="V1345" s="17"/>
      <c r="W1345" s="6"/>
      <c r="X1345" s="22"/>
      <c r="Y1345" s="14"/>
      <c r="Z1345" s="14"/>
      <c r="AA1345" s="14"/>
      <c r="AB1345" s="14"/>
      <c r="AC1345" s="14"/>
      <c r="AD1345" s="14"/>
      <c r="AE1345" s="14"/>
      <c r="AF1345" s="14"/>
      <c r="AG1345" s="19"/>
      <c r="AH1345" s="20"/>
      <c r="AI1345" s="5"/>
      <c r="AJ1345" s="5"/>
      <c r="AK1345" s="5"/>
      <c r="AL1345" s="5"/>
      <c r="AM1345" s="5"/>
      <c r="AN1345" s="5"/>
      <c r="AO1345" s="5"/>
      <c r="AP1345" s="5"/>
      <c r="AQ1345" s="5"/>
      <c r="AR1345" s="5"/>
      <c r="AS1345" s="5"/>
      <c r="AT1345" s="5"/>
      <c r="AU1345" s="5"/>
      <c r="AV1345" s="5"/>
      <c r="AW1345" s="5"/>
      <c r="AX1345" s="5"/>
      <c r="AY1345" s="5"/>
      <c r="AZ1345" s="5"/>
      <c r="BA1345" s="5"/>
      <c r="BB1345" s="5"/>
      <c r="BC1345" s="5"/>
      <c r="BD1345" s="5"/>
      <c r="BE1345" s="5"/>
      <c r="BF1345" s="5"/>
      <c r="BG1345" s="5"/>
      <c r="BH1345" s="5"/>
      <c r="BI1345" s="5"/>
      <c r="BJ1345" s="5"/>
      <c r="BK1345" s="5"/>
      <c r="BL1345" s="5"/>
      <c r="BM1345" s="5"/>
    </row>
    <row r="1346" ht="15.75" customHeight="1">
      <c r="A1346" s="5"/>
      <c r="B1346" s="5"/>
      <c r="C1346" s="5"/>
      <c r="D1346" s="5"/>
      <c r="E1346" s="14"/>
      <c r="F1346" s="15"/>
      <c r="G1346" s="14"/>
      <c r="H1346" s="16"/>
      <c r="I1346" s="14"/>
      <c r="J1346" s="16"/>
      <c r="K1346" s="14"/>
      <c r="L1346" s="16"/>
      <c r="M1346" s="14"/>
      <c r="N1346" s="16"/>
      <c r="O1346" s="14"/>
      <c r="P1346" s="16"/>
      <c r="Q1346" s="14"/>
      <c r="R1346" s="5"/>
      <c r="S1346" s="14"/>
      <c r="T1346" s="16"/>
      <c r="U1346" s="16"/>
      <c r="V1346" s="17"/>
      <c r="W1346" s="6"/>
      <c r="X1346" s="22"/>
      <c r="Y1346" s="14"/>
      <c r="Z1346" s="14"/>
      <c r="AA1346" s="14"/>
      <c r="AB1346" s="14"/>
      <c r="AC1346" s="14"/>
      <c r="AD1346" s="14"/>
      <c r="AE1346" s="14"/>
      <c r="AF1346" s="14"/>
      <c r="AG1346" s="19"/>
      <c r="AH1346" s="20"/>
      <c r="AI1346" s="5"/>
      <c r="AJ1346" s="5"/>
      <c r="AK1346" s="5"/>
      <c r="AL1346" s="5"/>
      <c r="AM1346" s="5"/>
      <c r="AN1346" s="5"/>
      <c r="AO1346" s="5"/>
      <c r="AP1346" s="5"/>
      <c r="AQ1346" s="5"/>
      <c r="AR1346" s="5"/>
      <c r="AS1346" s="5"/>
      <c r="AT1346" s="5"/>
      <c r="AU1346" s="5"/>
      <c r="AV1346" s="5"/>
      <c r="AW1346" s="5"/>
      <c r="AX1346" s="5"/>
      <c r="AY1346" s="5"/>
      <c r="AZ1346" s="5"/>
      <c r="BA1346" s="5"/>
      <c r="BB1346" s="5"/>
      <c r="BC1346" s="5"/>
      <c r="BD1346" s="5"/>
      <c r="BE1346" s="5"/>
      <c r="BF1346" s="5"/>
      <c r="BG1346" s="5"/>
      <c r="BH1346" s="5"/>
      <c r="BI1346" s="5"/>
      <c r="BJ1346" s="5"/>
      <c r="BK1346" s="5"/>
      <c r="BL1346" s="5"/>
      <c r="BM1346" s="5"/>
    </row>
    <row r="1347" ht="15.75" customHeight="1">
      <c r="A1347" s="5"/>
      <c r="B1347" s="5"/>
      <c r="C1347" s="5"/>
      <c r="D1347" s="5"/>
      <c r="E1347" s="14"/>
      <c r="F1347" s="15"/>
      <c r="G1347" s="14"/>
      <c r="H1347" s="16"/>
      <c r="I1347" s="14"/>
      <c r="J1347" s="16"/>
      <c r="K1347" s="14"/>
      <c r="L1347" s="16"/>
      <c r="M1347" s="14"/>
      <c r="N1347" s="16"/>
      <c r="O1347" s="14"/>
      <c r="P1347" s="16"/>
      <c r="Q1347" s="14"/>
      <c r="R1347" s="5"/>
      <c r="S1347" s="14"/>
      <c r="T1347" s="16"/>
      <c r="U1347" s="16"/>
      <c r="V1347" s="17"/>
      <c r="W1347" s="6"/>
      <c r="X1347" s="22"/>
      <c r="Y1347" s="14"/>
      <c r="Z1347" s="14"/>
      <c r="AA1347" s="14"/>
      <c r="AB1347" s="14"/>
      <c r="AC1347" s="14"/>
      <c r="AD1347" s="14"/>
      <c r="AE1347" s="14"/>
      <c r="AF1347" s="14"/>
      <c r="AG1347" s="19"/>
      <c r="AH1347" s="20"/>
      <c r="AI1347" s="5"/>
      <c r="AJ1347" s="5"/>
      <c r="AK1347" s="5"/>
      <c r="AL1347" s="5"/>
      <c r="AM1347" s="5"/>
      <c r="AN1347" s="5"/>
      <c r="AO1347" s="5"/>
      <c r="AP1347" s="5"/>
      <c r="AQ1347" s="5"/>
      <c r="AR1347" s="5"/>
      <c r="AS1347" s="5"/>
      <c r="AT1347" s="5"/>
      <c r="AU1347" s="5"/>
      <c r="AV1347" s="5"/>
      <c r="AW1347" s="5"/>
      <c r="AX1347" s="5"/>
      <c r="AY1347" s="5"/>
      <c r="AZ1347" s="5"/>
      <c r="BA1347" s="5"/>
      <c r="BB1347" s="5"/>
      <c r="BC1347" s="5"/>
      <c r="BD1347" s="5"/>
      <c r="BE1347" s="5"/>
      <c r="BF1347" s="5"/>
      <c r="BG1347" s="5"/>
      <c r="BH1347" s="5"/>
      <c r="BI1347" s="5"/>
      <c r="BJ1347" s="5"/>
      <c r="BK1347" s="5"/>
      <c r="BL1347" s="5"/>
      <c r="BM1347" s="5"/>
    </row>
    <row r="1348" ht="15.75" customHeight="1">
      <c r="A1348" s="5"/>
      <c r="B1348" s="5"/>
      <c r="C1348" s="5"/>
      <c r="D1348" s="5"/>
      <c r="E1348" s="14"/>
      <c r="F1348" s="15"/>
      <c r="G1348" s="14"/>
      <c r="H1348" s="16"/>
      <c r="I1348" s="14"/>
      <c r="J1348" s="16"/>
      <c r="K1348" s="14"/>
      <c r="L1348" s="16"/>
      <c r="M1348" s="14"/>
      <c r="N1348" s="16"/>
      <c r="O1348" s="14"/>
      <c r="P1348" s="16"/>
      <c r="Q1348" s="14"/>
      <c r="R1348" s="5"/>
      <c r="S1348" s="14"/>
      <c r="T1348" s="16"/>
      <c r="U1348" s="16"/>
      <c r="V1348" s="17"/>
      <c r="W1348" s="6"/>
      <c r="X1348" s="22"/>
      <c r="Y1348" s="14"/>
      <c r="Z1348" s="14"/>
      <c r="AA1348" s="14"/>
      <c r="AB1348" s="14"/>
      <c r="AC1348" s="14"/>
      <c r="AD1348" s="14"/>
      <c r="AE1348" s="14"/>
      <c r="AF1348" s="14"/>
      <c r="AG1348" s="19"/>
      <c r="AH1348" s="20"/>
      <c r="AI1348" s="5"/>
      <c r="AJ1348" s="5"/>
      <c r="AK1348" s="5"/>
      <c r="AL1348" s="5"/>
      <c r="AM1348" s="5"/>
      <c r="AN1348" s="5"/>
      <c r="AO1348" s="5"/>
      <c r="AP1348" s="5"/>
      <c r="AQ1348" s="5"/>
      <c r="AR1348" s="5"/>
      <c r="AS1348" s="5"/>
      <c r="AT1348" s="5"/>
      <c r="AU1348" s="5"/>
      <c r="AV1348" s="5"/>
      <c r="AW1348" s="5"/>
      <c r="AX1348" s="5"/>
      <c r="AY1348" s="5"/>
      <c r="AZ1348" s="5"/>
      <c r="BA1348" s="5"/>
      <c r="BB1348" s="5"/>
      <c r="BC1348" s="5"/>
      <c r="BD1348" s="5"/>
      <c r="BE1348" s="5"/>
      <c r="BF1348" s="5"/>
      <c r="BG1348" s="5"/>
      <c r="BH1348" s="5"/>
      <c r="BI1348" s="5"/>
      <c r="BJ1348" s="5"/>
      <c r="BK1348" s="5"/>
      <c r="BL1348" s="5"/>
      <c r="BM1348" s="5"/>
    </row>
    <row r="1349" ht="15.75" customHeight="1">
      <c r="A1349" s="5"/>
      <c r="B1349" s="5"/>
      <c r="C1349" s="5"/>
      <c r="D1349" s="5"/>
      <c r="E1349" s="14"/>
      <c r="F1349" s="15"/>
      <c r="G1349" s="14"/>
      <c r="H1349" s="16"/>
      <c r="I1349" s="14"/>
      <c r="J1349" s="16"/>
      <c r="K1349" s="14"/>
      <c r="L1349" s="16"/>
      <c r="M1349" s="14"/>
      <c r="N1349" s="16"/>
      <c r="O1349" s="14"/>
      <c r="P1349" s="16"/>
      <c r="Q1349" s="14"/>
      <c r="R1349" s="5"/>
      <c r="S1349" s="14"/>
      <c r="T1349" s="16"/>
      <c r="U1349" s="16"/>
      <c r="V1349" s="17"/>
      <c r="W1349" s="6"/>
      <c r="X1349" s="22"/>
      <c r="Y1349" s="14"/>
      <c r="Z1349" s="14"/>
      <c r="AA1349" s="14"/>
      <c r="AB1349" s="14"/>
      <c r="AC1349" s="14"/>
      <c r="AD1349" s="14"/>
      <c r="AE1349" s="14"/>
      <c r="AF1349" s="14"/>
      <c r="AG1349" s="19"/>
      <c r="AH1349" s="20"/>
      <c r="AI1349" s="5"/>
      <c r="AJ1349" s="5"/>
      <c r="AK1349" s="5"/>
      <c r="AL1349" s="5"/>
      <c r="AM1349" s="5"/>
      <c r="AN1349" s="5"/>
      <c r="AO1349" s="5"/>
      <c r="AP1349" s="5"/>
      <c r="AQ1349" s="5"/>
      <c r="AR1349" s="5"/>
      <c r="AS1349" s="5"/>
      <c r="AT1349" s="5"/>
      <c r="AU1349" s="5"/>
      <c r="AV1349" s="5"/>
      <c r="AW1349" s="5"/>
      <c r="AX1349" s="5"/>
      <c r="AY1349" s="5"/>
      <c r="AZ1349" s="5"/>
      <c r="BA1349" s="5"/>
      <c r="BB1349" s="5"/>
      <c r="BC1349" s="5"/>
      <c r="BD1349" s="5"/>
      <c r="BE1349" s="5"/>
      <c r="BF1349" s="5"/>
      <c r="BG1349" s="5"/>
      <c r="BH1349" s="5"/>
      <c r="BI1349" s="5"/>
      <c r="BJ1349" s="5"/>
      <c r="BK1349" s="5"/>
      <c r="BL1349" s="5"/>
      <c r="BM1349" s="5"/>
    </row>
    <row r="1350" ht="15.75" customHeight="1">
      <c r="A1350" s="5"/>
      <c r="B1350" s="5"/>
      <c r="C1350" s="5"/>
      <c r="D1350" s="5"/>
      <c r="E1350" s="14"/>
      <c r="F1350" s="15"/>
      <c r="G1350" s="14"/>
      <c r="H1350" s="16"/>
      <c r="I1350" s="14"/>
      <c r="J1350" s="16"/>
      <c r="K1350" s="14"/>
      <c r="L1350" s="16"/>
      <c r="M1350" s="14"/>
      <c r="N1350" s="16"/>
      <c r="O1350" s="14"/>
      <c r="P1350" s="16"/>
      <c r="Q1350" s="14"/>
      <c r="R1350" s="5"/>
      <c r="S1350" s="14"/>
      <c r="T1350" s="16"/>
      <c r="U1350" s="16"/>
      <c r="V1350" s="17"/>
      <c r="W1350" s="6"/>
      <c r="X1350" s="22"/>
      <c r="Y1350" s="14"/>
      <c r="Z1350" s="14"/>
      <c r="AA1350" s="14"/>
      <c r="AB1350" s="14"/>
      <c r="AC1350" s="14"/>
      <c r="AD1350" s="14"/>
      <c r="AE1350" s="14"/>
      <c r="AF1350" s="14"/>
      <c r="AG1350" s="19"/>
      <c r="AH1350" s="20"/>
      <c r="AI1350" s="5"/>
      <c r="AJ1350" s="5"/>
      <c r="AK1350" s="5"/>
      <c r="AL1350" s="5"/>
      <c r="AM1350" s="5"/>
      <c r="AN1350" s="5"/>
      <c r="AO1350" s="5"/>
      <c r="AP1350" s="5"/>
      <c r="AQ1350" s="5"/>
      <c r="AR1350" s="5"/>
      <c r="AS1350" s="5"/>
      <c r="AT1350" s="5"/>
      <c r="AU1350" s="5"/>
      <c r="AV1350" s="5"/>
      <c r="AW1350" s="5"/>
      <c r="AX1350" s="5"/>
      <c r="AY1350" s="5"/>
      <c r="AZ1350" s="5"/>
      <c r="BA1350" s="5"/>
      <c r="BB1350" s="5"/>
      <c r="BC1350" s="5"/>
      <c r="BD1350" s="5"/>
      <c r="BE1350" s="5"/>
      <c r="BF1350" s="5"/>
      <c r="BG1350" s="5"/>
      <c r="BH1350" s="5"/>
      <c r="BI1350" s="5"/>
      <c r="BJ1350" s="5"/>
      <c r="BK1350" s="5"/>
      <c r="BL1350" s="5"/>
      <c r="BM1350" s="5"/>
    </row>
    <row r="1351" ht="15.75" customHeight="1">
      <c r="A1351" s="5"/>
      <c r="B1351" s="5"/>
      <c r="C1351" s="5"/>
      <c r="D1351" s="5"/>
      <c r="E1351" s="14"/>
      <c r="F1351" s="15"/>
      <c r="G1351" s="14"/>
      <c r="H1351" s="16"/>
      <c r="I1351" s="14"/>
      <c r="J1351" s="16"/>
      <c r="K1351" s="14"/>
      <c r="L1351" s="16"/>
      <c r="M1351" s="14"/>
      <c r="N1351" s="16"/>
      <c r="O1351" s="14"/>
      <c r="P1351" s="16"/>
      <c r="Q1351" s="14"/>
      <c r="R1351" s="5"/>
      <c r="S1351" s="14"/>
      <c r="T1351" s="16"/>
      <c r="U1351" s="16"/>
      <c r="V1351" s="17"/>
      <c r="W1351" s="6"/>
      <c r="X1351" s="22"/>
      <c r="Y1351" s="14"/>
      <c r="Z1351" s="14"/>
      <c r="AA1351" s="14"/>
      <c r="AB1351" s="14"/>
      <c r="AC1351" s="14"/>
      <c r="AD1351" s="14"/>
      <c r="AE1351" s="14"/>
      <c r="AF1351" s="14"/>
      <c r="AG1351" s="19"/>
      <c r="AH1351" s="20"/>
      <c r="AI1351" s="5"/>
      <c r="AJ1351" s="5"/>
      <c r="AK1351" s="5"/>
      <c r="AL1351" s="5"/>
      <c r="AM1351" s="5"/>
      <c r="AN1351" s="5"/>
      <c r="AO1351" s="5"/>
      <c r="AP1351" s="5"/>
      <c r="AQ1351" s="5"/>
      <c r="AR1351" s="5"/>
      <c r="AS1351" s="5"/>
      <c r="AT1351" s="5"/>
      <c r="AU1351" s="5"/>
      <c r="AV1351" s="5"/>
      <c r="AW1351" s="5"/>
      <c r="AX1351" s="5"/>
      <c r="AY1351" s="5"/>
      <c r="AZ1351" s="5"/>
      <c r="BA1351" s="5"/>
      <c r="BB1351" s="5"/>
      <c r="BC1351" s="5"/>
      <c r="BD1351" s="5"/>
      <c r="BE1351" s="5"/>
      <c r="BF1351" s="5"/>
      <c r="BG1351" s="5"/>
      <c r="BH1351" s="5"/>
      <c r="BI1351" s="5"/>
      <c r="BJ1351" s="5"/>
      <c r="BK1351" s="5"/>
      <c r="BL1351" s="5"/>
      <c r="BM1351" s="5"/>
    </row>
    <row r="1352" ht="15.75" customHeight="1">
      <c r="A1352" s="5"/>
      <c r="B1352" s="5"/>
      <c r="C1352" s="5"/>
      <c r="D1352" s="5"/>
      <c r="E1352" s="14"/>
      <c r="F1352" s="15"/>
      <c r="G1352" s="14"/>
      <c r="H1352" s="16"/>
      <c r="I1352" s="14"/>
      <c r="J1352" s="16"/>
      <c r="K1352" s="14"/>
      <c r="L1352" s="16"/>
      <c r="M1352" s="14"/>
      <c r="N1352" s="16"/>
      <c r="O1352" s="14"/>
      <c r="P1352" s="16"/>
      <c r="Q1352" s="14"/>
      <c r="R1352" s="5"/>
      <c r="S1352" s="14"/>
      <c r="T1352" s="16"/>
      <c r="U1352" s="16"/>
      <c r="V1352" s="17"/>
      <c r="W1352" s="6"/>
      <c r="X1352" s="22"/>
      <c r="Y1352" s="14"/>
      <c r="Z1352" s="14"/>
      <c r="AA1352" s="14"/>
      <c r="AB1352" s="14"/>
      <c r="AC1352" s="14"/>
      <c r="AD1352" s="14"/>
      <c r="AE1352" s="14"/>
      <c r="AF1352" s="14"/>
      <c r="AG1352" s="19"/>
      <c r="AH1352" s="20"/>
      <c r="AI1352" s="5"/>
      <c r="AJ1352" s="5"/>
      <c r="AK1352" s="5"/>
      <c r="AL1352" s="5"/>
      <c r="AM1352" s="5"/>
      <c r="AN1352" s="5"/>
      <c r="AO1352" s="5"/>
      <c r="AP1352" s="5"/>
      <c r="AQ1352" s="5"/>
      <c r="AR1352" s="5"/>
      <c r="AS1352" s="5"/>
      <c r="AT1352" s="5"/>
      <c r="AU1352" s="5"/>
      <c r="AV1352" s="5"/>
      <c r="AW1352" s="5"/>
      <c r="AX1352" s="5"/>
      <c r="AY1352" s="5"/>
      <c r="AZ1352" s="5"/>
      <c r="BA1352" s="5"/>
      <c r="BB1352" s="5"/>
      <c r="BC1352" s="5"/>
      <c r="BD1352" s="5"/>
      <c r="BE1352" s="5"/>
      <c r="BF1352" s="5"/>
      <c r="BG1352" s="5"/>
      <c r="BH1352" s="5"/>
      <c r="BI1352" s="5"/>
      <c r="BJ1352" s="5"/>
      <c r="BK1352" s="5"/>
      <c r="BL1352" s="5"/>
      <c r="BM1352" s="5"/>
    </row>
    <row r="1353" ht="15.75" customHeight="1">
      <c r="A1353" s="5"/>
      <c r="B1353" s="5"/>
      <c r="C1353" s="5"/>
      <c r="D1353" s="5"/>
      <c r="E1353" s="14"/>
      <c r="F1353" s="15"/>
      <c r="G1353" s="14"/>
      <c r="H1353" s="16"/>
      <c r="I1353" s="14"/>
      <c r="J1353" s="16"/>
      <c r="K1353" s="14"/>
      <c r="L1353" s="16"/>
      <c r="M1353" s="14"/>
      <c r="N1353" s="16"/>
      <c r="O1353" s="14"/>
      <c r="P1353" s="16"/>
      <c r="Q1353" s="14"/>
      <c r="R1353" s="5"/>
      <c r="S1353" s="14"/>
      <c r="T1353" s="16"/>
      <c r="U1353" s="16"/>
      <c r="V1353" s="17"/>
      <c r="W1353" s="6"/>
      <c r="X1353" s="22"/>
      <c r="Y1353" s="14"/>
      <c r="Z1353" s="14"/>
      <c r="AA1353" s="14"/>
      <c r="AB1353" s="14"/>
      <c r="AC1353" s="14"/>
      <c r="AD1353" s="14"/>
      <c r="AE1353" s="14"/>
      <c r="AF1353" s="14"/>
      <c r="AG1353" s="19"/>
      <c r="AH1353" s="20"/>
      <c r="AI1353" s="5"/>
      <c r="AJ1353" s="5"/>
      <c r="AK1353" s="5"/>
      <c r="AL1353" s="5"/>
      <c r="AM1353" s="5"/>
      <c r="AN1353" s="5"/>
      <c r="AO1353" s="5"/>
      <c r="AP1353" s="5"/>
      <c r="AQ1353" s="5"/>
      <c r="AR1353" s="5"/>
      <c r="AS1353" s="5"/>
      <c r="AT1353" s="5"/>
      <c r="AU1353" s="5"/>
      <c r="AV1353" s="5"/>
      <c r="AW1353" s="5"/>
      <c r="AX1353" s="5"/>
      <c r="AY1353" s="5"/>
      <c r="AZ1353" s="5"/>
      <c r="BA1353" s="5"/>
      <c r="BB1353" s="5"/>
      <c r="BC1353" s="5"/>
      <c r="BD1353" s="5"/>
      <c r="BE1353" s="5"/>
      <c r="BF1353" s="5"/>
      <c r="BG1353" s="5"/>
      <c r="BH1353" s="5"/>
      <c r="BI1353" s="5"/>
      <c r="BJ1353" s="5"/>
      <c r="BK1353" s="5"/>
      <c r="BL1353" s="5"/>
      <c r="BM1353" s="5"/>
    </row>
    <row r="1354" ht="15.75" customHeight="1">
      <c r="A1354" s="5"/>
      <c r="B1354" s="5"/>
      <c r="C1354" s="5"/>
      <c r="D1354" s="5"/>
      <c r="E1354" s="14"/>
      <c r="F1354" s="15"/>
      <c r="G1354" s="14"/>
      <c r="H1354" s="16"/>
      <c r="I1354" s="14"/>
      <c r="J1354" s="16"/>
      <c r="K1354" s="14"/>
      <c r="L1354" s="16"/>
      <c r="M1354" s="14"/>
      <c r="N1354" s="16"/>
      <c r="O1354" s="14"/>
      <c r="P1354" s="16"/>
      <c r="Q1354" s="14"/>
      <c r="R1354" s="5"/>
      <c r="S1354" s="14"/>
      <c r="T1354" s="16"/>
      <c r="U1354" s="16"/>
      <c r="V1354" s="17"/>
      <c r="W1354" s="6"/>
      <c r="X1354" s="22"/>
      <c r="Y1354" s="14"/>
      <c r="Z1354" s="14"/>
      <c r="AA1354" s="14"/>
      <c r="AB1354" s="14"/>
      <c r="AC1354" s="14"/>
      <c r="AD1354" s="14"/>
      <c r="AE1354" s="14"/>
      <c r="AF1354" s="14"/>
      <c r="AG1354" s="19"/>
      <c r="AH1354" s="20"/>
      <c r="AI1354" s="5"/>
      <c r="AJ1354" s="5"/>
      <c r="AK1354" s="5"/>
      <c r="AL1354" s="5"/>
      <c r="AM1354" s="5"/>
      <c r="AN1354" s="5"/>
      <c r="AO1354" s="5"/>
      <c r="AP1354" s="5"/>
      <c r="AQ1354" s="5"/>
      <c r="AR1354" s="5"/>
      <c r="AS1354" s="5"/>
      <c r="AT1354" s="5"/>
      <c r="AU1354" s="5"/>
      <c r="AV1354" s="5"/>
      <c r="AW1354" s="5"/>
      <c r="AX1354" s="5"/>
      <c r="AY1354" s="5"/>
      <c r="AZ1354" s="5"/>
      <c r="BA1354" s="5"/>
      <c r="BB1354" s="5"/>
      <c r="BC1354" s="5"/>
      <c r="BD1354" s="5"/>
      <c r="BE1354" s="5"/>
      <c r="BF1354" s="5"/>
      <c r="BG1354" s="5"/>
      <c r="BH1354" s="5"/>
      <c r="BI1354" s="5"/>
      <c r="BJ1354" s="5"/>
      <c r="BK1354" s="5"/>
      <c r="BL1354" s="5"/>
      <c r="BM1354" s="5"/>
    </row>
    <row r="1355" ht="15.75" customHeight="1">
      <c r="A1355" s="5"/>
      <c r="B1355" s="5"/>
      <c r="C1355" s="5"/>
      <c r="D1355" s="5"/>
      <c r="E1355" s="14"/>
      <c r="F1355" s="15"/>
      <c r="G1355" s="14"/>
      <c r="H1355" s="16"/>
      <c r="I1355" s="14"/>
      <c r="J1355" s="16"/>
      <c r="K1355" s="14"/>
      <c r="L1355" s="16"/>
      <c r="M1355" s="14"/>
      <c r="N1355" s="16"/>
      <c r="O1355" s="14"/>
      <c r="P1355" s="16"/>
      <c r="Q1355" s="14"/>
      <c r="R1355" s="5"/>
      <c r="S1355" s="14"/>
      <c r="T1355" s="16"/>
      <c r="U1355" s="16"/>
      <c r="V1355" s="17"/>
      <c r="W1355" s="6"/>
      <c r="X1355" s="22"/>
      <c r="Y1355" s="14"/>
      <c r="Z1355" s="14"/>
      <c r="AA1355" s="14"/>
      <c r="AB1355" s="14"/>
      <c r="AC1355" s="14"/>
      <c r="AD1355" s="14"/>
      <c r="AE1355" s="14"/>
      <c r="AF1355" s="14"/>
      <c r="AG1355" s="19"/>
      <c r="AH1355" s="20"/>
      <c r="AI1355" s="5"/>
      <c r="AJ1355" s="5"/>
      <c r="AK1355" s="5"/>
      <c r="AL1355" s="5"/>
      <c r="AM1355" s="5"/>
      <c r="AN1355" s="5"/>
      <c r="AO1355" s="5"/>
      <c r="AP1355" s="5"/>
      <c r="AQ1355" s="5"/>
      <c r="AR1355" s="5"/>
      <c r="AS1355" s="5"/>
      <c r="AT1355" s="5"/>
      <c r="AU1355" s="5"/>
      <c r="AV1355" s="5"/>
      <c r="AW1355" s="5"/>
      <c r="AX1355" s="5"/>
      <c r="AY1355" s="5"/>
      <c r="AZ1355" s="5"/>
      <c r="BA1355" s="5"/>
      <c r="BB1355" s="5"/>
      <c r="BC1355" s="5"/>
      <c r="BD1355" s="5"/>
      <c r="BE1355" s="5"/>
      <c r="BF1355" s="5"/>
      <c r="BG1355" s="5"/>
      <c r="BH1355" s="5"/>
      <c r="BI1355" s="5"/>
      <c r="BJ1355" s="5"/>
      <c r="BK1355" s="5"/>
      <c r="BL1355" s="5"/>
      <c r="BM1355" s="5"/>
    </row>
    <row r="1356" ht="15.75" customHeight="1">
      <c r="A1356" s="5"/>
      <c r="B1356" s="5"/>
      <c r="C1356" s="5"/>
      <c r="D1356" s="5"/>
      <c r="E1356" s="14"/>
      <c r="F1356" s="15"/>
      <c r="G1356" s="14"/>
      <c r="H1356" s="16"/>
      <c r="I1356" s="14"/>
      <c r="J1356" s="16"/>
      <c r="K1356" s="14"/>
      <c r="L1356" s="16"/>
      <c r="M1356" s="14"/>
      <c r="N1356" s="16"/>
      <c r="O1356" s="14"/>
      <c r="P1356" s="16"/>
      <c r="Q1356" s="14"/>
      <c r="R1356" s="5"/>
      <c r="S1356" s="14"/>
      <c r="T1356" s="16"/>
      <c r="U1356" s="16"/>
      <c r="V1356" s="17"/>
      <c r="W1356" s="6"/>
      <c r="X1356" s="22"/>
      <c r="Y1356" s="14"/>
      <c r="Z1356" s="14"/>
      <c r="AA1356" s="14"/>
      <c r="AB1356" s="14"/>
      <c r="AC1356" s="14"/>
      <c r="AD1356" s="14"/>
      <c r="AE1356" s="14"/>
      <c r="AF1356" s="14"/>
      <c r="AG1356" s="19"/>
      <c r="AH1356" s="20"/>
      <c r="AI1356" s="5"/>
      <c r="AJ1356" s="5"/>
      <c r="AK1356" s="5"/>
      <c r="AL1356" s="5"/>
      <c r="AM1356" s="5"/>
      <c r="AN1356" s="5"/>
      <c r="AO1356" s="5"/>
      <c r="AP1356" s="5"/>
      <c r="AQ1356" s="5"/>
      <c r="AR1356" s="5"/>
      <c r="AS1356" s="5"/>
      <c r="AT1356" s="5"/>
      <c r="AU1356" s="5"/>
      <c r="AV1356" s="5"/>
      <c r="AW1356" s="5"/>
      <c r="AX1356" s="5"/>
      <c r="AY1356" s="5"/>
      <c r="AZ1356" s="5"/>
      <c r="BA1356" s="5"/>
      <c r="BB1356" s="5"/>
      <c r="BC1356" s="5"/>
      <c r="BD1356" s="5"/>
      <c r="BE1356" s="5"/>
      <c r="BF1356" s="5"/>
      <c r="BG1356" s="5"/>
      <c r="BH1356" s="5"/>
      <c r="BI1356" s="5"/>
      <c r="BJ1356" s="5"/>
      <c r="BK1356" s="5"/>
      <c r="BL1356" s="5"/>
      <c r="BM1356" s="5"/>
    </row>
    <row r="1357" ht="15.75" customHeight="1">
      <c r="A1357" s="5"/>
      <c r="B1357" s="5"/>
      <c r="C1357" s="5"/>
      <c r="D1357" s="5"/>
      <c r="E1357" s="14"/>
      <c r="F1357" s="15"/>
      <c r="G1357" s="14"/>
      <c r="H1357" s="16"/>
      <c r="I1357" s="14"/>
      <c r="J1357" s="16"/>
      <c r="K1357" s="14"/>
      <c r="L1357" s="16"/>
      <c r="M1357" s="14"/>
      <c r="N1357" s="16"/>
      <c r="O1357" s="14"/>
      <c r="P1357" s="16"/>
      <c r="Q1357" s="14"/>
      <c r="R1357" s="5"/>
      <c r="S1357" s="14"/>
      <c r="T1357" s="16"/>
      <c r="U1357" s="16"/>
      <c r="V1357" s="17"/>
      <c r="W1357" s="6"/>
      <c r="X1357" s="22"/>
      <c r="Y1357" s="14"/>
      <c r="Z1357" s="14"/>
      <c r="AA1357" s="14"/>
      <c r="AB1357" s="14"/>
      <c r="AC1357" s="14"/>
      <c r="AD1357" s="14"/>
      <c r="AE1357" s="14"/>
      <c r="AF1357" s="14"/>
      <c r="AG1357" s="19"/>
      <c r="AH1357" s="20"/>
      <c r="AI1357" s="5"/>
      <c r="AJ1357" s="5"/>
      <c r="AK1357" s="5"/>
      <c r="AL1357" s="5"/>
      <c r="AM1357" s="5"/>
      <c r="AN1357" s="5"/>
      <c r="AO1357" s="5"/>
      <c r="AP1357" s="5"/>
      <c r="AQ1357" s="5"/>
      <c r="AR1357" s="5"/>
      <c r="AS1357" s="5"/>
      <c r="AT1357" s="5"/>
      <c r="AU1357" s="5"/>
      <c r="AV1357" s="5"/>
      <c r="AW1357" s="5"/>
      <c r="AX1357" s="5"/>
      <c r="AY1357" s="5"/>
      <c r="AZ1357" s="5"/>
      <c r="BA1357" s="5"/>
      <c r="BB1357" s="5"/>
      <c r="BC1357" s="5"/>
      <c r="BD1357" s="5"/>
      <c r="BE1357" s="5"/>
      <c r="BF1357" s="5"/>
      <c r="BG1357" s="5"/>
      <c r="BH1357" s="5"/>
      <c r="BI1357" s="5"/>
      <c r="BJ1357" s="5"/>
      <c r="BK1357" s="5"/>
      <c r="BL1357" s="5"/>
      <c r="BM1357" s="5"/>
    </row>
    <row r="1358" ht="15.75" customHeight="1">
      <c r="A1358" s="5"/>
      <c r="B1358" s="5"/>
      <c r="C1358" s="5"/>
      <c r="D1358" s="5"/>
      <c r="E1358" s="14"/>
      <c r="F1358" s="15"/>
      <c r="G1358" s="14"/>
      <c r="H1358" s="16"/>
      <c r="I1358" s="14"/>
      <c r="J1358" s="16"/>
      <c r="K1358" s="14"/>
      <c r="L1358" s="16"/>
      <c r="M1358" s="14"/>
      <c r="N1358" s="16"/>
      <c r="O1358" s="14"/>
      <c r="P1358" s="16"/>
      <c r="Q1358" s="14"/>
      <c r="R1358" s="5"/>
      <c r="S1358" s="14"/>
      <c r="T1358" s="16"/>
      <c r="U1358" s="16"/>
      <c r="V1358" s="17"/>
      <c r="W1358" s="6"/>
      <c r="X1358" s="22"/>
      <c r="Y1358" s="14"/>
      <c r="Z1358" s="14"/>
      <c r="AA1358" s="14"/>
      <c r="AB1358" s="14"/>
      <c r="AC1358" s="14"/>
      <c r="AD1358" s="14"/>
      <c r="AE1358" s="14"/>
      <c r="AF1358" s="14"/>
      <c r="AG1358" s="19"/>
      <c r="AH1358" s="20"/>
      <c r="AI1358" s="5"/>
      <c r="AJ1358" s="5"/>
      <c r="AK1358" s="5"/>
      <c r="AL1358" s="5"/>
      <c r="AM1358" s="5"/>
      <c r="AN1358" s="5"/>
      <c r="AO1358" s="5"/>
      <c r="AP1358" s="5"/>
      <c r="AQ1358" s="5"/>
      <c r="AR1358" s="5"/>
      <c r="AS1358" s="5"/>
      <c r="AT1358" s="5"/>
      <c r="AU1358" s="5"/>
      <c r="AV1358" s="5"/>
      <c r="AW1358" s="5"/>
      <c r="AX1358" s="5"/>
      <c r="AY1358" s="5"/>
      <c r="AZ1358" s="5"/>
      <c r="BA1358" s="5"/>
      <c r="BB1358" s="5"/>
      <c r="BC1358" s="5"/>
      <c r="BD1358" s="5"/>
      <c r="BE1358" s="5"/>
      <c r="BF1358" s="5"/>
      <c r="BG1358" s="5"/>
      <c r="BH1358" s="5"/>
      <c r="BI1358" s="5"/>
      <c r="BJ1358" s="5"/>
      <c r="BK1358" s="5"/>
      <c r="BL1358" s="5"/>
      <c r="BM1358" s="5"/>
    </row>
    <row r="1359" ht="15.75" customHeight="1">
      <c r="A1359" s="5"/>
      <c r="B1359" s="5"/>
      <c r="C1359" s="5"/>
      <c r="D1359" s="5"/>
      <c r="E1359" s="14"/>
      <c r="F1359" s="15"/>
      <c r="G1359" s="14"/>
      <c r="H1359" s="16"/>
      <c r="I1359" s="14"/>
      <c r="J1359" s="16"/>
      <c r="K1359" s="14"/>
      <c r="L1359" s="16"/>
      <c r="M1359" s="14"/>
      <c r="N1359" s="16"/>
      <c r="O1359" s="14"/>
      <c r="P1359" s="16"/>
      <c r="Q1359" s="14"/>
      <c r="R1359" s="5"/>
      <c r="S1359" s="14"/>
      <c r="T1359" s="16"/>
      <c r="U1359" s="16"/>
      <c r="V1359" s="17"/>
      <c r="W1359" s="6"/>
      <c r="X1359" s="22"/>
      <c r="Y1359" s="14"/>
      <c r="Z1359" s="14"/>
      <c r="AA1359" s="14"/>
      <c r="AB1359" s="14"/>
      <c r="AC1359" s="14"/>
      <c r="AD1359" s="14"/>
      <c r="AE1359" s="14"/>
      <c r="AF1359" s="14"/>
      <c r="AG1359" s="19"/>
      <c r="AH1359" s="20"/>
      <c r="AI1359" s="5"/>
      <c r="AJ1359" s="5"/>
      <c r="AK1359" s="5"/>
      <c r="AL1359" s="5"/>
      <c r="AM1359" s="5"/>
      <c r="AN1359" s="5"/>
      <c r="AO1359" s="5"/>
      <c r="AP1359" s="5"/>
      <c r="AQ1359" s="5"/>
      <c r="AR1359" s="5"/>
      <c r="AS1359" s="5"/>
      <c r="AT1359" s="5"/>
      <c r="AU1359" s="5"/>
      <c r="AV1359" s="5"/>
      <c r="AW1359" s="5"/>
      <c r="AX1359" s="5"/>
      <c r="AY1359" s="5"/>
      <c r="AZ1359" s="5"/>
      <c r="BA1359" s="5"/>
      <c r="BB1359" s="5"/>
      <c r="BC1359" s="5"/>
      <c r="BD1359" s="5"/>
      <c r="BE1359" s="5"/>
      <c r="BF1359" s="5"/>
      <c r="BG1359" s="5"/>
      <c r="BH1359" s="5"/>
      <c r="BI1359" s="5"/>
      <c r="BJ1359" s="5"/>
      <c r="BK1359" s="5"/>
      <c r="BL1359" s="5"/>
      <c r="BM1359" s="5"/>
    </row>
    <row r="1360" ht="15.75" customHeight="1">
      <c r="A1360" s="5"/>
      <c r="B1360" s="5"/>
      <c r="C1360" s="5"/>
      <c r="D1360" s="5"/>
      <c r="E1360" s="14"/>
      <c r="F1360" s="15"/>
      <c r="G1360" s="14"/>
      <c r="H1360" s="16"/>
      <c r="I1360" s="14"/>
      <c r="J1360" s="16"/>
      <c r="K1360" s="14"/>
      <c r="L1360" s="16"/>
      <c r="M1360" s="14"/>
      <c r="N1360" s="16"/>
      <c r="O1360" s="14"/>
      <c r="P1360" s="16"/>
      <c r="Q1360" s="14"/>
      <c r="R1360" s="5"/>
      <c r="S1360" s="14"/>
      <c r="T1360" s="16"/>
      <c r="U1360" s="16"/>
      <c r="V1360" s="17"/>
      <c r="W1360" s="6"/>
      <c r="X1360" s="22"/>
      <c r="Y1360" s="14"/>
      <c r="Z1360" s="14"/>
      <c r="AA1360" s="14"/>
      <c r="AB1360" s="14"/>
      <c r="AC1360" s="14"/>
      <c r="AD1360" s="14"/>
      <c r="AE1360" s="14"/>
      <c r="AF1360" s="14"/>
      <c r="AG1360" s="19"/>
      <c r="AH1360" s="20"/>
      <c r="AI1360" s="5"/>
      <c r="AJ1360" s="5"/>
      <c r="AK1360" s="5"/>
      <c r="AL1360" s="5"/>
      <c r="AM1360" s="5"/>
      <c r="AN1360" s="5"/>
      <c r="AO1360" s="5"/>
      <c r="AP1360" s="5"/>
      <c r="AQ1360" s="5"/>
      <c r="AR1360" s="5"/>
      <c r="AS1360" s="5"/>
      <c r="AT1360" s="5"/>
      <c r="AU1360" s="5"/>
      <c r="AV1360" s="5"/>
      <c r="AW1360" s="5"/>
      <c r="AX1360" s="5"/>
      <c r="AY1360" s="5"/>
      <c r="AZ1360" s="5"/>
      <c r="BA1360" s="5"/>
      <c r="BB1360" s="5"/>
      <c r="BC1360" s="5"/>
      <c r="BD1360" s="5"/>
      <c r="BE1360" s="5"/>
      <c r="BF1360" s="5"/>
      <c r="BG1360" s="5"/>
      <c r="BH1360" s="5"/>
      <c r="BI1360" s="5"/>
      <c r="BJ1360" s="5"/>
      <c r="BK1360" s="5"/>
      <c r="BL1360" s="5"/>
      <c r="BM1360" s="5"/>
    </row>
    <row r="1361" ht="15.75" customHeight="1">
      <c r="A1361" s="5"/>
      <c r="B1361" s="5"/>
      <c r="C1361" s="5"/>
      <c r="D1361" s="5"/>
      <c r="E1361" s="14"/>
      <c r="F1361" s="15"/>
      <c r="G1361" s="14"/>
      <c r="H1361" s="16"/>
      <c r="I1361" s="14"/>
      <c r="J1361" s="16"/>
      <c r="K1361" s="14"/>
      <c r="L1361" s="16"/>
      <c r="M1361" s="14"/>
      <c r="N1361" s="16"/>
      <c r="O1361" s="14"/>
      <c r="P1361" s="16"/>
      <c r="Q1361" s="14"/>
      <c r="R1361" s="5"/>
      <c r="S1361" s="14"/>
      <c r="T1361" s="16"/>
      <c r="U1361" s="16"/>
      <c r="V1361" s="17"/>
      <c r="W1361" s="6"/>
      <c r="X1361" s="22"/>
      <c r="Y1361" s="14"/>
      <c r="Z1361" s="14"/>
      <c r="AA1361" s="14"/>
      <c r="AB1361" s="14"/>
      <c r="AC1361" s="14"/>
      <c r="AD1361" s="14"/>
      <c r="AE1361" s="14"/>
      <c r="AF1361" s="14"/>
      <c r="AG1361" s="19"/>
      <c r="AH1361" s="20"/>
      <c r="AI1361" s="5"/>
      <c r="AJ1361" s="5"/>
      <c r="AK1361" s="5"/>
      <c r="AL1361" s="5"/>
      <c r="AM1361" s="5"/>
      <c r="AN1361" s="5"/>
      <c r="AO1361" s="5"/>
      <c r="AP1361" s="5"/>
      <c r="AQ1361" s="5"/>
      <c r="AR1361" s="5"/>
      <c r="AS1361" s="5"/>
      <c r="AT1361" s="5"/>
      <c r="AU1361" s="5"/>
      <c r="AV1361" s="5"/>
      <c r="AW1361" s="5"/>
      <c r="AX1361" s="5"/>
      <c r="AY1361" s="5"/>
      <c r="AZ1361" s="5"/>
      <c r="BA1361" s="5"/>
      <c r="BB1361" s="5"/>
      <c r="BC1361" s="5"/>
      <c r="BD1361" s="5"/>
      <c r="BE1361" s="5"/>
      <c r="BF1361" s="5"/>
      <c r="BG1361" s="5"/>
      <c r="BH1361" s="5"/>
      <c r="BI1361" s="5"/>
      <c r="BJ1361" s="5"/>
      <c r="BK1361" s="5"/>
      <c r="BL1361" s="5"/>
      <c r="BM1361" s="5"/>
    </row>
    <row r="1362" ht="15.75" customHeight="1">
      <c r="A1362" s="5"/>
      <c r="B1362" s="5"/>
      <c r="C1362" s="5"/>
      <c r="D1362" s="5"/>
      <c r="E1362" s="14"/>
      <c r="F1362" s="15"/>
      <c r="G1362" s="14"/>
      <c r="H1362" s="16"/>
      <c r="I1362" s="14"/>
      <c r="J1362" s="16"/>
      <c r="K1362" s="14"/>
      <c r="L1362" s="16"/>
      <c r="M1362" s="14"/>
      <c r="N1362" s="16"/>
      <c r="O1362" s="14"/>
      <c r="P1362" s="16"/>
      <c r="Q1362" s="14"/>
      <c r="R1362" s="5"/>
      <c r="S1362" s="14"/>
      <c r="T1362" s="16"/>
      <c r="U1362" s="16"/>
      <c r="V1362" s="17"/>
      <c r="W1362" s="6"/>
      <c r="X1362" s="22"/>
      <c r="Y1362" s="14"/>
      <c r="Z1362" s="14"/>
      <c r="AA1362" s="14"/>
      <c r="AB1362" s="14"/>
      <c r="AC1362" s="14"/>
      <c r="AD1362" s="14"/>
      <c r="AE1362" s="14"/>
      <c r="AF1362" s="14"/>
      <c r="AG1362" s="19"/>
      <c r="AH1362" s="20"/>
      <c r="AI1362" s="5"/>
      <c r="AJ1362" s="5"/>
      <c r="AK1362" s="5"/>
      <c r="AL1362" s="5"/>
      <c r="AM1362" s="5"/>
      <c r="AN1362" s="5"/>
      <c r="AO1362" s="5"/>
      <c r="AP1362" s="5"/>
      <c r="AQ1362" s="5"/>
      <c r="AR1362" s="5"/>
      <c r="AS1362" s="5"/>
      <c r="AT1362" s="5"/>
      <c r="AU1362" s="5"/>
      <c r="AV1362" s="5"/>
      <c r="AW1362" s="5"/>
      <c r="AX1362" s="5"/>
      <c r="AY1362" s="5"/>
      <c r="AZ1362" s="5"/>
      <c r="BA1362" s="5"/>
      <c r="BB1362" s="5"/>
      <c r="BC1362" s="5"/>
      <c r="BD1362" s="5"/>
      <c r="BE1362" s="5"/>
      <c r="BF1362" s="5"/>
      <c r="BG1362" s="5"/>
      <c r="BH1362" s="5"/>
      <c r="BI1362" s="5"/>
      <c r="BJ1362" s="5"/>
      <c r="BK1362" s="5"/>
      <c r="BL1362" s="5"/>
      <c r="BM1362" s="5"/>
    </row>
    <row r="1363" ht="15.75" customHeight="1">
      <c r="A1363" s="5"/>
      <c r="B1363" s="5"/>
      <c r="C1363" s="5"/>
      <c r="D1363" s="5"/>
      <c r="E1363" s="14"/>
      <c r="F1363" s="15"/>
      <c r="G1363" s="14"/>
      <c r="H1363" s="16"/>
      <c r="I1363" s="14"/>
      <c r="J1363" s="16"/>
      <c r="K1363" s="14"/>
      <c r="L1363" s="16"/>
      <c r="M1363" s="14"/>
      <c r="N1363" s="16"/>
      <c r="O1363" s="14"/>
      <c r="P1363" s="16"/>
      <c r="Q1363" s="14"/>
      <c r="R1363" s="5"/>
      <c r="S1363" s="14"/>
      <c r="T1363" s="16"/>
      <c r="U1363" s="16"/>
      <c r="V1363" s="17"/>
      <c r="W1363" s="6"/>
      <c r="X1363" s="22"/>
      <c r="Y1363" s="14"/>
      <c r="Z1363" s="14"/>
      <c r="AA1363" s="14"/>
      <c r="AB1363" s="14"/>
      <c r="AC1363" s="14"/>
      <c r="AD1363" s="14"/>
      <c r="AE1363" s="14"/>
      <c r="AF1363" s="14"/>
      <c r="AG1363" s="19"/>
      <c r="AH1363" s="20"/>
      <c r="AI1363" s="5"/>
      <c r="AJ1363" s="5"/>
      <c r="AK1363" s="5"/>
      <c r="AL1363" s="5"/>
      <c r="AM1363" s="5"/>
      <c r="AN1363" s="5"/>
      <c r="AO1363" s="5"/>
      <c r="AP1363" s="5"/>
      <c r="AQ1363" s="5"/>
      <c r="AR1363" s="5"/>
      <c r="AS1363" s="5"/>
      <c r="AT1363" s="5"/>
      <c r="AU1363" s="5"/>
      <c r="AV1363" s="5"/>
      <c r="AW1363" s="5"/>
      <c r="AX1363" s="5"/>
      <c r="AY1363" s="5"/>
      <c r="AZ1363" s="5"/>
      <c r="BA1363" s="5"/>
      <c r="BB1363" s="5"/>
      <c r="BC1363" s="5"/>
      <c r="BD1363" s="5"/>
      <c r="BE1363" s="5"/>
      <c r="BF1363" s="5"/>
      <c r="BG1363" s="5"/>
      <c r="BH1363" s="5"/>
      <c r="BI1363" s="5"/>
      <c r="BJ1363" s="5"/>
      <c r="BK1363" s="5"/>
      <c r="BL1363" s="5"/>
      <c r="BM1363" s="5"/>
    </row>
    <row r="1364" ht="15.75" customHeight="1">
      <c r="A1364" s="5"/>
      <c r="B1364" s="5"/>
      <c r="C1364" s="5"/>
      <c r="D1364" s="5"/>
      <c r="E1364" s="14"/>
      <c r="F1364" s="15"/>
      <c r="G1364" s="14"/>
      <c r="H1364" s="16"/>
      <c r="I1364" s="14"/>
      <c r="J1364" s="16"/>
      <c r="K1364" s="14"/>
      <c r="L1364" s="16"/>
      <c r="M1364" s="14"/>
      <c r="N1364" s="16"/>
      <c r="O1364" s="14"/>
      <c r="P1364" s="16"/>
      <c r="Q1364" s="14"/>
      <c r="R1364" s="5"/>
      <c r="S1364" s="14"/>
      <c r="T1364" s="16"/>
      <c r="U1364" s="16"/>
      <c r="V1364" s="17"/>
      <c r="W1364" s="6"/>
      <c r="X1364" s="22"/>
      <c r="Y1364" s="14"/>
      <c r="Z1364" s="14"/>
      <c r="AA1364" s="14"/>
      <c r="AB1364" s="14"/>
      <c r="AC1364" s="14"/>
      <c r="AD1364" s="14"/>
      <c r="AE1364" s="14"/>
      <c r="AF1364" s="14"/>
      <c r="AG1364" s="19"/>
      <c r="AH1364" s="20"/>
      <c r="AI1364" s="5"/>
      <c r="AJ1364" s="5"/>
      <c r="AK1364" s="5"/>
      <c r="AL1364" s="5"/>
      <c r="AM1364" s="5"/>
      <c r="AN1364" s="5"/>
      <c r="AO1364" s="5"/>
      <c r="AP1364" s="5"/>
      <c r="AQ1364" s="5"/>
      <c r="AR1364" s="5"/>
      <c r="AS1364" s="5"/>
      <c r="AT1364" s="5"/>
      <c r="AU1364" s="5"/>
      <c r="AV1364" s="5"/>
      <c r="AW1364" s="5"/>
      <c r="AX1364" s="5"/>
      <c r="AY1364" s="5"/>
      <c r="AZ1364" s="5"/>
      <c r="BA1364" s="5"/>
      <c r="BB1364" s="5"/>
      <c r="BC1364" s="5"/>
      <c r="BD1364" s="5"/>
      <c r="BE1364" s="5"/>
      <c r="BF1364" s="5"/>
      <c r="BG1364" s="5"/>
      <c r="BH1364" s="5"/>
      <c r="BI1364" s="5"/>
      <c r="BJ1364" s="5"/>
      <c r="BK1364" s="5"/>
      <c r="BL1364" s="5"/>
      <c r="BM1364" s="5"/>
    </row>
    <row r="1365" ht="15.75" customHeight="1">
      <c r="A1365" s="5"/>
      <c r="B1365" s="5"/>
      <c r="C1365" s="5"/>
      <c r="D1365" s="5"/>
      <c r="E1365" s="14"/>
      <c r="F1365" s="15"/>
      <c r="G1365" s="14"/>
      <c r="H1365" s="16"/>
      <c r="I1365" s="14"/>
      <c r="J1365" s="16"/>
      <c r="K1365" s="14"/>
      <c r="L1365" s="16"/>
      <c r="M1365" s="14"/>
      <c r="N1365" s="16"/>
      <c r="O1365" s="14"/>
      <c r="P1365" s="16"/>
      <c r="Q1365" s="14"/>
      <c r="R1365" s="5"/>
      <c r="S1365" s="14"/>
      <c r="T1365" s="16"/>
      <c r="U1365" s="16"/>
      <c r="V1365" s="17"/>
      <c r="W1365" s="6"/>
      <c r="X1365" s="22"/>
      <c r="Y1365" s="14"/>
      <c r="Z1365" s="14"/>
      <c r="AA1365" s="14"/>
      <c r="AB1365" s="14"/>
      <c r="AC1365" s="14"/>
      <c r="AD1365" s="14"/>
      <c r="AE1365" s="14"/>
      <c r="AF1365" s="14"/>
      <c r="AG1365" s="19"/>
      <c r="AH1365" s="20"/>
      <c r="AI1365" s="5"/>
      <c r="AJ1365" s="5"/>
      <c r="AK1365" s="5"/>
      <c r="AL1365" s="5"/>
      <c r="AM1365" s="5"/>
      <c r="AN1365" s="5"/>
      <c r="AO1365" s="5"/>
      <c r="AP1365" s="5"/>
      <c r="AQ1365" s="5"/>
      <c r="AR1365" s="5"/>
      <c r="AS1365" s="5"/>
      <c r="AT1365" s="5"/>
      <c r="AU1365" s="5"/>
      <c r="AV1365" s="5"/>
      <c r="AW1365" s="5"/>
      <c r="AX1365" s="5"/>
      <c r="AY1365" s="5"/>
      <c r="AZ1365" s="5"/>
      <c r="BA1365" s="5"/>
      <c r="BB1365" s="5"/>
      <c r="BC1365" s="5"/>
      <c r="BD1365" s="5"/>
      <c r="BE1365" s="5"/>
      <c r="BF1365" s="5"/>
      <c r="BG1365" s="5"/>
      <c r="BH1365" s="5"/>
      <c r="BI1365" s="5"/>
      <c r="BJ1365" s="5"/>
      <c r="BK1365" s="5"/>
      <c r="BL1365" s="5"/>
      <c r="BM1365" s="5"/>
    </row>
    <row r="1366" ht="15.75" customHeight="1">
      <c r="A1366" s="5"/>
      <c r="B1366" s="5"/>
      <c r="C1366" s="5"/>
      <c r="D1366" s="5"/>
      <c r="E1366" s="14"/>
      <c r="F1366" s="15"/>
      <c r="G1366" s="14"/>
      <c r="H1366" s="16"/>
      <c r="I1366" s="14"/>
      <c r="J1366" s="16"/>
      <c r="K1366" s="14"/>
      <c r="L1366" s="16"/>
      <c r="M1366" s="14"/>
      <c r="N1366" s="16"/>
      <c r="O1366" s="14"/>
      <c r="P1366" s="16"/>
      <c r="Q1366" s="14"/>
      <c r="R1366" s="5"/>
      <c r="S1366" s="14"/>
      <c r="T1366" s="16"/>
      <c r="U1366" s="16"/>
      <c r="V1366" s="17"/>
      <c r="W1366" s="6"/>
      <c r="X1366" s="22"/>
      <c r="Y1366" s="14"/>
      <c r="Z1366" s="14"/>
      <c r="AA1366" s="14"/>
      <c r="AB1366" s="14"/>
      <c r="AC1366" s="14"/>
      <c r="AD1366" s="14"/>
      <c r="AE1366" s="14"/>
      <c r="AF1366" s="14"/>
      <c r="AG1366" s="19"/>
      <c r="AH1366" s="20"/>
      <c r="AI1366" s="5"/>
      <c r="AJ1366" s="5"/>
      <c r="AK1366" s="5"/>
      <c r="AL1366" s="5"/>
      <c r="AM1366" s="5"/>
      <c r="AN1366" s="5"/>
      <c r="AO1366" s="5"/>
      <c r="AP1366" s="5"/>
      <c r="AQ1366" s="5"/>
      <c r="AR1366" s="5"/>
      <c r="AS1366" s="5"/>
      <c r="AT1366" s="5"/>
      <c r="AU1366" s="5"/>
      <c r="AV1366" s="5"/>
      <c r="AW1366" s="5"/>
      <c r="AX1366" s="5"/>
      <c r="AY1366" s="5"/>
      <c r="AZ1366" s="5"/>
      <c r="BA1366" s="5"/>
      <c r="BB1366" s="5"/>
      <c r="BC1366" s="5"/>
      <c r="BD1366" s="5"/>
      <c r="BE1366" s="5"/>
      <c r="BF1366" s="5"/>
      <c r="BG1366" s="5"/>
      <c r="BH1366" s="5"/>
      <c r="BI1366" s="5"/>
      <c r="BJ1366" s="5"/>
      <c r="BK1366" s="5"/>
      <c r="BL1366" s="5"/>
      <c r="BM1366" s="5"/>
    </row>
    <row r="1367" ht="15.75" customHeight="1">
      <c r="A1367" s="5"/>
      <c r="B1367" s="5"/>
      <c r="C1367" s="5"/>
      <c r="D1367" s="5"/>
      <c r="E1367" s="14"/>
      <c r="F1367" s="15"/>
      <c r="G1367" s="14"/>
      <c r="H1367" s="16"/>
      <c r="I1367" s="14"/>
      <c r="J1367" s="16"/>
      <c r="K1367" s="14"/>
      <c r="L1367" s="16"/>
      <c r="M1367" s="14"/>
      <c r="N1367" s="16"/>
      <c r="O1367" s="14"/>
      <c r="P1367" s="16"/>
      <c r="Q1367" s="14"/>
      <c r="R1367" s="5"/>
      <c r="S1367" s="14"/>
      <c r="T1367" s="16"/>
      <c r="U1367" s="16"/>
      <c r="V1367" s="17"/>
      <c r="W1367" s="6"/>
      <c r="X1367" s="22"/>
      <c r="Y1367" s="14"/>
      <c r="Z1367" s="14"/>
      <c r="AA1367" s="14"/>
      <c r="AB1367" s="14"/>
      <c r="AC1367" s="14"/>
      <c r="AD1367" s="14"/>
      <c r="AE1367" s="14"/>
      <c r="AF1367" s="14"/>
      <c r="AG1367" s="19"/>
      <c r="AH1367" s="20"/>
      <c r="AI1367" s="5"/>
      <c r="AJ1367" s="5"/>
      <c r="AK1367" s="5"/>
      <c r="AL1367" s="5"/>
      <c r="AM1367" s="5"/>
      <c r="AN1367" s="5"/>
      <c r="AO1367" s="5"/>
      <c r="AP1367" s="5"/>
      <c r="AQ1367" s="5"/>
      <c r="AR1367" s="5"/>
      <c r="AS1367" s="5"/>
      <c r="AT1367" s="5"/>
      <c r="AU1367" s="5"/>
      <c r="AV1367" s="5"/>
      <c r="AW1367" s="5"/>
      <c r="AX1367" s="5"/>
      <c r="AY1367" s="5"/>
      <c r="AZ1367" s="5"/>
      <c r="BA1367" s="5"/>
      <c r="BB1367" s="5"/>
      <c r="BC1367" s="5"/>
      <c r="BD1367" s="5"/>
      <c r="BE1367" s="5"/>
      <c r="BF1367" s="5"/>
      <c r="BG1367" s="5"/>
      <c r="BH1367" s="5"/>
      <c r="BI1367" s="5"/>
      <c r="BJ1367" s="5"/>
      <c r="BK1367" s="5"/>
      <c r="BL1367" s="5"/>
      <c r="BM1367" s="5"/>
    </row>
    <row r="1368" ht="15.75" customHeight="1">
      <c r="A1368" s="5"/>
      <c r="B1368" s="5"/>
      <c r="C1368" s="5"/>
      <c r="D1368" s="5"/>
      <c r="E1368" s="14"/>
      <c r="F1368" s="15"/>
      <c r="G1368" s="14"/>
      <c r="H1368" s="16"/>
      <c r="I1368" s="14"/>
      <c r="J1368" s="16"/>
      <c r="K1368" s="14"/>
      <c r="L1368" s="16"/>
      <c r="M1368" s="14"/>
      <c r="N1368" s="16"/>
      <c r="O1368" s="14"/>
      <c r="P1368" s="16"/>
      <c r="Q1368" s="14"/>
      <c r="R1368" s="5"/>
      <c r="S1368" s="14"/>
      <c r="T1368" s="16"/>
      <c r="U1368" s="16"/>
      <c r="V1368" s="17"/>
      <c r="W1368" s="6"/>
      <c r="X1368" s="22"/>
      <c r="Y1368" s="14"/>
      <c r="Z1368" s="14"/>
      <c r="AA1368" s="14"/>
      <c r="AB1368" s="14"/>
      <c r="AC1368" s="14"/>
      <c r="AD1368" s="14"/>
      <c r="AE1368" s="14"/>
      <c r="AF1368" s="14"/>
      <c r="AG1368" s="19"/>
      <c r="AH1368" s="20"/>
      <c r="AI1368" s="5"/>
      <c r="AJ1368" s="5"/>
      <c r="AK1368" s="5"/>
      <c r="AL1368" s="5"/>
      <c r="AM1368" s="5"/>
      <c r="AN1368" s="5"/>
      <c r="AO1368" s="5"/>
      <c r="AP1368" s="5"/>
      <c r="AQ1368" s="5"/>
      <c r="AR1368" s="5"/>
      <c r="AS1368" s="5"/>
      <c r="AT1368" s="5"/>
      <c r="AU1368" s="5"/>
      <c r="AV1368" s="5"/>
      <c r="AW1368" s="5"/>
      <c r="AX1368" s="5"/>
      <c r="AY1368" s="5"/>
      <c r="AZ1368" s="5"/>
      <c r="BA1368" s="5"/>
      <c r="BB1368" s="5"/>
      <c r="BC1368" s="5"/>
      <c r="BD1368" s="5"/>
      <c r="BE1368" s="5"/>
      <c r="BF1368" s="5"/>
      <c r="BG1368" s="5"/>
      <c r="BH1368" s="5"/>
      <c r="BI1368" s="5"/>
      <c r="BJ1368" s="5"/>
      <c r="BK1368" s="5"/>
      <c r="BL1368" s="5"/>
      <c r="BM1368" s="5"/>
    </row>
    <row r="1369" ht="15.75" customHeight="1">
      <c r="A1369" s="5"/>
      <c r="B1369" s="5"/>
      <c r="C1369" s="5"/>
      <c r="D1369" s="5"/>
      <c r="E1369" s="14"/>
      <c r="F1369" s="15"/>
      <c r="G1369" s="14"/>
      <c r="H1369" s="16"/>
      <c r="I1369" s="14"/>
      <c r="J1369" s="16"/>
      <c r="K1369" s="14"/>
      <c r="L1369" s="16"/>
      <c r="M1369" s="14"/>
      <c r="N1369" s="16"/>
      <c r="O1369" s="14"/>
      <c r="P1369" s="16"/>
      <c r="Q1369" s="14"/>
      <c r="R1369" s="5"/>
      <c r="S1369" s="14"/>
      <c r="T1369" s="16"/>
      <c r="U1369" s="16"/>
      <c r="V1369" s="17"/>
      <c r="W1369" s="6"/>
      <c r="X1369" s="22"/>
      <c r="Y1369" s="14"/>
      <c r="Z1369" s="14"/>
      <c r="AA1369" s="14"/>
      <c r="AB1369" s="14"/>
      <c r="AC1369" s="14"/>
      <c r="AD1369" s="14"/>
      <c r="AE1369" s="14"/>
      <c r="AF1369" s="14"/>
      <c r="AG1369" s="19"/>
      <c r="AH1369" s="20"/>
      <c r="AI1369" s="5"/>
      <c r="AJ1369" s="5"/>
      <c r="AK1369" s="5"/>
      <c r="AL1369" s="5"/>
      <c r="AM1369" s="5"/>
      <c r="AN1369" s="5"/>
      <c r="AO1369" s="5"/>
      <c r="AP1369" s="5"/>
      <c r="AQ1369" s="5"/>
      <c r="AR1369" s="5"/>
      <c r="AS1369" s="5"/>
      <c r="AT1369" s="5"/>
      <c r="AU1369" s="5"/>
      <c r="AV1369" s="5"/>
      <c r="AW1369" s="5"/>
      <c r="AX1369" s="5"/>
      <c r="AY1369" s="5"/>
      <c r="AZ1369" s="5"/>
      <c r="BA1369" s="5"/>
      <c r="BB1369" s="5"/>
      <c r="BC1369" s="5"/>
      <c r="BD1369" s="5"/>
      <c r="BE1369" s="5"/>
      <c r="BF1369" s="5"/>
      <c r="BG1369" s="5"/>
      <c r="BH1369" s="5"/>
      <c r="BI1369" s="5"/>
      <c r="BJ1369" s="5"/>
      <c r="BK1369" s="5"/>
      <c r="BL1369" s="5"/>
      <c r="BM1369" s="5"/>
    </row>
    <row r="1370" ht="15.75" customHeight="1">
      <c r="A1370" s="5"/>
      <c r="B1370" s="5"/>
      <c r="C1370" s="5"/>
      <c r="D1370" s="5"/>
      <c r="E1370" s="14"/>
      <c r="F1370" s="15"/>
      <c r="G1370" s="14"/>
      <c r="H1370" s="16"/>
      <c r="I1370" s="14"/>
      <c r="J1370" s="16"/>
      <c r="K1370" s="14"/>
      <c r="L1370" s="16"/>
      <c r="M1370" s="14"/>
      <c r="N1370" s="16"/>
      <c r="O1370" s="14"/>
      <c r="P1370" s="16"/>
      <c r="Q1370" s="14"/>
      <c r="R1370" s="5"/>
      <c r="S1370" s="14"/>
      <c r="T1370" s="16"/>
      <c r="U1370" s="16"/>
      <c r="V1370" s="17"/>
      <c r="W1370" s="6"/>
      <c r="X1370" s="22"/>
      <c r="Y1370" s="14"/>
      <c r="Z1370" s="14"/>
      <c r="AA1370" s="14"/>
      <c r="AB1370" s="14"/>
      <c r="AC1370" s="14"/>
      <c r="AD1370" s="14"/>
      <c r="AE1370" s="14"/>
      <c r="AF1370" s="14"/>
      <c r="AG1370" s="19"/>
      <c r="AH1370" s="20"/>
      <c r="AI1370" s="5"/>
      <c r="AJ1370" s="5"/>
      <c r="AK1370" s="5"/>
      <c r="AL1370" s="5"/>
      <c r="AM1370" s="5"/>
      <c r="AN1370" s="5"/>
      <c r="AO1370" s="5"/>
      <c r="AP1370" s="5"/>
      <c r="AQ1370" s="5"/>
      <c r="AR1370" s="5"/>
      <c r="AS1370" s="5"/>
      <c r="AT1370" s="5"/>
      <c r="AU1370" s="5"/>
      <c r="AV1370" s="5"/>
      <c r="AW1370" s="5"/>
      <c r="AX1370" s="5"/>
      <c r="AY1370" s="5"/>
      <c r="AZ1370" s="5"/>
      <c r="BA1370" s="5"/>
      <c r="BB1370" s="5"/>
      <c r="BC1370" s="5"/>
      <c r="BD1370" s="5"/>
      <c r="BE1370" s="5"/>
      <c r="BF1370" s="5"/>
      <c r="BG1370" s="5"/>
      <c r="BH1370" s="5"/>
      <c r="BI1370" s="5"/>
      <c r="BJ1370" s="5"/>
      <c r="BK1370" s="5"/>
      <c r="BL1370" s="5"/>
      <c r="BM1370" s="5"/>
    </row>
    <row r="1371" ht="15.75" customHeight="1">
      <c r="A1371" s="5"/>
      <c r="B1371" s="5"/>
      <c r="C1371" s="5"/>
      <c r="D1371" s="5"/>
      <c r="E1371" s="14"/>
      <c r="F1371" s="15"/>
      <c r="G1371" s="14"/>
      <c r="H1371" s="16"/>
      <c r="I1371" s="14"/>
      <c r="J1371" s="16"/>
      <c r="K1371" s="14"/>
      <c r="L1371" s="16"/>
      <c r="M1371" s="14"/>
      <c r="N1371" s="16"/>
      <c r="O1371" s="14"/>
      <c r="P1371" s="16"/>
      <c r="Q1371" s="14"/>
      <c r="R1371" s="5"/>
      <c r="S1371" s="14"/>
      <c r="T1371" s="16"/>
      <c r="U1371" s="16"/>
      <c r="V1371" s="17"/>
      <c r="W1371" s="6"/>
      <c r="X1371" s="22"/>
      <c r="Y1371" s="14"/>
      <c r="Z1371" s="14"/>
      <c r="AA1371" s="14"/>
      <c r="AB1371" s="14"/>
      <c r="AC1371" s="14"/>
      <c r="AD1371" s="14"/>
      <c r="AE1371" s="14"/>
      <c r="AF1371" s="14"/>
      <c r="AG1371" s="19"/>
      <c r="AH1371" s="20"/>
      <c r="AI1371" s="5"/>
      <c r="AJ1371" s="5"/>
      <c r="AK1371" s="5"/>
      <c r="AL1371" s="5"/>
      <c r="AM1371" s="5"/>
      <c r="AN1371" s="5"/>
      <c r="AO1371" s="5"/>
      <c r="AP1371" s="5"/>
      <c r="AQ1371" s="5"/>
      <c r="AR1371" s="5"/>
      <c r="AS1371" s="5"/>
      <c r="AT1371" s="5"/>
      <c r="AU1371" s="5"/>
      <c r="AV1371" s="5"/>
      <c r="AW1371" s="5"/>
      <c r="AX1371" s="5"/>
      <c r="AY1371" s="5"/>
      <c r="AZ1371" s="5"/>
      <c r="BA1371" s="5"/>
      <c r="BB1371" s="5"/>
      <c r="BC1371" s="5"/>
      <c r="BD1371" s="5"/>
      <c r="BE1371" s="5"/>
      <c r="BF1371" s="5"/>
      <c r="BG1371" s="5"/>
      <c r="BH1371" s="5"/>
      <c r="BI1371" s="5"/>
      <c r="BJ1371" s="5"/>
      <c r="BK1371" s="5"/>
      <c r="BL1371" s="5"/>
      <c r="BM1371" s="5"/>
    </row>
    <row r="1372" ht="15.75" customHeight="1">
      <c r="A1372" s="5"/>
      <c r="B1372" s="5"/>
      <c r="C1372" s="5"/>
      <c r="D1372" s="5"/>
      <c r="E1372" s="14"/>
      <c r="F1372" s="15"/>
      <c r="G1372" s="14"/>
      <c r="H1372" s="16"/>
      <c r="I1372" s="14"/>
      <c r="J1372" s="16"/>
      <c r="K1372" s="14"/>
      <c r="L1372" s="16"/>
      <c r="M1372" s="14"/>
      <c r="N1372" s="16"/>
      <c r="O1372" s="14"/>
      <c r="P1372" s="16"/>
      <c r="Q1372" s="14"/>
      <c r="R1372" s="5"/>
      <c r="S1372" s="14"/>
      <c r="T1372" s="16"/>
      <c r="U1372" s="16"/>
      <c r="V1372" s="17"/>
      <c r="W1372" s="6"/>
      <c r="X1372" s="22"/>
      <c r="Y1372" s="14"/>
      <c r="Z1372" s="14"/>
      <c r="AA1372" s="14"/>
      <c r="AB1372" s="14"/>
      <c r="AC1372" s="14"/>
      <c r="AD1372" s="14"/>
      <c r="AE1372" s="14"/>
      <c r="AF1372" s="14"/>
      <c r="AG1372" s="19"/>
      <c r="AH1372" s="20"/>
      <c r="AI1372" s="5"/>
      <c r="AJ1372" s="5"/>
      <c r="AK1372" s="5"/>
      <c r="AL1372" s="5"/>
      <c r="AM1372" s="5"/>
      <c r="AN1372" s="5"/>
      <c r="AO1372" s="5"/>
      <c r="AP1372" s="5"/>
      <c r="AQ1372" s="5"/>
      <c r="AR1372" s="5"/>
      <c r="AS1372" s="5"/>
      <c r="AT1372" s="5"/>
      <c r="AU1372" s="5"/>
      <c r="AV1372" s="5"/>
      <c r="AW1372" s="5"/>
      <c r="AX1372" s="5"/>
      <c r="AY1372" s="5"/>
      <c r="AZ1372" s="5"/>
      <c r="BA1372" s="5"/>
      <c r="BB1372" s="5"/>
      <c r="BC1372" s="5"/>
      <c r="BD1372" s="5"/>
      <c r="BE1372" s="5"/>
      <c r="BF1372" s="5"/>
      <c r="BG1372" s="5"/>
      <c r="BH1372" s="5"/>
      <c r="BI1372" s="5"/>
      <c r="BJ1372" s="5"/>
      <c r="BK1372" s="5"/>
      <c r="BL1372" s="5"/>
      <c r="BM1372" s="5"/>
    </row>
    <row r="1373" ht="15.75" customHeight="1">
      <c r="A1373" s="5"/>
      <c r="B1373" s="5"/>
      <c r="C1373" s="5"/>
      <c r="D1373" s="5"/>
      <c r="E1373" s="14"/>
      <c r="F1373" s="15"/>
      <c r="G1373" s="14"/>
      <c r="H1373" s="16"/>
      <c r="I1373" s="14"/>
      <c r="J1373" s="16"/>
      <c r="K1373" s="14"/>
      <c r="L1373" s="16"/>
      <c r="M1373" s="14"/>
      <c r="N1373" s="16"/>
      <c r="O1373" s="14"/>
      <c r="P1373" s="16"/>
      <c r="Q1373" s="14"/>
      <c r="R1373" s="5"/>
      <c r="S1373" s="14"/>
      <c r="T1373" s="16"/>
      <c r="U1373" s="16"/>
      <c r="V1373" s="17"/>
      <c r="W1373" s="6"/>
      <c r="X1373" s="22"/>
      <c r="Y1373" s="14"/>
      <c r="Z1373" s="14"/>
      <c r="AA1373" s="14"/>
      <c r="AB1373" s="14"/>
      <c r="AC1373" s="14"/>
      <c r="AD1373" s="14"/>
      <c r="AE1373" s="14"/>
      <c r="AF1373" s="14"/>
      <c r="AG1373" s="19"/>
      <c r="AH1373" s="20"/>
      <c r="AI1373" s="5"/>
      <c r="AJ1373" s="5"/>
      <c r="AK1373" s="5"/>
      <c r="AL1373" s="5"/>
      <c r="AM1373" s="5"/>
      <c r="AN1373" s="5"/>
      <c r="AO1373" s="5"/>
      <c r="AP1373" s="5"/>
      <c r="AQ1373" s="5"/>
      <c r="AR1373" s="5"/>
      <c r="AS1373" s="5"/>
      <c r="AT1373" s="5"/>
      <c r="AU1373" s="5"/>
      <c r="AV1373" s="5"/>
      <c r="AW1373" s="5"/>
      <c r="AX1373" s="5"/>
      <c r="AY1373" s="5"/>
      <c r="AZ1373" s="5"/>
      <c r="BA1373" s="5"/>
      <c r="BB1373" s="5"/>
      <c r="BC1373" s="5"/>
      <c r="BD1373" s="5"/>
      <c r="BE1373" s="5"/>
      <c r="BF1373" s="5"/>
      <c r="BG1373" s="5"/>
      <c r="BH1373" s="5"/>
      <c r="BI1373" s="5"/>
      <c r="BJ1373" s="5"/>
      <c r="BK1373" s="5"/>
      <c r="BL1373" s="5"/>
      <c r="BM1373" s="5"/>
    </row>
    <row r="1374" ht="15.75" customHeight="1">
      <c r="A1374" s="5"/>
      <c r="B1374" s="5"/>
      <c r="C1374" s="5"/>
      <c r="D1374" s="5"/>
      <c r="E1374" s="14"/>
      <c r="F1374" s="15"/>
      <c r="G1374" s="14"/>
      <c r="H1374" s="16"/>
      <c r="I1374" s="14"/>
      <c r="J1374" s="16"/>
      <c r="K1374" s="14"/>
      <c r="L1374" s="16"/>
      <c r="M1374" s="14"/>
      <c r="N1374" s="16"/>
      <c r="O1374" s="14"/>
      <c r="P1374" s="16"/>
      <c r="Q1374" s="14"/>
      <c r="R1374" s="5"/>
      <c r="S1374" s="14"/>
      <c r="T1374" s="16"/>
      <c r="U1374" s="16"/>
      <c r="V1374" s="17"/>
      <c r="W1374" s="6"/>
      <c r="X1374" s="22"/>
      <c r="Y1374" s="14"/>
      <c r="Z1374" s="14"/>
      <c r="AA1374" s="14"/>
      <c r="AB1374" s="14"/>
      <c r="AC1374" s="14"/>
      <c r="AD1374" s="14"/>
      <c r="AE1374" s="14"/>
      <c r="AF1374" s="14"/>
      <c r="AG1374" s="19"/>
      <c r="AH1374" s="20"/>
      <c r="AI1374" s="5"/>
      <c r="AJ1374" s="5"/>
      <c r="AK1374" s="5"/>
      <c r="AL1374" s="5"/>
      <c r="AM1374" s="5"/>
      <c r="AN1374" s="5"/>
      <c r="AO1374" s="5"/>
      <c r="AP1374" s="5"/>
      <c r="AQ1374" s="5"/>
      <c r="AR1374" s="5"/>
      <c r="AS1374" s="5"/>
      <c r="AT1374" s="5"/>
      <c r="AU1374" s="5"/>
      <c r="AV1374" s="5"/>
      <c r="AW1374" s="5"/>
      <c r="AX1374" s="5"/>
      <c r="AY1374" s="5"/>
      <c r="AZ1374" s="5"/>
      <c r="BA1374" s="5"/>
      <c r="BB1374" s="5"/>
      <c r="BC1374" s="5"/>
      <c r="BD1374" s="5"/>
      <c r="BE1374" s="5"/>
      <c r="BF1374" s="5"/>
      <c r="BG1374" s="5"/>
      <c r="BH1374" s="5"/>
      <c r="BI1374" s="5"/>
      <c r="BJ1374" s="5"/>
      <c r="BK1374" s="5"/>
      <c r="BL1374" s="5"/>
      <c r="BM1374" s="5"/>
    </row>
    <row r="1375" ht="15.75" customHeight="1">
      <c r="A1375" s="5"/>
      <c r="B1375" s="5"/>
      <c r="C1375" s="5"/>
      <c r="D1375" s="5"/>
      <c r="E1375" s="14"/>
      <c r="F1375" s="15"/>
      <c r="G1375" s="14"/>
      <c r="H1375" s="16"/>
      <c r="I1375" s="14"/>
      <c r="J1375" s="16"/>
      <c r="K1375" s="14"/>
      <c r="L1375" s="16"/>
      <c r="M1375" s="14"/>
      <c r="N1375" s="16"/>
      <c r="O1375" s="14"/>
      <c r="P1375" s="16"/>
      <c r="Q1375" s="14"/>
      <c r="R1375" s="5"/>
      <c r="S1375" s="14"/>
      <c r="T1375" s="16"/>
      <c r="U1375" s="16"/>
      <c r="V1375" s="17"/>
      <c r="W1375" s="6"/>
      <c r="X1375" s="22"/>
      <c r="Y1375" s="14"/>
      <c r="Z1375" s="14"/>
      <c r="AA1375" s="14"/>
      <c r="AB1375" s="14"/>
      <c r="AC1375" s="14"/>
      <c r="AD1375" s="14"/>
      <c r="AE1375" s="14"/>
      <c r="AF1375" s="14"/>
      <c r="AG1375" s="19"/>
      <c r="AH1375" s="20"/>
      <c r="AI1375" s="5"/>
      <c r="AJ1375" s="5"/>
      <c r="AK1375" s="5"/>
      <c r="AL1375" s="5"/>
      <c r="AM1375" s="5"/>
      <c r="AN1375" s="5"/>
      <c r="AO1375" s="5"/>
      <c r="AP1375" s="5"/>
      <c r="AQ1375" s="5"/>
      <c r="AR1375" s="5"/>
      <c r="AS1375" s="5"/>
      <c r="AT1375" s="5"/>
      <c r="AU1375" s="5"/>
      <c r="AV1375" s="5"/>
      <c r="AW1375" s="5"/>
      <c r="AX1375" s="5"/>
      <c r="AY1375" s="5"/>
      <c r="AZ1375" s="5"/>
      <c r="BA1375" s="5"/>
      <c r="BB1375" s="5"/>
      <c r="BC1375" s="5"/>
      <c r="BD1375" s="5"/>
      <c r="BE1375" s="5"/>
      <c r="BF1375" s="5"/>
      <c r="BG1375" s="5"/>
      <c r="BH1375" s="5"/>
      <c r="BI1375" s="5"/>
      <c r="BJ1375" s="5"/>
      <c r="BK1375" s="5"/>
      <c r="BL1375" s="5"/>
      <c r="BM1375" s="5"/>
    </row>
    <row r="1376" ht="15.75" customHeight="1">
      <c r="A1376" s="5"/>
      <c r="B1376" s="5"/>
      <c r="C1376" s="5"/>
      <c r="D1376" s="5"/>
      <c r="E1376" s="14"/>
      <c r="F1376" s="15"/>
      <c r="G1376" s="14"/>
      <c r="H1376" s="16"/>
      <c r="I1376" s="14"/>
      <c r="J1376" s="16"/>
      <c r="K1376" s="14"/>
      <c r="L1376" s="16"/>
      <c r="M1376" s="14"/>
      <c r="N1376" s="16"/>
      <c r="O1376" s="14"/>
      <c r="P1376" s="16"/>
      <c r="Q1376" s="14"/>
      <c r="R1376" s="5"/>
      <c r="S1376" s="14"/>
      <c r="T1376" s="16"/>
      <c r="U1376" s="16"/>
      <c r="V1376" s="17"/>
      <c r="W1376" s="6"/>
      <c r="X1376" s="22"/>
      <c r="Y1376" s="14"/>
      <c r="Z1376" s="14"/>
      <c r="AA1376" s="14"/>
      <c r="AB1376" s="14"/>
      <c r="AC1376" s="14"/>
      <c r="AD1376" s="14"/>
      <c r="AE1376" s="14"/>
      <c r="AF1376" s="14"/>
      <c r="AG1376" s="19"/>
      <c r="AH1376" s="20"/>
      <c r="AI1376" s="5"/>
      <c r="AJ1376" s="5"/>
      <c r="AK1376" s="5"/>
      <c r="AL1376" s="5"/>
      <c r="AM1376" s="5"/>
      <c r="AN1376" s="5"/>
      <c r="AO1376" s="5"/>
      <c r="AP1376" s="5"/>
      <c r="AQ1376" s="5"/>
      <c r="AR1376" s="5"/>
      <c r="AS1376" s="5"/>
      <c r="AT1376" s="5"/>
      <c r="AU1376" s="5"/>
      <c r="AV1376" s="5"/>
      <c r="AW1376" s="5"/>
      <c r="AX1376" s="5"/>
      <c r="AY1376" s="5"/>
      <c r="AZ1376" s="5"/>
      <c r="BA1376" s="5"/>
      <c r="BB1376" s="5"/>
      <c r="BC1376" s="5"/>
      <c r="BD1376" s="5"/>
      <c r="BE1376" s="5"/>
      <c r="BF1376" s="5"/>
      <c r="BG1376" s="5"/>
      <c r="BH1376" s="5"/>
      <c r="BI1376" s="5"/>
      <c r="BJ1376" s="5"/>
      <c r="BK1376" s="5"/>
      <c r="BL1376" s="5"/>
      <c r="BM1376" s="5"/>
    </row>
    <row r="1377" ht="15.75" customHeight="1">
      <c r="A1377" s="5"/>
      <c r="B1377" s="5"/>
      <c r="C1377" s="5"/>
      <c r="D1377" s="5"/>
      <c r="E1377" s="14"/>
      <c r="F1377" s="15"/>
      <c r="G1377" s="14"/>
      <c r="H1377" s="16"/>
      <c r="I1377" s="14"/>
      <c r="J1377" s="16"/>
      <c r="K1377" s="14"/>
      <c r="L1377" s="16"/>
      <c r="M1377" s="14"/>
      <c r="N1377" s="16"/>
      <c r="O1377" s="14"/>
      <c r="P1377" s="16"/>
      <c r="Q1377" s="14"/>
      <c r="R1377" s="5"/>
      <c r="S1377" s="14"/>
      <c r="T1377" s="16"/>
      <c r="U1377" s="16"/>
      <c r="V1377" s="17"/>
      <c r="W1377" s="6"/>
      <c r="X1377" s="22"/>
      <c r="Y1377" s="14"/>
      <c r="Z1377" s="14"/>
      <c r="AA1377" s="14"/>
      <c r="AB1377" s="14"/>
      <c r="AC1377" s="14"/>
      <c r="AD1377" s="14"/>
      <c r="AE1377" s="14"/>
      <c r="AF1377" s="14"/>
      <c r="AG1377" s="19"/>
      <c r="AH1377" s="20"/>
      <c r="AI1377" s="5"/>
      <c r="AJ1377" s="5"/>
      <c r="AK1377" s="5"/>
      <c r="AL1377" s="5"/>
      <c r="AM1377" s="5"/>
      <c r="AN1377" s="5"/>
      <c r="AO1377" s="5"/>
      <c r="AP1377" s="5"/>
      <c r="AQ1377" s="5"/>
      <c r="AR1377" s="5"/>
      <c r="AS1377" s="5"/>
      <c r="AT1377" s="5"/>
      <c r="AU1377" s="5"/>
      <c r="AV1377" s="5"/>
      <c r="AW1377" s="5"/>
      <c r="AX1377" s="5"/>
      <c r="AY1377" s="5"/>
      <c r="AZ1377" s="5"/>
      <c r="BA1377" s="5"/>
      <c r="BB1377" s="5"/>
      <c r="BC1377" s="5"/>
      <c r="BD1377" s="5"/>
      <c r="BE1377" s="5"/>
      <c r="BF1377" s="5"/>
      <c r="BG1377" s="5"/>
      <c r="BH1377" s="5"/>
      <c r="BI1377" s="5"/>
      <c r="BJ1377" s="5"/>
      <c r="BK1377" s="5"/>
      <c r="BL1377" s="5"/>
      <c r="BM1377" s="5"/>
    </row>
    <row r="1378" ht="15.75" customHeight="1">
      <c r="A1378" s="5"/>
      <c r="B1378" s="5"/>
      <c r="C1378" s="5"/>
      <c r="D1378" s="5"/>
      <c r="E1378" s="14"/>
      <c r="F1378" s="15"/>
      <c r="G1378" s="14"/>
      <c r="H1378" s="16"/>
      <c r="I1378" s="14"/>
      <c r="J1378" s="16"/>
      <c r="K1378" s="14"/>
      <c r="L1378" s="16"/>
      <c r="M1378" s="14"/>
      <c r="N1378" s="16"/>
      <c r="O1378" s="14"/>
      <c r="P1378" s="16"/>
      <c r="Q1378" s="14"/>
      <c r="R1378" s="5"/>
      <c r="S1378" s="14"/>
      <c r="T1378" s="16"/>
      <c r="U1378" s="16"/>
      <c r="V1378" s="17"/>
      <c r="W1378" s="6"/>
      <c r="X1378" s="22"/>
      <c r="Y1378" s="14"/>
      <c r="Z1378" s="14"/>
      <c r="AA1378" s="14"/>
      <c r="AB1378" s="14"/>
      <c r="AC1378" s="14"/>
      <c r="AD1378" s="14"/>
      <c r="AE1378" s="14"/>
      <c r="AF1378" s="14"/>
      <c r="AG1378" s="19"/>
      <c r="AH1378" s="20"/>
      <c r="AI1378" s="5"/>
      <c r="AJ1378" s="5"/>
      <c r="AK1378" s="5"/>
      <c r="AL1378" s="5"/>
      <c r="AM1378" s="5"/>
      <c r="AN1378" s="5"/>
      <c r="AO1378" s="5"/>
      <c r="AP1378" s="5"/>
      <c r="AQ1378" s="5"/>
      <c r="AR1378" s="5"/>
      <c r="AS1378" s="5"/>
      <c r="AT1378" s="5"/>
      <c r="AU1378" s="5"/>
      <c r="AV1378" s="5"/>
      <c r="AW1378" s="5"/>
      <c r="AX1378" s="5"/>
      <c r="AY1378" s="5"/>
      <c r="AZ1378" s="5"/>
      <c r="BA1378" s="5"/>
      <c r="BB1378" s="5"/>
      <c r="BC1378" s="5"/>
      <c r="BD1378" s="5"/>
      <c r="BE1378" s="5"/>
      <c r="BF1378" s="5"/>
      <c r="BG1378" s="5"/>
      <c r="BH1378" s="5"/>
      <c r="BI1378" s="5"/>
      <c r="BJ1378" s="5"/>
      <c r="BK1378" s="5"/>
      <c r="BL1378" s="5"/>
      <c r="BM1378" s="5"/>
    </row>
    <row r="1379" ht="15.75" customHeight="1">
      <c r="A1379" s="5"/>
      <c r="B1379" s="5"/>
      <c r="C1379" s="5"/>
      <c r="D1379" s="5"/>
      <c r="E1379" s="14"/>
      <c r="F1379" s="15"/>
      <c r="G1379" s="14"/>
      <c r="H1379" s="16"/>
      <c r="I1379" s="14"/>
      <c r="J1379" s="16"/>
      <c r="K1379" s="14"/>
      <c r="L1379" s="16"/>
      <c r="M1379" s="14"/>
      <c r="N1379" s="16"/>
      <c r="O1379" s="14"/>
      <c r="P1379" s="16"/>
      <c r="Q1379" s="14"/>
      <c r="R1379" s="5"/>
      <c r="S1379" s="14"/>
      <c r="T1379" s="16"/>
      <c r="U1379" s="16"/>
      <c r="V1379" s="17"/>
      <c r="W1379" s="6"/>
      <c r="X1379" s="22"/>
      <c r="Y1379" s="14"/>
      <c r="Z1379" s="14"/>
      <c r="AA1379" s="14"/>
      <c r="AB1379" s="14"/>
      <c r="AC1379" s="14"/>
      <c r="AD1379" s="14"/>
      <c r="AE1379" s="14"/>
      <c r="AF1379" s="14"/>
      <c r="AG1379" s="19"/>
      <c r="AH1379" s="20"/>
      <c r="AI1379" s="5"/>
      <c r="AJ1379" s="5"/>
      <c r="AK1379" s="5"/>
      <c r="AL1379" s="5"/>
      <c r="AM1379" s="5"/>
      <c r="AN1379" s="5"/>
      <c r="AO1379" s="5"/>
      <c r="AP1379" s="5"/>
      <c r="AQ1379" s="5"/>
      <c r="AR1379" s="5"/>
      <c r="AS1379" s="5"/>
      <c r="AT1379" s="5"/>
      <c r="AU1379" s="5"/>
      <c r="AV1379" s="5"/>
      <c r="AW1379" s="5"/>
      <c r="AX1379" s="5"/>
      <c r="AY1379" s="5"/>
      <c r="AZ1379" s="5"/>
      <c r="BA1379" s="5"/>
      <c r="BB1379" s="5"/>
      <c r="BC1379" s="5"/>
      <c r="BD1379" s="5"/>
      <c r="BE1379" s="5"/>
      <c r="BF1379" s="5"/>
      <c r="BG1379" s="5"/>
      <c r="BH1379" s="5"/>
      <c r="BI1379" s="5"/>
      <c r="BJ1379" s="5"/>
      <c r="BK1379" s="5"/>
      <c r="BL1379" s="5"/>
      <c r="BM1379" s="5"/>
    </row>
    <row r="1380" ht="15.75" customHeight="1">
      <c r="A1380" s="5"/>
      <c r="B1380" s="5"/>
      <c r="C1380" s="5"/>
      <c r="D1380" s="5"/>
      <c r="E1380" s="14"/>
      <c r="F1380" s="15"/>
      <c r="G1380" s="14"/>
      <c r="H1380" s="16"/>
      <c r="I1380" s="14"/>
      <c r="J1380" s="16"/>
      <c r="K1380" s="14"/>
      <c r="L1380" s="16"/>
      <c r="M1380" s="14"/>
      <c r="N1380" s="16"/>
      <c r="O1380" s="14"/>
      <c r="P1380" s="16"/>
      <c r="Q1380" s="14"/>
      <c r="R1380" s="5"/>
      <c r="S1380" s="14"/>
      <c r="T1380" s="16"/>
      <c r="U1380" s="16"/>
      <c r="V1380" s="17"/>
      <c r="W1380" s="6"/>
      <c r="X1380" s="22"/>
      <c r="Y1380" s="14"/>
      <c r="Z1380" s="14"/>
      <c r="AA1380" s="14"/>
      <c r="AB1380" s="14"/>
      <c r="AC1380" s="14"/>
      <c r="AD1380" s="14"/>
      <c r="AE1380" s="14"/>
      <c r="AF1380" s="14"/>
      <c r="AG1380" s="19"/>
      <c r="AH1380" s="20"/>
      <c r="AI1380" s="5"/>
      <c r="AJ1380" s="5"/>
      <c r="AK1380" s="5"/>
      <c r="AL1380" s="5"/>
      <c r="AM1380" s="5"/>
      <c r="AN1380" s="5"/>
      <c r="AO1380" s="5"/>
      <c r="AP1380" s="5"/>
      <c r="AQ1380" s="5"/>
      <c r="AR1380" s="5"/>
      <c r="AS1380" s="5"/>
      <c r="AT1380" s="5"/>
      <c r="AU1380" s="5"/>
      <c r="AV1380" s="5"/>
      <c r="AW1380" s="5"/>
      <c r="AX1380" s="5"/>
      <c r="AY1380" s="5"/>
      <c r="AZ1380" s="5"/>
      <c r="BA1380" s="5"/>
      <c r="BB1380" s="5"/>
      <c r="BC1380" s="5"/>
      <c r="BD1380" s="5"/>
      <c r="BE1380" s="5"/>
      <c r="BF1380" s="5"/>
      <c r="BG1380" s="5"/>
      <c r="BH1380" s="5"/>
      <c r="BI1380" s="5"/>
      <c r="BJ1380" s="5"/>
      <c r="BK1380" s="5"/>
      <c r="BL1380" s="5"/>
      <c r="BM1380" s="5"/>
    </row>
    <row r="1381" ht="15.75" customHeight="1">
      <c r="A1381" s="5"/>
      <c r="B1381" s="5"/>
      <c r="C1381" s="5"/>
      <c r="D1381" s="5"/>
      <c r="E1381" s="14"/>
      <c r="F1381" s="15"/>
      <c r="G1381" s="14"/>
      <c r="H1381" s="16"/>
      <c r="I1381" s="14"/>
      <c r="J1381" s="16"/>
      <c r="K1381" s="14"/>
      <c r="L1381" s="16"/>
      <c r="M1381" s="14"/>
      <c r="N1381" s="16"/>
      <c r="O1381" s="14"/>
      <c r="P1381" s="16"/>
      <c r="Q1381" s="14"/>
      <c r="R1381" s="5"/>
      <c r="S1381" s="14"/>
      <c r="T1381" s="16"/>
      <c r="U1381" s="16"/>
      <c r="V1381" s="17"/>
      <c r="W1381" s="6"/>
      <c r="X1381" s="22"/>
      <c r="Y1381" s="14"/>
      <c r="Z1381" s="14"/>
      <c r="AA1381" s="14"/>
      <c r="AB1381" s="14"/>
      <c r="AC1381" s="14"/>
      <c r="AD1381" s="14"/>
      <c r="AE1381" s="14"/>
      <c r="AF1381" s="14"/>
      <c r="AG1381" s="19"/>
      <c r="AH1381" s="20"/>
      <c r="AI1381" s="5"/>
      <c r="AJ1381" s="5"/>
      <c r="AK1381" s="5"/>
      <c r="AL1381" s="5"/>
      <c r="AM1381" s="5"/>
      <c r="AN1381" s="5"/>
      <c r="AO1381" s="5"/>
      <c r="AP1381" s="5"/>
      <c r="AQ1381" s="5"/>
      <c r="AR1381" s="5"/>
      <c r="AS1381" s="5"/>
      <c r="AT1381" s="5"/>
      <c r="AU1381" s="5"/>
      <c r="AV1381" s="5"/>
      <c r="AW1381" s="5"/>
      <c r="AX1381" s="5"/>
      <c r="AY1381" s="5"/>
      <c r="AZ1381" s="5"/>
      <c r="BA1381" s="5"/>
      <c r="BB1381" s="5"/>
      <c r="BC1381" s="5"/>
      <c r="BD1381" s="5"/>
      <c r="BE1381" s="5"/>
      <c r="BF1381" s="5"/>
      <c r="BG1381" s="5"/>
      <c r="BH1381" s="5"/>
      <c r="BI1381" s="5"/>
      <c r="BJ1381" s="5"/>
      <c r="BK1381" s="5"/>
      <c r="BL1381" s="5"/>
      <c r="BM1381" s="5"/>
    </row>
    <row r="1382" ht="15.75" customHeight="1">
      <c r="A1382" s="5"/>
      <c r="B1382" s="5"/>
      <c r="C1382" s="5"/>
      <c r="D1382" s="5"/>
      <c r="E1382" s="14"/>
      <c r="F1382" s="15"/>
      <c r="G1382" s="14"/>
      <c r="H1382" s="16"/>
      <c r="I1382" s="14"/>
      <c r="J1382" s="16"/>
      <c r="K1382" s="14"/>
      <c r="L1382" s="16"/>
      <c r="M1382" s="14"/>
      <c r="N1382" s="16"/>
      <c r="O1382" s="14"/>
      <c r="P1382" s="16"/>
      <c r="Q1382" s="14"/>
      <c r="R1382" s="5"/>
      <c r="S1382" s="14"/>
      <c r="T1382" s="16"/>
      <c r="U1382" s="16"/>
      <c r="V1382" s="17"/>
      <c r="W1382" s="6"/>
      <c r="X1382" s="22"/>
      <c r="Y1382" s="14"/>
      <c r="Z1382" s="14"/>
      <c r="AA1382" s="14"/>
      <c r="AB1382" s="14"/>
      <c r="AC1382" s="14"/>
      <c r="AD1382" s="14"/>
      <c r="AE1382" s="14"/>
      <c r="AF1382" s="14"/>
      <c r="AG1382" s="19"/>
      <c r="AH1382" s="20"/>
      <c r="AI1382" s="5"/>
      <c r="AJ1382" s="5"/>
      <c r="AK1382" s="5"/>
      <c r="AL1382" s="5"/>
      <c r="AM1382" s="5"/>
      <c r="AN1382" s="5"/>
      <c r="AO1382" s="5"/>
      <c r="AP1382" s="5"/>
      <c r="AQ1382" s="5"/>
      <c r="AR1382" s="5"/>
      <c r="AS1382" s="5"/>
      <c r="AT1382" s="5"/>
      <c r="AU1382" s="5"/>
      <c r="AV1382" s="5"/>
      <c r="AW1382" s="5"/>
      <c r="AX1382" s="5"/>
      <c r="AY1382" s="5"/>
      <c r="AZ1382" s="5"/>
      <c r="BA1382" s="5"/>
      <c r="BB1382" s="5"/>
      <c r="BC1382" s="5"/>
      <c r="BD1382" s="5"/>
      <c r="BE1382" s="5"/>
      <c r="BF1382" s="5"/>
      <c r="BG1382" s="5"/>
      <c r="BH1382" s="5"/>
      <c r="BI1382" s="5"/>
      <c r="BJ1382" s="5"/>
      <c r="BK1382" s="5"/>
      <c r="BL1382" s="5"/>
      <c r="BM1382" s="5"/>
    </row>
    <row r="1383" ht="15.75" customHeight="1">
      <c r="A1383" s="5"/>
      <c r="B1383" s="5"/>
      <c r="C1383" s="5"/>
      <c r="D1383" s="5"/>
      <c r="E1383" s="14"/>
      <c r="F1383" s="15"/>
      <c r="G1383" s="14"/>
      <c r="H1383" s="16"/>
      <c r="I1383" s="14"/>
      <c r="J1383" s="16"/>
      <c r="K1383" s="14"/>
      <c r="L1383" s="16"/>
      <c r="M1383" s="14"/>
      <c r="N1383" s="16"/>
      <c r="O1383" s="14"/>
      <c r="P1383" s="16"/>
      <c r="Q1383" s="14"/>
      <c r="R1383" s="5"/>
      <c r="S1383" s="14"/>
      <c r="T1383" s="16"/>
      <c r="U1383" s="16"/>
      <c r="V1383" s="17"/>
      <c r="W1383" s="6"/>
      <c r="X1383" s="22"/>
      <c r="Y1383" s="14"/>
      <c r="Z1383" s="14"/>
      <c r="AA1383" s="14"/>
      <c r="AB1383" s="14"/>
      <c r="AC1383" s="14"/>
      <c r="AD1383" s="14"/>
      <c r="AE1383" s="14"/>
      <c r="AF1383" s="14"/>
      <c r="AG1383" s="19"/>
      <c r="AH1383" s="20"/>
      <c r="AI1383" s="5"/>
      <c r="AJ1383" s="5"/>
      <c r="AK1383" s="5"/>
      <c r="AL1383" s="5"/>
      <c r="AM1383" s="5"/>
      <c r="AN1383" s="5"/>
      <c r="AO1383" s="5"/>
      <c r="AP1383" s="5"/>
      <c r="AQ1383" s="5"/>
      <c r="AR1383" s="5"/>
      <c r="AS1383" s="5"/>
      <c r="AT1383" s="5"/>
      <c r="AU1383" s="5"/>
      <c r="AV1383" s="5"/>
      <c r="AW1383" s="5"/>
      <c r="AX1383" s="5"/>
      <c r="AY1383" s="5"/>
      <c r="AZ1383" s="5"/>
      <c r="BA1383" s="5"/>
      <c r="BB1383" s="5"/>
      <c r="BC1383" s="5"/>
      <c r="BD1383" s="5"/>
      <c r="BE1383" s="5"/>
      <c r="BF1383" s="5"/>
      <c r="BG1383" s="5"/>
      <c r="BH1383" s="5"/>
      <c r="BI1383" s="5"/>
      <c r="BJ1383" s="5"/>
      <c r="BK1383" s="5"/>
      <c r="BL1383" s="5"/>
      <c r="BM1383" s="5"/>
    </row>
    <row r="1384" ht="15.75" customHeight="1">
      <c r="A1384" s="5"/>
      <c r="B1384" s="5"/>
      <c r="C1384" s="5"/>
      <c r="D1384" s="5"/>
      <c r="E1384" s="14"/>
      <c r="F1384" s="15"/>
      <c r="G1384" s="14"/>
      <c r="H1384" s="16"/>
      <c r="I1384" s="14"/>
      <c r="J1384" s="16"/>
      <c r="K1384" s="14"/>
      <c r="L1384" s="16"/>
      <c r="M1384" s="14"/>
      <c r="N1384" s="16"/>
      <c r="O1384" s="14"/>
      <c r="P1384" s="16"/>
      <c r="Q1384" s="14"/>
      <c r="R1384" s="5"/>
      <c r="S1384" s="14"/>
      <c r="T1384" s="16"/>
      <c r="U1384" s="16"/>
      <c r="V1384" s="17"/>
      <c r="W1384" s="6"/>
      <c r="X1384" s="22"/>
      <c r="Y1384" s="14"/>
      <c r="Z1384" s="14"/>
      <c r="AA1384" s="14"/>
      <c r="AB1384" s="14"/>
      <c r="AC1384" s="14"/>
      <c r="AD1384" s="14"/>
      <c r="AE1384" s="14"/>
      <c r="AF1384" s="14"/>
      <c r="AG1384" s="19"/>
      <c r="AH1384" s="20"/>
      <c r="AI1384" s="5"/>
      <c r="AJ1384" s="5"/>
      <c r="AK1384" s="5"/>
      <c r="AL1384" s="5"/>
      <c r="AM1384" s="5"/>
      <c r="AN1384" s="5"/>
      <c r="AO1384" s="5"/>
      <c r="AP1384" s="5"/>
      <c r="AQ1384" s="5"/>
      <c r="AR1384" s="5"/>
      <c r="AS1384" s="5"/>
      <c r="AT1384" s="5"/>
      <c r="AU1384" s="5"/>
      <c r="AV1384" s="5"/>
      <c r="AW1384" s="5"/>
      <c r="AX1384" s="5"/>
      <c r="AY1384" s="5"/>
      <c r="AZ1384" s="5"/>
      <c r="BA1384" s="5"/>
      <c r="BB1384" s="5"/>
      <c r="BC1384" s="5"/>
      <c r="BD1384" s="5"/>
      <c r="BE1384" s="5"/>
      <c r="BF1384" s="5"/>
      <c r="BG1384" s="5"/>
      <c r="BH1384" s="5"/>
      <c r="BI1384" s="5"/>
      <c r="BJ1384" s="5"/>
      <c r="BK1384" s="5"/>
      <c r="BL1384" s="5"/>
      <c r="BM1384" s="5"/>
    </row>
    <row r="1385" ht="15.75" customHeight="1">
      <c r="A1385" s="5"/>
      <c r="B1385" s="5"/>
      <c r="C1385" s="5"/>
      <c r="D1385" s="5"/>
      <c r="E1385" s="14"/>
      <c r="F1385" s="15"/>
      <c r="G1385" s="14"/>
      <c r="H1385" s="16"/>
      <c r="I1385" s="14"/>
      <c r="J1385" s="16"/>
      <c r="K1385" s="14"/>
      <c r="L1385" s="16"/>
      <c r="M1385" s="14"/>
      <c r="N1385" s="16"/>
      <c r="O1385" s="14"/>
      <c r="P1385" s="16"/>
      <c r="Q1385" s="14"/>
      <c r="R1385" s="5"/>
      <c r="S1385" s="14"/>
      <c r="T1385" s="16"/>
      <c r="U1385" s="16"/>
      <c r="V1385" s="17"/>
      <c r="W1385" s="6"/>
      <c r="X1385" s="22"/>
      <c r="Y1385" s="14"/>
      <c r="Z1385" s="14"/>
      <c r="AA1385" s="14"/>
      <c r="AB1385" s="14"/>
      <c r="AC1385" s="14"/>
      <c r="AD1385" s="14"/>
      <c r="AE1385" s="14"/>
      <c r="AF1385" s="14"/>
      <c r="AG1385" s="19"/>
      <c r="AH1385" s="20"/>
      <c r="AI1385" s="5"/>
      <c r="AJ1385" s="5"/>
      <c r="AK1385" s="5"/>
      <c r="AL1385" s="5"/>
      <c r="AM1385" s="5"/>
      <c r="AN1385" s="5"/>
      <c r="AO1385" s="5"/>
      <c r="AP1385" s="5"/>
      <c r="AQ1385" s="5"/>
      <c r="AR1385" s="5"/>
      <c r="AS1385" s="5"/>
      <c r="AT1385" s="5"/>
      <c r="AU1385" s="5"/>
      <c r="AV1385" s="5"/>
      <c r="AW1385" s="5"/>
      <c r="AX1385" s="5"/>
      <c r="AY1385" s="5"/>
      <c r="AZ1385" s="5"/>
      <c r="BA1385" s="5"/>
      <c r="BB1385" s="5"/>
      <c r="BC1385" s="5"/>
      <c r="BD1385" s="5"/>
      <c r="BE1385" s="5"/>
      <c r="BF1385" s="5"/>
      <c r="BG1385" s="5"/>
      <c r="BH1385" s="5"/>
      <c r="BI1385" s="5"/>
      <c r="BJ1385" s="5"/>
      <c r="BK1385" s="5"/>
      <c r="BL1385" s="5"/>
      <c r="BM1385" s="5"/>
    </row>
    <row r="1386" ht="15.75" customHeight="1">
      <c r="A1386" s="5"/>
      <c r="B1386" s="5"/>
      <c r="C1386" s="5"/>
      <c r="D1386" s="5"/>
      <c r="E1386" s="14"/>
      <c r="F1386" s="15"/>
      <c r="G1386" s="14"/>
      <c r="H1386" s="16"/>
      <c r="I1386" s="14"/>
      <c r="J1386" s="16"/>
      <c r="K1386" s="14"/>
      <c r="L1386" s="16"/>
      <c r="M1386" s="14"/>
      <c r="N1386" s="16"/>
      <c r="O1386" s="14"/>
      <c r="P1386" s="16"/>
      <c r="Q1386" s="14"/>
      <c r="R1386" s="5"/>
      <c r="S1386" s="14"/>
      <c r="T1386" s="16"/>
      <c r="U1386" s="16"/>
      <c r="V1386" s="17"/>
      <c r="W1386" s="6"/>
      <c r="X1386" s="22"/>
      <c r="Y1386" s="14"/>
      <c r="Z1386" s="14"/>
      <c r="AA1386" s="14"/>
      <c r="AB1386" s="14"/>
      <c r="AC1386" s="14"/>
      <c r="AD1386" s="14"/>
      <c r="AE1386" s="14"/>
      <c r="AF1386" s="14"/>
      <c r="AG1386" s="19"/>
      <c r="AH1386" s="20"/>
      <c r="AI1386" s="5"/>
      <c r="AJ1386" s="5"/>
      <c r="AK1386" s="5"/>
      <c r="AL1386" s="5"/>
      <c r="AM1386" s="5"/>
      <c r="AN1386" s="5"/>
      <c r="AO1386" s="5"/>
      <c r="AP1386" s="5"/>
      <c r="AQ1386" s="5"/>
      <c r="AR1386" s="5"/>
      <c r="AS1386" s="5"/>
      <c r="AT1386" s="5"/>
      <c r="AU1386" s="5"/>
      <c r="AV1386" s="5"/>
      <c r="AW1386" s="5"/>
      <c r="AX1386" s="5"/>
      <c r="AY1386" s="5"/>
      <c r="AZ1386" s="5"/>
      <c r="BA1386" s="5"/>
      <c r="BB1386" s="5"/>
      <c r="BC1386" s="5"/>
      <c r="BD1386" s="5"/>
      <c r="BE1386" s="5"/>
      <c r="BF1386" s="5"/>
      <c r="BG1386" s="5"/>
      <c r="BH1386" s="5"/>
      <c r="BI1386" s="5"/>
      <c r="BJ1386" s="5"/>
      <c r="BK1386" s="5"/>
      <c r="BL1386" s="5"/>
      <c r="BM1386" s="5"/>
    </row>
    <row r="1387" ht="15.75" customHeight="1">
      <c r="A1387" s="5"/>
      <c r="B1387" s="5"/>
      <c r="C1387" s="5"/>
      <c r="D1387" s="5"/>
      <c r="E1387" s="14"/>
      <c r="F1387" s="15"/>
      <c r="G1387" s="14"/>
      <c r="H1387" s="16"/>
      <c r="I1387" s="14"/>
      <c r="J1387" s="16"/>
      <c r="K1387" s="14"/>
      <c r="L1387" s="16"/>
      <c r="M1387" s="14"/>
      <c r="N1387" s="16"/>
      <c r="O1387" s="14"/>
      <c r="P1387" s="16"/>
      <c r="Q1387" s="14"/>
      <c r="R1387" s="5"/>
      <c r="S1387" s="14"/>
      <c r="T1387" s="16"/>
      <c r="U1387" s="16"/>
      <c r="V1387" s="17"/>
      <c r="W1387" s="6"/>
      <c r="X1387" s="22"/>
      <c r="Y1387" s="14"/>
      <c r="Z1387" s="14"/>
      <c r="AA1387" s="14"/>
      <c r="AB1387" s="14"/>
      <c r="AC1387" s="14"/>
      <c r="AD1387" s="14"/>
      <c r="AE1387" s="14"/>
      <c r="AF1387" s="14"/>
      <c r="AG1387" s="19"/>
      <c r="AH1387" s="20"/>
      <c r="AI1387" s="5"/>
      <c r="AJ1387" s="5"/>
      <c r="AK1387" s="5"/>
      <c r="AL1387" s="5"/>
      <c r="AM1387" s="5"/>
      <c r="AN1387" s="5"/>
      <c r="AO1387" s="5"/>
      <c r="AP1387" s="5"/>
      <c r="AQ1387" s="5"/>
      <c r="AR1387" s="5"/>
      <c r="AS1387" s="5"/>
      <c r="AT1387" s="5"/>
      <c r="AU1387" s="5"/>
      <c r="AV1387" s="5"/>
      <c r="AW1387" s="5"/>
      <c r="AX1387" s="5"/>
      <c r="AY1387" s="5"/>
      <c r="AZ1387" s="5"/>
      <c r="BA1387" s="5"/>
      <c r="BB1387" s="5"/>
      <c r="BC1387" s="5"/>
      <c r="BD1387" s="5"/>
      <c r="BE1387" s="5"/>
      <c r="BF1387" s="5"/>
      <c r="BG1387" s="5"/>
      <c r="BH1387" s="5"/>
      <c r="BI1387" s="5"/>
      <c r="BJ1387" s="5"/>
      <c r="BK1387" s="5"/>
      <c r="BL1387" s="5"/>
      <c r="BM1387" s="5"/>
    </row>
    <row r="1388" ht="15.75" customHeight="1">
      <c r="A1388" s="5"/>
      <c r="B1388" s="5"/>
      <c r="C1388" s="5"/>
      <c r="D1388" s="5"/>
      <c r="E1388" s="14"/>
      <c r="F1388" s="15"/>
      <c r="G1388" s="14"/>
      <c r="H1388" s="16"/>
      <c r="I1388" s="14"/>
      <c r="J1388" s="16"/>
      <c r="K1388" s="14"/>
      <c r="L1388" s="16"/>
      <c r="M1388" s="14"/>
      <c r="N1388" s="16"/>
      <c r="O1388" s="14"/>
      <c r="P1388" s="16"/>
      <c r="Q1388" s="14"/>
      <c r="R1388" s="5"/>
      <c r="S1388" s="14"/>
      <c r="T1388" s="16"/>
      <c r="U1388" s="16"/>
      <c r="V1388" s="17"/>
      <c r="W1388" s="6"/>
      <c r="X1388" s="22"/>
      <c r="Y1388" s="14"/>
      <c r="Z1388" s="14"/>
      <c r="AA1388" s="14"/>
      <c r="AB1388" s="14"/>
      <c r="AC1388" s="14"/>
      <c r="AD1388" s="14"/>
      <c r="AE1388" s="14"/>
      <c r="AF1388" s="14"/>
      <c r="AG1388" s="19"/>
      <c r="AH1388" s="20"/>
      <c r="AI1388" s="5"/>
      <c r="AJ1388" s="5"/>
      <c r="AK1388" s="5"/>
      <c r="AL1388" s="5"/>
      <c r="AM1388" s="5"/>
      <c r="AN1388" s="5"/>
      <c r="AO1388" s="5"/>
      <c r="AP1388" s="5"/>
      <c r="AQ1388" s="5"/>
      <c r="AR1388" s="5"/>
      <c r="AS1388" s="5"/>
      <c r="AT1388" s="5"/>
      <c r="AU1388" s="5"/>
      <c r="AV1388" s="5"/>
      <c r="AW1388" s="5"/>
      <c r="AX1388" s="5"/>
      <c r="AY1388" s="5"/>
      <c r="AZ1388" s="5"/>
      <c r="BA1388" s="5"/>
      <c r="BB1388" s="5"/>
      <c r="BC1388" s="5"/>
      <c r="BD1388" s="5"/>
      <c r="BE1388" s="5"/>
      <c r="BF1388" s="5"/>
      <c r="BG1388" s="5"/>
      <c r="BH1388" s="5"/>
      <c r="BI1388" s="5"/>
      <c r="BJ1388" s="5"/>
      <c r="BK1388" s="5"/>
      <c r="BL1388" s="5"/>
      <c r="BM1388" s="5"/>
    </row>
    <row r="1389" ht="15.75" customHeight="1">
      <c r="A1389" s="5"/>
      <c r="B1389" s="5"/>
      <c r="C1389" s="5"/>
      <c r="D1389" s="5"/>
      <c r="E1389" s="14"/>
      <c r="F1389" s="15"/>
      <c r="G1389" s="14"/>
      <c r="H1389" s="16"/>
      <c r="I1389" s="14"/>
      <c r="J1389" s="16"/>
      <c r="K1389" s="14"/>
      <c r="L1389" s="16"/>
      <c r="M1389" s="14"/>
      <c r="N1389" s="16"/>
      <c r="O1389" s="14"/>
      <c r="P1389" s="16"/>
      <c r="Q1389" s="14"/>
      <c r="R1389" s="5"/>
      <c r="S1389" s="14"/>
      <c r="T1389" s="16"/>
      <c r="U1389" s="16"/>
      <c r="V1389" s="17"/>
      <c r="W1389" s="6"/>
      <c r="X1389" s="22"/>
      <c r="Y1389" s="14"/>
      <c r="Z1389" s="14"/>
      <c r="AA1389" s="14"/>
      <c r="AB1389" s="14"/>
      <c r="AC1389" s="14"/>
      <c r="AD1389" s="14"/>
      <c r="AE1389" s="14"/>
      <c r="AF1389" s="14"/>
      <c r="AG1389" s="19"/>
      <c r="AH1389" s="20"/>
      <c r="AI1389" s="5"/>
      <c r="AJ1389" s="5"/>
      <c r="AK1389" s="5"/>
      <c r="AL1389" s="5"/>
      <c r="AM1389" s="5"/>
      <c r="AN1389" s="5"/>
      <c r="AO1389" s="5"/>
      <c r="AP1389" s="5"/>
      <c r="AQ1389" s="5"/>
      <c r="AR1389" s="5"/>
      <c r="AS1389" s="5"/>
      <c r="AT1389" s="5"/>
      <c r="AU1389" s="5"/>
      <c r="AV1389" s="5"/>
      <c r="AW1389" s="5"/>
      <c r="AX1389" s="5"/>
      <c r="AY1389" s="5"/>
      <c r="AZ1389" s="5"/>
      <c r="BA1389" s="5"/>
      <c r="BB1389" s="5"/>
      <c r="BC1389" s="5"/>
      <c r="BD1389" s="5"/>
      <c r="BE1389" s="5"/>
      <c r="BF1389" s="5"/>
      <c r="BG1389" s="5"/>
      <c r="BH1389" s="5"/>
      <c r="BI1389" s="5"/>
      <c r="BJ1389" s="5"/>
      <c r="BK1389" s="5"/>
      <c r="BL1389" s="5"/>
      <c r="BM1389" s="5"/>
    </row>
    <row r="1390" ht="15.75" customHeight="1">
      <c r="A1390" s="5"/>
      <c r="B1390" s="5"/>
      <c r="C1390" s="5"/>
      <c r="D1390" s="5"/>
      <c r="E1390" s="14"/>
      <c r="F1390" s="15"/>
      <c r="G1390" s="14"/>
      <c r="H1390" s="16"/>
      <c r="I1390" s="14"/>
      <c r="J1390" s="16"/>
      <c r="K1390" s="14"/>
      <c r="L1390" s="16"/>
      <c r="M1390" s="14"/>
      <c r="N1390" s="16"/>
      <c r="O1390" s="14"/>
      <c r="P1390" s="16"/>
      <c r="Q1390" s="14"/>
      <c r="R1390" s="5"/>
      <c r="S1390" s="14"/>
      <c r="T1390" s="16"/>
      <c r="U1390" s="16"/>
      <c r="V1390" s="17"/>
      <c r="W1390" s="6"/>
      <c r="X1390" s="22"/>
      <c r="Y1390" s="14"/>
      <c r="Z1390" s="14"/>
      <c r="AA1390" s="14"/>
      <c r="AB1390" s="14"/>
      <c r="AC1390" s="14"/>
      <c r="AD1390" s="14"/>
      <c r="AE1390" s="14"/>
      <c r="AF1390" s="14"/>
      <c r="AG1390" s="19"/>
      <c r="AH1390" s="20"/>
      <c r="AI1390" s="5"/>
      <c r="AJ1390" s="5"/>
      <c r="AK1390" s="5"/>
      <c r="AL1390" s="5"/>
      <c r="AM1390" s="5"/>
      <c r="AN1390" s="5"/>
      <c r="AO1390" s="5"/>
      <c r="AP1390" s="5"/>
      <c r="AQ1390" s="5"/>
      <c r="AR1390" s="5"/>
      <c r="AS1390" s="5"/>
      <c r="AT1390" s="5"/>
      <c r="AU1390" s="5"/>
      <c r="AV1390" s="5"/>
      <c r="AW1390" s="5"/>
      <c r="AX1390" s="5"/>
      <c r="AY1390" s="5"/>
      <c r="AZ1390" s="5"/>
      <c r="BA1390" s="5"/>
      <c r="BB1390" s="5"/>
      <c r="BC1390" s="5"/>
      <c r="BD1390" s="5"/>
      <c r="BE1390" s="5"/>
      <c r="BF1390" s="5"/>
      <c r="BG1390" s="5"/>
      <c r="BH1390" s="5"/>
      <c r="BI1390" s="5"/>
      <c r="BJ1390" s="5"/>
      <c r="BK1390" s="5"/>
      <c r="BL1390" s="5"/>
      <c r="BM1390" s="5"/>
    </row>
    <row r="1391" ht="15.75" customHeight="1">
      <c r="A1391" s="5"/>
      <c r="B1391" s="5"/>
      <c r="C1391" s="5"/>
      <c r="D1391" s="5"/>
      <c r="E1391" s="14"/>
      <c r="F1391" s="15"/>
      <c r="G1391" s="14"/>
      <c r="H1391" s="16"/>
      <c r="I1391" s="14"/>
      <c r="J1391" s="16"/>
      <c r="K1391" s="14"/>
      <c r="L1391" s="16"/>
      <c r="M1391" s="14"/>
      <c r="N1391" s="16"/>
      <c r="O1391" s="14"/>
      <c r="P1391" s="16"/>
      <c r="Q1391" s="14"/>
      <c r="R1391" s="5"/>
      <c r="S1391" s="14"/>
      <c r="T1391" s="16"/>
      <c r="U1391" s="16"/>
      <c r="V1391" s="17"/>
      <c r="W1391" s="6"/>
      <c r="X1391" s="22"/>
      <c r="Y1391" s="14"/>
      <c r="Z1391" s="14"/>
      <c r="AA1391" s="14"/>
      <c r="AB1391" s="14"/>
      <c r="AC1391" s="14"/>
      <c r="AD1391" s="14"/>
      <c r="AE1391" s="14"/>
      <c r="AF1391" s="14"/>
      <c r="AG1391" s="19"/>
      <c r="AH1391" s="20"/>
      <c r="AI1391" s="5"/>
      <c r="AJ1391" s="5"/>
      <c r="AK1391" s="5"/>
      <c r="AL1391" s="5"/>
      <c r="AM1391" s="5"/>
      <c r="AN1391" s="5"/>
      <c r="AO1391" s="5"/>
      <c r="AP1391" s="5"/>
      <c r="AQ1391" s="5"/>
      <c r="AR1391" s="5"/>
      <c r="AS1391" s="5"/>
      <c r="AT1391" s="5"/>
      <c r="AU1391" s="5"/>
      <c r="AV1391" s="5"/>
      <c r="AW1391" s="5"/>
      <c r="AX1391" s="5"/>
      <c r="AY1391" s="5"/>
      <c r="AZ1391" s="5"/>
      <c r="BA1391" s="5"/>
      <c r="BB1391" s="5"/>
      <c r="BC1391" s="5"/>
      <c r="BD1391" s="5"/>
      <c r="BE1391" s="5"/>
      <c r="BF1391" s="5"/>
      <c r="BG1391" s="5"/>
      <c r="BH1391" s="5"/>
      <c r="BI1391" s="5"/>
      <c r="BJ1391" s="5"/>
      <c r="BK1391" s="5"/>
      <c r="BL1391" s="5"/>
      <c r="BM1391" s="5"/>
    </row>
    <row r="1392" ht="15.75" customHeight="1">
      <c r="A1392" s="5"/>
      <c r="B1392" s="5"/>
      <c r="C1392" s="5"/>
      <c r="D1392" s="5"/>
      <c r="E1392" s="14"/>
      <c r="F1392" s="15"/>
      <c r="G1392" s="14"/>
      <c r="H1392" s="16"/>
      <c r="I1392" s="14"/>
      <c r="J1392" s="16"/>
      <c r="K1392" s="14"/>
      <c r="L1392" s="16"/>
      <c r="M1392" s="14"/>
      <c r="N1392" s="16"/>
      <c r="O1392" s="14"/>
      <c r="P1392" s="16"/>
      <c r="Q1392" s="14"/>
      <c r="R1392" s="5"/>
      <c r="S1392" s="14"/>
      <c r="T1392" s="16"/>
      <c r="U1392" s="16"/>
      <c r="V1392" s="17"/>
      <c r="W1392" s="6"/>
      <c r="X1392" s="22"/>
      <c r="Y1392" s="14"/>
      <c r="Z1392" s="14"/>
      <c r="AA1392" s="14"/>
      <c r="AB1392" s="14"/>
      <c r="AC1392" s="14"/>
      <c r="AD1392" s="14"/>
      <c r="AE1392" s="14"/>
      <c r="AF1392" s="14"/>
      <c r="AG1392" s="19"/>
      <c r="AH1392" s="20"/>
      <c r="AI1392" s="5"/>
      <c r="AJ1392" s="5"/>
      <c r="AK1392" s="5"/>
      <c r="AL1392" s="5"/>
      <c r="AM1392" s="5"/>
      <c r="AN1392" s="5"/>
      <c r="AO1392" s="5"/>
      <c r="AP1392" s="5"/>
      <c r="AQ1392" s="5"/>
      <c r="AR1392" s="5"/>
      <c r="AS1392" s="5"/>
      <c r="AT1392" s="5"/>
      <c r="AU1392" s="5"/>
      <c r="AV1392" s="5"/>
      <c r="AW1392" s="5"/>
      <c r="AX1392" s="5"/>
      <c r="AY1392" s="5"/>
      <c r="AZ1392" s="5"/>
      <c r="BA1392" s="5"/>
      <c r="BB1392" s="5"/>
      <c r="BC1392" s="5"/>
      <c r="BD1392" s="5"/>
      <c r="BE1392" s="5"/>
      <c r="BF1392" s="5"/>
      <c r="BG1392" s="5"/>
      <c r="BH1392" s="5"/>
      <c r="BI1392" s="5"/>
      <c r="BJ1392" s="5"/>
      <c r="BK1392" s="5"/>
      <c r="BL1392" s="5"/>
      <c r="BM1392" s="5"/>
    </row>
    <row r="1393" ht="15.75" customHeight="1">
      <c r="A1393" s="5"/>
      <c r="B1393" s="5"/>
      <c r="C1393" s="5"/>
      <c r="D1393" s="5"/>
      <c r="E1393" s="14"/>
      <c r="F1393" s="15"/>
      <c r="G1393" s="14"/>
      <c r="H1393" s="16"/>
      <c r="I1393" s="14"/>
      <c r="J1393" s="16"/>
      <c r="K1393" s="14"/>
      <c r="L1393" s="16"/>
      <c r="M1393" s="14"/>
      <c r="N1393" s="16"/>
      <c r="O1393" s="14"/>
      <c r="P1393" s="16"/>
      <c r="Q1393" s="14"/>
      <c r="R1393" s="5"/>
      <c r="S1393" s="14"/>
      <c r="T1393" s="16"/>
      <c r="U1393" s="16"/>
      <c r="V1393" s="17"/>
      <c r="W1393" s="6"/>
      <c r="X1393" s="22"/>
      <c r="Y1393" s="14"/>
      <c r="Z1393" s="14"/>
      <c r="AA1393" s="14"/>
      <c r="AB1393" s="14"/>
      <c r="AC1393" s="14"/>
      <c r="AD1393" s="14"/>
      <c r="AE1393" s="14"/>
      <c r="AF1393" s="14"/>
      <c r="AG1393" s="19"/>
      <c r="AH1393" s="20"/>
      <c r="AI1393" s="5"/>
      <c r="AJ1393" s="5"/>
      <c r="AK1393" s="5"/>
      <c r="AL1393" s="5"/>
      <c r="AM1393" s="5"/>
      <c r="AN1393" s="5"/>
      <c r="AO1393" s="5"/>
      <c r="AP1393" s="5"/>
      <c r="AQ1393" s="5"/>
      <c r="AR1393" s="5"/>
      <c r="AS1393" s="5"/>
      <c r="AT1393" s="5"/>
      <c r="AU1393" s="5"/>
      <c r="AV1393" s="5"/>
      <c r="AW1393" s="5"/>
      <c r="AX1393" s="5"/>
      <c r="AY1393" s="5"/>
      <c r="AZ1393" s="5"/>
      <c r="BA1393" s="5"/>
      <c r="BB1393" s="5"/>
      <c r="BC1393" s="5"/>
      <c r="BD1393" s="5"/>
      <c r="BE1393" s="5"/>
      <c r="BF1393" s="5"/>
      <c r="BG1393" s="5"/>
      <c r="BH1393" s="5"/>
      <c r="BI1393" s="5"/>
      <c r="BJ1393" s="5"/>
      <c r="BK1393" s="5"/>
      <c r="BL1393" s="5"/>
      <c r="BM1393" s="5"/>
    </row>
    <row r="1394" ht="15.75" customHeight="1">
      <c r="A1394" s="5"/>
      <c r="B1394" s="5"/>
      <c r="C1394" s="5"/>
      <c r="D1394" s="5"/>
      <c r="E1394" s="14"/>
      <c r="F1394" s="15"/>
      <c r="G1394" s="14"/>
      <c r="H1394" s="16"/>
      <c r="I1394" s="14"/>
      <c r="J1394" s="16"/>
      <c r="K1394" s="14"/>
      <c r="L1394" s="16"/>
      <c r="M1394" s="14"/>
      <c r="N1394" s="16"/>
      <c r="O1394" s="14"/>
      <c r="P1394" s="16"/>
      <c r="Q1394" s="14"/>
      <c r="R1394" s="5"/>
      <c r="S1394" s="14"/>
      <c r="T1394" s="16"/>
      <c r="U1394" s="16"/>
      <c r="V1394" s="17"/>
      <c r="W1394" s="6"/>
      <c r="X1394" s="22"/>
      <c r="Y1394" s="14"/>
      <c r="Z1394" s="14"/>
      <c r="AA1394" s="14"/>
      <c r="AB1394" s="14"/>
      <c r="AC1394" s="14"/>
      <c r="AD1394" s="14"/>
      <c r="AE1394" s="14"/>
      <c r="AF1394" s="14"/>
      <c r="AG1394" s="19"/>
      <c r="AH1394" s="20"/>
      <c r="AI1394" s="5"/>
      <c r="AJ1394" s="5"/>
      <c r="AK1394" s="5"/>
      <c r="AL1394" s="5"/>
      <c r="AM1394" s="5"/>
      <c r="AN1394" s="5"/>
      <c r="AO1394" s="5"/>
      <c r="AP1394" s="5"/>
      <c r="AQ1394" s="5"/>
      <c r="AR1394" s="5"/>
      <c r="AS1394" s="5"/>
      <c r="AT1394" s="5"/>
      <c r="AU1394" s="5"/>
      <c r="AV1394" s="5"/>
      <c r="AW1394" s="5"/>
      <c r="AX1394" s="5"/>
      <c r="AY1394" s="5"/>
      <c r="AZ1394" s="5"/>
      <c r="BA1394" s="5"/>
      <c r="BB1394" s="5"/>
      <c r="BC1394" s="5"/>
      <c r="BD1394" s="5"/>
      <c r="BE1394" s="5"/>
      <c r="BF1394" s="5"/>
      <c r="BG1394" s="5"/>
      <c r="BH1394" s="5"/>
      <c r="BI1394" s="5"/>
      <c r="BJ1394" s="5"/>
      <c r="BK1394" s="5"/>
      <c r="BL1394" s="5"/>
      <c r="BM1394" s="5"/>
    </row>
    <row r="1395" ht="15.75" customHeight="1">
      <c r="A1395" s="5"/>
      <c r="B1395" s="5"/>
      <c r="C1395" s="5"/>
      <c r="D1395" s="5"/>
      <c r="E1395" s="14"/>
      <c r="F1395" s="15"/>
      <c r="G1395" s="14"/>
      <c r="H1395" s="16"/>
      <c r="I1395" s="14"/>
      <c r="J1395" s="16"/>
      <c r="K1395" s="14"/>
      <c r="L1395" s="16"/>
      <c r="M1395" s="14"/>
      <c r="N1395" s="16"/>
      <c r="O1395" s="14"/>
      <c r="P1395" s="16"/>
      <c r="Q1395" s="14"/>
      <c r="R1395" s="5"/>
      <c r="S1395" s="14"/>
      <c r="T1395" s="16"/>
      <c r="U1395" s="16"/>
      <c r="V1395" s="17"/>
      <c r="W1395" s="6"/>
      <c r="X1395" s="22"/>
      <c r="Y1395" s="14"/>
      <c r="Z1395" s="14"/>
      <c r="AA1395" s="14"/>
      <c r="AB1395" s="14"/>
      <c r="AC1395" s="14"/>
      <c r="AD1395" s="14"/>
      <c r="AE1395" s="14"/>
      <c r="AF1395" s="14"/>
      <c r="AG1395" s="19"/>
      <c r="AH1395" s="20"/>
      <c r="AI1395" s="5"/>
      <c r="AJ1395" s="5"/>
      <c r="AK1395" s="5"/>
      <c r="AL1395" s="5"/>
      <c r="AM1395" s="5"/>
      <c r="AN1395" s="5"/>
      <c r="AO1395" s="5"/>
      <c r="AP1395" s="5"/>
      <c r="AQ1395" s="5"/>
      <c r="AR1395" s="5"/>
      <c r="AS1395" s="5"/>
      <c r="AT1395" s="5"/>
      <c r="AU1395" s="5"/>
      <c r="AV1395" s="5"/>
      <c r="AW1395" s="5"/>
      <c r="AX1395" s="5"/>
      <c r="AY1395" s="5"/>
      <c r="AZ1395" s="5"/>
      <c r="BA1395" s="5"/>
      <c r="BB1395" s="5"/>
      <c r="BC1395" s="5"/>
      <c r="BD1395" s="5"/>
      <c r="BE1395" s="5"/>
      <c r="BF1395" s="5"/>
      <c r="BG1395" s="5"/>
      <c r="BH1395" s="5"/>
      <c r="BI1395" s="5"/>
      <c r="BJ1395" s="5"/>
      <c r="BK1395" s="5"/>
      <c r="BL1395" s="5"/>
      <c r="BM1395" s="5"/>
    </row>
    <row r="1396" ht="15.75" customHeight="1">
      <c r="A1396" s="5"/>
      <c r="B1396" s="5"/>
      <c r="C1396" s="5"/>
      <c r="D1396" s="5"/>
      <c r="E1396" s="14"/>
      <c r="F1396" s="15"/>
      <c r="G1396" s="14"/>
      <c r="H1396" s="16"/>
      <c r="I1396" s="14"/>
      <c r="J1396" s="16"/>
      <c r="K1396" s="14"/>
      <c r="L1396" s="16"/>
      <c r="M1396" s="14"/>
      <c r="N1396" s="16"/>
      <c r="O1396" s="14"/>
      <c r="P1396" s="16"/>
      <c r="Q1396" s="14"/>
      <c r="R1396" s="5"/>
      <c r="S1396" s="14"/>
      <c r="T1396" s="16"/>
      <c r="U1396" s="16"/>
      <c r="V1396" s="17"/>
      <c r="W1396" s="6"/>
      <c r="X1396" s="22"/>
      <c r="Y1396" s="14"/>
      <c r="Z1396" s="14"/>
      <c r="AA1396" s="14"/>
      <c r="AB1396" s="14"/>
      <c r="AC1396" s="14"/>
      <c r="AD1396" s="14"/>
      <c r="AE1396" s="14"/>
      <c r="AF1396" s="14"/>
      <c r="AG1396" s="19"/>
      <c r="AH1396" s="20"/>
      <c r="AI1396" s="5"/>
      <c r="AJ1396" s="5"/>
      <c r="AK1396" s="5"/>
      <c r="AL1396" s="5"/>
      <c r="AM1396" s="5"/>
      <c r="AN1396" s="5"/>
      <c r="AO1396" s="5"/>
      <c r="AP1396" s="5"/>
      <c r="AQ1396" s="5"/>
      <c r="AR1396" s="5"/>
      <c r="AS1396" s="5"/>
      <c r="AT1396" s="5"/>
      <c r="AU1396" s="5"/>
      <c r="AV1396" s="5"/>
      <c r="AW1396" s="5"/>
      <c r="AX1396" s="5"/>
      <c r="AY1396" s="5"/>
      <c r="AZ1396" s="5"/>
      <c r="BA1396" s="5"/>
      <c r="BB1396" s="5"/>
      <c r="BC1396" s="5"/>
      <c r="BD1396" s="5"/>
      <c r="BE1396" s="5"/>
      <c r="BF1396" s="5"/>
      <c r="BG1396" s="5"/>
      <c r="BH1396" s="5"/>
      <c r="BI1396" s="5"/>
      <c r="BJ1396" s="5"/>
      <c r="BK1396" s="5"/>
      <c r="BL1396" s="5"/>
      <c r="BM1396" s="5"/>
    </row>
    <row r="1397" ht="15.75" customHeight="1">
      <c r="A1397" s="5"/>
      <c r="B1397" s="5"/>
      <c r="C1397" s="5"/>
      <c r="D1397" s="5"/>
      <c r="E1397" s="14"/>
      <c r="F1397" s="15"/>
      <c r="G1397" s="14"/>
      <c r="H1397" s="16"/>
      <c r="I1397" s="14"/>
      <c r="J1397" s="16"/>
      <c r="K1397" s="14"/>
      <c r="L1397" s="16"/>
      <c r="M1397" s="14"/>
      <c r="N1397" s="16"/>
      <c r="O1397" s="14"/>
      <c r="P1397" s="16"/>
      <c r="Q1397" s="14"/>
      <c r="R1397" s="5"/>
      <c r="S1397" s="14"/>
      <c r="T1397" s="16"/>
      <c r="U1397" s="16"/>
      <c r="V1397" s="17"/>
      <c r="W1397" s="6"/>
      <c r="X1397" s="22"/>
      <c r="Y1397" s="14"/>
      <c r="Z1397" s="14"/>
      <c r="AA1397" s="14"/>
      <c r="AB1397" s="14"/>
      <c r="AC1397" s="14"/>
      <c r="AD1397" s="14"/>
      <c r="AE1397" s="14"/>
      <c r="AF1397" s="14"/>
      <c r="AG1397" s="19"/>
      <c r="AH1397" s="20"/>
      <c r="AI1397" s="5"/>
      <c r="AJ1397" s="5"/>
      <c r="AK1397" s="5"/>
      <c r="AL1397" s="5"/>
      <c r="AM1397" s="5"/>
      <c r="AN1397" s="5"/>
      <c r="AO1397" s="5"/>
      <c r="AP1397" s="5"/>
      <c r="AQ1397" s="5"/>
      <c r="AR1397" s="5"/>
      <c r="AS1397" s="5"/>
      <c r="AT1397" s="5"/>
      <c r="AU1397" s="5"/>
      <c r="AV1397" s="5"/>
      <c r="AW1397" s="5"/>
      <c r="AX1397" s="5"/>
      <c r="AY1397" s="5"/>
      <c r="AZ1397" s="5"/>
      <c r="BA1397" s="5"/>
      <c r="BB1397" s="5"/>
      <c r="BC1397" s="5"/>
      <c r="BD1397" s="5"/>
      <c r="BE1397" s="5"/>
      <c r="BF1397" s="5"/>
      <c r="BG1397" s="5"/>
      <c r="BH1397" s="5"/>
      <c r="BI1397" s="5"/>
      <c r="BJ1397" s="5"/>
      <c r="BK1397" s="5"/>
      <c r="BL1397" s="5"/>
      <c r="BM1397" s="5"/>
    </row>
    <row r="1398" ht="15.75" customHeight="1">
      <c r="A1398" s="5"/>
      <c r="B1398" s="5"/>
      <c r="C1398" s="5"/>
      <c r="D1398" s="5"/>
      <c r="E1398" s="14"/>
      <c r="F1398" s="15"/>
      <c r="G1398" s="14"/>
      <c r="H1398" s="16"/>
      <c r="I1398" s="14"/>
      <c r="J1398" s="16"/>
      <c r="K1398" s="14"/>
      <c r="L1398" s="16"/>
      <c r="M1398" s="14"/>
      <c r="N1398" s="16"/>
      <c r="O1398" s="14"/>
      <c r="P1398" s="16"/>
      <c r="Q1398" s="14"/>
      <c r="R1398" s="5"/>
      <c r="S1398" s="14"/>
      <c r="T1398" s="16"/>
      <c r="U1398" s="16"/>
      <c r="V1398" s="17"/>
      <c r="W1398" s="6"/>
      <c r="X1398" s="22"/>
      <c r="Y1398" s="14"/>
      <c r="Z1398" s="14"/>
      <c r="AA1398" s="14"/>
      <c r="AB1398" s="14"/>
      <c r="AC1398" s="14"/>
      <c r="AD1398" s="14"/>
      <c r="AE1398" s="14"/>
      <c r="AF1398" s="14"/>
      <c r="AG1398" s="19"/>
      <c r="AH1398" s="20"/>
      <c r="AI1398" s="5"/>
      <c r="AJ1398" s="5"/>
      <c r="AK1398" s="5"/>
      <c r="AL1398" s="5"/>
      <c r="AM1398" s="5"/>
      <c r="AN1398" s="5"/>
      <c r="AO1398" s="5"/>
      <c r="AP1398" s="5"/>
      <c r="AQ1398" s="5"/>
      <c r="AR1398" s="5"/>
      <c r="AS1398" s="5"/>
      <c r="AT1398" s="5"/>
      <c r="AU1398" s="5"/>
      <c r="AV1398" s="5"/>
      <c r="AW1398" s="5"/>
      <c r="AX1398" s="5"/>
      <c r="AY1398" s="5"/>
      <c r="AZ1398" s="5"/>
      <c r="BA1398" s="5"/>
      <c r="BB1398" s="5"/>
      <c r="BC1398" s="5"/>
      <c r="BD1398" s="5"/>
      <c r="BE1398" s="5"/>
      <c r="BF1398" s="5"/>
      <c r="BG1398" s="5"/>
      <c r="BH1398" s="5"/>
      <c r="BI1398" s="5"/>
      <c r="BJ1398" s="5"/>
      <c r="BK1398" s="5"/>
      <c r="BL1398" s="5"/>
      <c r="BM1398" s="5"/>
    </row>
    <row r="1399" ht="15.75" customHeight="1">
      <c r="A1399" s="5"/>
      <c r="B1399" s="5"/>
      <c r="C1399" s="5"/>
      <c r="D1399" s="5"/>
      <c r="E1399" s="14"/>
      <c r="F1399" s="15"/>
      <c r="G1399" s="14"/>
      <c r="H1399" s="16"/>
      <c r="I1399" s="14"/>
      <c r="J1399" s="16"/>
      <c r="K1399" s="14"/>
      <c r="L1399" s="16"/>
      <c r="M1399" s="14"/>
      <c r="N1399" s="16"/>
      <c r="O1399" s="14"/>
      <c r="P1399" s="16"/>
      <c r="Q1399" s="14"/>
      <c r="R1399" s="5"/>
      <c r="S1399" s="14"/>
      <c r="T1399" s="16"/>
      <c r="U1399" s="16"/>
      <c r="V1399" s="17"/>
      <c r="W1399" s="6"/>
      <c r="X1399" s="22"/>
      <c r="Y1399" s="14"/>
      <c r="Z1399" s="14"/>
      <c r="AA1399" s="14"/>
      <c r="AB1399" s="14"/>
      <c r="AC1399" s="14"/>
      <c r="AD1399" s="14"/>
      <c r="AE1399" s="14"/>
      <c r="AF1399" s="14"/>
      <c r="AG1399" s="19"/>
      <c r="AH1399" s="20"/>
      <c r="AI1399" s="5"/>
      <c r="AJ1399" s="5"/>
      <c r="AK1399" s="5"/>
      <c r="AL1399" s="5"/>
      <c r="AM1399" s="5"/>
      <c r="AN1399" s="5"/>
      <c r="AO1399" s="5"/>
      <c r="AP1399" s="5"/>
      <c r="AQ1399" s="5"/>
      <c r="AR1399" s="5"/>
      <c r="AS1399" s="5"/>
      <c r="AT1399" s="5"/>
      <c r="AU1399" s="5"/>
      <c r="AV1399" s="5"/>
      <c r="AW1399" s="5"/>
      <c r="AX1399" s="5"/>
      <c r="AY1399" s="5"/>
      <c r="AZ1399" s="5"/>
      <c r="BA1399" s="5"/>
      <c r="BB1399" s="5"/>
      <c r="BC1399" s="5"/>
      <c r="BD1399" s="5"/>
      <c r="BE1399" s="5"/>
      <c r="BF1399" s="5"/>
      <c r="BG1399" s="5"/>
      <c r="BH1399" s="5"/>
      <c r="BI1399" s="5"/>
      <c r="BJ1399" s="5"/>
      <c r="BK1399" s="5"/>
      <c r="BL1399" s="5"/>
      <c r="BM1399" s="5"/>
    </row>
    <row r="1400" ht="15.75" customHeight="1">
      <c r="A1400" s="5"/>
      <c r="B1400" s="5"/>
      <c r="C1400" s="5"/>
      <c r="D1400" s="5"/>
      <c r="E1400" s="14"/>
      <c r="F1400" s="15"/>
      <c r="G1400" s="14"/>
      <c r="H1400" s="16"/>
      <c r="I1400" s="14"/>
      <c r="J1400" s="16"/>
      <c r="K1400" s="14"/>
      <c r="L1400" s="16"/>
      <c r="M1400" s="14"/>
      <c r="N1400" s="16"/>
      <c r="O1400" s="14"/>
      <c r="P1400" s="16"/>
      <c r="Q1400" s="14"/>
      <c r="R1400" s="5"/>
      <c r="S1400" s="14"/>
      <c r="T1400" s="16"/>
      <c r="U1400" s="16"/>
      <c r="V1400" s="17"/>
      <c r="W1400" s="6"/>
      <c r="X1400" s="22"/>
      <c r="Y1400" s="14"/>
      <c r="Z1400" s="14"/>
      <c r="AA1400" s="14"/>
      <c r="AB1400" s="14"/>
      <c r="AC1400" s="14"/>
      <c r="AD1400" s="14"/>
      <c r="AE1400" s="14"/>
      <c r="AF1400" s="14"/>
      <c r="AG1400" s="19"/>
      <c r="AH1400" s="20"/>
      <c r="AI1400" s="5"/>
      <c r="AJ1400" s="5"/>
      <c r="AK1400" s="5"/>
      <c r="AL1400" s="5"/>
      <c r="AM1400" s="5"/>
      <c r="AN1400" s="5"/>
      <c r="AO1400" s="5"/>
      <c r="AP1400" s="5"/>
      <c r="AQ1400" s="5"/>
      <c r="AR1400" s="5"/>
      <c r="AS1400" s="5"/>
      <c r="AT1400" s="5"/>
      <c r="AU1400" s="5"/>
      <c r="AV1400" s="5"/>
      <c r="AW1400" s="5"/>
      <c r="AX1400" s="5"/>
      <c r="AY1400" s="5"/>
      <c r="AZ1400" s="5"/>
      <c r="BA1400" s="5"/>
      <c r="BB1400" s="5"/>
      <c r="BC1400" s="5"/>
      <c r="BD1400" s="5"/>
      <c r="BE1400" s="5"/>
      <c r="BF1400" s="5"/>
      <c r="BG1400" s="5"/>
      <c r="BH1400" s="5"/>
      <c r="BI1400" s="5"/>
      <c r="BJ1400" s="5"/>
      <c r="BK1400" s="5"/>
      <c r="BL1400" s="5"/>
      <c r="BM1400" s="5"/>
    </row>
    <row r="1401" ht="15.75" customHeight="1">
      <c r="A1401" s="5"/>
      <c r="B1401" s="5"/>
      <c r="C1401" s="5"/>
      <c r="D1401" s="5"/>
      <c r="E1401" s="14"/>
      <c r="F1401" s="15"/>
      <c r="G1401" s="14"/>
      <c r="H1401" s="16"/>
      <c r="I1401" s="14"/>
      <c r="J1401" s="16"/>
      <c r="K1401" s="14"/>
      <c r="L1401" s="16"/>
      <c r="M1401" s="14"/>
      <c r="N1401" s="16"/>
      <c r="O1401" s="14"/>
      <c r="P1401" s="16"/>
      <c r="Q1401" s="14"/>
      <c r="R1401" s="5"/>
      <c r="S1401" s="14"/>
      <c r="T1401" s="16"/>
      <c r="U1401" s="16"/>
      <c r="V1401" s="17"/>
      <c r="W1401" s="6"/>
      <c r="X1401" s="22"/>
      <c r="Y1401" s="14"/>
      <c r="Z1401" s="14"/>
      <c r="AA1401" s="14"/>
      <c r="AB1401" s="14"/>
      <c r="AC1401" s="14"/>
      <c r="AD1401" s="14"/>
      <c r="AE1401" s="14"/>
      <c r="AF1401" s="14"/>
      <c r="AG1401" s="19"/>
      <c r="AH1401" s="20"/>
      <c r="AI1401" s="5"/>
      <c r="AJ1401" s="5"/>
      <c r="AK1401" s="5"/>
      <c r="AL1401" s="5"/>
      <c r="AM1401" s="5"/>
      <c r="AN1401" s="5"/>
      <c r="AO1401" s="5"/>
      <c r="AP1401" s="5"/>
      <c r="AQ1401" s="5"/>
      <c r="AR1401" s="5"/>
      <c r="AS1401" s="5"/>
      <c r="AT1401" s="5"/>
      <c r="AU1401" s="5"/>
      <c r="AV1401" s="5"/>
      <c r="AW1401" s="5"/>
      <c r="AX1401" s="5"/>
      <c r="AY1401" s="5"/>
      <c r="AZ1401" s="5"/>
      <c r="BA1401" s="5"/>
      <c r="BB1401" s="5"/>
      <c r="BC1401" s="5"/>
      <c r="BD1401" s="5"/>
      <c r="BE1401" s="5"/>
      <c r="BF1401" s="5"/>
      <c r="BG1401" s="5"/>
      <c r="BH1401" s="5"/>
      <c r="BI1401" s="5"/>
      <c r="BJ1401" s="5"/>
      <c r="BK1401" s="5"/>
      <c r="BL1401" s="5"/>
      <c r="BM1401" s="5"/>
    </row>
    <row r="1402" ht="15.75" customHeight="1">
      <c r="A1402" s="5"/>
      <c r="B1402" s="5"/>
      <c r="C1402" s="5"/>
      <c r="D1402" s="5"/>
      <c r="E1402" s="14"/>
      <c r="F1402" s="15"/>
      <c r="G1402" s="14"/>
      <c r="H1402" s="16"/>
      <c r="I1402" s="14"/>
      <c r="J1402" s="16"/>
      <c r="K1402" s="14"/>
      <c r="L1402" s="16"/>
      <c r="M1402" s="14"/>
      <c r="N1402" s="16"/>
      <c r="O1402" s="14"/>
      <c r="P1402" s="16"/>
      <c r="Q1402" s="14"/>
      <c r="R1402" s="5"/>
      <c r="S1402" s="14"/>
      <c r="T1402" s="16"/>
      <c r="U1402" s="16"/>
      <c r="V1402" s="17"/>
      <c r="W1402" s="6"/>
      <c r="X1402" s="22"/>
      <c r="Y1402" s="14"/>
      <c r="Z1402" s="14"/>
      <c r="AA1402" s="14"/>
      <c r="AB1402" s="14"/>
      <c r="AC1402" s="14"/>
      <c r="AD1402" s="14"/>
      <c r="AE1402" s="14"/>
      <c r="AF1402" s="14"/>
      <c r="AG1402" s="19"/>
      <c r="AH1402" s="20"/>
      <c r="AI1402" s="5"/>
      <c r="AJ1402" s="5"/>
      <c r="AK1402" s="5"/>
      <c r="AL1402" s="5"/>
      <c r="AM1402" s="5"/>
      <c r="AN1402" s="5"/>
      <c r="AO1402" s="5"/>
      <c r="AP1402" s="5"/>
      <c r="AQ1402" s="5"/>
      <c r="AR1402" s="5"/>
      <c r="AS1402" s="5"/>
      <c r="AT1402" s="5"/>
      <c r="AU1402" s="5"/>
      <c r="AV1402" s="5"/>
      <c r="AW1402" s="5"/>
      <c r="AX1402" s="5"/>
      <c r="AY1402" s="5"/>
      <c r="AZ1402" s="5"/>
      <c r="BA1402" s="5"/>
      <c r="BB1402" s="5"/>
      <c r="BC1402" s="5"/>
      <c r="BD1402" s="5"/>
      <c r="BE1402" s="5"/>
      <c r="BF1402" s="5"/>
      <c r="BG1402" s="5"/>
      <c r="BH1402" s="5"/>
      <c r="BI1402" s="5"/>
      <c r="BJ1402" s="5"/>
      <c r="BK1402" s="5"/>
      <c r="BL1402" s="5"/>
      <c r="BM1402" s="5"/>
    </row>
    <row r="1403" ht="15.75" customHeight="1">
      <c r="A1403" s="5"/>
      <c r="B1403" s="5"/>
      <c r="C1403" s="5"/>
      <c r="D1403" s="5"/>
      <c r="E1403" s="14"/>
      <c r="F1403" s="15"/>
      <c r="G1403" s="14"/>
      <c r="H1403" s="16"/>
      <c r="I1403" s="14"/>
      <c r="J1403" s="16"/>
      <c r="K1403" s="14"/>
      <c r="L1403" s="16"/>
      <c r="M1403" s="14"/>
      <c r="N1403" s="16"/>
      <c r="O1403" s="14"/>
      <c r="P1403" s="16"/>
      <c r="Q1403" s="14"/>
      <c r="R1403" s="5"/>
      <c r="S1403" s="14"/>
      <c r="T1403" s="16"/>
      <c r="U1403" s="16"/>
      <c r="V1403" s="17"/>
      <c r="W1403" s="6"/>
      <c r="X1403" s="22"/>
      <c r="Y1403" s="14"/>
      <c r="Z1403" s="14"/>
      <c r="AA1403" s="14"/>
      <c r="AB1403" s="14"/>
      <c r="AC1403" s="14"/>
      <c r="AD1403" s="14"/>
      <c r="AE1403" s="14"/>
      <c r="AF1403" s="14"/>
      <c r="AG1403" s="19"/>
      <c r="AH1403" s="20"/>
      <c r="AI1403" s="5"/>
      <c r="AJ1403" s="5"/>
      <c r="AK1403" s="5"/>
      <c r="AL1403" s="5"/>
      <c r="AM1403" s="5"/>
      <c r="AN1403" s="5"/>
      <c r="AO1403" s="5"/>
      <c r="AP1403" s="5"/>
      <c r="AQ1403" s="5"/>
      <c r="AR1403" s="5"/>
      <c r="AS1403" s="5"/>
      <c r="AT1403" s="5"/>
      <c r="AU1403" s="5"/>
      <c r="AV1403" s="5"/>
      <c r="AW1403" s="5"/>
      <c r="AX1403" s="5"/>
      <c r="AY1403" s="5"/>
      <c r="AZ1403" s="5"/>
      <c r="BA1403" s="5"/>
      <c r="BB1403" s="5"/>
      <c r="BC1403" s="5"/>
      <c r="BD1403" s="5"/>
      <c r="BE1403" s="5"/>
      <c r="BF1403" s="5"/>
      <c r="BG1403" s="5"/>
      <c r="BH1403" s="5"/>
      <c r="BI1403" s="5"/>
      <c r="BJ1403" s="5"/>
      <c r="BK1403" s="5"/>
      <c r="BL1403" s="5"/>
      <c r="BM1403" s="5"/>
    </row>
    <row r="1404" ht="15.75" customHeight="1">
      <c r="A1404" s="5"/>
      <c r="B1404" s="5"/>
      <c r="C1404" s="5"/>
      <c r="D1404" s="5"/>
      <c r="E1404" s="14"/>
      <c r="F1404" s="15"/>
      <c r="G1404" s="14"/>
      <c r="H1404" s="16"/>
      <c r="I1404" s="14"/>
      <c r="J1404" s="16"/>
      <c r="K1404" s="14"/>
      <c r="L1404" s="16"/>
      <c r="M1404" s="14"/>
      <c r="N1404" s="16"/>
      <c r="O1404" s="14"/>
      <c r="P1404" s="16"/>
      <c r="Q1404" s="14"/>
      <c r="R1404" s="5"/>
      <c r="S1404" s="14"/>
      <c r="T1404" s="16"/>
      <c r="U1404" s="16"/>
      <c r="V1404" s="17"/>
      <c r="W1404" s="6"/>
      <c r="X1404" s="22"/>
      <c r="Y1404" s="14"/>
      <c r="Z1404" s="14"/>
      <c r="AA1404" s="14"/>
      <c r="AB1404" s="14"/>
      <c r="AC1404" s="14"/>
      <c r="AD1404" s="14"/>
      <c r="AE1404" s="14"/>
      <c r="AF1404" s="14"/>
      <c r="AG1404" s="19"/>
      <c r="AH1404" s="20"/>
      <c r="AI1404" s="5"/>
      <c r="AJ1404" s="5"/>
      <c r="AK1404" s="5"/>
      <c r="AL1404" s="5"/>
      <c r="AM1404" s="5"/>
      <c r="AN1404" s="5"/>
      <c r="AO1404" s="5"/>
      <c r="AP1404" s="5"/>
      <c r="AQ1404" s="5"/>
      <c r="AR1404" s="5"/>
      <c r="AS1404" s="5"/>
      <c r="AT1404" s="5"/>
      <c r="AU1404" s="5"/>
      <c r="AV1404" s="5"/>
      <c r="AW1404" s="5"/>
      <c r="AX1404" s="5"/>
      <c r="AY1404" s="5"/>
      <c r="AZ1404" s="5"/>
      <c r="BA1404" s="5"/>
      <c r="BB1404" s="5"/>
      <c r="BC1404" s="5"/>
      <c r="BD1404" s="5"/>
      <c r="BE1404" s="5"/>
      <c r="BF1404" s="5"/>
      <c r="BG1404" s="5"/>
      <c r="BH1404" s="5"/>
      <c r="BI1404" s="5"/>
      <c r="BJ1404" s="5"/>
      <c r="BK1404" s="5"/>
      <c r="BL1404" s="5"/>
      <c r="BM1404" s="5"/>
    </row>
    <row r="1405" ht="15.75" customHeight="1">
      <c r="A1405" s="5"/>
      <c r="B1405" s="5"/>
      <c r="C1405" s="5"/>
      <c r="D1405" s="5"/>
      <c r="E1405" s="14"/>
      <c r="F1405" s="15"/>
      <c r="G1405" s="14"/>
      <c r="H1405" s="16"/>
      <c r="I1405" s="14"/>
      <c r="J1405" s="16"/>
      <c r="K1405" s="14"/>
      <c r="L1405" s="16"/>
      <c r="M1405" s="14"/>
      <c r="N1405" s="16"/>
      <c r="O1405" s="14"/>
      <c r="P1405" s="16"/>
      <c r="Q1405" s="14"/>
      <c r="R1405" s="5"/>
      <c r="S1405" s="14"/>
      <c r="T1405" s="16"/>
      <c r="U1405" s="16"/>
      <c r="V1405" s="17"/>
      <c r="W1405" s="6"/>
      <c r="X1405" s="22"/>
      <c r="Y1405" s="14"/>
      <c r="Z1405" s="14"/>
      <c r="AA1405" s="14"/>
      <c r="AB1405" s="14"/>
      <c r="AC1405" s="14"/>
      <c r="AD1405" s="14"/>
      <c r="AE1405" s="14"/>
      <c r="AF1405" s="14"/>
      <c r="AG1405" s="19"/>
      <c r="AH1405" s="20"/>
      <c r="AI1405" s="5"/>
      <c r="AJ1405" s="5"/>
      <c r="AK1405" s="5"/>
      <c r="AL1405" s="5"/>
      <c r="AM1405" s="5"/>
      <c r="AN1405" s="5"/>
      <c r="AO1405" s="5"/>
      <c r="AP1405" s="5"/>
      <c r="AQ1405" s="5"/>
      <c r="AR1405" s="5"/>
      <c r="AS1405" s="5"/>
      <c r="AT1405" s="5"/>
      <c r="AU1405" s="5"/>
      <c r="AV1405" s="5"/>
      <c r="AW1405" s="5"/>
      <c r="AX1405" s="5"/>
      <c r="AY1405" s="5"/>
      <c r="AZ1405" s="5"/>
      <c r="BA1405" s="5"/>
      <c r="BB1405" s="5"/>
      <c r="BC1405" s="5"/>
      <c r="BD1405" s="5"/>
      <c r="BE1405" s="5"/>
      <c r="BF1405" s="5"/>
      <c r="BG1405" s="5"/>
      <c r="BH1405" s="5"/>
      <c r="BI1405" s="5"/>
      <c r="BJ1405" s="5"/>
      <c r="BK1405" s="5"/>
      <c r="BL1405" s="5"/>
      <c r="BM1405" s="5"/>
    </row>
    <row r="1406" ht="15.75" customHeight="1">
      <c r="A1406" s="5"/>
      <c r="B1406" s="5"/>
      <c r="C1406" s="5"/>
      <c r="D1406" s="5"/>
      <c r="E1406" s="14"/>
      <c r="F1406" s="15"/>
      <c r="G1406" s="14"/>
      <c r="H1406" s="16"/>
      <c r="I1406" s="14"/>
      <c r="J1406" s="16"/>
      <c r="K1406" s="14"/>
      <c r="L1406" s="16"/>
      <c r="M1406" s="14"/>
      <c r="N1406" s="16"/>
      <c r="O1406" s="14"/>
      <c r="P1406" s="16"/>
      <c r="Q1406" s="14"/>
      <c r="R1406" s="5"/>
      <c r="S1406" s="14"/>
      <c r="T1406" s="16"/>
      <c r="U1406" s="16"/>
      <c r="V1406" s="17"/>
      <c r="W1406" s="6"/>
      <c r="X1406" s="22"/>
      <c r="Y1406" s="14"/>
      <c r="Z1406" s="14"/>
      <c r="AA1406" s="14"/>
      <c r="AB1406" s="14"/>
      <c r="AC1406" s="14"/>
      <c r="AD1406" s="14"/>
      <c r="AE1406" s="14"/>
      <c r="AF1406" s="14"/>
      <c r="AG1406" s="19"/>
      <c r="AH1406" s="20"/>
      <c r="AI1406" s="5"/>
      <c r="AJ1406" s="5"/>
      <c r="AK1406" s="5"/>
      <c r="AL1406" s="5"/>
      <c r="AM1406" s="5"/>
      <c r="AN1406" s="5"/>
      <c r="AO1406" s="5"/>
      <c r="AP1406" s="5"/>
      <c r="AQ1406" s="5"/>
      <c r="AR1406" s="5"/>
      <c r="AS1406" s="5"/>
      <c r="AT1406" s="5"/>
      <c r="AU1406" s="5"/>
      <c r="AV1406" s="5"/>
      <c r="AW1406" s="5"/>
      <c r="AX1406" s="5"/>
      <c r="AY1406" s="5"/>
      <c r="AZ1406" s="5"/>
      <c r="BA1406" s="5"/>
      <c r="BB1406" s="5"/>
      <c r="BC1406" s="5"/>
      <c r="BD1406" s="5"/>
      <c r="BE1406" s="5"/>
      <c r="BF1406" s="5"/>
      <c r="BG1406" s="5"/>
      <c r="BH1406" s="5"/>
      <c r="BI1406" s="5"/>
      <c r="BJ1406" s="5"/>
      <c r="BK1406" s="5"/>
      <c r="BL1406" s="5"/>
      <c r="BM1406" s="5"/>
    </row>
    <row r="1407" ht="15.75" customHeight="1">
      <c r="A1407" s="5"/>
      <c r="B1407" s="5"/>
      <c r="C1407" s="5"/>
      <c r="D1407" s="5"/>
      <c r="E1407" s="14"/>
      <c r="F1407" s="15"/>
      <c r="G1407" s="14"/>
      <c r="H1407" s="16"/>
      <c r="I1407" s="14"/>
      <c r="J1407" s="16"/>
      <c r="K1407" s="14"/>
      <c r="L1407" s="16"/>
      <c r="M1407" s="14"/>
      <c r="N1407" s="16"/>
      <c r="O1407" s="14"/>
      <c r="P1407" s="16"/>
      <c r="Q1407" s="14"/>
      <c r="R1407" s="5"/>
      <c r="S1407" s="14"/>
      <c r="T1407" s="16"/>
      <c r="U1407" s="16"/>
      <c r="V1407" s="17"/>
      <c r="W1407" s="6"/>
      <c r="X1407" s="22"/>
      <c r="Y1407" s="14"/>
      <c r="Z1407" s="14"/>
      <c r="AA1407" s="14"/>
      <c r="AB1407" s="14"/>
      <c r="AC1407" s="14"/>
      <c r="AD1407" s="14"/>
      <c r="AE1407" s="14"/>
      <c r="AF1407" s="14"/>
      <c r="AG1407" s="19"/>
      <c r="AH1407" s="20"/>
      <c r="AI1407" s="5"/>
      <c r="AJ1407" s="5"/>
      <c r="AK1407" s="5"/>
      <c r="AL1407" s="5"/>
      <c r="AM1407" s="5"/>
      <c r="AN1407" s="5"/>
      <c r="AO1407" s="5"/>
      <c r="AP1407" s="5"/>
      <c r="AQ1407" s="5"/>
      <c r="AR1407" s="5"/>
      <c r="AS1407" s="5"/>
      <c r="AT1407" s="5"/>
      <c r="AU1407" s="5"/>
      <c r="AV1407" s="5"/>
      <c r="AW1407" s="5"/>
      <c r="AX1407" s="5"/>
      <c r="AY1407" s="5"/>
      <c r="AZ1407" s="5"/>
      <c r="BA1407" s="5"/>
      <c r="BB1407" s="5"/>
      <c r="BC1407" s="5"/>
      <c r="BD1407" s="5"/>
      <c r="BE1407" s="5"/>
      <c r="BF1407" s="5"/>
      <c r="BG1407" s="5"/>
      <c r="BH1407" s="5"/>
      <c r="BI1407" s="5"/>
      <c r="BJ1407" s="5"/>
      <c r="BK1407" s="5"/>
      <c r="BL1407" s="5"/>
      <c r="BM1407" s="5"/>
    </row>
    <row r="1408" ht="15.75" customHeight="1">
      <c r="A1408" s="5"/>
      <c r="B1408" s="5"/>
      <c r="C1408" s="5"/>
      <c r="D1408" s="5"/>
      <c r="E1408" s="14"/>
      <c r="F1408" s="15"/>
      <c r="G1408" s="14"/>
      <c r="H1408" s="16"/>
      <c r="I1408" s="14"/>
      <c r="J1408" s="16"/>
      <c r="K1408" s="14"/>
      <c r="L1408" s="16"/>
      <c r="M1408" s="14"/>
      <c r="N1408" s="16"/>
      <c r="O1408" s="14"/>
      <c r="P1408" s="16"/>
      <c r="Q1408" s="14"/>
      <c r="R1408" s="5"/>
      <c r="S1408" s="14"/>
      <c r="T1408" s="16"/>
      <c r="U1408" s="16"/>
      <c r="V1408" s="17"/>
      <c r="W1408" s="6"/>
      <c r="X1408" s="22"/>
      <c r="Y1408" s="14"/>
      <c r="Z1408" s="14"/>
      <c r="AA1408" s="14"/>
      <c r="AB1408" s="14"/>
      <c r="AC1408" s="14"/>
      <c r="AD1408" s="14"/>
      <c r="AE1408" s="14"/>
      <c r="AF1408" s="14"/>
      <c r="AG1408" s="19"/>
      <c r="AH1408" s="20"/>
      <c r="AI1408" s="5"/>
      <c r="AJ1408" s="5"/>
      <c r="AK1408" s="5"/>
      <c r="AL1408" s="5"/>
      <c r="AM1408" s="5"/>
      <c r="AN1408" s="5"/>
      <c r="AO1408" s="5"/>
      <c r="AP1408" s="5"/>
      <c r="AQ1408" s="5"/>
      <c r="AR1408" s="5"/>
      <c r="AS1408" s="5"/>
      <c r="AT1408" s="5"/>
      <c r="AU1408" s="5"/>
      <c r="AV1408" s="5"/>
      <c r="AW1408" s="5"/>
      <c r="AX1408" s="5"/>
      <c r="AY1408" s="5"/>
      <c r="AZ1408" s="5"/>
      <c r="BA1408" s="5"/>
      <c r="BB1408" s="5"/>
      <c r="BC1408" s="5"/>
      <c r="BD1408" s="5"/>
      <c r="BE1408" s="5"/>
      <c r="BF1408" s="5"/>
      <c r="BG1408" s="5"/>
      <c r="BH1408" s="5"/>
      <c r="BI1408" s="5"/>
      <c r="BJ1408" s="5"/>
      <c r="BK1408" s="5"/>
      <c r="BL1408" s="5"/>
      <c r="BM1408" s="5"/>
    </row>
    <row r="1409" ht="15.75" customHeight="1">
      <c r="A1409" s="5"/>
      <c r="B1409" s="5"/>
      <c r="C1409" s="5"/>
      <c r="D1409" s="5"/>
      <c r="E1409" s="14"/>
      <c r="F1409" s="15"/>
      <c r="G1409" s="14"/>
      <c r="H1409" s="16"/>
      <c r="I1409" s="14"/>
      <c r="J1409" s="16"/>
      <c r="K1409" s="14"/>
      <c r="L1409" s="16"/>
      <c r="M1409" s="14"/>
      <c r="N1409" s="16"/>
      <c r="O1409" s="14"/>
      <c r="P1409" s="16"/>
      <c r="Q1409" s="14"/>
      <c r="R1409" s="5"/>
      <c r="S1409" s="14"/>
      <c r="T1409" s="16"/>
      <c r="U1409" s="16"/>
      <c r="V1409" s="17"/>
      <c r="W1409" s="6"/>
      <c r="X1409" s="22"/>
      <c r="Y1409" s="14"/>
      <c r="Z1409" s="14"/>
      <c r="AA1409" s="14"/>
      <c r="AB1409" s="14"/>
      <c r="AC1409" s="14"/>
      <c r="AD1409" s="14"/>
      <c r="AE1409" s="14"/>
      <c r="AF1409" s="14"/>
      <c r="AG1409" s="19"/>
      <c r="AH1409" s="20"/>
      <c r="AI1409" s="5"/>
      <c r="AJ1409" s="5"/>
      <c r="AK1409" s="5"/>
      <c r="AL1409" s="5"/>
      <c r="AM1409" s="5"/>
      <c r="AN1409" s="5"/>
      <c r="AO1409" s="5"/>
      <c r="AP1409" s="5"/>
      <c r="AQ1409" s="5"/>
      <c r="AR1409" s="5"/>
      <c r="AS1409" s="5"/>
      <c r="AT1409" s="5"/>
      <c r="AU1409" s="5"/>
      <c r="AV1409" s="5"/>
      <c r="AW1409" s="5"/>
      <c r="AX1409" s="5"/>
      <c r="AY1409" s="5"/>
      <c r="AZ1409" s="5"/>
      <c r="BA1409" s="5"/>
      <c r="BB1409" s="5"/>
      <c r="BC1409" s="5"/>
      <c r="BD1409" s="5"/>
      <c r="BE1409" s="5"/>
      <c r="BF1409" s="5"/>
      <c r="BG1409" s="5"/>
      <c r="BH1409" s="5"/>
      <c r="BI1409" s="5"/>
      <c r="BJ1409" s="5"/>
      <c r="BK1409" s="5"/>
      <c r="BL1409" s="5"/>
      <c r="BM1409" s="5"/>
    </row>
    <row r="1410" ht="15.75" customHeight="1">
      <c r="A1410" s="5"/>
      <c r="B1410" s="5"/>
      <c r="C1410" s="5"/>
      <c r="D1410" s="5"/>
      <c r="E1410" s="14"/>
      <c r="F1410" s="15"/>
      <c r="G1410" s="14"/>
      <c r="H1410" s="16"/>
      <c r="I1410" s="14"/>
      <c r="J1410" s="16"/>
      <c r="K1410" s="14"/>
      <c r="L1410" s="16"/>
      <c r="M1410" s="14"/>
      <c r="N1410" s="16"/>
      <c r="O1410" s="14"/>
      <c r="P1410" s="16"/>
      <c r="Q1410" s="14"/>
      <c r="R1410" s="5"/>
      <c r="S1410" s="14"/>
      <c r="T1410" s="16"/>
      <c r="U1410" s="16"/>
      <c r="V1410" s="17"/>
      <c r="W1410" s="6"/>
      <c r="X1410" s="22"/>
      <c r="Y1410" s="14"/>
      <c r="Z1410" s="14"/>
      <c r="AA1410" s="14"/>
      <c r="AB1410" s="14"/>
      <c r="AC1410" s="14"/>
      <c r="AD1410" s="14"/>
      <c r="AE1410" s="14"/>
      <c r="AF1410" s="14"/>
      <c r="AG1410" s="19"/>
      <c r="AH1410" s="20"/>
      <c r="AI1410" s="5"/>
      <c r="AJ1410" s="5"/>
      <c r="AK1410" s="5"/>
      <c r="AL1410" s="5"/>
      <c r="AM1410" s="5"/>
      <c r="AN1410" s="5"/>
      <c r="AO1410" s="5"/>
      <c r="AP1410" s="5"/>
      <c r="AQ1410" s="5"/>
      <c r="AR1410" s="5"/>
      <c r="AS1410" s="5"/>
      <c r="AT1410" s="5"/>
      <c r="AU1410" s="5"/>
      <c r="AV1410" s="5"/>
      <c r="AW1410" s="5"/>
      <c r="AX1410" s="5"/>
      <c r="AY1410" s="5"/>
      <c r="AZ1410" s="5"/>
      <c r="BA1410" s="5"/>
      <c r="BB1410" s="5"/>
      <c r="BC1410" s="5"/>
      <c r="BD1410" s="5"/>
      <c r="BE1410" s="5"/>
      <c r="BF1410" s="5"/>
      <c r="BG1410" s="5"/>
      <c r="BH1410" s="5"/>
      <c r="BI1410" s="5"/>
      <c r="BJ1410" s="5"/>
      <c r="BK1410" s="5"/>
      <c r="BL1410" s="5"/>
      <c r="BM1410" s="5"/>
    </row>
    <row r="1411" ht="15.75" customHeight="1">
      <c r="A1411" s="5"/>
      <c r="B1411" s="5"/>
      <c r="C1411" s="5"/>
      <c r="D1411" s="5"/>
      <c r="E1411" s="14"/>
      <c r="F1411" s="15"/>
      <c r="G1411" s="14"/>
      <c r="H1411" s="16"/>
      <c r="I1411" s="14"/>
      <c r="J1411" s="16"/>
      <c r="K1411" s="14"/>
      <c r="L1411" s="16"/>
      <c r="M1411" s="14"/>
      <c r="N1411" s="16"/>
      <c r="O1411" s="14"/>
      <c r="P1411" s="16"/>
      <c r="Q1411" s="14"/>
      <c r="R1411" s="5"/>
      <c r="S1411" s="14"/>
      <c r="T1411" s="16"/>
      <c r="U1411" s="16"/>
      <c r="V1411" s="17"/>
      <c r="W1411" s="6"/>
      <c r="X1411" s="22"/>
      <c r="Y1411" s="14"/>
      <c r="Z1411" s="14"/>
      <c r="AA1411" s="14"/>
      <c r="AB1411" s="14"/>
      <c r="AC1411" s="14"/>
      <c r="AD1411" s="14"/>
      <c r="AE1411" s="14"/>
      <c r="AF1411" s="14"/>
      <c r="AG1411" s="19"/>
      <c r="AH1411" s="20"/>
      <c r="AI1411" s="5"/>
      <c r="AJ1411" s="5"/>
      <c r="AK1411" s="5"/>
      <c r="AL1411" s="5"/>
      <c r="AM1411" s="5"/>
      <c r="AN1411" s="5"/>
      <c r="AO1411" s="5"/>
      <c r="AP1411" s="5"/>
      <c r="AQ1411" s="5"/>
      <c r="AR1411" s="5"/>
      <c r="AS1411" s="5"/>
      <c r="AT1411" s="5"/>
      <c r="AU1411" s="5"/>
      <c r="AV1411" s="5"/>
      <c r="AW1411" s="5"/>
      <c r="AX1411" s="5"/>
      <c r="AY1411" s="5"/>
      <c r="AZ1411" s="5"/>
      <c r="BA1411" s="5"/>
      <c r="BB1411" s="5"/>
      <c r="BC1411" s="5"/>
      <c r="BD1411" s="5"/>
      <c r="BE1411" s="5"/>
      <c r="BF1411" s="5"/>
      <c r="BG1411" s="5"/>
      <c r="BH1411" s="5"/>
      <c r="BI1411" s="5"/>
      <c r="BJ1411" s="5"/>
      <c r="BK1411" s="5"/>
      <c r="BL1411" s="5"/>
      <c r="BM1411" s="5"/>
    </row>
    <row r="1412" ht="15.75" customHeight="1">
      <c r="A1412" s="5"/>
      <c r="B1412" s="5"/>
      <c r="C1412" s="5"/>
      <c r="D1412" s="5"/>
      <c r="E1412" s="14"/>
      <c r="F1412" s="15"/>
      <c r="G1412" s="14"/>
      <c r="H1412" s="16"/>
      <c r="I1412" s="14"/>
      <c r="J1412" s="16"/>
      <c r="K1412" s="14"/>
      <c r="L1412" s="16"/>
      <c r="M1412" s="14"/>
      <c r="N1412" s="16"/>
      <c r="O1412" s="14"/>
      <c r="P1412" s="16"/>
      <c r="Q1412" s="14"/>
      <c r="R1412" s="5"/>
      <c r="S1412" s="14"/>
      <c r="T1412" s="16"/>
      <c r="U1412" s="16"/>
      <c r="V1412" s="17"/>
      <c r="W1412" s="6"/>
      <c r="X1412" s="22"/>
      <c r="Y1412" s="14"/>
      <c r="Z1412" s="14"/>
      <c r="AA1412" s="14"/>
      <c r="AB1412" s="14"/>
      <c r="AC1412" s="14"/>
      <c r="AD1412" s="14"/>
      <c r="AE1412" s="14"/>
      <c r="AF1412" s="14"/>
      <c r="AG1412" s="19"/>
      <c r="AH1412" s="20"/>
      <c r="AI1412" s="5"/>
      <c r="AJ1412" s="5"/>
      <c r="AK1412" s="5"/>
      <c r="AL1412" s="5"/>
      <c r="AM1412" s="5"/>
      <c r="AN1412" s="5"/>
      <c r="AO1412" s="5"/>
      <c r="AP1412" s="5"/>
      <c r="AQ1412" s="5"/>
      <c r="AR1412" s="5"/>
      <c r="AS1412" s="5"/>
      <c r="AT1412" s="5"/>
      <c r="AU1412" s="5"/>
      <c r="AV1412" s="5"/>
      <c r="AW1412" s="5"/>
      <c r="AX1412" s="5"/>
      <c r="AY1412" s="5"/>
      <c r="AZ1412" s="5"/>
      <c r="BA1412" s="5"/>
      <c r="BB1412" s="5"/>
      <c r="BC1412" s="5"/>
      <c r="BD1412" s="5"/>
      <c r="BE1412" s="5"/>
      <c r="BF1412" s="5"/>
      <c r="BG1412" s="5"/>
      <c r="BH1412" s="5"/>
      <c r="BI1412" s="5"/>
      <c r="BJ1412" s="5"/>
      <c r="BK1412" s="5"/>
      <c r="BL1412" s="5"/>
      <c r="BM1412" s="5"/>
    </row>
    <row r="1413" ht="15.75" customHeight="1">
      <c r="A1413" s="5"/>
      <c r="B1413" s="5"/>
      <c r="C1413" s="5"/>
      <c r="D1413" s="5"/>
      <c r="E1413" s="14"/>
      <c r="F1413" s="15"/>
      <c r="G1413" s="14"/>
      <c r="H1413" s="16"/>
      <c r="I1413" s="14"/>
      <c r="J1413" s="16"/>
      <c r="K1413" s="14"/>
      <c r="L1413" s="16"/>
      <c r="M1413" s="14"/>
      <c r="N1413" s="16"/>
      <c r="O1413" s="14"/>
      <c r="P1413" s="16"/>
      <c r="Q1413" s="14"/>
      <c r="R1413" s="5"/>
      <c r="S1413" s="14"/>
      <c r="T1413" s="16"/>
      <c r="U1413" s="16"/>
      <c r="V1413" s="17"/>
      <c r="W1413" s="6"/>
      <c r="X1413" s="22"/>
      <c r="Y1413" s="14"/>
      <c r="Z1413" s="14"/>
      <c r="AA1413" s="14"/>
      <c r="AB1413" s="14"/>
      <c r="AC1413" s="14"/>
      <c r="AD1413" s="14"/>
      <c r="AE1413" s="14"/>
      <c r="AF1413" s="14"/>
      <c r="AG1413" s="19"/>
      <c r="AH1413" s="20"/>
      <c r="AI1413" s="5"/>
      <c r="AJ1413" s="5"/>
      <c r="AK1413" s="5"/>
      <c r="AL1413" s="5"/>
      <c r="AM1413" s="5"/>
      <c r="AN1413" s="5"/>
      <c r="AO1413" s="5"/>
      <c r="AP1413" s="5"/>
      <c r="AQ1413" s="5"/>
      <c r="AR1413" s="5"/>
      <c r="AS1413" s="5"/>
      <c r="AT1413" s="5"/>
      <c r="AU1413" s="5"/>
      <c r="AV1413" s="5"/>
      <c r="AW1413" s="5"/>
      <c r="AX1413" s="5"/>
      <c r="AY1413" s="5"/>
      <c r="AZ1413" s="5"/>
      <c r="BA1413" s="5"/>
      <c r="BB1413" s="5"/>
      <c r="BC1413" s="5"/>
      <c r="BD1413" s="5"/>
      <c r="BE1413" s="5"/>
      <c r="BF1413" s="5"/>
      <c r="BG1413" s="5"/>
      <c r="BH1413" s="5"/>
      <c r="BI1413" s="5"/>
      <c r="BJ1413" s="5"/>
      <c r="BK1413" s="5"/>
      <c r="BL1413" s="5"/>
      <c r="BM1413" s="5"/>
    </row>
    <row r="1414" ht="15.75" customHeight="1">
      <c r="A1414" s="5"/>
      <c r="B1414" s="5"/>
      <c r="C1414" s="5"/>
      <c r="D1414" s="5"/>
      <c r="E1414" s="14"/>
      <c r="F1414" s="15"/>
      <c r="G1414" s="14"/>
      <c r="H1414" s="16"/>
      <c r="I1414" s="14"/>
      <c r="J1414" s="16"/>
      <c r="K1414" s="14"/>
      <c r="L1414" s="16"/>
      <c r="M1414" s="14"/>
      <c r="N1414" s="16"/>
      <c r="O1414" s="14"/>
      <c r="P1414" s="16"/>
      <c r="Q1414" s="14"/>
      <c r="R1414" s="5"/>
      <c r="S1414" s="14"/>
      <c r="T1414" s="16"/>
      <c r="U1414" s="16"/>
      <c r="V1414" s="17"/>
      <c r="W1414" s="6"/>
      <c r="X1414" s="22"/>
      <c r="Y1414" s="14"/>
      <c r="Z1414" s="14"/>
      <c r="AA1414" s="14"/>
      <c r="AB1414" s="14"/>
      <c r="AC1414" s="14"/>
      <c r="AD1414" s="14"/>
      <c r="AE1414" s="14"/>
      <c r="AF1414" s="14"/>
      <c r="AG1414" s="19"/>
      <c r="AH1414" s="20"/>
      <c r="AI1414" s="5"/>
      <c r="AJ1414" s="5"/>
      <c r="AK1414" s="5"/>
      <c r="AL1414" s="5"/>
      <c r="AM1414" s="5"/>
      <c r="AN1414" s="5"/>
      <c r="AO1414" s="5"/>
      <c r="AP1414" s="5"/>
      <c r="AQ1414" s="5"/>
      <c r="AR1414" s="5"/>
      <c r="AS1414" s="5"/>
      <c r="AT1414" s="5"/>
      <c r="AU1414" s="5"/>
      <c r="AV1414" s="5"/>
      <c r="AW1414" s="5"/>
      <c r="AX1414" s="5"/>
      <c r="AY1414" s="5"/>
      <c r="AZ1414" s="5"/>
      <c r="BA1414" s="5"/>
      <c r="BB1414" s="5"/>
      <c r="BC1414" s="5"/>
      <c r="BD1414" s="5"/>
      <c r="BE1414" s="5"/>
      <c r="BF1414" s="5"/>
      <c r="BG1414" s="5"/>
      <c r="BH1414" s="5"/>
      <c r="BI1414" s="5"/>
      <c r="BJ1414" s="5"/>
      <c r="BK1414" s="5"/>
      <c r="BL1414" s="5"/>
      <c r="BM1414" s="5"/>
    </row>
    <row r="1415" ht="15.75" customHeight="1">
      <c r="A1415" s="5"/>
      <c r="B1415" s="5"/>
      <c r="C1415" s="5"/>
      <c r="D1415" s="5"/>
      <c r="E1415" s="14"/>
      <c r="F1415" s="15"/>
      <c r="G1415" s="14"/>
      <c r="H1415" s="16"/>
      <c r="I1415" s="14"/>
      <c r="J1415" s="16"/>
      <c r="K1415" s="14"/>
      <c r="L1415" s="16"/>
      <c r="M1415" s="14"/>
      <c r="N1415" s="16"/>
      <c r="O1415" s="14"/>
      <c r="P1415" s="16"/>
      <c r="Q1415" s="14"/>
      <c r="R1415" s="5"/>
      <c r="S1415" s="14"/>
      <c r="T1415" s="16"/>
      <c r="U1415" s="16"/>
      <c r="V1415" s="17"/>
      <c r="W1415" s="6"/>
      <c r="X1415" s="22"/>
      <c r="Y1415" s="14"/>
      <c r="Z1415" s="14"/>
      <c r="AA1415" s="14"/>
      <c r="AB1415" s="14"/>
      <c r="AC1415" s="14"/>
      <c r="AD1415" s="14"/>
      <c r="AE1415" s="14"/>
      <c r="AF1415" s="14"/>
      <c r="AG1415" s="19"/>
      <c r="AH1415" s="20"/>
      <c r="AI1415" s="5"/>
      <c r="AJ1415" s="5"/>
      <c r="AK1415" s="5"/>
      <c r="AL1415" s="5"/>
      <c r="AM1415" s="5"/>
      <c r="AN1415" s="5"/>
      <c r="AO1415" s="5"/>
      <c r="AP1415" s="5"/>
      <c r="AQ1415" s="5"/>
      <c r="AR1415" s="5"/>
      <c r="AS1415" s="5"/>
      <c r="AT1415" s="5"/>
      <c r="AU1415" s="5"/>
      <c r="AV1415" s="5"/>
      <c r="AW1415" s="5"/>
      <c r="AX1415" s="5"/>
      <c r="AY1415" s="5"/>
      <c r="AZ1415" s="5"/>
      <c r="BA1415" s="5"/>
      <c r="BB1415" s="5"/>
      <c r="BC1415" s="5"/>
      <c r="BD1415" s="5"/>
      <c r="BE1415" s="5"/>
      <c r="BF1415" s="5"/>
      <c r="BG1415" s="5"/>
      <c r="BH1415" s="5"/>
      <c r="BI1415" s="5"/>
      <c r="BJ1415" s="5"/>
      <c r="BK1415" s="5"/>
      <c r="BL1415" s="5"/>
      <c r="BM1415" s="5"/>
    </row>
    <row r="1416" ht="15.75" customHeight="1">
      <c r="A1416" s="5"/>
      <c r="B1416" s="5"/>
      <c r="C1416" s="5"/>
      <c r="D1416" s="5"/>
      <c r="E1416" s="14"/>
      <c r="F1416" s="15"/>
      <c r="G1416" s="14"/>
      <c r="H1416" s="16"/>
      <c r="I1416" s="14"/>
      <c r="J1416" s="16"/>
      <c r="K1416" s="14"/>
      <c r="L1416" s="16"/>
      <c r="M1416" s="14"/>
      <c r="N1416" s="16"/>
      <c r="O1416" s="14"/>
      <c r="P1416" s="16"/>
      <c r="Q1416" s="14"/>
      <c r="R1416" s="5"/>
      <c r="S1416" s="14"/>
      <c r="T1416" s="16"/>
      <c r="U1416" s="16"/>
      <c r="V1416" s="17"/>
      <c r="W1416" s="6"/>
      <c r="X1416" s="22"/>
      <c r="Y1416" s="14"/>
      <c r="Z1416" s="14"/>
      <c r="AA1416" s="14"/>
      <c r="AB1416" s="14"/>
      <c r="AC1416" s="14"/>
      <c r="AD1416" s="14"/>
      <c r="AE1416" s="14"/>
      <c r="AF1416" s="14"/>
      <c r="AG1416" s="19"/>
      <c r="AH1416" s="20"/>
      <c r="AI1416" s="5"/>
      <c r="AJ1416" s="5"/>
      <c r="AK1416" s="5"/>
      <c r="AL1416" s="5"/>
      <c r="AM1416" s="5"/>
      <c r="AN1416" s="5"/>
      <c r="AO1416" s="5"/>
      <c r="AP1416" s="5"/>
      <c r="AQ1416" s="5"/>
      <c r="AR1416" s="5"/>
      <c r="AS1416" s="5"/>
      <c r="AT1416" s="5"/>
      <c r="AU1416" s="5"/>
      <c r="AV1416" s="5"/>
      <c r="AW1416" s="5"/>
      <c r="AX1416" s="5"/>
      <c r="AY1416" s="5"/>
      <c r="AZ1416" s="5"/>
      <c r="BA1416" s="5"/>
      <c r="BB1416" s="5"/>
      <c r="BC1416" s="5"/>
      <c r="BD1416" s="5"/>
      <c r="BE1416" s="5"/>
      <c r="BF1416" s="5"/>
      <c r="BG1416" s="5"/>
      <c r="BH1416" s="5"/>
      <c r="BI1416" s="5"/>
      <c r="BJ1416" s="5"/>
      <c r="BK1416" s="5"/>
      <c r="BL1416" s="5"/>
      <c r="BM1416" s="5"/>
    </row>
    <row r="1417" ht="15.75" customHeight="1">
      <c r="A1417" s="5"/>
      <c r="B1417" s="5"/>
      <c r="C1417" s="5"/>
      <c r="D1417" s="5"/>
      <c r="E1417" s="14"/>
      <c r="F1417" s="15"/>
      <c r="G1417" s="14"/>
      <c r="H1417" s="16"/>
      <c r="I1417" s="14"/>
      <c r="J1417" s="16"/>
      <c r="K1417" s="14"/>
      <c r="L1417" s="16"/>
      <c r="M1417" s="14"/>
      <c r="N1417" s="16"/>
      <c r="O1417" s="14"/>
      <c r="P1417" s="16"/>
      <c r="Q1417" s="14"/>
      <c r="R1417" s="5"/>
      <c r="S1417" s="14"/>
      <c r="T1417" s="16"/>
      <c r="U1417" s="16"/>
      <c r="V1417" s="17"/>
      <c r="W1417" s="6"/>
      <c r="X1417" s="22"/>
      <c r="Y1417" s="14"/>
      <c r="Z1417" s="14"/>
      <c r="AA1417" s="14"/>
      <c r="AB1417" s="14"/>
      <c r="AC1417" s="14"/>
      <c r="AD1417" s="14"/>
      <c r="AE1417" s="14"/>
      <c r="AF1417" s="14"/>
      <c r="AG1417" s="19"/>
      <c r="AH1417" s="20"/>
      <c r="AI1417" s="5"/>
      <c r="AJ1417" s="5"/>
      <c r="AK1417" s="5"/>
      <c r="AL1417" s="5"/>
      <c r="AM1417" s="5"/>
      <c r="AN1417" s="5"/>
      <c r="AO1417" s="5"/>
      <c r="AP1417" s="5"/>
      <c r="AQ1417" s="5"/>
      <c r="AR1417" s="5"/>
      <c r="AS1417" s="5"/>
      <c r="AT1417" s="5"/>
      <c r="AU1417" s="5"/>
      <c r="AV1417" s="5"/>
      <c r="AW1417" s="5"/>
      <c r="AX1417" s="5"/>
      <c r="AY1417" s="5"/>
      <c r="AZ1417" s="5"/>
      <c r="BA1417" s="5"/>
      <c r="BB1417" s="5"/>
      <c r="BC1417" s="5"/>
      <c r="BD1417" s="5"/>
      <c r="BE1417" s="5"/>
      <c r="BF1417" s="5"/>
      <c r="BG1417" s="5"/>
      <c r="BH1417" s="5"/>
      <c r="BI1417" s="5"/>
      <c r="BJ1417" s="5"/>
      <c r="BK1417" s="5"/>
      <c r="BL1417" s="5"/>
      <c r="BM1417" s="5"/>
    </row>
    <row r="1418" ht="15.75" customHeight="1">
      <c r="A1418" s="5"/>
      <c r="B1418" s="5"/>
      <c r="C1418" s="5"/>
      <c r="D1418" s="5"/>
      <c r="E1418" s="14"/>
      <c r="F1418" s="15"/>
      <c r="G1418" s="14"/>
      <c r="H1418" s="16"/>
      <c r="I1418" s="14"/>
      <c r="J1418" s="16"/>
      <c r="K1418" s="14"/>
      <c r="L1418" s="16"/>
      <c r="M1418" s="14"/>
      <c r="N1418" s="16"/>
      <c r="O1418" s="14"/>
      <c r="P1418" s="16"/>
      <c r="Q1418" s="14"/>
      <c r="R1418" s="5"/>
      <c r="S1418" s="14"/>
      <c r="T1418" s="16"/>
      <c r="U1418" s="16"/>
      <c r="V1418" s="17"/>
      <c r="W1418" s="6"/>
      <c r="X1418" s="22"/>
      <c r="Y1418" s="14"/>
      <c r="Z1418" s="14"/>
      <c r="AA1418" s="14"/>
      <c r="AB1418" s="14"/>
      <c r="AC1418" s="14"/>
      <c r="AD1418" s="14"/>
      <c r="AE1418" s="14"/>
      <c r="AF1418" s="14"/>
      <c r="AG1418" s="19"/>
      <c r="AH1418" s="20"/>
      <c r="AI1418" s="5"/>
      <c r="AJ1418" s="5"/>
      <c r="AK1418" s="5"/>
      <c r="AL1418" s="5"/>
      <c r="AM1418" s="5"/>
      <c r="AN1418" s="5"/>
      <c r="AO1418" s="5"/>
      <c r="AP1418" s="5"/>
      <c r="AQ1418" s="5"/>
      <c r="AR1418" s="5"/>
      <c r="AS1418" s="5"/>
      <c r="AT1418" s="5"/>
      <c r="AU1418" s="5"/>
      <c r="AV1418" s="5"/>
      <c r="AW1418" s="5"/>
      <c r="AX1418" s="5"/>
      <c r="AY1418" s="5"/>
      <c r="AZ1418" s="5"/>
      <c r="BA1418" s="5"/>
      <c r="BB1418" s="5"/>
      <c r="BC1418" s="5"/>
      <c r="BD1418" s="5"/>
      <c r="BE1418" s="5"/>
      <c r="BF1418" s="5"/>
      <c r="BG1418" s="5"/>
      <c r="BH1418" s="5"/>
      <c r="BI1418" s="5"/>
      <c r="BJ1418" s="5"/>
      <c r="BK1418" s="5"/>
      <c r="BL1418" s="5"/>
      <c r="BM1418" s="5"/>
    </row>
    <row r="1419" ht="15.75" customHeight="1">
      <c r="A1419" s="5"/>
      <c r="B1419" s="5"/>
      <c r="C1419" s="5"/>
      <c r="D1419" s="5"/>
      <c r="E1419" s="14"/>
      <c r="F1419" s="15"/>
      <c r="G1419" s="14"/>
      <c r="H1419" s="16"/>
      <c r="I1419" s="14"/>
      <c r="J1419" s="16"/>
      <c r="K1419" s="14"/>
      <c r="L1419" s="16"/>
      <c r="M1419" s="14"/>
      <c r="N1419" s="16"/>
      <c r="O1419" s="14"/>
      <c r="P1419" s="16"/>
      <c r="Q1419" s="14"/>
      <c r="R1419" s="5"/>
      <c r="S1419" s="14"/>
      <c r="T1419" s="16"/>
      <c r="U1419" s="16"/>
      <c r="V1419" s="17"/>
      <c r="W1419" s="6"/>
      <c r="X1419" s="22"/>
      <c r="Y1419" s="14"/>
      <c r="Z1419" s="14"/>
      <c r="AA1419" s="14"/>
      <c r="AB1419" s="14"/>
      <c r="AC1419" s="14"/>
      <c r="AD1419" s="14"/>
      <c r="AE1419" s="14"/>
      <c r="AF1419" s="14"/>
      <c r="AG1419" s="19"/>
      <c r="AH1419" s="20"/>
      <c r="AI1419" s="5"/>
      <c r="AJ1419" s="5"/>
      <c r="AK1419" s="5"/>
      <c r="AL1419" s="5"/>
      <c r="AM1419" s="5"/>
      <c r="AN1419" s="5"/>
      <c r="AO1419" s="5"/>
      <c r="AP1419" s="5"/>
      <c r="AQ1419" s="5"/>
      <c r="AR1419" s="5"/>
      <c r="AS1419" s="5"/>
      <c r="AT1419" s="5"/>
      <c r="AU1419" s="5"/>
      <c r="AV1419" s="5"/>
      <c r="AW1419" s="5"/>
      <c r="AX1419" s="5"/>
      <c r="AY1419" s="5"/>
      <c r="AZ1419" s="5"/>
      <c r="BA1419" s="5"/>
      <c r="BB1419" s="5"/>
      <c r="BC1419" s="5"/>
      <c r="BD1419" s="5"/>
      <c r="BE1419" s="5"/>
      <c r="BF1419" s="5"/>
      <c r="BG1419" s="5"/>
      <c r="BH1419" s="5"/>
      <c r="BI1419" s="5"/>
      <c r="BJ1419" s="5"/>
      <c r="BK1419" s="5"/>
      <c r="BL1419" s="5"/>
      <c r="BM1419" s="5"/>
    </row>
    <row r="1420" ht="15.75" customHeight="1">
      <c r="A1420" s="5"/>
      <c r="B1420" s="5"/>
      <c r="C1420" s="5"/>
      <c r="D1420" s="5"/>
      <c r="E1420" s="14"/>
      <c r="F1420" s="15"/>
      <c r="G1420" s="14"/>
      <c r="H1420" s="16"/>
      <c r="I1420" s="14"/>
      <c r="J1420" s="16"/>
      <c r="K1420" s="14"/>
      <c r="L1420" s="16"/>
      <c r="M1420" s="14"/>
      <c r="N1420" s="16"/>
      <c r="O1420" s="14"/>
      <c r="P1420" s="16"/>
      <c r="Q1420" s="14"/>
      <c r="R1420" s="5"/>
      <c r="S1420" s="14"/>
      <c r="T1420" s="16"/>
      <c r="U1420" s="16"/>
      <c r="V1420" s="17"/>
      <c r="W1420" s="6"/>
      <c r="X1420" s="22"/>
      <c r="Y1420" s="14"/>
      <c r="Z1420" s="14"/>
      <c r="AA1420" s="14"/>
      <c r="AB1420" s="14"/>
      <c r="AC1420" s="14"/>
      <c r="AD1420" s="14"/>
      <c r="AE1420" s="14"/>
      <c r="AF1420" s="14"/>
      <c r="AG1420" s="19"/>
      <c r="AH1420" s="20"/>
      <c r="AI1420" s="5"/>
      <c r="AJ1420" s="5"/>
      <c r="AK1420" s="5"/>
      <c r="AL1420" s="5"/>
      <c r="AM1420" s="5"/>
      <c r="AN1420" s="5"/>
      <c r="AO1420" s="5"/>
      <c r="AP1420" s="5"/>
      <c r="AQ1420" s="5"/>
      <c r="AR1420" s="5"/>
      <c r="AS1420" s="5"/>
      <c r="AT1420" s="5"/>
      <c r="AU1420" s="5"/>
      <c r="AV1420" s="5"/>
      <c r="AW1420" s="5"/>
      <c r="AX1420" s="5"/>
      <c r="AY1420" s="5"/>
      <c r="AZ1420" s="5"/>
      <c r="BA1420" s="5"/>
      <c r="BB1420" s="5"/>
      <c r="BC1420" s="5"/>
      <c r="BD1420" s="5"/>
      <c r="BE1420" s="5"/>
      <c r="BF1420" s="5"/>
      <c r="BG1420" s="5"/>
      <c r="BH1420" s="5"/>
      <c r="BI1420" s="5"/>
      <c r="BJ1420" s="5"/>
      <c r="BK1420" s="5"/>
      <c r="BL1420" s="5"/>
      <c r="BM1420" s="5"/>
    </row>
    <row r="1421" ht="15.75" customHeight="1">
      <c r="A1421" s="5"/>
      <c r="B1421" s="5"/>
      <c r="C1421" s="5"/>
      <c r="D1421" s="5"/>
      <c r="E1421" s="14"/>
      <c r="F1421" s="15"/>
      <c r="G1421" s="14"/>
      <c r="H1421" s="16"/>
      <c r="I1421" s="14"/>
      <c r="J1421" s="16"/>
      <c r="K1421" s="14"/>
      <c r="L1421" s="16"/>
      <c r="M1421" s="14"/>
      <c r="N1421" s="16"/>
      <c r="O1421" s="14"/>
      <c r="P1421" s="16"/>
      <c r="Q1421" s="14"/>
      <c r="R1421" s="5"/>
      <c r="S1421" s="14"/>
      <c r="T1421" s="16"/>
      <c r="U1421" s="16"/>
      <c r="V1421" s="17"/>
      <c r="W1421" s="6"/>
      <c r="X1421" s="22"/>
      <c r="Y1421" s="14"/>
      <c r="Z1421" s="14"/>
      <c r="AA1421" s="14"/>
      <c r="AB1421" s="14"/>
      <c r="AC1421" s="14"/>
      <c r="AD1421" s="14"/>
      <c r="AE1421" s="14"/>
      <c r="AF1421" s="14"/>
      <c r="AG1421" s="19"/>
      <c r="AH1421" s="20"/>
      <c r="AI1421" s="5"/>
      <c r="AJ1421" s="5"/>
      <c r="AK1421" s="5"/>
      <c r="AL1421" s="5"/>
      <c r="AM1421" s="5"/>
      <c r="AN1421" s="5"/>
      <c r="AO1421" s="5"/>
      <c r="AP1421" s="5"/>
      <c r="AQ1421" s="5"/>
      <c r="AR1421" s="5"/>
      <c r="AS1421" s="5"/>
      <c r="AT1421" s="5"/>
      <c r="AU1421" s="5"/>
      <c r="AV1421" s="5"/>
      <c r="AW1421" s="5"/>
      <c r="AX1421" s="5"/>
      <c r="AY1421" s="5"/>
      <c r="AZ1421" s="5"/>
      <c r="BA1421" s="5"/>
      <c r="BB1421" s="5"/>
      <c r="BC1421" s="5"/>
      <c r="BD1421" s="5"/>
      <c r="BE1421" s="5"/>
      <c r="BF1421" s="5"/>
      <c r="BG1421" s="5"/>
      <c r="BH1421" s="5"/>
      <c r="BI1421" s="5"/>
      <c r="BJ1421" s="5"/>
      <c r="BK1421" s="5"/>
      <c r="BL1421" s="5"/>
      <c r="BM1421" s="5"/>
    </row>
  </sheetData>
  <autoFilter ref="$Y$1:$Y$1421"/>
  <dataValidations>
    <dataValidation type="custom" allowBlank="1" showDropDown="1" sqref="H2:H113 J2:J113 L2:L113 N2:N113 P2:P113 U2:U113 H115:H1421 J115:J1421 L115:L1421 N115:N1421 P115:P1421 U115:U1421">
      <formula1>OR(NOT(ISERROR(DATEVALUE(H2))), AND(ISNUMBER(H2), LEFT(CELL("format", H2))="D"))</formula1>
    </dataValidation>
  </dataValidations>
  <hyperlinks>
    <hyperlink r:id="rId1" ref="AQ2"/>
    <hyperlink r:id="rId2" ref="AQ3"/>
    <hyperlink r:id="rId3" ref="AQ4"/>
    <hyperlink r:id="rId4" ref="AQ5"/>
    <hyperlink r:id="rId5" ref="AQ6"/>
    <hyperlink r:id="rId6" ref="AQ7"/>
    <hyperlink r:id="rId7" ref="AQ8"/>
    <hyperlink r:id="rId8" ref="AQ9"/>
    <hyperlink r:id="rId9" ref="AQ10"/>
    <hyperlink r:id="rId10" ref="AQ11"/>
    <hyperlink r:id="rId11" ref="AQ12"/>
    <hyperlink r:id="rId12" ref="AQ13"/>
    <hyperlink r:id="rId13" ref="AQ14"/>
    <hyperlink r:id="rId14" ref="AQ15"/>
    <hyperlink r:id="rId15" ref="AQ16"/>
    <hyperlink r:id="rId16" ref="AQ17"/>
    <hyperlink r:id="rId17" ref="AQ18"/>
    <hyperlink r:id="rId18" ref="AQ19"/>
    <hyperlink r:id="rId19" ref="AQ20"/>
    <hyperlink r:id="rId20" ref="AQ21"/>
    <hyperlink r:id="rId21" ref="AQ22"/>
    <hyperlink r:id="rId22" ref="AQ23"/>
    <hyperlink r:id="rId23" ref="AQ24"/>
    <hyperlink r:id="rId24" ref="AQ25"/>
    <hyperlink r:id="rId25" ref="AQ26"/>
    <hyperlink r:id="rId26" ref="AQ27"/>
    <hyperlink r:id="rId27" ref="AQ28"/>
    <hyperlink r:id="rId28" ref="AQ29"/>
    <hyperlink r:id="rId29" ref="AQ30"/>
    <hyperlink r:id="rId30" ref="AQ31"/>
    <hyperlink r:id="rId31" ref="AQ32"/>
    <hyperlink r:id="rId32" ref="AQ33"/>
    <hyperlink r:id="rId33" ref="AQ34"/>
    <hyperlink r:id="rId34" ref="AQ35"/>
    <hyperlink r:id="rId35" ref="AQ37"/>
    <hyperlink r:id="rId36" ref="AQ38"/>
    <hyperlink r:id="rId37" ref="AQ39"/>
    <hyperlink r:id="rId38" ref="AQ40"/>
    <hyperlink r:id="rId39" ref="AQ41"/>
    <hyperlink r:id="rId40" ref="AQ42"/>
    <hyperlink r:id="rId41" ref="AQ43"/>
    <hyperlink r:id="rId42" ref="AQ44"/>
    <hyperlink r:id="rId43" ref="AQ45"/>
    <hyperlink r:id="rId44" ref="AQ46"/>
    <hyperlink r:id="rId45" ref="AQ47"/>
    <hyperlink r:id="rId46" ref="AQ48"/>
    <hyperlink r:id="rId47" ref="AQ49"/>
    <hyperlink r:id="rId48" ref="AQ50"/>
    <hyperlink r:id="rId49" ref="AQ51"/>
    <hyperlink r:id="rId50" ref="AQ52"/>
    <hyperlink r:id="rId51" ref="AQ53"/>
    <hyperlink r:id="rId52" ref="AQ54"/>
    <hyperlink r:id="rId53" ref="AQ55"/>
    <hyperlink r:id="rId54" ref="AQ56"/>
    <hyperlink r:id="rId55" ref="AQ57"/>
    <hyperlink r:id="rId56" ref="AQ58"/>
    <hyperlink r:id="rId57" ref="AQ59"/>
    <hyperlink r:id="rId58" ref="AQ60"/>
    <hyperlink r:id="rId59" ref="AQ61"/>
    <hyperlink r:id="rId60" ref="AQ62"/>
    <hyperlink r:id="rId61" ref="AQ63"/>
    <hyperlink r:id="rId62" ref="AQ64"/>
    <hyperlink r:id="rId63" ref="AQ65"/>
    <hyperlink r:id="rId64" ref="AQ66"/>
    <hyperlink r:id="rId65" ref="AQ68"/>
    <hyperlink r:id="rId66" ref="AQ69"/>
    <hyperlink r:id="rId67" ref="AQ70"/>
    <hyperlink r:id="rId68" ref="AQ71"/>
    <hyperlink r:id="rId69" ref="AQ72"/>
    <hyperlink r:id="rId70" ref="AQ73"/>
    <hyperlink r:id="rId71" ref="AQ75"/>
    <hyperlink r:id="rId72" ref="AQ76"/>
    <hyperlink r:id="rId73" ref="AQ77"/>
    <hyperlink r:id="rId74" ref="AQ78"/>
    <hyperlink r:id="rId75" ref="AQ79"/>
    <hyperlink r:id="rId76" ref="AQ80"/>
    <hyperlink r:id="rId77" ref="AQ81"/>
    <hyperlink r:id="rId78" ref="AQ82"/>
    <hyperlink r:id="rId79" ref="AQ83"/>
    <hyperlink r:id="rId80" ref="AQ84"/>
    <hyperlink r:id="rId81" ref="AQ85"/>
    <hyperlink r:id="rId82" ref="AQ86"/>
    <hyperlink r:id="rId83" ref="AQ87"/>
    <hyperlink r:id="rId84" ref="AQ88"/>
    <hyperlink r:id="rId85" ref="AQ89"/>
    <hyperlink r:id="rId86" ref="AQ90"/>
    <hyperlink r:id="rId87" ref="AQ91"/>
    <hyperlink r:id="rId88" ref="AQ92"/>
    <hyperlink r:id="rId89" ref="AQ93"/>
    <hyperlink r:id="rId90" ref="AQ94"/>
    <hyperlink r:id="rId91" ref="AQ97"/>
    <hyperlink r:id="rId92" ref="AQ98"/>
    <hyperlink r:id="rId93" ref="AQ99"/>
    <hyperlink r:id="rId94" ref="AQ100"/>
    <hyperlink r:id="rId95" ref="AQ101"/>
    <hyperlink r:id="rId96" ref="AQ102"/>
    <hyperlink r:id="rId97" ref="AQ103"/>
    <hyperlink r:id="rId98" ref="AQ104"/>
    <hyperlink r:id="rId99" ref="AQ105"/>
    <hyperlink r:id="rId100" ref="AQ106"/>
    <hyperlink r:id="rId101" ref="AQ107"/>
    <hyperlink r:id="rId102" ref="AQ108"/>
    <hyperlink r:id="rId103" ref="AQ109"/>
    <hyperlink r:id="rId104" ref="AQ110"/>
    <hyperlink r:id="rId105" ref="AQ111"/>
    <hyperlink r:id="rId106" ref="AQ112"/>
    <hyperlink r:id="rId107" ref="AQ113"/>
    <hyperlink r:id="rId108" ref="AQ115"/>
    <hyperlink r:id="rId109" ref="AQ116"/>
    <hyperlink r:id="rId110" ref="AQ117"/>
    <hyperlink r:id="rId111" ref="AQ118"/>
    <hyperlink r:id="rId112" ref="AQ119"/>
    <hyperlink r:id="rId113" ref="AQ120"/>
    <hyperlink r:id="rId114" ref="AQ121"/>
    <hyperlink r:id="rId115" ref="AQ122"/>
    <hyperlink r:id="rId116" ref="AQ123"/>
    <hyperlink r:id="rId117" ref="AQ124"/>
    <hyperlink r:id="rId118" ref="AQ125"/>
    <hyperlink r:id="rId119" ref="AQ126"/>
    <hyperlink r:id="rId120" ref="AQ127"/>
    <hyperlink r:id="rId121" ref="AQ128"/>
    <hyperlink r:id="rId122" ref="AQ129"/>
    <hyperlink r:id="rId123" ref="AQ130"/>
    <hyperlink r:id="rId124" ref="AQ131"/>
    <hyperlink r:id="rId125" ref="AQ132"/>
    <hyperlink r:id="rId126" ref="AQ133"/>
    <hyperlink r:id="rId127" ref="AQ134"/>
    <hyperlink r:id="rId128" ref="AQ135"/>
    <hyperlink r:id="rId129" ref="AQ136"/>
    <hyperlink r:id="rId130" ref="AQ138"/>
    <hyperlink r:id="rId131" ref="AQ139"/>
    <hyperlink r:id="rId132" ref="AQ140"/>
    <hyperlink r:id="rId133" ref="AQ141"/>
    <hyperlink r:id="rId134" ref="AQ142"/>
    <hyperlink r:id="rId135" ref="AQ143"/>
    <hyperlink r:id="rId136" ref="AQ144"/>
    <hyperlink r:id="rId137" ref="AQ145"/>
    <hyperlink r:id="rId138" ref="AQ146"/>
    <hyperlink r:id="rId139" ref="AQ147"/>
    <hyperlink r:id="rId140" ref="AQ148"/>
    <hyperlink r:id="rId141" ref="AQ149"/>
    <hyperlink r:id="rId142" ref="AQ150"/>
    <hyperlink r:id="rId143" ref="AQ151"/>
    <hyperlink r:id="rId144" ref="AQ152"/>
    <hyperlink r:id="rId145" ref="AQ153"/>
    <hyperlink r:id="rId146" ref="AQ154"/>
    <hyperlink r:id="rId147" ref="AQ155"/>
    <hyperlink r:id="rId148" ref="AQ157"/>
    <hyperlink r:id="rId149" ref="AQ158"/>
    <hyperlink r:id="rId150" ref="AQ159"/>
    <hyperlink r:id="rId151" ref="AQ160"/>
    <hyperlink r:id="rId152" ref="AQ161"/>
    <hyperlink r:id="rId153" ref="AQ162"/>
    <hyperlink r:id="rId154" ref="AQ164"/>
    <hyperlink r:id="rId155" ref="AQ165"/>
    <hyperlink r:id="rId156" ref="AQ166"/>
    <hyperlink r:id="rId157" ref="AQ167"/>
    <hyperlink r:id="rId158" ref="AQ168"/>
    <hyperlink r:id="rId159" ref="AQ169"/>
    <hyperlink r:id="rId160" ref="AQ170"/>
    <hyperlink r:id="rId161" ref="AQ171"/>
    <hyperlink r:id="rId162" ref="AQ172"/>
    <hyperlink r:id="rId163" ref="AQ173"/>
    <hyperlink r:id="rId164" ref="AQ174"/>
    <hyperlink r:id="rId165" ref="AQ175"/>
    <hyperlink r:id="rId166" ref="AQ176"/>
    <hyperlink r:id="rId167" ref="AQ177"/>
    <hyperlink r:id="rId168" ref="AQ178"/>
    <hyperlink r:id="rId169" ref="AQ179"/>
    <hyperlink r:id="rId170" ref="AQ180"/>
    <hyperlink r:id="rId171" ref="AQ181"/>
    <hyperlink r:id="rId172" ref="AQ182"/>
    <hyperlink r:id="rId173" ref="AQ183"/>
    <hyperlink r:id="rId174" ref="AQ184"/>
    <hyperlink r:id="rId175" ref="AQ185"/>
    <hyperlink r:id="rId176" ref="AQ186"/>
    <hyperlink r:id="rId177" ref="AQ187"/>
    <hyperlink r:id="rId178" ref="AQ188"/>
    <hyperlink r:id="rId179" ref="AQ189"/>
    <hyperlink r:id="rId180" ref="AQ190"/>
    <hyperlink r:id="rId181" ref="AQ191"/>
    <hyperlink r:id="rId182" ref="AQ192"/>
    <hyperlink r:id="rId183" ref="AQ193"/>
    <hyperlink r:id="rId184" ref="AQ194"/>
    <hyperlink r:id="rId185" ref="AQ196"/>
    <hyperlink r:id="rId186" ref="AQ197"/>
    <hyperlink r:id="rId187" ref="AQ198"/>
    <hyperlink r:id="rId188" ref="AQ199"/>
    <hyperlink r:id="rId189" ref="AQ200"/>
    <hyperlink r:id="rId190" ref="AQ201"/>
    <hyperlink r:id="rId191" ref="AQ202"/>
    <hyperlink r:id="rId192" ref="AQ203"/>
    <hyperlink r:id="rId193" ref="AQ204"/>
    <hyperlink r:id="rId194" ref="AQ205"/>
    <hyperlink r:id="rId195" ref="AQ206"/>
    <hyperlink r:id="rId196" ref="AQ207"/>
    <hyperlink r:id="rId197" ref="AQ208"/>
    <hyperlink r:id="rId198" ref="AQ209"/>
    <hyperlink r:id="rId199" ref="AQ211"/>
    <hyperlink r:id="rId200" ref="AQ212"/>
    <hyperlink r:id="rId201" ref="AQ213"/>
    <hyperlink r:id="rId202" ref="AQ214"/>
    <hyperlink r:id="rId203" ref="AQ215"/>
    <hyperlink r:id="rId204" ref="AQ216"/>
    <hyperlink r:id="rId205" ref="AQ217"/>
    <hyperlink r:id="rId206" ref="AQ218"/>
    <hyperlink r:id="rId207" ref="AQ219"/>
    <hyperlink r:id="rId208" ref="AQ220"/>
    <hyperlink r:id="rId209" ref="AQ222"/>
    <hyperlink r:id="rId210" ref="AQ224"/>
    <hyperlink r:id="rId211" ref="AQ225"/>
    <hyperlink r:id="rId212" ref="AQ226"/>
    <hyperlink r:id="rId213" ref="AQ228"/>
    <hyperlink r:id="rId214" ref="AQ229"/>
    <hyperlink r:id="rId215" ref="AQ230"/>
    <hyperlink r:id="rId216" ref="AQ231"/>
    <hyperlink r:id="rId217" ref="AQ232"/>
    <hyperlink r:id="rId218" ref="AQ233"/>
    <hyperlink r:id="rId219" ref="AQ234"/>
    <hyperlink r:id="rId220" ref="AQ235"/>
    <hyperlink r:id="rId221" ref="AQ236"/>
    <hyperlink r:id="rId222" ref="AQ237"/>
    <hyperlink r:id="rId223" ref="AQ238"/>
    <hyperlink r:id="rId224" ref="AQ239"/>
    <hyperlink r:id="rId225" ref="AQ240"/>
    <hyperlink r:id="rId226" ref="AQ241"/>
    <hyperlink r:id="rId227" ref="AQ242"/>
    <hyperlink r:id="rId228" ref="AQ243"/>
    <hyperlink r:id="rId229" ref="AQ244"/>
    <hyperlink r:id="rId230" ref="AQ246"/>
    <hyperlink r:id="rId231" ref="AQ247"/>
    <hyperlink r:id="rId232" ref="AQ248"/>
    <hyperlink r:id="rId233" ref="AQ249"/>
    <hyperlink r:id="rId234" ref="AQ250"/>
    <hyperlink r:id="rId235" ref="AQ251"/>
    <hyperlink r:id="rId236" ref="AQ252"/>
    <hyperlink r:id="rId237" ref="AQ253"/>
    <hyperlink r:id="rId238" ref="AQ254"/>
    <hyperlink r:id="rId239" ref="AQ255"/>
    <hyperlink r:id="rId240" ref="AQ256"/>
    <hyperlink r:id="rId241" ref="AQ257"/>
    <hyperlink r:id="rId242" ref="AQ258"/>
    <hyperlink r:id="rId243" ref="AQ259"/>
    <hyperlink r:id="rId244" ref="AQ260"/>
    <hyperlink r:id="rId245" ref="AQ261"/>
    <hyperlink r:id="rId246" ref="AQ262"/>
    <hyperlink r:id="rId247" ref="AQ263"/>
    <hyperlink r:id="rId248" ref="AQ264"/>
    <hyperlink r:id="rId249" ref="AQ265"/>
    <hyperlink r:id="rId250" ref="AQ266"/>
    <hyperlink r:id="rId251" ref="AQ267"/>
    <hyperlink r:id="rId252" ref="AQ268"/>
    <hyperlink r:id="rId253" ref="AQ269"/>
    <hyperlink r:id="rId254" ref="AQ270"/>
    <hyperlink r:id="rId255" ref="AQ272"/>
    <hyperlink r:id="rId256" ref="AQ273"/>
    <hyperlink r:id="rId257" ref="AQ274"/>
    <hyperlink r:id="rId258" ref="AQ275"/>
    <hyperlink r:id="rId259" ref="AQ276"/>
    <hyperlink r:id="rId260" ref="AQ278"/>
    <hyperlink r:id="rId261" ref="AQ279"/>
    <hyperlink r:id="rId262" ref="AQ280"/>
    <hyperlink r:id="rId263" ref="AQ281"/>
    <hyperlink r:id="rId264" ref="AQ282"/>
    <hyperlink r:id="rId265" ref="AQ283"/>
    <hyperlink r:id="rId266" ref="AQ284"/>
    <hyperlink r:id="rId267" ref="AQ285"/>
    <hyperlink r:id="rId268" ref="AQ286"/>
    <hyperlink r:id="rId269" ref="AQ287"/>
    <hyperlink r:id="rId270" ref="AQ289"/>
    <hyperlink r:id="rId271" ref="AQ290"/>
    <hyperlink r:id="rId272" ref="AQ291"/>
    <hyperlink r:id="rId273" ref="AQ292"/>
    <hyperlink r:id="rId274" ref="AQ293"/>
    <hyperlink r:id="rId275" ref="AQ294"/>
    <hyperlink r:id="rId276" ref="AQ295"/>
    <hyperlink r:id="rId277" ref="AQ296"/>
    <hyperlink r:id="rId278" ref="AQ297"/>
    <hyperlink r:id="rId279" ref="AQ298"/>
    <hyperlink r:id="rId280" ref="AQ299"/>
    <hyperlink r:id="rId281" ref="AQ300"/>
    <hyperlink r:id="rId282" ref="AQ301"/>
    <hyperlink r:id="rId283" ref="AQ302"/>
    <hyperlink r:id="rId284" ref="AQ303"/>
    <hyperlink r:id="rId285" ref="AQ304"/>
    <hyperlink r:id="rId286" ref="AQ305"/>
    <hyperlink r:id="rId287" ref="AQ306"/>
    <hyperlink r:id="rId288" ref="AQ307"/>
    <hyperlink r:id="rId289" ref="AQ308"/>
    <hyperlink r:id="rId290" ref="AQ309"/>
    <hyperlink r:id="rId291" ref="AQ310"/>
    <hyperlink r:id="rId292" ref="AQ311"/>
    <hyperlink r:id="rId293" ref="AQ312"/>
    <hyperlink r:id="rId294" ref="AQ313"/>
    <hyperlink r:id="rId295" ref="AQ314"/>
    <hyperlink r:id="rId296" ref="AQ315"/>
    <hyperlink r:id="rId297" ref="AQ316"/>
    <hyperlink r:id="rId298" ref="AQ317"/>
    <hyperlink r:id="rId299" ref="AQ318"/>
    <hyperlink r:id="rId300" ref="AQ319"/>
    <hyperlink r:id="rId301" ref="AQ320"/>
    <hyperlink r:id="rId302" ref="AQ321"/>
    <hyperlink r:id="rId303" ref="AQ323"/>
    <hyperlink r:id="rId304" ref="AQ324"/>
    <hyperlink r:id="rId305" ref="AQ325"/>
    <hyperlink r:id="rId306" ref="AQ326"/>
    <hyperlink r:id="rId307" ref="AQ327"/>
    <hyperlink r:id="rId308" ref="AQ328"/>
    <hyperlink r:id="rId309" ref="AQ329"/>
    <hyperlink r:id="rId310" ref="AQ330"/>
    <hyperlink r:id="rId311" ref="AQ331"/>
    <hyperlink r:id="rId312" ref="AQ332"/>
    <hyperlink r:id="rId313" ref="AQ333"/>
    <hyperlink r:id="rId314" ref="AQ334"/>
    <hyperlink r:id="rId315" ref="AQ335"/>
    <hyperlink r:id="rId316" ref="AQ337"/>
    <hyperlink r:id="rId317" ref="AQ338"/>
    <hyperlink r:id="rId318" ref="AQ339"/>
    <hyperlink r:id="rId319" ref="AQ340"/>
    <hyperlink r:id="rId320" ref="AQ341"/>
    <hyperlink r:id="rId321" ref="AQ342"/>
    <hyperlink r:id="rId322" ref="AQ343"/>
    <hyperlink r:id="rId323" ref="AQ344"/>
    <hyperlink r:id="rId324" ref="AQ345"/>
    <hyperlink r:id="rId325" ref="AQ346"/>
    <hyperlink r:id="rId326" ref="AQ347"/>
    <hyperlink r:id="rId327" ref="AQ348"/>
    <hyperlink r:id="rId328" ref="AQ349"/>
    <hyperlink r:id="rId329" ref="AQ350"/>
    <hyperlink r:id="rId330" ref="AQ351"/>
    <hyperlink r:id="rId331" ref="AQ352"/>
    <hyperlink r:id="rId332" ref="AQ353"/>
    <hyperlink r:id="rId333" ref="AQ354"/>
    <hyperlink r:id="rId334" ref="AQ355"/>
    <hyperlink r:id="rId335" ref="AQ356"/>
    <hyperlink r:id="rId336" ref="AQ357"/>
    <hyperlink r:id="rId337" ref="AQ358"/>
    <hyperlink r:id="rId338" ref="AQ359"/>
    <hyperlink r:id="rId339" ref="AQ360"/>
    <hyperlink r:id="rId340" ref="AQ361"/>
    <hyperlink r:id="rId341" ref="AQ362"/>
    <hyperlink r:id="rId342" ref="AQ363"/>
    <hyperlink r:id="rId343" ref="AQ364"/>
    <hyperlink r:id="rId344" ref="AQ365"/>
    <hyperlink r:id="rId345" ref="AQ366"/>
    <hyperlink r:id="rId346" ref="AQ367"/>
    <hyperlink r:id="rId347" ref="AQ368"/>
    <hyperlink r:id="rId348" ref="AQ369"/>
    <hyperlink r:id="rId349" ref="AQ370"/>
    <hyperlink r:id="rId350" ref="AQ371"/>
    <hyperlink r:id="rId351" ref="AQ372"/>
    <hyperlink r:id="rId352" ref="AQ373"/>
    <hyperlink r:id="rId353" ref="AQ374"/>
    <hyperlink r:id="rId354" ref="AQ375"/>
    <hyperlink r:id="rId355" ref="AQ376"/>
    <hyperlink r:id="rId356" ref="AQ377"/>
    <hyperlink r:id="rId357" ref="AQ378"/>
    <hyperlink r:id="rId358" ref="AQ379"/>
    <hyperlink r:id="rId359" ref="AQ380"/>
    <hyperlink r:id="rId360" ref="AQ381"/>
    <hyperlink r:id="rId361" ref="AQ382"/>
    <hyperlink r:id="rId362" ref="AQ383"/>
    <hyperlink r:id="rId363" ref="AQ384"/>
    <hyperlink r:id="rId364" ref="AQ385"/>
    <hyperlink r:id="rId365" ref="AQ386"/>
    <hyperlink r:id="rId366" ref="AQ387"/>
    <hyperlink r:id="rId367" ref="AQ388"/>
    <hyperlink r:id="rId368" ref="AQ389"/>
    <hyperlink r:id="rId369" ref="AQ390"/>
    <hyperlink r:id="rId370" ref="AQ391"/>
    <hyperlink r:id="rId371" ref="AQ392"/>
    <hyperlink r:id="rId372" ref="AQ393"/>
    <hyperlink r:id="rId373" ref="AQ394"/>
    <hyperlink r:id="rId374" ref="AQ395"/>
    <hyperlink r:id="rId375" ref="AQ396"/>
    <hyperlink r:id="rId376" ref="AQ397"/>
    <hyperlink r:id="rId377" ref="AQ398"/>
    <hyperlink r:id="rId378" ref="AQ399"/>
    <hyperlink r:id="rId379" ref="AQ400"/>
    <hyperlink r:id="rId380" ref="AQ401"/>
    <hyperlink r:id="rId381" ref="AQ402"/>
    <hyperlink r:id="rId382" ref="AQ403"/>
    <hyperlink r:id="rId383" ref="AQ404"/>
    <hyperlink r:id="rId384" ref="AQ405"/>
    <hyperlink r:id="rId385" ref="AQ406"/>
    <hyperlink r:id="rId386" ref="AQ407"/>
    <hyperlink r:id="rId387" ref="AQ408"/>
    <hyperlink r:id="rId388" ref="AQ409"/>
    <hyperlink r:id="rId389" ref="AQ410"/>
    <hyperlink r:id="rId390" ref="AQ411"/>
    <hyperlink r:id="rId391" ref="AQ412"/>
    <hyperlink r:id="rId392" ref="AQ413"/>
  </hyperlinks>
  <drawing r:id="rId393"/>
</worksheet>
</file>