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-End" sheetId="1" r:id="rId4"/>
    <sheet state="visible" name="Process-Total" sheetId="2" r:id="rId5"/>
    <sheet state="visible" name="page 1" sheetId="3" r:id="rId6"/>
    <sheet state="visible" name="page 2" sheetId="4" r:id="rId7"/>
    <sheet state="visible" name="page 3" sheetId="5" r:id="rId8"/>
    <sheet state="visible" name="page 4" sheetId="6" r:id="rId9"/>
    <sheet state="visible" name="page 5" sheetId="7" r:id="rId10"/>
    <sheet state="visible" name="page 6" sheetId="8" r:id="rId11"/>
    <sheet state="visible" name="page 7" sheetId="9" r:id="rId12"/>
    <sheet state="visible" name="page 8" sheetId="10" r:id="rId13"/>
    <sheet state="visible" name="page 9" sheetId="11" r:id="rId14"/>
    <sheet state="visible" name="page 10" sheetId="12" r:id="rId15"/>
    <sheet state="visible" name="page 11" sheetId="13" r:id="rId16"/>
    <sheet state="visible" name="page 12" sheetId="14" r:id="rId17"/>
    <sheet state="visible" name="page 13" sheetId="15" r:id="rId18"/>
    <sheet state="visible" name="page 14" sheetId="16" r:id="rId19"/>
    <sheet state="visible" name="page 15" sheetId="17" r:id="rId20"/>
    <sheet state="visible" name="page 16" sheetId="18" r:id="rId21"/>
    <sheet state="visible" name="page 17" sheetId="19" r:id="rId22"/>
    <sheet state="visible" name="page 18" sheetId="20" r:id="rId23"/>
    <sheet state="visible" name="page 19" sheetId="21" r:id="rId24"/>
    <sheet state="visible" name="page 20" sheetId="22" r:id="rId25"/>
    <sheet state="visible" name="page 21" sheetId="23" r:id="rId26"/>
    <sheet state="visible" name="page 22" sheetId="24" r:id="rId27"/>
    <sheet state="visible" name="page 23" sheetId="25" r:id="rId28"/>
    <sheet state="visible" name="page 24" sheetId="26" r:id="rId29"/>
    <sheet state="visible" name="page 25" sheetId="27" r:id="rId30"/>
    <sheet state="visible" name="page 26" sheetId="28" r:id="rId31"/>
  </sheets>
  <definedNames/>
  <calcPr/>
  <extLst>
    <ext uri="GoogleSheetsCustomDataVersion1">
      <go:sheetsCustomData xmlns:go="http://customooxmlschemas.google.com/" r:id="rId32" roundtripDataSignature="AMtx7midx7Sacn8bcREk0GtcYedI1wvG7w=="/>
    </ext>
  </extLst>
</workbook>
</file>

<file path=xl/sharedStrings.xml><?xml version="1.0" encoding="utf-8"?>
<sst xmlns="http://schemas.openxmlformats.org/spreadsheetml/2006/main" count="9684" uniqueCount="5760">
  <si>
    <t>Module</t>
  </si>
  <si>
    <t>Page English</t>
  </si>
  <si>
    <t>Page</t>
  </si>
  <si>
    <t>EN</t>
  </si>
  <si>
    <t>spelling</t>
  </si>
  <si>
    <t>VI</t>
  </si>
  <si>
    <t>Example sentence</t>
  </si>
  <si>
    <t>8 people</t>
  </si>
  <si>
    <t>x</t>
  </si>
  <si>
    <t>I like the people I work with.</t>
  </si>
  <si>
    <t>8 nice to meet you.</t>
  </si>
  <si>
    <t>Hello, I'm Liz, nice to meet you!</t>
  </si>
  <si>
    <t>8 really</t>
  </si>
  <si>
    <t>She's been really ill.</t>
  </si>
  <si>
    <t>8 fantastic</t>
  </si>
  <si>
    <t>You look fantastic.</t>
  </si>
  <si>
    <t>8 too</t>
  </si>
  <si>
    <t>Jan plays the guitar, and she plays the piano too.</t>
  </si>
  <si>
    <t>8 well</t>
  </si>
  <si>
    <t>Did you sleep well?</t>
  </si>
  <si>
    <t>9 Italy</t>
  </si>
  <si>
    <t>The action takes place in southern Italy.</t>
  </si>
  <si>
    <t>9 Mexico</t>
  </si>
  <si>
    <t>Many countries, for example Mexico and Japan, have a lot of earthquakes.</t>
  </si>
  <si>
    <t>9 Britain</t>
  </si>
  <si>
    <t>Britain has agreed to provide military aid.</t>
  </si>
  <si>
    <t>9 USA</t>
  </si>
  <si>
    <t>The 50 states that constitute the USA.</t>
  </si>
  <si>
    <t>9 Argentina</t>
  </si>
  <si>
    <t>Argentina won the World Cup that year.</t>
  </si>
  <si>
    <t>9 Russia</t>
  </si>
  <si>
    <t>The north-west region of Russia.</t>
  </si>
  <si>
    <t>9 China</t>
  </si>
  <si>
    <t>I've always wanted to go to China.</t>
  </si>
  <si>
    <t>9 Egypt</t>
  </si>
  <si>
    <t>Ava was just describing to me her trip to Egypt.</t>
  </si>
  <si>
    <t>9 Poland</t>
  </si>
  <si>
    <t>What's the capital of Poland?</t>
  </si>
  <si>
    <t>9 Spain</t>
  </si>
  <si>
    <t>Spain beat Italy 3-1.</t>
  </si>
  <si>
    <t>9 Germany</t>
  </si>
  <si>
    <t>Germany won, but I don't know the actual score.</t>
  </si>
  <si>
    <t>9 Thailand</t>
  </si>
  <si>
    <t>Her family originally came from Thailand.</t>
  </si>
  <si>
    <t>9 capital</t>
  </si>
  <si>
    <t>London is the capital of England.</t>
  </si>
  <si>
    <t>10 Turkey</t>
  </si>
  <si>
    <t>In 1853, Turkey declared war on Russia.</t>
  </si>
  <si>
    <t>10 Australia</t>
  </si>
  <si>
    <t>The flight to Australia takes nearly a day.</t>
  </si>
  <si>
    <t>10 Japan</t>
  </si>
  <si>
    <t>Kate has just been to Japan.</t>
  </si>
  <si>
    <t>10 Korea</t>
  </si>
  <si>
    <t>Martens gave a report on his sales trip to Korea.</t>
  </si>
  <si>
    <t>10 France</t>
  </si>
  <si>
    <t>France is just across the Channel from the UK.</t>
  </si>
  <si>
    <t>10 British</t>
  </si>
  <si>
    <t>Bond works for the British government.</t>
  </si>
  <si>
    <t>10 American</t>
  </si>
  <si>
    <t>Her mother is American.</t>
  </si>
  <si>
    <t>10 Japanese</t>
  </si>
  <si>
    <t>A Japanese car.</t>
  </si>
  <si>
    <t>10 Chinese</t>
  </si>
  <si>
    <t>Do you fancy going out for a Chinese?</t>
  </si>
  <si>
    <t>10 Polish</t>
  </si>
  <si>
    <t>The Polish team were amazing.</t>
  </si>
  <si>
    <t>10 Italian</t>
  </si>
  <si>
    <t>Our agent in Rome handles all our Italian contracts.</t>
  </si>
  <si>
    <t>10 Korean</t>
  </si>
  <si>
    <t>It's a Korean national dance.</t>
  </si>
  <si>
    <t>10 Russian</t>
  </si>
  <si>
    <t>The exodus of Russian scientists to America.</t>
  </si>
  <si>
    <t>10 French</t>
  </si>
  <si>
    <t>It's an excellent French wine.</t>
  </si>
  <si>
    <t>10 Spanish</t>
  </si>
  <si>
    <t>They can both speak Spanish.</t>
  </si>
  <si>
    <t>10 Turkish</t>
  </si>
  <si>
    <t>Have you ever tried a Turkish bath?</t>
  </si>
  <si>
    <t>10 Australian</t>
  </si>
  <si>
    <t>The scorching heat of an Australian summer.</t>
  </si>
  <si>
    <t>10 stress</t>
  </si>
  <si>
    <t>A headache caused by stress.</t>
  </si>
  <si>
    <t>10 general knowledge</t>
  </si>
  <si>
    <t>The general knowledge quiz had difficult questions.</t>
  </si>
  <si>
    <t>10 quiz</t>
  </si>
  <si>
    <t>It's a quiz show with great prizes.</t>
  </si>
  <si>
    <t>10 Arabic</t>
  </si>
  <si>
    <t>He's learned some Arabic.</t>
  </si>
  <si>
    <t>10 actress</t>
  </si>
  <si>
    <t>The actress has been in many films.</t>
  </si>
  <si>
    <t>11 university</t>
  </si>
  <si>
    <t>Do you want to go to university when you leave school?</t>
  </si>
  <si>
    <t>11 airport</t>
  </si>
  <si>
    <t>The plane landed at Heathrow Airport.</t>
  </si>
  <si>
    <t>11 be on holiday</t>
  </si>
  <si>
    <t>We were on holiday when it happened.</t>
  </si>
  <si>
    <t>11 be on business</t>
  </si>
  <si>
    <t>My Dad's away on business.</t>
  </si>
  <si>
    <t>11 tourist</t>
  </si>
  <si>
    <t>Oxford's full of tourists in the summer.</t>
  </si>
  <si>
    <t>11 married</t>
  </si>
  <si>
    <t>Are you married or single?</t>
  </si>
  <si>
    <t>11 single</t>
  </si>
  <si>
    <t>We lost the game by a single point.</t>
  </si>
  <si>
    <t>11 lesson</t>
  </si>
  <si>
    <t>Hannah is taking guitar lessons.</t>
  </si>
  <si>
    <t>11 Scotland</t>
  </si>
  <si>
    <t>He lived most of his life in Scotland, a fine country.</t>
  </si>
  <si>
    <t>11 politician</t>
  </si>
  <si>
    <t>I don't trust politicians.</t>
  </si>
  <si>
    <t>11 at work</t>
  </si>
  <si>
    <t>Where's Mum? - She's at work.</t>
  </si>
  <si>
    <t>12 footballer</t>
  </si>
  <si>
    <t>A professional footballer earns far too much.</t>
  </si>
  <si>
    <t>12 musician</t>
  </si>
  <si>
    <t>Jimmy Hendrix was a talented musician.</t>
  </si>
  <si>
    <t>12 engineer</t>
  </si>
  <si>
    <t>He's an engineer, he builds bridges.</t>
  </si>
  <si>
    <t>12 lawyer</t>
  </si>
  <si>
    <t>My lawyer's have already talked through the facts.</t>
  </si>
  <si>
    <t>12 police officer</t>
  </si>
  <si>
    <t>The police officer gave evidence in court.</t>
  </si>
  <si>
    <t>12 PA (personal assistant)</t>
  </si>
  <si>
    <t>She arranges everything, she's a good PA.</t>
  </si>
  <si>
    <t>12 singer</t>
  </si>
  <si>
    <t>Pavarotti is an opera singer.</t>
  </si>
  <si>
    <t>12 electrician</t>
  </si>
  <si>
    <t>He worked as electrician, that's why he's called "Sparky".</t>
  </si>
  <si>
    <t>12 shop assistant</t>
  </si>
  <si>
    <t>The shop assistant gave me the wrong change.</t>
  </si>
  <si>
    <t>12 doctor</t>
  </si>
  <si>
    <t>You should go to the doctor with that cough.</t>
  </si>
  <si>
    <t>12 nurse</t>
  </si>
  <si>
    <t>She trained as nurse in the local hospital.</t>
  </si>
  <si>
    <t>12 actor</t>
  </si>
  <si>
    <t>She has starred with many leading actors.</t>
  </si>
  <si>
    <t>12 waiter</t>
  </si>
  <si>
    <t>She waved to attract the attention of the waiter.</t>
  </si>
  <si>
    <t>12 waitress</t>
  </si>
  <si>
    <t>During the summer she worked as a waitress.</t>
  </si>
  <si>
    <t>12 businessman</t>
  </si>
  <si>
    <t>He's an astute businessman.</t>
  </si>
  <si>
    <t>12 businesswoman</t>
  </si>
  <si>
    <t>She's a shrewd businesswoman.</t>
  </si>
  <si>
    <t>12 guess</t>
  </si>
  <si>
    <t>I didn't know the answer so I had a guess.</t>
  </si>
  <si>
    <t>12 famous</t>
  </si>
  <si>
    <t>Many famous actors live in Beverly Hills.</t>
  </si>
  <si>
    <t>13 full name</t>
  </si>
  <si>
    <t>What's your full name?</t>
  </si>
  <si>
    <t>14 first name</t>
  </si>
  <si>
    <t>Miss Green's first name is Karen.</t>
  </si>
  <si>
    <t>14 surname</t>
  </si>
  <si>
    <t>His surname is Steinmann.</t>
  </si>
  <si>
    <t>14 mobile</t>
  </si>
  <si>
    <t>Have seen my mobile phone?</t>
  </si>
  <si>
    <t>14 husband</t>
  </si>
  <si>
    <t>Have you met my husband Roy?</t>
  </si>
  <si>
    <t>14 employee</t>
  </si>
  <si>
    <t>The canteen is for employees of the company only.</t>
  </si>
  <si>
    <t>14 personal data</t>
  </si>
  <si>
    <t>It's illegal to give your personal data to others.</t>
  </si>
  <si>
    <t>14 date of birth</t>
  </si>
  <si>
    <t>He asked me for my date of birth.</t>
  </si>
  <si>
    <t>14 place of birth</t>
  </si>
  <si>
    <t>She said her place of birth was York.</t>
  </si>
  <si>
    <t>14 contact (v)</t>
  </si>
  <si>
    <t>Who can we contact in an emergency?</t>
  </si>
  <si>
    <t>14 emergency</t>
  </si>
  <si>
    <t>Come quickly - it's an emergency!</t>
  </si>
  <si>
    <t>15 current</t>
  </si>
  <si>
    <t>The current trend in haircuts beggars belief.</t>
  </si>
  <si>
    <t>15 account statement</t>
  </si>
  <si>
    <t>When she read her account statement, she had to sit down.</t>
  </si>
  <si>
    <t>15 account name</t>
  </si>
  <si>
    <t>The Swiss bank gave me a coded account name.</t>
  </si>
  <si>
    <t>15 account number</t>
  </si>
  <si>
    <t>The account number has 10 digits.</t>
  </si>
  <si>
    <t>15 branch</t>
  </si>
  <si>
    <t>The shop has opened branches all over the country.</t>
  </si>
  <si>
    <t>15 place of study</t>
  </si>
  <si>
    <t>Under place of study he wrote Aberdeen, but he never went to University.</t>
  </si>
  <si>
    <t>15 course of study</t>
  </si>
  <si>
    <t>You'll need a course of study to improve your computing skills.</t>
  </si>
  <si>
    <t>15 entitle</t>
  </si>
  <si>
    <t>Employees are entitled to free health insurance.</t>
  </si>
  <si>
    <t>15 use</t>
  </si>
  <si>
    <t>Can I use your phone?</t>
  </si>
  <si>
    <t>15 facilities</t>
  </si>
  <si>
    <t>The school has very good sporting facilities.</t>
  </si>
  <si>
    <t>15 include</t>
  </si>
  <si>
    <t>The price includes lunch.</t>
  </si>
  <si>
    <t>15 library</t>
  </si>
  <si>
    <t>The library has over 10,000 books.</t>
  </si>
  <si>
    <t>15 spell</t>
  </si>
  <si>
    <t>Can you spell your name please?</t>
  </si>
  <si>
    <t>15 useful</t>
  </si>
  <si>
    <t>A useful book for travellers.</t>
  </si>
  <si>
    <t>16 occupation</t>
  </si>
  <si>
    <t>Please state your name and occupation.</t>
  </si>
  <si>
    <t>16 age</t>
  </si>
  <si>
    <t>It's an age thing, that's why I didn't get the job.</t>
  </si>
  <si>
    <t>17 capital letter</t>
  </si>
  <si>
    <t>You write your name with a capital letter.</t>
  </si>
  <si>
    <t>17 notebook</t>
  </si>
  <si>
    <t>I wrote down the new words in my notebook.</t>
  </si>
  <si>
    <t>18 parcel</t>
  </si>
  <si>
    <t>The parcel was delivered last week.</t>
  </si>
  <si>
    <t>18 oh right</t>
  </si>
  <si>
    <t>Oh right, now I understand.</t>
  </si>
  <si>
    <t>18 over there</t>
  </si>
  <si>
    <t>Can you get that chair from over there.</t>
  </si>
  <si>
    <t>18 lovely</t>
  </si>
  <si>
    <t>You look lovely in that dress.</t>
  </si>
  <si>
    <t>18 car keys</t>
  </si>
  <si>
    <t>I've lost the car keys!</t>
  </si>
  <si>
    <t>19 everyday objects</t>
  </si>
  <si>
    <t>She paints pictures of everyday objects like chairs, tables…</t>
  </si>
  <si>
    <t>19 camera</t>
  </si>
  <si>
    <t>They posed for the TV cameras.</t>
  </si>
  <si>
    <t>19 credit card</t>
  </si>
  <si>
    <t>Can I pay by credit card?</t>
  </si>
  <si>
    <t>19 stamps</t>
  </si>
  <si>
    <t>Do you sell stamps?</t>
  </si>
  <si>
    <t>19 mobile phone</t>
  </si>
  <si>
    <t>Call me on my mobile phone.</t>
  </si>
  <si>
    <t>19 brush</t>
  </si>
  <si>
    <t>A paint brush.</t>
  </si>
  <si>
    <t>19 diary</t>
  </si>
  <si>
    <t>I'll check my diary to see if I can come Friday.</t>
  </si>
  <si>
    <t>19 coin</t>
  </si>
  <si>
    <t>He put a fifty pence coin into the drinks machine.</t>
  </si>
  <si>
    <t>19 cheque book</t>
  </si>
  <si>
    <t>She asked the bank for a new cheque book.</t>
  </si>
  <si>
    <t>19 phone card</t>
  </si>
  <si>
    <t>You can get phone cards for ₤5.00 or ₤10.00.</t>
  </si>
  <si>
    <t>19 dictionary</t>
  </si>
  <si>
    <t>If you don't understand a word, look it up in a dictionary.</t>
  </si>
  <si>
    <t>19 identity card</t>
  </si>
  <si>
    <t>The UK does not have identity cards.</t>
  </si>
  <si>
    <t>19 tissue</t>
  </si>
  <si>
    <t>She took a tissue to wipe his tears.</t>
  </si>
  <si>
    <t>19 wallet</t>
  </si>
  <si>
    <t>I've only got about £10 in my wallet.</t>
  </si>
  <si>
    <t>19 sweets</t>
  </si>
  <si>
    <t>It's bad for your teeth to eat sweets.</t>
  </si>
  <si>
    <t>19 glasses</t>
  </si>
  <si>
    <t>Be careful - those glasses break easily.</t>
  </si>
  <si>
    <t>19 cassette player</t>
  </si>
  <si>
    <t>Cassette player? Is this the dinosaur age?</t>
  </si>
  <si>
    <t>20 what's the matter?</t>
  </si>
  <si>
    <t>What's the matter, you look upset?</t>
  </si>
  <si>
    <t>20 have with you</t>
  </si>
  <si>
    <t>I always have my spare key with me.</t>
  </si>
  <si>
    <t>20 rich</t>
  </si>
  <si>
    <t>He became rich and powerful.</t>
  </si>
  <si>
    <t>20 motorbike</t>
  </si>
  <si>
    <t>My grandmother still rides a motorbike.</t>
  </si>
  <si>
    <t>20 make (n)</t>
  </si>
  <si>
    <t>A very popular make of washing machine.</t>
  </si>
  <si>
    <t>20 pet</t>
  </si>
  <si>
    <t>Cats are popular pets.</t>
  </si>
  <si>
    <t>21 comfortable</t>
  </si>
  <si>
    <t>Are you comfortable sitting on the floor?</t>
  </si>
  <si>
    <t>21 great</t>
  </si>
  <si>
    <t>We had great fun.</t>
  </si>
  <si>
    <t>21 professional</t>
  </si>
  <si>
    <t>You'll need professional legal advice.</t>
  </si>
  <si>
    <t>21 actually</t>
  </si>
  <si>
    <t>Do you actually believe that?</t>
  </si>
  <si>
    <t>21 about</t>
  </si>
  <si>
    <t>A book bout astrology.</t>
  </si>
  <si>
    <t>21 game</t>
  </si>
  <si>
    <t>I got a new computer game for Christmas.</t>
  </si>
  <si>
    <t>22 wife</t>
  </si>
  <si>
    <t>My brother and his wife came to visit us last week.</t>
  </si>
  <si>
    <t>22 cousin</t>
  </si>
  <si>
    <t>My cousin Vinny is really funny.</t>
  </si>
  <si>
    <t>22 grandmother</t>
  </si>
  <si>
    <t>She was named Sarah, after my grandmother.</t>
  </si>
  <si>
    <t>22 grandson</t>
  </si>
  <si>
    <t>We had a surprise visit from our grandson.</t>
  </si>
  <si>
    <t>22 maybe</t>
  </si>
  <si>
    <t>Maybe they haven't got your letter yet.</t>
  </si>
  <si>
    <t>22 grandparents</t>
  </si>
  <si>
    <t>My grandparents are still alive.</t>
  </si>
  <si>
    <t>22 grandfather</t>
  </si>
  <si>
    <t>My grandfather gave me this book.</t>
  </si>
  <si>
    <t>22 granddaughter</t>
  </si>
  <si>
    <t>He has four granddaughters, all fine lassies.</t>
  </si>
  <si>
    <t>22 aunt</t>
  </si>
  <si>
    <t>I'm going to stay with my aunt.</t>
  </si>
  <si>
    <t>22 uncle</t>
  </si>
  <si>
    <t>Uncle Mike always visits us at Christmas.</t>
  </si>
  <si>
    <t>22 nephew</t>
  </si>
  <si>
    <t>My nephew James, he's my brother's son.</t>
  </si>
  <si>
    <t>22 niece</t>
  </si>
  <si>
    <t>My niece Michelle is gorgeous.</t>
  </si>
  <si>
    <t>22 related</t>
  </si>
  <si>
    <t>Police believe the murders are related.</t>
  </si>
  <si>
    <t>23 economics</t>
  </si>
  <si>
    <t>I want to do economics at college.</t>
  </si>
  <si>
    <t>23 funny</t>
  </si>
  <si>
    <t>You look funny in that hat.</t>
  </si>
  <si>
    <t>23 clever</t>
  </si>
  <si>
    <t>Paul is good-looking, clever, and charming.</t>
  </si>
  <si>
    <t>24 how do you say…</t>
  </si>
  <si>
    <t>How do you say "invincible" in Dutch?</t>
  </si>
  <si>
    <t>24 can you say that again ?</t>
  </si>
  <si>
    <t>Sorry, I didn't hear you, can you say that again?</t>
  </si>
  <si>
    <t>24 how do you spell…</t>
  </si>
  <si>
    <t>How do you spell "rhythm"?</t>
  </si>
  <si>
    <t>24 can you write it on the board ?</t>
  </si>
  <si>
    <t>24 mean</t>
  </si>
  <si>
    <t>What does that word mean?</t>
  </si>
  <si>
    <t>24 I don´t remember</t>
  </si>
  <si>
    <t>I don't remember, it was Tuesday or Wednesday.</t>
  </si>
  <si>
    <t>24 what´s the word for…</t>
  </si>
  <si>
    <t>What's the word for "chicken" in Swiss?</t>
  </si>
  <si>
    <t>24 recording (n)</t>
  </si>
  <si>
    <t>A recording of Mozart's Requiem.</t>
  </si>
  <si>
    <t>24 of course</t>
  </si>
  <si>
    <t>Well, she won, of course.</t>
  </si>
  <si>
    <t>24 what page are we on?</t>
  </si>
  <si>
    <t>25 noun</t>
  </si>
  <si>
    <t>25 verb</t>
  </si>
  <si>
    <t>25 adjective</t>
  </si>
  <si>
    <t>25 pronoun</t>
  </si>
  <si>
    <t>25 preposition</t>
  </si>
  <si>
    <t>25 syllable</t>
  </si>
  <si>
    <t>25 short form (contraction)</t>
  </si>
  <si>
    <t>25 question word</t>
  </si>
  <si>
    <t>25 stress (n)</t>
  </si>
  <si>
    <t>25 punctuation</t>
  </si>
  <si>
    <t>25 sound</t>
  </si>
  <si>
    <t>26 company</t>
  </si>
  <si>
    <t>Which company do you work for?</t>
  </si>
  <si>
    <t>26 long hours</t>
  </si>
  <si>
    <t>He works long hours and is always tired.</t>
  </si>
  <si>
    <t>26 law</t>
  </si>
  <si>
    <t>By law, you must wear seatbelts.</t>
  </si>
  <si>
    <t>27 classes</t>
  </si>
  <si>
    <t>Sean's taking classes in art.</t>
  </si>
  <si>
    <t>28 meal</t>
  </si>
  <si>
    <t>When did you last eat a proper meal?</t>
  </si>
  <si>
    <t>28 snack</t>
  </si>
  <si>
    <t>The cafe serves drinks, snacks, and meals.</t>
  </si>
  <si>
    <t>28 office worker</t>
  </si>
  <si>
    <t>The bar is full of office workers.</t>
  </si>
  <si>
    <t>28 lunch</t>
  </si>
  <si>
    <t>We had lunch before we left.</t>
  </si>
  <si>
    <t>28 lunchtime</t>
  </si>
  <si>
    <t>I'll give you a call at lunchtime.</t>
  </si>
  <si>
    <t>29 daily life</t>
  </si>
  <si>
    <t>Daily life has its ups and downs.</t>
  </si>
  <si>
    <t>29 beach</t>
  </si>
  <si>
    <t>Shall we go to the beach?</t>
  </si>
  <si>
    <t>29 stay</t>
  </si>
  <si>
    <t>I'll stay in the car and wait for you.</t>
  </si>
  <si>
    <t>30 normally</t>
  </si>
  <si>
    <t>I normally cycle to college.</t>
  </si>
  <si>
    <t>30 open</t>
  </si>
  <si>
    <t>Come in - the door's open.</t>
  </si>
  <si>
    <t>30 close</t>
  </si>
  <si>
    <t>Do you mind if I close the window?</t>
  </si>
  <si>
    <t>30 start</t>
  </si>
  <si>
    <t>Now you're here, we can start.</t>
  </si>
  <si>
    <t>30 finish (v)</t>
  </si>
  <si>
    <t>Have you finished your homework?</t>
  </si>
  <si>
    <t>31 get up early</t>
  </si>
  <si>
    <t>I get up early to be at work at 7'O clock.</t>
  </si>
  <si>
    <t>31 go to bed late</t>
  </si>
  <si>
    <t>He's tired in the morning because he goes to bed late.</t>
  </si>
  <si>
    <t>31 have breakfast</t>
  </si>
  <si>
    <t>Shall we have breakfast on the balcony?</t>
  </si>
  <si>
    <t>31 have lunch</t>
  </si>
  <si>
    <t>Let's have lunch in the garden.</t>
  </si>
  <si>
    <t>31 have dinner</t>
  </si>
  <si>
    <t>We usually have dinner around 6.30 p.m.</t>
  </si>
  <si>
    <t>31 catch the bus</t>
  </si>
  <si>
    <t>He catches the bus, but she walks.</t>
  </si>
  <si>
    <t>31 have a bath</t>
  </si>
  <si>
    <t>She had a bath to relax.</t>
  </si>
  <si>
    <t>31 have a shower</t>
  </si>
  <si>
    <t>I always have a cold shower.</t>
  </si>
  <si>
    <t>32 language</t>
  </si>
  <si>
    <t>Do you speak any foreign languages?</t>
  </si>
  <si>
    <t>32 daily routine</t>
  </si>
  <si>
    <t>She follows a strict daily routine.</t>
  </si>
  <si>
    <t>34 loves(n)</t>
  </si>
  <si>
    <t>My loves are music, sport and of course cinema.</t>
  </si>
  <si>
    <t>34 hates(n)</t>
  </si>
  <si>
    <t>His hates include unpunctual people.</t>
  </si>
  <si>
    <t>34 dog</t>
  </si>
  <si>
    <t>We got a big dog to frighten away burglars.</t>
  </si>
  <si>
    <t>34 doll</t>
  </si>
  <si>
    <t>A small wooden doll.</t>
  </si>
  <si>
    <t>34 crowd</t>
  </si>
  <si>
    <t>A large crowd of football supporters.</t>
  </si>
  <si>
    <t>34 spider</t>
  </si>
  <si>
    <t>A spider's web.</t>
  </si>
  <si>
    <t>34 fly (v)</t>
  </si>
  <si>
    <t>They flew to Paris for their honeymoon.</t>
  </si>
  <si>
    <t>34 housework</t>
  </si>
  <si>
    <t>I usually do the housework at weekends.</t>
  </si>
  <si>
    <t>34 hundreds</t>
  </si>
  <si>
    <t>He's had hundreds of girlfriends.</t>
  </si>
  <si>
    <t>35 cat</t>
  </si>
  <si>
    <t>What's wrong, you're like a cat on a hot tin roof.</t>
  </si>
  <si>
    <t>35 cook (v)</t>
  </si>
  <si>
    <t>Where did you learn to cook?</t>
  </si>
  <si>
    <t>35 cycle</t>
  </si>
  <si>
    <t>Don't walk on the cycle track.</t>
  </si>
  <si>
    <t>35 drive</t>
  </si>
  <si>
    <t>Can you drive a truck?</t>
  </si>
  <si>
    <t>35 run</t>
  </si>
  <si>
    <t>I can run faster than Tom.</t>
  </si>
  <si>
    <t>36 film director</t>
  </si>
  <si>
    <t>Hitchcock was the greatest film director.</t>
  </si>
  <si>
    <t>36 send</t>
  </si>
  <si>
    <t>He sent the cheque last week.</t>
  </si>
  <si>
    <t>36 theatre</t>
  </si>
  <si>
    <t>Shall we go to the theatre this evening?</t>
  </si>
  <si>
    <t>36 art</t>
  </si>
  <si>
    <t>He's very good at art, look at these paintings.</t>
  </si>
  <si>
    <t>36 architecture</t>
  </si>
  <si>
    <t>The city has some beautiful architecture.</t>
  </si>
  <si>
    <t>36 local</t>
  </si>
  <si>
    <t>Our kids go to the local school.</t>
  </si>
  <si>
    <t>36 enjoy</t>
  </si>
  <si>
    <t>My wife enjoys riding.</t>
  </si>
  <si>
    <t>36 free time</t>
  </si>
  <si>
    <t>What do you do in your free time?</t>
  </si>
  <si>
    <t>36 miss</t>
  </si>
  <si>
    <t>I really missed Paula after she'd left.</t>
  </si>
  <si>
    <t>36 ordinary</t>
  </si>
  <si>
    <t>It's just an ordinary camera.</t>
  </si>
  <si>
    <t>36 Wales</t>
  </si>
  <si>
    <t>Shrewsbury is located between England and Wales.</t>
  </si>
  <si>
    <t>36 billionaire</t>
  </si>
  <si>
    <t>He started in the local market, now he's a billionaire.</t>
  </si>
  <si>
    <t>36 couple</t>
  </si>
  <si>
    <t>Stuart and Michelle make a great couple.</t>
  </si>
  <si>
    <t>36 still</t>
  </si>
  <si>
    <t>Andy's still asleep.</t>
  </si>
  <si>
    <t>36 Welsh</t>
  </si>
  <si>
    <t>The Welsh rugby team crushed the English.</t>
  </si>
  <si>
    <t>37 both</t>
  </si>
  <si>
    <t>Anne and John are both scientists.</t>
  </si>
  <si>
    <t>37 hospital</t>
  </si>
  <si>
    <t>Rick's dad is in hospital for an operation.</t>
  </si>
  <si>
    <t>37 near</t>
  </si>
  <si>
    <t>He lives near Bristol.</t>
  </si>
  <si>
    <t>37 sometimes</t>
  </si>
  <si>
    <t>I go there for lunch sometimes.</t>
  </si>
  <si>
    <t>37 monkey</t>
  </si>
  <si>
    <t>Stop that, you little monkey!</t>
  </si>
  <si>
    <t>37 weather</t>
  </si>
  <si>
    <t>Did you have good weather on your trip?</t>
  </si>
  <si>
    <t>37 own</t>
  </si>
  <si>
    <t>She wants her own room.</t>
  </si>
  <si>
    <t>38 newspaper</t>
  </si>
  <si>
    <t>I saw his picture in the newspaper.</t>
  </si>
  <si>
    <t>38 letter</t>
  </si>
  <si>
    <t>I got a letter from my friend Anne yesterday.</t>
  </si>
  <si>
    <t>38 nothing</t>
  </si>
  <si>
    <t>Nothing surprises me any more.</t>
  </si>
  <si>
    <t>38 shopping</t>
  </si>
  <si>
    <t>I'll do the shopping this week.</t>
  </si>
  <si>
    <t>38 magazine</t>
  </si>
  <si>
    <t>I bought a magazine to read on the train.</t>
  </si>
  <si>
    <t>38 guitar</t>
  </si>
  <si>
    <t>An acoustic guitar.</t>
  </si>
  <si>
    <t>38 relative</t>
  </si>
  <si>
    <t>We'll be visiting relatives at Christmas.</t>
  </si>
  <si>
    <t>38 usually</t>
  </si>
  <si>
    <t>We usually go out for dinner on Saturday.</t>
  </si>
  <si>
    <t>38 often</t>
  </si>
  <si>
    <t>I often work at the weekend.</t>
  </si>
  <si>
    <t>38 never</t>
  </si>
  <si>
    <t>He never saw her again.</t>
  </si>
  <si>
    <t>38 always</t>
  </si>
  <si>
    <t>Always lock your car.</t>
  </si>
  <si>
    <t>38 ever</t>
  </si>
  <si>
    <t>Have you ever eaten snails?</t>
  </si>
  <si>
    <t>38 concert</t>
  </si>
  <si>
    <t>We went to a concert last night.</t>
  </si>
  <si>
    <t>38 how about you?</t>
  </si>
  <si>
    <t>I'm hungry, how about you?</t>
  </si>
  <si>
    <t>38 visit</t>
  </si>
  <si>
    <t>My aunt is coming to visit us next week.</t>
  </si>
  <si>
    <t>38 poetry</t>
  </si>
  <si>
    <t>Shelley's poetry brings me to tears.</t>
  </si>
  <si>
    <t>39 Ireland</t>
  </si>
  <si>
    <t>Ireland drew with France.</t>
  </si>
  <si>
    <t>39 type</t>
  </si>
  <si>
    <t>What type of food do you like?</t>
  </si>
  <si>
    <t>39 piano</t>
  </si>
  <si>
    <t>I'm learning to play the piano.</t>
  </si>
  <si>
    <t>39 also</t>
  </si>
  <si>
    <t>We specialize in shoes, but we also sell handbags.</t>
  </si>
  <si>
    <t>39 go out</t>
  </si>
  <si>
    <t>Shall we go out tonight or stay in?</t>
  </si>
  <si>
    <t>39 travel</t>
  </si>
  <si>
    <t>Martha would like to travel abroad.</t>
  </si>
  <si>
    <t>39 meat</t>
  </si>
  <si>
    <t>I don't eat meat, I'm vegetarian.</t>
  </si>
  <si>
    <t>39 receive</t>
  </si>
  <si>
    <t>She received a letter from her mother.</t>
  </si>
  <si>
    <t>39 interest</t>
  </si>
  <si>
    <t>We both have an interest in music.</t>
  </si>
  <si>
    <t>39 classical</t>
  </si>
  <si>
    <t>Classical music is much better than hip-hop.</t>
  </si>
  <si>
    <t>39 agree</t>
  </si>
  <si>
    <t>I agree with Karen. It's much too expensive.</t>
  </si>
  <si>
    <t>40 polite</t>
  </si>
  <si>
    <t>He was always very polite.</t>
  </si>
  <si>
    <t>40 bill</t>
  </si>
  <si>
    <t>Have you paid the electricity bill ?</t>
  </si>
  <si>
    <t>40 lemonade</t>
  </si>
  <si>
    <t>A glass of lemonade.</t>
  </si>
  <si>
    <t>40 drink (n)</t>
  </si>
  <si>
    <t>Can I have a drink of water please?</t>
  </si>
  <si>
    <t>40 good idea</t>
  </si>
  <si>
    <t>That's a good idea, let's do it.</t>
  </si>
  <si>
    <t>40 anything else</t>
  </si>
  <si>
    <t>Is that all or is there anything else?</t>
  </si>
  <si>
    <t>40 just a minute</t>
  </si>
  <si>
    <t>Just a minute, that doesn't seem right.</t>
  </si>
  <si>
    <t>40 another</t>
  </si>
  <si>
    <t>Do you want another waffle?</t>
  </si>
  <si>
    <t>40 clean</t>
  </si>
  <si>
    <t>Have you any clean towels?</t>
  </si>
  <si>
    <t>40 spoon</t>
  </si>
  <si>
    <t>He used a spoon to eat spaghetti.</t>
  </si>
  <si>
    <t>40 sugar</t>
  </si>
  <si>
    <t>Do you take sugar in your tea?</t>
  </si>
  <si>
    <t>40 coffee</t>
  </si>
  <si>
    <t>I don't like coffee.</t>
  </si>
  <si>
    <t>41 violin</t>
  </si>
  <si>
    <t>He plays violin in the school orchestra.</t>
  </si>
  <si>
    <t>41 catch</t>
  </si>
  <si>
    <t>Tom leapt up and caught the ball.</t>
  </si>
  <si>
    <t>41 large</t>
  </si>
  <si>
    <t>A large house with 15 rooms.</t>
  </si>
  <si>
    <t>41 place</t>
  </si>
  <si>
    <t>I like this place a lot - they have really good food.</t>
  </si>
  <si>
    <t>41 watch</t>
  </si>
  <si>
    <t>Watch me, I'll show you.</t>
  </si>
  <si>
    <t>42 train</t>
  </si>
  <si>
    <t>What time's the next train to Clarkesville?</t>
  </si>
  <si>
    <t>42 tram</t>
  </si>
  <si>
    <t>They best way to get around Milan is by tram.</t>
  </si>
  <si>
    <t>42 aeroplane</t>
  </si>
  <si>
    <t>I've never flown an aeroplane before.</t>
  </si>
  <si>
    <t>42 ship</t>
  </si>
  <si>
    <t>Supplies came by ship.</t>
  </si>
  <si>
    <t>42 scooter</t>
  </si>
  <si>
    <t>Nearly every Italian kid has a scooter.</t>
  </si>
  <si>
    <t>42 ferry</t>
  </si>
  <si>
    <t>We took the car on the Channel ferry.</t>
  </si>
  <si>
    <t>42 underground</t>
  </si>
  <si>
    <t>The London underground is called "the Tube"</t>
  </si>
  <si>
    <t>42 subway</t>
  </si>
  <si>
    <t>The New York City subway.</t>
  </si>
  <si>
    <t>42 business people</t>
  </si>
  <si>
    <t>Look at all the suits, it's full of business people.</t>
  </si>
  <si>
    <t>42 by car</t>
  </si>
  <si>
    <t>We go to school by car.</t>
  </si>
  <si>
    <t>42 by bus</t>
  </si>
  <si>
    <t>They organised two trips by bus.</t>
  </si>
  <si>
    <t>42 on foot</t>
  </si>
  <si>
    <t>It's not far, go no foot.</t>
  </si>
  <si>
    <t>42 queue (n)</t>
  </si>
  <si>
    <t>There was a long queue outside the cinema.</t>
  </si>
  <si>
    <t>42 passenger</t>
  </si>
  <si>
    <t>Rail passengers are facing even longer delays.</t>
  </si>
  <si>
    <t>42 crowded</t>
  </si>
  <si>
    <t>The beach is crowded in summer.</t>
  </si>
  <si>
    <t>42 slowly</t>
  </si>
  <si>
    <t>White clouds drifted slowly across the sky.</t>
  </si>
  <si>
    <t>42 traffic</t>
  </si>
  <si>
    <t>There was heavy traffic on the motorway.</t>
  </si>
  <si>
    <t>43 right</t>
  </si>
  <si>
    <t>Take a right at the traffic lights.</t>
  </si>
  <si>
    <t>43 left</t>
  </si>
  <si>
    <t>The scar was on the left side of his face.</t>
  </si>
  <si>
    <t>43 wait</t>
  </si>
  <si>
    <t>Hurry up! Everyone's waiting.</t>
  </si>
  <si>
    <t>43 difficult</t>
  </si>
  <si>
    <t>Skiing isn't difficult, but it takes practice.</t>
  </si>
  <si>
    <t>43 get on</t>
  </si>
  <si>
    <t>Get on the bus at the station.</t>
  </si>
  <si>
    <t>43 get off</t>
  </si>
  <si>
    <t>We get off the train at Glasgow.</t>
  </si>
  <si>
    <t>43 journey</t>
  </si>
  <si>
    <t>How long does your journey to school take?</t>
  </si>
  <si>
    <t>43 Moscow</t>
  </si>
  <si>
    <t>The Kremlin is in Moscow.</t>
  </si>
  <si>
    <t>43 station</t>
  </si>
  <si>
    <t>I'm getting off at the next station.</t>
  </si>
  <si>
    <t>43 walk</t>
  </si>
  <si>
    <t>I usually walk to college.</t>
  </si>
  <si>
    <t>44 museum</t>
  </si>
  <si>
    <t>The Museum of Modern Art.</t>
  </si>
  <si>
    <t>44 transport</t>
  </si>
  <si>
    <t>Cycling is a healthy form of transport.</t>
  </si>
  <si>
    <t>44 cost</t>
  </si>
  <si>
    <t>The costs have gone up.</t>
  </si>
  <si>
    <t>44 because of</t>
  </si>
  <si>
    <t>Because of your attitude, you have to go.</t>
  </si>
  <si>
    <t>44 tip</t>
  </si>
  <si>
    <t>The tip of her nose.</t>
  </si>
  <si>
    <t>44 free</t>
  </si>
  <si>
    <t>There's a free gift with this month's magazine.</t>
  </si>
  <si>
    <t>44 through</t>
  </si>
  <si>
    <t>They drove through the tunnel under the mountain.</t>
  </si>
  <si>
    <t>44 Natural History</t>
  </si>
  <si>
    <t>He's a Professor of Natural History.</t>
  </si>
  <si>
    <t>44 Air Train</t>
  </si>
  <si>
    <t>It's a new transport system at the airport called the air train.</t>
  </si>
  <si>
    <t>44 afternoon</t>
  </si>
  <si>
    <t>I'll see you on Sunday afternoon .</t>
  </si>
  <si>
    <t>44 every</t>
  </si>
  <si>
    <t>Every student will take the test.</t>
  </si>
  <si>
    <t>45 it depends</t>
  </si>
  <si>
    <t>It depends on how she reacts.</t>
  </si>
  <si>
    <t>45 smoke</t>
  </si>
  <si>
    <t>Clouds of smoke came from the chimney.</t>
  </si>
  <si>
    <t>45 easily</t>
  </si>
  <si>
    <t>You can find information easily on the Internet.</t>
  </si>
  <si>
    <t>45 safely</t>
  </si>
  <si>
    <t>Drive safely!</t>
  </si>
  <si>
    <t>45 midnight</t>
  </si>
  <si>
    <t>We close at midnight.</t>
  </si>
  <si>
    <t>45 scheduled</t>
  </si>
  <si>
    <t>The meeting has been scheduled for Friday.</t>
  </si>
  <si>
    <t>45 departure</t>
  </si>
  <si>
    <t>Check in at the airport an hour before departure.</t>
  </si>
  <si>
    <t>45 arrival</t>
  </si>
  <si>
    <t>Julie met Mike a few days after her arrival at college.</t>
  </si>
  <si>
    <t>45 transit</t>
  </si>
  <si>
    <t>Goods often get lost in transit.</t>
  </si>
  <si>
    <t>45 delayed</t>
  </si>
  <si>
    <t>The elections will be delayed until June.</t>
  </si>
  <si>
    <t>45 last call</t>
  </si>
  <si>
    <t>Last call for passengers travelling to New York, the flight is about to depart.</t>
  </si>
  <si>
    <t>45 proceed</t>
  </si>
  <si>
    <t>Passengers are requested to proceed to  gate 7.</t>
  </si>
  <si>
    <t>45 late</t>
  </si>
  <si>
    <t>Sorry I'm late!</t>
  </si>
  <si>
    <t>45 change</t>
  </si>
  <si>
    <t>She's changed a lot.</t>
  </si>
  <si>
    <t>45 final call</t>
  </si>
  <si>
    <t>I heard the final call but it was too late.</t>
  </si>
  <si>
    <t>45 show</t>
  </si>
  <si>
    <t>She showed me her photos.</t>
  </si>
  <si>
    <t>45 passport</t>
  </si>
  <si>
    <t>My son holds an American passport.</t>
  </si>
  <si>
    <t>45 desk</t>
  </si>
  <si>
    <t>The woman at the desk for my tickets.</t>
  </si>
  <si>
    <t>46 international</t>
  </si>
  <si>
    <t>There are few international flights from this airport.</t>
  </si>
  <si>
    <t>46 spend</t>
  </si>
  <si>
    <t>I've spent all my money.</t>
  </si>
  <si>
    <t>46 United Arab Emirates</t>
  </si>
  <si>
    <t>46 real</t>
  </si>
  <si>
    <t>The story is based on real events.</t>
  </si>
  <si>
    <t>46 busy</t>
  </si>
  <si>
    <t>Alex is busy studying for his exams.</t>
  </si>
  <si>
    <t>46 carry</t>
  </si>
  <si>
    <t>Let me carry that bag for you.</t>
  </si>
  <si>
    <t>47 object</t>
  </si>
  <si>
    <t>She had several strange-looking objects in her bag.</t>
  </si>
  <si>
    <t>47 building</t>
  </si>
  <si>
    <t>The science laboratory is in this building.</t>
  </si>
  <si>
    <t>48 far</t>
  </si>
  <si>
    <t>We don't live far from the station.</t>
  </si>
  <si>
    <t>48 kilometre</t>
  </si>
  <si>
    <t>The town is 3 kilometres from the hotel.</t>
  </si>
  <si>
    <t>48 several</t>
  </si>
  <si>
    <t>I called several times, but she never got back to me.</t>
  </si>
  <si>
    <t>48 nearly</t>
  </si>
  <si>
    <t>We've nearly finished.</t>
  </si>
  <si>
    <t>48 road</t>
  </si>
  <si>
    <t>Is this the road to Stratford?</t>
  </si>
  <si>
    <t>48 poor</t>
  </si>
  <si>
    <t>Her family were very poor, but still had their pride.</t>
  </si>
  <si>
    <t>49 platform</t>
  </si>
  <si>
    <t>The train for Hogwarts leaves from Platform 9¾.</t>
  </si>
  <si>
    <t>49 return</t>
  </si>
  <si>
    <t>She didn't return until late.</t>
  </si>
  <si>
    <t>49 sign (v)</t>
  </si>
  <si>
    <t>Sign your name here please.</t>
  </si>
  <si>
    <t>49 ticket clerk</t>
  </si>
  <si>
    <t>The ticket clerk was very rude.</t>
  </si>
  <si>
    <t>49 south</t>
  </si>
  <si>
    <t>Which way is south?</t>
  </si>
  <si>
    <t>49 expensive</t>
  </si>
  <si>
    <t>We can't afford this - it's too expensive.</t>
  </si>
  <si>
    <t>49 public transport</t>
  </si>
  <si>
    <t>The government should put more into public transport.</t>
  </si>
  <si>
    <t>52 countable</t>
  </si>
  <si>
    <t>52 uncountable</t>
  </si>
  <si>
    <t>52 milk</t>
  </si>
  <si>
    <t>A glass of milk.</t>
  </si>
  <si>
    <t>52 egg</t>
  </si>
  <si>
    <t>Blackbirds lay their eggs in March.</t>
  </si>
  <si>
    <t>52 butter</t>
  </si>
  <si>
    <t>Fry the onions in butter.</t>
  </si>
  <si>
    <t>52 cereal</t>
  </si>
  <si>
    <t>A bowl of cereal.</t>
  </si>
  <si>
    <t>52 orange</t>
  </si>
  <si>
    <t>Sicilian oranges taste great.</t>
  </si>
  <si>
    <t>52 jam</t>
  </si>
  <si>
    <t>I like raspberry jam on my toast.</t>
  </si>
  <si>
    <t>52 apple</t>
  </si>
  <si>
    <t>Grandma's apple pie - can't beat it.</t>
  </si>
  <si>
    <t>52 toast</t>
  </si>
  <si>
    <t>Welsh butter tastes great on toast.</t>
  </si>
  <si>
    <t>52 bread roll</t>
  </si>
  <si>
    <t>We had a bread roll with our soup.</t>
  </si>
  <si>
    <t>52 sausage</t>
  </si>
  <si>
    <t>Put some sausages on the barbecue.</t>
  </si>
  <si>
    <t>52 grape</t>
  </si>
  <si>
    <t>Try some grapes with Gorgonzola - fantastic!</t>
  </si>
  <si>
    <t>52 banana</t>
  </si>
  <si>
    <t>Have you ever tried a banana on the barbecue?</t>
  </si>
  <si>
    <t>52 cheese</t>
  </si>
  <si>
    <t>My packed lunch consists of a cheese sandwich.</t>
  </si>
  <si>
    <t>52 yoghurt</t>
  </si>
  <si>
    <t>A pot of strawberry yogurt.</t>
  </si>
  <si>
    <t>52 orange juice</t>
  </si>
  <si>
    <t>I only like freshly-squeezed orange juice.</t>
  </si>
  <si>
    <t>52 water</t>
  </si>
  <si>
    <t>Can I have a drink of water?</t>
  </si>
  <si>
    <t>52 tea</t>
  </si>
  <si>
    <t>Let's have a nice cup of tea.</t>
  </si>
  <si>
    <t>52 fruit</t>
  </si>
  <si>
    <t>Bananas are my favourite fruit.</t>
  </si>
  <si>
    <t>52 biscuit</t>
  </si>
  <si>
    <t>Who wants a chocolate biscuit?</t>
  </si>
  <si>
    <t>53 true</t>
  </si>
  <si>
    <t>Is it true that you're moving to Skye?</t>
  </si>
  <si>
    <t>53 some</t>
  </si>
  <si>
    <t>Do you want some coffee?</t>
  </si>
  <si>
    <t>53 false</t>
  </si>
  <si>
    <t>He gave false information to the police.</t>
  </si>
  <si>
    <t>53 picture</t>
  </si>
  <si>
    <t>That's a nice picture of Jeanette.</t>
  </si>
  <si>
    <t>53 wall</t>
  </si>
  <si>
    <t>We stuck pictures on the classroom walls .</t>
  </si>
  <si>
    <t>53 bin</t>
  </si>
  <si>
    <t>She threw the letter in the bin.</t>
  </si>
  <si>
    <t>53 plant</t>
  </si>
  <si>
    <t>Don't forget to water the plants.</t>
  </si>
  <si>
    <t>53 coffee machine</t>
  </si>
  <si>
    <t>There's a coffee machine in front of the lift.</t>
  </si>
  <si>
    <t>53 floor</t>
  </si>
  <si>
    <t>There was a pile of books on the floor .</t>
  </si>
  <si>
    <t>53 try</t>
  </si>
  <si>
    <t>I'm trying to find out what happened.</t>
  </si>
  <si>
    <t>54 carrot</t>
  </si>
  <si>
    <t>Carrots make you see better in the dark - rubbish!</t>
  </si>
  <si>
    <t>54 chocolate</t>
  </si>
  <si>
    <t>A chocolate bar.</t>
  </si>
  <si>
    <t>54 vegetable</t>
  </si>
  <si>
    <t>We had some vegetables with our meat.</t>
  </si>
  <si>
    <t>54 grilled</t>
  </si>
  <si>
    <t>My mum likes only grilled salmon.</t>
  </si>
  <si>
    <t>54 fish</t>
  </si>
  <si>
    <t>How many fish did you catch?</t>
  </si>
  <si>
    <t>54 lemon</t>
  </si>
  <si>
    <t>A slice of lemon in my G&amp;T please.</t>
  </si>
  <si>
    <t>54 melon</t>
  </si>
  <si>
    <t>Cut the melon in half and scoop out the flesh, then add the Parma ham.</t>
  </si>
  <si>
    <t>54 noodles</t>
  </si>
  <si>
    <t>Drop the noodles into boiling salted water.</t>
  </si>
  <si>
    <t>54 nut</t>
  </si>
  <si>
    <t>A cashew nut.</t>
  </si>
  <si>
    <t>54 pasta</t>
  </si>
  <si>
    <t>My favourite pasta is farfalle .</t>
  </si>
  <si>
    <t>54 rice</t>
  </si>
  <si>
    <t>We had chicken with boiled rice.</t>
  </si>
  <si>
    <t>54 vitamin</t>
  </si>
  <si>
    <t>Oranges contain a lot of vitamin C.</t>
  </si>
  <si>
    <t>54 mineral</t>
  </si>
  <si>
    <t>The area is very rich in minerals.</t>
  </si>
  <si>
    <t>54 protein</t>
  </si>
  <si>
    <t>He's on a protein diet to gain weight.</t>
  </si>
  <si>
    <t>54 calories</t>
  </si>
  <si>
    <t>An average potato has about 90 calories.</t>
  </si>
  <si>
    <t>54 healthy</t>
  </si>
  <si>
    <t>I suddenly feel healthy since I stopped smoking.</t>
  </si>
  <si>
    <t>54 unhealthy</t>
  </si>
  <si>
    <t>She always looks so unhealthy.</t>
  </si>
  <si>
    <t>54 vegetarian</t>
  </si>
  <si>
    <t>Did you know that a lot of Italian food is vegetarian?</t>
  </si>
  <si>
    <t>54 dark</t>
  </si>
  <si>
    <t>It's only five o'clock, and it's already dark .</t>
  </si>
  <si>
    <t>54 fact</t>
  </si>
  <si>
    <t>They won't make a decision until they know the facts.</t>
  </si>
  <si>
    <t>54 myth</t>
  </si>
  <si>
    <t>It's a myth that Elvis Presley is still alive.</t>
  </si>
  <si>
    <t>54 natural</t>
  </si>
  <si>
    <t>Echinacea is a natural remedy for colds+G464.</t>
  </si>
  <si>
    <t>54 fruit juice</t>
  </si>
  <si>
    <t>The only fruit juice they had was pear.</t>
  </si>
  <si>
    <t>54 teeth</t>
  </si>
  <si>
    <t>54 between</t>
  </si>
  <si>
    <t>He sat between the two women on the sofa.</t>
  </si>
  <si>
    <t>54 instead</t>
  </si>
  <si>
    <t>If Jane can't go, I'll go instead.</t>
  </si>
  <si>
    <t>54 up to</t>
  </si>
  <si>
    <t>It's up to you what you do.</t>
  </si>
  <si>
    <t>54 feel</t>
  </si>
  <si>
    <t>I felt cold and lonely.</t>
  </si>
  <si>
    <t>54 hungry</t>
  </si>
  <si>
    <t>I'm getting hungry , let's eat!</t>
  </si>
  <si>
    <t>54 sugary</t>
  </si>
  <si>
    <t>Sugary drinks.</t>
  </si>
  <si>
    <t>54 tired</t>
  </si>
  <si>
    <t>You look tired.</t>
  </si>
  <si>
    <t>54 cup</t>
  </si>
  <si>
    <t>Would you like a cup of tea?</t>
  </si>
  <si>
    <t>54 generally</t>
  </si>
  <si>
    <t>The arrangements have generally worked well.</t>
  </si>
  <si>
    <t>54 put</t>
  </si>
  <si>
    <t>Where did I put my keys?</t>
  </si>
  <si>
    <t>54 especially</t>
  </si>
  <si>
    <t>The town is very busy, especially in summer.</t>
  </si>
  <si>
    <t>54 dish</t>
  </si>
  <si>
    <t>A dish of cherry pie with whipped cream</t>
  </si>
  <si>
    <t>54 contain</t>
  </si>
  <si>
    <t>The suitcase contained a lot of old clothes.</t>
  </si>
  <si>
    <t>54 oil</t>
  </si>
  <si>
    <t>Kuwait is one of the countries that exports oil.</t>
  </si>
  <si>
    <t>54 fattening</t>
  </si>
  <si>
    <t>Avoid fattening foods like doughnuts.</t>
  </si>
  <si>
    <t>54 portion</t>
  </si>
  <si>
    <t>Two portions of fries, please.</t>
  </si>
  <si>
    <t>54 need</t>
  </si>
  <si>
    <t>These plants need plenty of light and water.</t>
  </si>
  <si>
    <t>54 diet</t>
  </si>
  <si>
    <t>It is important to eat a healthy diet.</t>
  </si>
  <si>
    <t>54 for example</t>
  </si>
  <si>
    <t>Take a fine wine, for example Rioja.</t>
  </si>
  <si>
    <t>54 balanced</t>
  </si>
  <si>
    <t>He has a very balanced attitude to the situation.</t>
  </si>
  <si>
    <t>54 particularly</t>
  </si>
  <si>
    <t>Crime is increasing, particularly in the cities.</t>
  </si>
  <si>
    <t>55 list</t>
  </si>
  <si>
    <t>I need a list of the people coming to the party.</t>
  </si>
  <si>
    <t>56 blood</t>
  </si>
  <si>
    <t>I cut my finger and there was blood everywhere!</t>
  </si>
  <si>
    <t>56 human body</t>
  </si>
  <si>
    <t>It's a documentary about the human body.</t>
  </si>
  <si>
    <t>56 desert</t>
  </si>
  <si>
    <t>The Sahara desert.</t>
  </si>
  <si>
    <t>56 mile</t>
  </si>
  <si>
    <t>My house is about 15 miles north of here.</t>
  </si>
  <si>
    <t>56 cigarette</t>
  </si>
  <si>
    <t>A packet of cigarettes</t>
  </si>
  <si>
    <t>56 smoke (v)</t>
  </si>
  <si>
    <t>I don't smoke any more.</t>
  </si>
  <si>
    <t>56 sleep</t>
  </si>
  <si>
    <t>56 gym</t>
  </si>
  <si>
    <t>I go to the gym twice a week.</t>
  </si>
  <si>
    <t>57 soup</t>
  </si>
  <si>
    <t>Tomato soup.</t>
  </si>
  <si>
    <t>57 prawn</t>
  </si>
  <si>
    <t>a prawn sandwich</t>
  </si>
  <si>
    <t>57 chicken</t>
  </si>
  <si>
    <t>Roast chicken.</t>
  </si>
  <si>
    <t>57 plate</t>
  </si>
  <si>
    <t>Take a plate and help yourself.</t>
  </si>
  <si>
    <t>57 knife</t>
  </si>
  <si>
    <t>This knife is very sharp.</t>
  </si>
  <si>
    <t>57 fork</t>
  </si>
  <si>
    <t>Put the knives and forks on the table.</t>
  </si>
  <si>
    <t>57 sunglasses</t>
  </si>
  <si>
    <t>Vic folded his sunglasses and put them in his pocket.</t>
  </si>
  <si>
    <t>57 hat</t>
  </si>
  <si>
    <t>A big straw hat.</t>
  </si>
  <si>
    <t>57 dress</t>
  </si>
  <si>
    <t>Can you dress the kids?</t>
  </si>
  <si>
    <t>57 feather</t>
  </si>
  <si>
    <t>An ostrich feather.</t>
  </si>
  <si>
    <t>57 balloon</t>
  </si>
  <si>
    <t>Can you blow up these balloons?</t>
  </si>
  <si>
    <t>57 drum</t>
  </si>
  <si>
    <t>Jason plays the drums.</t>
  </si>
  <si>
    <t>57 difference</t>
  </si>
  <si>
    <t>The main difference between them is their age.</t>
  </si>
  <si>
    <t>57 describe</t>
  </si>
  <si>
    <t>Police asked the woman to describe her attacker.</t>
  </si>
  <si>
    <t>57 middle</t>
  </si>
  <si>
    <t>We rowed out to the middle of the lake.</t>
  </si>
  <si>
    <t>57 cap</t>
  </si>
  <si>
    <t>A baseball cap.</t>
  </si>
  <si>
    <t>57 dress (n)</t>
  </si>
  <si>
    <t>She was wearing a white dress.</t>
  </si>
  <si>
    <t>58 burger</t>
  </si>
  <si>
    <t>Antonio ate half his burger in one bite.</t>
  </si>
  <si>
    <t>58 mayonnaise</t>
  </si>
  <si>
    <t>Do you want ketchup or mayonnaise on your chips?</t>
  </si>
  <si>
    <t>58 order (v)</t>
  </si>
  <si>
    <t>He sat down and ordered a beer.</t>
  </si>
  <si>
    <t>58 eat in</t>
  </si>
  <si>
    <t>We're eating in tonight.</t>
  </si>
  <si>
    <t>58 altogether</t>
  </si>
  <si>
    <t>Bradley seems to have disappeared altogether.</t>
  </si>
  <si>
    <t>59 grow</t>
  </si>
  <si>
    <t>Babies grow quickly in their first year.</t>
  </si>
  <si>
    <t>59 bunch</t>
  </si>
  <si>
    <t>He gave her a bunch of flowers.</t>
  </si>
  <si>
    <t>59 used to</t>
  </si>
  <si>
    <t>We used to go to the movies every week.</t>
  </si>
  <si>
    <t>59 mixture</t>
  </si>
  <si>
    <t>Stir the mixture with a spoon until it is smooth.</t>
  </si>
  <si>
    <t>59 wheat</t>
  </si>
  <si>
    <t>A field of wheat.</t>
  </si>
  <si>
    <t>59 mix</t>
  </si>
  <si>
    <t>Oil and water don't mix.</t>
  </si>
  <si>
    <t>59 traffic jam</t>
  </si>
  <si>
    <t>We were stuck in a traffic jam for hours.</t>
  </si>
  <si>
    <t>59 match (n)</t>
  </si>
  <si>
    <t>Did you watch the match between Kenya and Ireland?</t>
  </si>
  <si>
    <t>59 glass</t>
  </si>
  <si>
    <t>The ball hit the window and broke the glass.</t>
  </si>
  <si>
    <t>59 information desk</t>
  </si>
  <si>
    <t>You can pick up a leaflet from the information desk.</t>
  </si>
  <si>
    <t>60 scientist</t>
  </si>
  <si>
    <t>A brilliant scientist.</t>
  </si>
  <si>
    <t>60 political leader</t>
  </si>
  <si>
    <t>He was one of the great political leaders of the twentieth century.</t>
  </si>
  <si>
    <t>60 artist</t>
  </si>
  <si>
    <t>It is hard to make money as an artist.</t>
  </si>
  <si>
    <t>60 comedian</t>
  </si>
  <si>
    <t>He started as a stand-up comedian.</t>
  </si>
  <si>
    <t>60 writer</t>
  </si>
  <si>
    <t>A science-fiction writer.</t>
  </si>
  <si>
    <t>60 composer</t>
  </si>
  <si>
    <t>The centenary of the composer's birth</t>
  </si>
  <si>
    <t>60 born</t>
  </si>
  <si>
    <t>Where were you born?</t>
  </si>
  <si>
    <t>60 deaf</t>
  </si>
  <si>
    <t>Deaf children.</t>
  </si>
  <si>
    <t>60 president</t>
  </si>
  <si>
    <t>President Lincoln.</t>
  </si>
  <si>
    <t>60 United States</t>
  </si>
  <si>
    <t>That area of the United States is known for hurricanes.</t>
  </si>
  <si>
    <t>60 originally</t>
  </si>
  <si>
    <t>61 blind</t>
  </si>
  <si>
    <t>She's almost blind in her right eye.</t>
  </si>
  <si>
    <t>61 communist</t>
  </si>
  <si>
    <t>The Communist Party.</t>
  </si>
  <si>
    <t>61 leader</t>
  </si>
  <si>
    <t>Leaders of the black community.</t>
  </si>
  <si>
    <t>61 ballet dancer</t>
  </si>
  <si>
    <t>He married a ballet dancer.</t>
  </si>
  <si>
    <t>61 mathematician</t>
  </si>
  <si>
    <t>You need to be a mathematician to understand those figures.</t>
  </si>
  <si>
    <t>61 opera singer</t>
  </si>
  <si>
    <t>She's a trained opera singer.</t>
  </si>
  <si>
    <t>61 at home</t>
  </si>
  <si>
    <t>We were at home all evening officer.</t>
  </si>
  <si>
    <t>61 frightened</t>
  </si>
  <si>
    <t>Don't be frightened. I won't hurt you.</t>
  </si>
  <si>
    <t>61 popular</t>
  </si>
  <si>
    <t>Is Ben popular at school?</t>
  </si>
  <si>
    <t>61 emperor</t>
  </si>
  <si>
    <t>The emperor was in residence at his summer palace.</t>
  </si>
  <si>
    <t>61 revolution</t>
  </si>
  <si>
    <t>The French Revolution.</t>
  </si>
  <si>
    <t>61 landing (n)</t>
  </si>
  <si>
    <t>The pilot had to make an emergency landing.</t>
  </si>
  <si>
    <t>61 moon</t>
  </si>
  <si>
    <t>The first person to land on the moon</t>
  </si>
  <si>
    <t>61 war</t>
  </si>
  <si>
    <t>He was a prisoner during the Vietnam War.</t>
  </si>
  <si>
    <t>61 hit single</t>
  </si>
  <si>
    <t>It was their first hit single.</t>
  </si>
  <si>
    <t>62 surprising</t>
  </si>
  <si>
    <t>It's hardly surprising that they lost the game.</t>
  </si>
  <si>
    <t>62 become</t>
  </si>
  <si>
    <t>Kennedy became the first Catholic president.</t>
  </si>
  <si>
    <t>62 be interested in</t>
  </si>
  <si>
    <t>He was very interested in her comments.</t>
  </si>
  <si>
    <t>62 graduate(v)</t>
  </si>
  <si>
    <t>étudeHe graduated from Harvard last year.</t>
  </si>
  <si>
    <t>62 network</t>
  </si>
  <si>
    <t>A high-speed European rail network.</t>
  </si>
  <si>
    <t>62 decide</t>
  </si>
  <si>
    <t>Megan decided to go to Denise's party.</t>
  </si>
  <si>
    <t>62 be linked</t>
  </si>
  <si>
    <t>It is linked with the incident last week.</t>
  </si>
  <si>
    <t>62 invent</t>
  </si>
  <si>
    <t>Alexander Bell invented the telephone.</t>
  </si>
  <si>
    <t>62 leave</t>
  </si>
  <si>
    <t>Frances left work early to meet her mother.</t>
  </si>
  <si>
    <t>62 look</t>
  </si>
  <si>
    <t>I didn't see it. I wasn't looking.</t>
  </si>
  <si>
    <t>62 hair</t>
  </si>
  <si>
    <t>Go and brush your hair.</t>
  </si>
  <si>
    <t>62 idea</t>
  </si>
  <si>
    <t>What a good idea!</t>
  </si>
  <si>
    <t>62 world wide</t>
  </si>
  <si>
    <t>Damage to the environment is a world wide issue.</t>
  </si>
  <si>
    <t>62 physics</t>
  </si>
  <si>
    <t>Advanced physics.</t>
  </si>
  <si>
    <t>62 Switzerland</t>
  </si>
  <si>
    <t>Switzerland is a federal republic.</t>
  </si>
  <si>
    <t>62 information network</t>
  </si>
  <si>
    <t>The I.T. guys have set up an information network on the server.</t>
  </si>
  <si>
    <t>62 call (v)</t>
  </si>
  <si>
    <t>His friends call him Andy.</t>
  </si>
  <si>
    <t>62 article</t>
  </si>
  <si>
    <t>I read an interesting article about drugs.</t>
  </si>
  <si>
    <t>62 universe</t>
  </si>
  <si>
    <t>Everything in the universe.</t>
  </si>
  <si>
    <t>62 everyone</t>
  </si>
  <si>
    <t>Is everyone ready to go?</t>
  </si>
  <si>
    <t>62 exchange</t>
  </si>
  <si>
    <t>Our aim is to encourage the exchange of information.</t>
  </si>
  <si>
    <t>62 personal details</t>
  </si>
  <si>
    <t>The police officer asked us for our personal details.</t>
  </si>
  <si>
    <t>63 arrive</t>
  </si>
  <si>
    <t>Your letter arrived yesterday.</t>
  </si>
  <si>
    <t>63 begin</t>
  </si>
  <si>
    <t>The meeting will begin at 10:00.</t>
  </si>
  <si>
    <t>63 believe</t>
  </si>
  <si>
    <t>Do you believe his story?</t>
  </si>
  <si>
    <t>63 can</t>
  </si>
  <si>
    <t>You can swim, can't you?</t>
  </si>
  <si>
    <t>63 take</t>
  </si>
  <si>
    <t>Take this note to Dr Mason.</t>
  </si>
  <si>
    <t>63 share</t>
  </si>
  <si>
    <t>I shared a room with her when I was at college.</t>
  </si>
  <si>
    <t>63 die</t>
  </si>
  <si>
    <t>He died at the age of 98.</t>
  </si>
  <si>
    <t>63 steal</t>
  </si>
  <si>
    <t>Someone stole my passport.</t>
  </si>
  <si>
    <t>63 want</t>
  </si>
  <si>
    <t>Do you want a drink?</t>
  </si>
  <si>
    <t>63 win</t>
  </si>
  <si>
    <t>Who do you think will win the election?</t>
  </si>
  <si>
    <t>63 Scotsman</t>
  </si>
  <si>
    <t>Sean Connery is a famous Scotsman.</t>
  </si>
  <si>
    <t>63 inventor</t>
  </si>
  <si>
    <t>The inventor of the telephone, Alexander Graham Bell.</t>
  </si>
  <si>
    <t>63 invention</t>
  </si>
  <si>
    <t>The computer was one of the most important inventions of the twentieth century.</t>
  </si>
  <si>
    <t>63 Patent Office</t>
  </si>
  <si>
    <t>Einstein began his career in a patent office.</t>
  </si>
  <si>
    <t>63 father in-law</t>
  </si>
  <si>
    <t>I borrowed my father-in-law's car.</t>
  </si>
  <si>
    <t>63 toy</t>
  </si>
  <si>
    <t>Anna was playing with her toys.</t>
  </si>
  <si>
    <t>63 congress</t>
  </si>
  <si>
    <t>A congress of the ruling Labour Party.</t>
  </si>
  <si>
    <t>63 Croatian</t>
  </si>
  <si>
    <t>The Croatian team won the match.</t>
  </si>
  <si>
    <t>63 sell</t>
  </si>
  <si>
    <t>He sold his car for £5000.</t>
  </si>
  <si>
    <t>63 Nobel Prize</t>
  </si>
  <si>
    <t>She won the Nobel Prize for literature.</t>
  </si>
  <si>
    <t>64 story</t>
  </si>
  <si>
    <t>Do you know the story of Peter Pan?</t>
  </si>
  <si>
    <t>64 period</t>
  </si>
  <si>
    <t>Do not sit at a computer for long periods.</t>
  </si>
  <si>
    <t>64 meet</t>
  </si>
  <si>
    <t>I'll meet you at 8 o'clock.</t>
  </si>
  <si>
    <t>64 servant</t>
  </si>
  <si>
    <t>Many young girls became domestic servants.</t>
  </si>
  <si>
    <t>64 during</t>
  </si>
  <si>
    <t>64 First World War</t>
  </si>
  <si>
    <t>It is a relic from the First World War.</t>
  </si>
  <si>
    <t>64 take sb. for a walk</t>
  </si>
  <si>
    <t>I took her for a walk to clear her head.</t>
  </si>
  <si>
    <t>64 find</t>
  </si>
  <si>
    <t>Will you help me find my bag?</t>
  </si>
  <si>
    <t>64 community</t>
  </si>
  <si>
    <t>The library serves the whole community.</t>
  </si>
  <si>
    <t>64 get married</t>
  </si>
  <si>
    <t>They got married in Las Vegas.</t>
  </si>
  <si>
    <t>64 third</t>
  </si>
  <si>
    <t>Josh came third in the race.</t>
  </si>
  <si>
    <t>64 second</t>
  </si>
  <si>
    <t>Joanna's in her second year at university.</t>
  </si>
  <si>
    <t>64 twelfth</t>
  </si>
  <si>
    <t>Her twelfth birthday.</t>
  </si>
  <si>
    <t>64 first</t>
  </si>
  <si>
    <t>January is the first month of the year.</t>
  </si>
  <si>
    <t>64 fifth</t>
  </si>
  <si>
    <t>Her fifth birthday</t>
  </si>
  <si>
    <t>64 tenth</t>
  </si>
  <si>
    <t>Her tenth book.</t>
  </si>
  <si>
    <t>64 seventh</t>
  </si>
  <si>
    <t>His seventh novel.</t>
  </si>
  <si>
    <t>65 last</t>
  </si>
  <si>
    <t>My last boyfriend was crazy about football.</t>
  </si>
  <si>
    <t>65 ago</t>
  </si>
  <si>
    <t>Jeff left an hour ago.</t>
  </si>
  <si>
    <t>65 clothes</t>
  </si>
  <si>
    <t>He got up and put on his clothes.</t>
  </si>
  <si>
    <t>65 outside</t>
  </si>
  <si>
    <t>Can I go and play outside, Dad?</t>
  </si>
  <si>
    <t>65 hairdresser</t>
  </si>
  <si>
    <t>An appointment at the hairdresser's.</t>
  </si>
  <si>
    <t>65 sea</t>
  </si>
  <si>
    <t>The Mediterranean Sea.</t>
  </si>
  <si>
    <t>65 lake</t>
  </si>
  <si>
    <t>Lake Michigan.</t>
  </si>
  <si>
    <t>65 over</t>
  </si>
  <si>
    <t>I jumped over the wall and ran along the bank.</t>
  </si>
  <si>
    <t>65 dentist</t>
  </si>
  <si>
    <t>I'm going to the dentist's this afternoon.</t>
  </si>
  <si>
    <t>65 go on holiday</t>
  </si>
  <si>
    <t>We're going on holiday next week.</t>
  </si>
  <si>
    <t>66 receptionist</t>
  </si>
  <si>
    <t>The receptionist gave him the key.</t>
  </si>
  <si>
    <t>67 hate</t>
  </si>
  <si>
    <t>Mary really hated him after that.</t>
  </si>
  <si>
    <t>67 photograph</t>
  </si>
  <si>
    <t>She showed me a photograph of her son.</t>
  </si>
  <si>
    <t>68 cartoon</t>
  </si>
  <si>
    <t>Cartoon characters such as Donald Duck.</t>
  </si>
  <si>
    <t>68 love story</t>
  </si>
  <si>
    <t>It's a love-story set in Verona.</t>
  </si>
  <si>
    <t>68 comedy</t>
  </si>
  <si>
    <t>All my favourite films are comedies.</t>
  </si>
  <si>
    <t>68 horror</t>
  </si>
  <si>
    <t>She stared at him in horror.</t>
  </si>
  <si>
    <t>68 historical</t>
  </si>
  <si>
    <t>The film is based on a historical event.</t>
  </si>
  <si>
    <t>68 sad</t>
  </si>
  <si>
    <t>Linda looks very sad today.</t>
  </si>
  <si>
    <t>68 frightening</t>
  </si>
  <si>
    <t>It's a very frightening film.</t>
  </si>
  <si>
    <t>68 exciting</t>
  </si>
  <si>
    <t>It was a pretty exciting game.</t>
  </si>
  <si>
    <t>68 violent</t>
  </si>
  <si>
    <t>An increase in violent crime.</t>
  </si>
  <si>
    <t>68 interesting</t>
  </si>
  <si>
    <t>A good teacher can make any subject interesting.</t>
  </si>
  <si>
    <t>68 romantic</t>
  </si>
  <si>
    <t>I wish my boyfriend was more romantic.</t>
  </si>
  <si>
    <t>68 boring</t>
  </si>
  <si>
    <t>His job sounds so boring.</t>
  </si>
  <si>
    <t>68 silly</t>
  </si>
  <si>
    <t>What a silly question!</t>
  </si>
  <si>
    <t>68 earn</t>
  </si>
  <si>
    <t>She earns £27,000 a year.</t>
  </si>
  <si>
    <t>68 average</t>
  </si>
  <si>
    <t>The average cost of making a movie has risen by 15%.</t>
  </si>
  <si>
    <t>68 Lebanese</t>
  </si>
  <si>
    <t>We ate in a Lebanese restaurant.</t>
  </si>
  <si>
    <t>68 appear</t>
  </si>
  <si>
    <t>The noise appeared to come from the bedroom.</t>
  </si>
  <si>
    <t>68 full-length</t>
  </si>
  <si>
    <t>I've seen the full-length version of the film.</t>
  </si>
  <si>
    <t>69 starring</t>
  </si>
  <si>
    <t>A movie starring Mel Gibson.</t>
  </si>
  <si>
    <t>69 successful</t>
  </si>
  <si>
    <t>They were successful in persuading him to join them.</t>
  </si>
  <si>
    <t>69 top-paid</t>
  </si>
  <si>
    <t>He took a top-paid job in the City.</t>
  </si>
  <si>
    <t>69 probably</t>
  </si>
  <si>
    <t>We'll probably go to France next year.</t>
  </si>
  <si>
    <t>69 best paid</t>
  </si>
  <si>
    <t>She's the best-paid employee.</t>
  </si>
  <si>
    <t>69 favourite</t>
  </si>
  <si>
    <t>We chose Joe's favourite music for the party.</t>
  </si>
  <si>
    <t>69 silent movie</t>
  </si>
  <si>
    <t>He first appeared in silent movies.</t>
  </si>
  <si>
    <t>69 act (v)</t>
  </si>
  <si>
    <t>Unless the UN acts soon, more people will die.</t>
  </si>
  <si>
    <t>69 India</t>
  </si>
  <si>
    <t>The 50th anniversary of India's independence.</t>
  </si>
  <si>
    <t>70 create</t>
  </si>
  <si>
    <t>The new factory should create 450 jobs.</t>
  </si>
  <si>
    <t>70 follow</t>
  </si>
  <si>
    <t>I followed her into the house.</t>
  </si>
  <si>
    <t>70 fall in love</t>
  </si>
  <si>
    <t>They fell in love and got married.</t>
  </si>
  <si>
    <t>70 vampire</t>
  </si>
  <si>
    <t>"He's a vampire!", cried Dr. Van Helsing.</t>
  </si>
  <si>
    <t>70 castle</t>
  </si>
  <si>
    <t>A 12th century castle.</t>
  </si>
  <si>
    <t>70 hole</t>
  </si>
  <si>
    <t>There's a hole in my shoe.</t>
  </si>
  <si>
    <t>70 adventure</t>
  </si>
  <si>
    <t>It's a book about Johnson's adventures at sea.</t>
  </si>
  <si>
    <t>70 forest</t>
  </si>
  <si>
    <t>He got lost in the forest.</t>
  </si>
  <si>
    <t>70 monster</t>
  </si>
  <si>
    <t>A sea monster.</t>
  </si>
  <si>
    <t>70 handsome</t>
  </si>
  <si>
    <t>He was tall, dark and handsome.</t>
  </si>
  <si>
    <t>70 pleased</t>
  </si>
  <si>
    <t>Are you pleased with the result?</t>
  </si>
  <si>
    <t>71 rabbit</t>
  </si>
  <si>
    <t>My pet rabbit is called Fifi.</t>
  </si>
  <si>
    <t>71 ugly</t>
  </si>
  <si>
    <t>Ugly modern buildings.</t>
  </si>
  <si>
    <t>71 angry</t>
  </si>
  <si>
    <t>He was beginning to get angry.</t>
  </si>
  <si>
    <t>71 kill</t>
  </si>
  <si>
    <t>He's in jail for killing a policeman.</t>
  </si>
  <si>
    <t>71 wear</t>
  </si>
  <si>
    <t>She was wearing jeans and a red jumper.</t>
  </si>
  <si>
    <t>71 ride</t>
  </si>
  <si>
    <t>She learned to ride when she was five.</t>
  </si>
  <si>
    <t>71 rollerblades</t>
  </si>
  <si>
    <t>I got new rollerblades for my birthday.</t>
  </si>
  <si>
    <t>71 rent (v)</t>
  </si>
  <si>
    <t>I rented a room from friends while I looked for work.</t>
  </si>
  <si>
    <t>71 news</t>
  </si>
  <si>
    <t>I heard some interesting news about Charlie.</t>
  </si>
  <si>
    <t>72 author</t>
  </si>
  <si>
    <t>Who is the author of 'Pride and Prejudice?</t>
  </si>
  <si>
    <t>72 behind</t>
  </si>
  <si>
    <t>The car behind us was driving too close.</t>
  </si>
  <si>
    <t>72 legend</t>
  </si>
  <si>
    <t>The legend of King Arthur.</t>
  </si>
  <si>
    <t>72 if so</t>
  </si>
  <si>
    <t>If so, then why are you here?</t>
  </si>
  <si>
    <t>72 fantasy story</t>
  </si>
  <si>
    <t>It's simply not true, it's some fantasy story.</t>
  </si>
  <si>
    <t>72 Lord</t>
  </si>
  <si>
    <t>Lord Mountbatten.</t>
  </si>
  <si>
    <t>72 based on</t>
  </si>
  <si>
    <t>It's based on a true story.</t>
  </si>
  <si>
    <t>72 novel</t>
  </si>
  <si>
    <t>He is writing a novel about a boy's life.</t>
  </si>
  <si>
    <t>72 director</t>
  </si>
  <si>
    <t>The new marketing director.</t>
  </si>
  <si>
    <t>72 New Zealand</t>
  </si>
  <si>
    <t>New Zealand has two islands.</t>
  </si>
  <si>
    <t>72 fans</t>
  </si>
  <si>
    <t>Kylie's adoring fans.</t>
  </si>
  <si>
    <t>72 queue (v)</t>
  </si>
  <si>
    <t>We had to queue for over an hour to get tickets.</t>
  </si>
  <si>
    <t>72 ticket</t>
  </si>
  <si>
    <t>How much are tickets for the concert?</t>
  </si>
  <si>
    <t>72 enormous</t>
  </si>
  <si>
    <t>It cost an enormous amount of money.</t>
  </si>
  <si>
    <t>72 return (n)</t>
  </si>
  <si>
    <t>I was looking forward to my return to college.</t>
  </si>
  <si>
    <t>72 king</t>
  </si>
  <si>
    <t>The King of Spain is visiting England.</t>
  </si>
  <si>
    <t>72 Middle Earth</t>
  </si>
  <si>
    <t>The story is set in Middle Earth.</t>
  </si>
  <si>
    <t>72 childhood</t>
  </si>
  <si>
    <t>Sara had a very happy childhood.</t>
  </si>
  <si>
    <t>72 ancient</t>
  </si>
  <si>
    <t>Ancient Rome.</t>
  </si>
  <si>
    <t>72 professor</t>
  </si>
  <si>
    <t>Professor Barclay.</t>
  </si>
  <si>
    <t>72 great-grandson</t>
  </si>
  <si>
    <t>His great-grandson also became Prime Minister.</t>
  </si>
  <si>
    <t>73 money</t>
  </si>
  <si>
    <t>I spend a lot of money on clothes.</t>
  </si>
  <si>
    <t>73 abroad</t>
  </si>
  <si>
    <t>He often has to go abroad on business.</t>
  </si>
  <si>
    <t>73 fashionable</t>
  </si>
  <si>
    <t>Black is very fashionable now.</t>
  </si>
  <si>
    <t>73 musical instrument</t>
  </si>
  <si>
    <t>The shop was full of old musical instruments.</t>
  </si>
  <si>
    <t>73 remember</t>
  </si>
  <si>
    <t>She suddenly remembered that she had an appointment.</t>
  </si>
  <si>
    <t>73 old town</t>
  </si>
  <si>
    <t>She has a flat in the old town.</t>
  </si>
  <si>
    <t>73 club</t>
  </si>
  <si>
    <t>I'm a member of the local drama club.</t>
  </si>
  <si>
    <t>73 tell</t>
  </si>
  <si>
    <t>Have you told John about the party?</t>
  </si>
  <si>
    <t>73 Prague</t>
  </si>
  <si>
    <t>Last December they visited Prague.</t>
  </si>
  <si>
    <t>73 early</t>
  </si>
  <si>
    <t>It snowed in early January.</t>
  </si>
  <si>
    <t>74 kind</t>
  </si>
  <si>
    <t>What kind of pizza do you want?</t>
  </si>
  <si>
    <t>74 play (n)</t>
  </si>
  <si>
    <t>We went to see a new play by Tom Stoppard.</t>
  </si>
  <si>
    <t>75 opera</t>
  </si>
  <si>
    <t>An opera singer.</t>
  </si>
  <si>
    <t>75 brilliant</t>
  </si>
  <si>
    <t>That's brilliant! Well done!</t>
  </si>
  <si>
    <t>76 what´s on ?</t>
  </si>
  <si>
    <t>What's on television tonight?</t>
  </si>
  <si>
    <t>76 perfect</t>
  </si>
  <si>
    <t>She speaks perfect English.</t>
  </si>
  <si>
    <t>76 either...or</t>
  </si>
  <si>
    <t>Either she goes or I go.</t>
  </si>
  <si>
    <t>76 that sort of thing</t>
  </si>
  <si>
    <t>I don't want to discuss that sort of thing with you.</t>
  </si>
  <si>
    <t>76 how about</t>
  </si>
  <si>
    <t>How about we eat out tonight?</t>
  </si>
  <si>
    <t>77 Damascus</t>
  </si>
  <si>
    <t>His latest posting is in Damascus.</t>
  </si>
  <si>
    <t>77 Cairo</t>
  </si>
  <si>
    <t>The teeming streets of Cairo.</t>
  </si>
  <si>
    <t>77 climb</t>
  </si>
  <si>
    <t>She slowly climbed the stairs.</t>
  </si>
  <si>
    <t>77 Eiffel Tower</t>
  </si>
  <si>
    <t>The symbol of France is the Eiffel Tower.</t>
  </si>
  <si>
    <t>78 buy</t>
  </si>
  <si>
    <t>Sam's just bought a new computer.</t>
  </si>
  <si>
    <t>78 small</t>
  </si>
  <si>
    <t>She comes from a small town.</t>
  </si>
  <si>
    <t>78 cheap</t>
  </si>
  <si>
    <t>The jacket was quite cheap.</t>
  </si>
  <si>
    <t>78 uncomfortable</t>
  </si>
  <si>
    <t>The heat made her feel uncomfortable.</t>
  </si>
  <si>
    <t>78 new</t>
  </si>
  <si>
    <t>Have you got their new album?</t>
  </si>
  <si>
    <t>78 slow</t>
  </si>
  <si>
    <t>The slowest runners started at the back.</t>
  </si>
  <si>
    <t>78 attractive</t>
  </si>
  <si>
    <t>His new girlfriend is very attractive.</t>
  </si>
  <si>
    <t>78 older</t>
  </si>
  <si>
    <t>In actual fact , she's older than me.</t>
  </si>
  <si>
    <t>78 bigger</t>
  </si>
  <si>
    <t>Fetch a large vase, the bigger the better.</t>
  </si>
  <si>
    <t>78 more expensive</t>
  </si>
  <si>
    <t>That's more expensive than the last one?</t>
  </si>
  <si>
    <t>78 easier</t>
  </si>
  <si>
    <t>The job was made all the easier by having the right tools.</t>
  </si>
  <si>
    <t>78 park (v)</t>
  </si>
  <si>
    <t>We couldn't find anywhere to park.</t>
  </si>
  <si>
    <t>78 better</t>
  </si>
  <si>
    <t>We need a better computer.</t>
  </si>
  <si>
    <t>79 in good condition</t>
  </si>
  <si>
    <t>The car was in good condition.</t>
  </si>
  <si>
    <t>79 in bad condition</t>
  </si>
  <si>
    <t>After the accident, he was in pretty bad condition.</t>
  </si>
  <si>
    <t>79 smart</t>
  </si>
  <si>
    <t>Jill's a smart kid.</t>
  </si>
  <si>
    <t>79 sweet</t>
  </si>
  <si>
    <t>This chocolate sauce is very sweet.</t>
  </si>
  <si>
    <t>79 easy to ride</t>
  </si>
  <si>
    <t>The bike was easy to ride.</t>
  </si>
  <si>
    <t>80 diamond</t>
  </si>
  <si>
    <t>She wore a diamond ring.</t>
  </si>
  <si>
    <t>80 department store</t>
  </si>
  <si>
    <t>She bought it at a department store.</t>
  </si>
  <si>
    <t>80 item</t>
  </si>
  <si>
    <t>What was the last item of clothing you bought?</t>
  </si>
  <si>
    <t>80 for sale</t>
  </si>
  <si>
    <t>The house is up for sale.</t>
  </si>
  <si>
    <t>80 tall</t>
  </si>
  <si>
    <t>The tallest boy in the class.</t>
  </si>
  <si>
    <t>80 Sultan</t>
  </si>
  <si>
    <t>The Sultan of Brunei is reputed to be the world's richest person.</t>
  </si>
  <si>
    <t>80 head</t>
  </si>
  <si>
    <t>She rested her head on my shoulder.</t>
  </si>
  <si>
    <t>80 century</t>
  </si>
  <si>
    <t>The church was built in the 13th century</t>
  </si>
  <si>
    <t>80 high</t>
  </si>
  <si>
    <t>A high mountain.</t>
  </si>
  <si>
    <t>80 common</t>
  </si>
  <si>
    <t>Rabbits are a common wild animal in this area.</t>
  </si>
  <si>
    <t>80 carpet</t>
  </si>
  <si>
    <t>All the rooms had fitted carpets.</t>
  </si>
  <si>
    <t>80 rug</t>
  </si>
  <si>
    <t>A beautiful Turkish rug.</t>
  </si>
  <si>
    <t>80 flower</t>
  </si>
  <si>
    <t>There was a vase of yellow flowers by the window.</t>
  </si>
  <si>
    <t>80 gift</t>
  </si>
  <si>
    <t>Did you give your mother a gift ?</t>
  </si>
  <si>
    <t>80 bird</t>
  </si>
  <si>
    <t>Wild birds.</t>
  </si>
  <si>
    <t>80 herb</t>
  </si>
  <si>
    <t>Herbal remedies.</t>
  </si>
  <si>
    <t>80 decoration</t>
  </si>
  <si>
    <t>The shop windows were full of Christmas decorations.</t>
  </si>
  <si>
    <t>80 medicine</t>
  </si>
  <si>
    <t>Have you taken your medicine?</t>
  </si>
  <si>
    <t>81 nowadays</t>
  </si>
  <si>
    <t>People live longer nowadays.</t>
  </si>
  <si>
    <t>81 shop</t>
  </si>
  <si>
    <t>The town has some good clothes shops.</t>
  </si>
  <si>
    <t>81 traditional</t>
  </si>
  <si>
    <t>Traditional folk music.</t>
  </si>
  <si>
    <t>81 street market</t>
  </si>
  <si>
    <t>He got the watch from a street market.</t>
  </si>
  <si>
    <t>81 roof</t>
  </si>
  <si>
    <t>He installed a satellite dish on the roof.</t>
  </si>
  <si>
    <t>81 floating market</t>
  </si>
  <si>
    <t>It's a floating market.</t>
  </si>
  <si>
    <t>81 Asia</t>
  </si>
  <si>
    <t>Central Asia.</t>
  </si>
  <si>
    <t>81 tropical fruit</t>
  </si>
  <si>
    <t>Papaya is a tropical fruit.</t>
  </si>
  <si>
    <t>81 part</t>
  </si>
  <si>
    <t>Part of the roof was missing.</t>
  </si>
  <si>
    <t>81 square</t>
  </si>
  <si>
    <t>A square table.</t>
  </si>
  <si>
    <t>81 colourful</t>
  </si>
  <si>
    <t>I prefer colourful clothes.</t>
  </si>
  <si>
    <t>81 midday</t>
  </si>
  <si>
    <t>I met him at midday.</t>
  </si>
  <si>
    <t>81 lively</t>
  </si>
  <si>
    <t>A lively child.</t>
  </si>
  <si>
    <t>81 Christmas market</t>
  </si>
  <si>
    <t>Let's get some presents from the Christmas market.</t>
  </si>
  <si>
    <t>81 hand-made</t>
  </si>
  <si>
    <t>She got a hand-made rug.</t>
  </si>
  <si>
    <t>81 atmosphere</t>
  </si>
  <si>
    <t>The atmosphere at home was tense.</t>
  </si>
  <si>
    <t>81 help</t>
  </si>
  <si>
    <t>How can I help?</t>
  </si>
  <si>
    <t>82 clothes shop</t>
  </si>
  <si>
    <t>She works in a clothes shop at the weekend.</t>
  </si>
  <si>
    <t>82 pharmacy</t>
  </si>
  <si>
    <t>An all-night pharmacy.</t>
  </si>
  <si>
    <t>82 dry-cleaner´s</t>
  </si>
  <si>
    <t>I took the jacket to the dry-cleaner's</t>
  </si>
  <si>
    <t>82 butcher</t>
  </si>
  <si>
    <t>Her dad's a butcher.</t>
  </si>
  <si>
    <t>82 post office</t>
  </si>
  <si>
    <t>Get your stamps at the post office.</t>
  </si>
  <si>
    <t>82 bakery</t>
  </si>
  <si>
    <t>I love the smell from the bakery.</t>
  </si>
  <si>
    <t>82 local shop</t>
  </si>
  <si>
    <t>The local shop sells everything.</t>
  </si>
  <si>
    <t>82 gift shop</t>
  </si>
  <si>
    <t>It's a specialist gift shop.</t>
  </si>
  <si>
    <t>82 dirty</t>
  </si>
  <si>
    <t>Don't get your clothes dirty.</t>
  </si>
  <si>
    <t>82 haircut</t>
  </si>
  <si>
    <t>I must have a haircut.</t>
  </si>
  <si>
    <t>82 present(n)</t>
  </si>
  <si>
    <t>He got the computer as a birthday present.</t>
  </si>
  <si>
    <t>82 post</t>
  </si>
  <si>
    <t>The letter's in the post.</t>
  </si>
  <si>
    <t>82 toothpaste</t>
  </si>
  <si>
    <t>Squeeze the toothpaste tube from the bottom.</t>
  </si>
  <si>
    <t>82 store directory</t>
  </si>
  <si>
    <t>Look through the store directory.</t>
  </si>
  <si>
    <t>82 basement</t>
  </si>
  <si>
    <t>The basement flooded and everything got soaked.</t>
  </si>
  <si>
    <t>82 food hall</t>
  </si>
  <si>
    <t>The Harrod's food hall is amazing.</t>
  </si>
  <si>
    <t>82 cook and kitchenware</t>
  </si>
  <si>
    <t>You'll find that in the cook and kitchenware department.</t>
  </si>
  <si>
    <t>82 luggage</t>
  </si>
  <si>
    <t>They searched his luggage for illegal drugs.</t>
  </si>
  <si>
    <t>82 ground floor</t>
  </si>
  <si>
    <t>The men's clothing department is on the ground floor.</t>
  </si>
  <si>
    <t>82 perfumery</t>
  </si>
  <si>
    <t>It's in the perfumery section, Madam.</t>
  </si>
  <si>
    <t>82 cosmetic</t>
  </si>
  <si>
    <t>He had cosmetic surgery to make his nose smaller.</t>
  </si>
  <si>
    <t>82 handbag</t>
  </si>
  <si>
    <t>There's a pen in my handbag.</t>
  </si>
  <si>
    <t>82 stationery</t>
  </si>
  <si>
    <t>A letter on hotel stationery.</t>
  </si>
  <si>
    <t>82 shoes</t>
  </si>
  <si>
    <t>82 jewellery</t>
  </si>
  <si>
    <t>She wears a lot of gold jewellery.</t>
  </si>
  <si>
    <t>82 gaming</t>
  </si>
  <si>
    <t>Online gaming.</t>
  </si>
  <si>
    <t>82 electrical goods</t>
  </si>
  <si>
    <t>The electrical goods are on the third floor.</t>
  </si>
  <si>
    <t>83 department</t>
  </si>
  <si>
    <t>The Geography department at Edinburgh University</t>
  </si>
  <si>
    <t>83 battery</t>
  </si>
  <si>
    <t>It needs a new battery.</t>
  </si>
  <si>
    <t>84 choose</t>
  </si>
  <si>
    <t>You can choose between ice cream and apple tart.</t>
  </si>
  <si>
    <t>84 souvenir</t>
  </si>
  <si>
    <t>A souvenir of Paris.</t>
  </si>
  <si>
    <t>84 leather</t>
  </si>
  <si>
    <t>A leather belt.</t>
  </si>
  <si>
    <t>84 lamp</t>
  </si>
  <si>
    <t>A desk lamp.</t>
  </si>
  <si>
    <t>84 silk</t>
  </si>
  <si>
    <t>A silk shirt.</t>
  </si>
  <si>
    <t>84 scarf</t>
  </si>
  <si>
    <t>He wore a scarf.</t>
  </si>
  <si>
    <t>85 expect</t>
  </si>
  <si>
    <t>Do you expect to travel a lot this year?</t>
  </si>
  <si>
    <t>85 well-paid</t>
  </si>
  <si>
    <t>Work in advertising is very well paid indeed.</t>
  </si>
  <si>
    <t>86 report (n)</t>
  </si>
  <si>
    <t>86 boss</t>
  </si>
  <si>
    <t>She asked her boss for the day off.</t>
  </si>
  <si>
    <t>86 chat</t>
  </si>
  <si>
    <t>Jo was chatting to Sam.</t>
  </si>
  <si>
    <t>87 trainers</t>
  </si>
  <si>
    <t>Hey, cool trainers!</t>
  </si>
  <si>
    <t>87 jumper</t>
  </si>
  <si>
    <t>The jumper didn't fit so I took it back to the shop.</t>
  </si>
  <si>
    <t>88 trousers</t>
  </si>
  <si>
    <t>These trousers are too big.</t>
  </si>
  <si>
    <t>88 sandals</t>
  </si>
  <si>
    <t>A pair of leather sandals.</t>
  </si>
  <si>
    <t>88 tights</t>
  </si>
  <si>
    <t>A pair of black tights.</t>
  </si>
  <si>
    <t>88 tie</t>
  </si>
  <si>
    <t>What a dreadful tie!</t>
  </si>
  <si>
    <t>88 coat</t>
  </si>
  <si>
    <t>Put your coat on if you're going out.</t>
  </si>
  <si>
    <t>88 belt</t>
  </si>
  <si>
    <t>I tightened my belt.</t>
  </si>
  <si>
    <t>88 briefcase</t>
  </si>
  <si>
    <t>Sally opened her briefcase and fished out a small card.</t>
  </si>
  <si>
    <t>88 skirt</t>
  </si>
  <si>
    <t>The train skirted around the lake.</t>
  </si>
  <si>
    <t>88 shorts</t>
  </si>
  <si>
    <t>Jack was wearing a pair of shorts and a T-shirt.</t>
  </si>
  <si>
    <t>88 boots</t>
  </si>
  <si>
    <t>She wore high-heeled boots.</t>
  </si>
  <si>
    <t>88 socks</t>
  </si>
  <si>
    <t>Socks with elastic around the top.</t>
  </si>
  <si>
    <t>88 gloves</t>
  </si>
  <si>
    <t>A pair of gloves.</t>
  </si>
  <si>
    <t>88 earrings</t>
  </si>
  <si>
    <t>You're not allowed to wear earrings to school.</t>
  </si>
  <si>
    <t>88 shirt</t>
  </si>
  <si>
    <t>I have to wear a shirt and tie to work.</t>
  </si>
  <si>
    <t>88 suit</t>
  </si>
  <si>
    <t>A light-weight suit.</t>
  </si>
  <si>
    <t>88 jacket</t>
  </si>
  <si>
    <t>He was wearing jeans and a leather jacket.</t>
  </si>
  <si>
    <t>88 backpack</t>
  </si>
  <si>
    <t>Make sure your backpack is strapped on tightly.</t>
  </si>
  <si>
    <t>88 sports bag</t>
  </si>
  <si>
    <t>He put his boots into a sports bag.</t>
  </si>
  <si>
    <t>88 street fashion</t>
  </si>
  <si>
    <t>Most designers start by looking at street fashion.</t>
  </si>
  <si>
    <t>88 banker</t>
  </si>
  <si>
    <t>My dad's a banker.</t>
  </si>
  <si>
    <t>88 appointment</t>
  </si>
  <si>
    <t>She has an appointment with a client at 10.30.</t>
  </si>
  <si>
    <t>88 accountant</t>
  </si>
  <si>
    <t>RCA is advertising for an accountant.</t>
  </si>
  <si>
    <t>88 wedding</t>
  </si>
  <si>
    <t>Have you been invited to their wedding?</t>
  </si>
  <si>
    <t>88 college</t>
  </si>
  <si>
    <t>I want to go to art college.</t>
  </si>
  <si>
    <t>89 uniform</t>
  </si>
  <si>
    <t>Do you like the new school uniform?</t>
  </si>
  <si>
    <t>89 heavy</t>
  </si>
  <si>
    <t>I can't lift this box - it's too heavy.</t>
  </si>
  <si>
    <t>89 get ready</t>
  </si>
  <si>
    <t>Get ready, we're leaving.</t>
  </si>
  <si>
    <t>89 little</t>
  </si>
  <si>
    <t>The little shop was very crowded.</t>
  </si>
  <si>
    <t>89 bright</t>
  </si>
  <si>
    <t>The bright flames of the candles.</t>
  </si>
  <si>
    <t>89 quite</t>
  </si>
  <si>
    <t>She's quite tall for her age.</t>
  </si>
  <si>
    <t>89 at the moment</t>
  </si>
  <si>
    <t>At the moment, I'm feeling quite depressed.</t>
  </si>
  <si>
    <t>90 casual</t>
  </si>
  <si>
    <t>She's always been pretty casual about her appearance.</t>
  </si>
  <si>
    <t>90 perfume</t>
  </si>
  <si>
    <t>She never wears perfume.</t>
  </si>
  <si>
    <t>90 lucky</t>
  </si>
  <si>
    <t>"I just got the last bus." "That was lucky!"</t>
  </si>
  <si>
    <t>90 moustache</t>
  </si>
  <si>
    <t>He's shaved off his moustache.</t>
  </si>
  <si>
    <t>90 in his/her thirties</t>
  </si>
  <si>
    <t>He must be in his thirties.</t>
  </si>
  <si>
    <t>90 slim</t>
  </si>
  <si>
    <t>You're looking a lot slimmer - have you lost weight?</t>
  </si>
  <si>
    <t>90 beard</t>
  </si>
  <si>
    <t>He has shaved his beard off.</t>
  </si>
  <si>
    <t>90 shaved</t>
  </si>
  <si>
    <t>Tony shaved and changed his shirt.</t>
  </si>
  <si>
    <t>90 short</t>
  </si>
  <si>
    <t>It's quite a short film.</t>
  </si>
  <si>
    <t>90 well-built</t>
  </si>
  <si>
    <t>He was described as well-built.</t>
  </si>
  <si>
    <t>90 medium-length</t>
  </si>
  <si>
    <t>She has medium-length hair.</t>
  </si>
  <si>
    <t>90 pony-tail</t>
  </si>
  <si>
    <t>He has a pony-tail, how uncool is that?</t>
  </si>
  <si>
    <t>93 happy</t>
  </si>
  <si>
    <t>Sam's been looking very happy recently.</t>
  </si>
  <si>
    <t>93 unhappy</t>
  </si>
  <si>
    <t>If you're so unhappy, why don't you change jobs?</t>
  </si>
  <si>
    <t>93 face</t>
  </si>
  <si>
    <t>You have a beautiful face.</t>
  </si>
  <si>
    <t>93 accessory</t>
  </si>
  <si>
    <t>Fashion accessories.</t>
  </si>
  <si>
    <t>93 on the right</t>
  </si>
  <si>
    <t>It's on the right.</t>
  </si>
  <si>
    <t>93 happen</t>
  </si>
  <si>
    <t>When did the accident happen?</t>
  </si>
  <si>
    <t>93 above</t>
  </si>
  <si>
    <t>Raise your arm above your head.</t>
  </si>
  <si>
    <t>93 ice cream</t>
  </si>
  <si>
    <t>Strawberry ice cream.</t>
  </si>
  <si>
    <t>93 seat</t>
  </si>
  <si>
    <t>I asked for a seat by the window.</t>
  </si>
  <si>
    <t>93 sit</t>
  </si>
  <si>
    <t>The children were sitting on the floor.</t>
  </si>
  <si>
    <t>96 world</t>
  </si>
  <si>
    <t>Students from all over the world study here.</t>
  </si>
  <si>
    <t>96 around us</t>
  </si>
  <si>
    <t>Look at the world around us.</t>
  </si>
  <si>
    <t>96 animals</t>
  </si>
  <si>
    <t>We are against testing cosmetics on animals.</t>
  </si>
  <si>
    <t>96 natural features</t>
  </si>
  <si>
    <t>Africa has some of the best natural features in the world.</t>
  </si>
  <si>
    <t>96 insect</t>
  </si>
  <si>
    <t>An insect bite.</t>
  </si>
  <si>
    <t>96 chimpanzee</t>
  </si>
  <si>
    <t>The chimpanzee snatched my sandwich.</t>
  </si>
  <si>
    <t>96 volcano</t>
  </si>
  <si>
    <t>The island has several active volcanoes.</t>
  </si>
  <si>
    <t>96 snail</t>
  </si>
  <si>
    <t>Traffic was moving at a snail's pace.</t>
  </si>
  <si>
    <t>96 mountain</t>
  </si>
  <si>
    <t>She is the first woman to climb this mountain.</t>
  </si>
  <si>
    <t>96 human being</t>
  </si>
  <si>
    <t>I am a human being, not a monster.</t>
  </si>
  <si>
    <t>96 elephant</t>
  </si>
  <si>
    <t>An elephant's ponderous walk</t>
  </si>
  <si>
    <t>96 donkey</t>
  </si>
  <si>
    <t>I've known Kevin for donkey's years.</t>
  </si>
  <si>
    <t>96 river</t>
  </si>
  <si>
    <t>The River Ganges.</t>
  </si>
  <si>
    <t>96 earth</t>
  </si>
  <si>
    <t>The earth revolves around the sun.</t>
  </si>
  <si>
    <t>96 kangaroo</t>
  </si>
  <si>
    <t>You don't get kangaroos in Sweden!</t>
  </si>
  <si>
    <t>96 dolphin</t>
  </si>
  <si>
    <t>He won't eat tuna because of the effect on dolphins.</t>
  </si>
  <si>
    <t>96 geographical features</t>
  </si>
  <si>
    <t>The geographical features are widely-studied.</t>
  </si>
  <si>
    <t>96 planet</t>
  </si>
  <si>
    <t>Mercury is the smallest planet.</t>
  </si>
  <si>
    <t>96 mention (v)</t>
  </si>
  <si>
    <t>Your name was mentioned in the book.</t>
  </si>
  <si>
    <t>96 amazing</t>
  </si>
  <si>
    <t>What an amazing story!</t>
  </si>
  <si>
    <t>96 share (v)</t>
  </si>
  <si>
    <t>96 at least</t>
  </si>
  <si>
    <t>At least you can give me that.</t>
  </si>
  <si>
    <t>96 ant</t>
  </si>
  <si>
    <t>An ant colony.</t>
  </si>
  <si>
    <t>96 rotate</t>
  </si>
  <si>
    <t>The Earth rotates on its axis.</t>
  </si>
  <si>
    <t>96 around</t>
  </si>
  <si>
    <t>We put a fence around the yard.</t>
  </si>
  <si>
    <t>96 per hour</t>
  </si>
  <si>
    <t>Parking costs £1 per hour.</t>
  </si>
  <si>
    <t>96 throw</t>
  </si>
  <si>
    <t>Throw the ball to Daddy.</t>
  </si>
  <si>
    <t>96 further</t>
  </si>
  <si>
    <t>I have nothing further to say.</t>
  </si>
  <si>
    <t>97 west</t>
  </si>
  <si>
    <t>Rain is expected in the west.</t>
  </si>
  <si>
    <t>97 jump</t>
  </si>
  <si>
    <t>Boys were jumping off the bridge into the river.</t>
  </si>
  <si>
    <t>97 look up</t>
  </si>
  <si>
    <t>Look up the words you don't understand.</t>
  </si>
  <si>
    <t>97 sky</t>
  </si>
  <si>
    <t>The sky is blue and the sun is shining.</t>
  </si>
  <si>
    <t>97 backwards</t>
  </si>
  <si>
    <t>She stepped backwards in surprise.</t>
  </si>
  <si>
    <t>97 continent</t>
  </si>
  <si>
    <t>The rings represent the different continents.</t>
  </si>
  <si>
    <t>97 active</t>
  </si>
  <si>
    <t>Games for active youngsters.</t>
  </si>
  <si>
    <t>97 guide dog</t>
  </si>
  <si>
    <t>They raised money to get her a guide dog.</t>
  </si>
  <si>
    <t>97 traffic</t>
  </si>
  <si>
    <t>97 traffic light</t>
  </si>
  <si>
    <t>Turn left at the traffic lights.</t>
  </si>
  <si>
    <t>97 talk (v)</t>
  </si>
  <si>
    <t>I could hear Sarah and Andrew talking in the next room.</t>
  </si>
  <si>
    <t>97 sign language</t>
  </si>
  <si>
    <t>They communicate using sign language.</t>
  </si>
  <si>
    <t>97 chimp</t>
  </si>
  <si>
    <t>What's "chimp" short for?</t>
  </si>
  <si>
    <t>97 per cent</t>
  </si>
  <si>
    <t>One hundred per cent commitment.</t>
  </si>
  <si>
    <t>97 left-handed</t>
  </si>
  <si>
    <t>Left-handed scissors.</t>
  </si>
  <si>
    <t>97 studies</t>
  </si>
  <si>
    <t>If only he had applied himself to his studies!</t>
  </si>
  <si>
    <t>97 prefer</t>
  </si>
  <si>
    <t>Would you prefer a hot or a cold drink?</t>
  </si>
  <si>
    <t>97 paw</t>
  </si>
  <si>
    <t>The dog whined and pawed at the door.</t>
  </si>
  <si>
    <t>97 dirt</t>
  </si>
  <si>
    <t>His hands were covered in dirt.</t>
  </si>
  <si>
    <t>97 lifetime</t>
  </si>
  <si>
    <t>During her lifetime she had witnessed two world wars.</t>
  </si>
  <si>
    <t>97 badly</t>
  </si>
  <si>
    <t>The book was badly written.</t>
  </si>
  <si>
    <t>97 washed</t>
  </si>
  <si>
    <t>His body was washed ashore.</t>
  </si>
  <si>
    <t>97 parrot</t>
  </si>
  <si>
    <t>We recited poems parrot fashion.</t>
  </si>
  <si>
    <t>97 newborn</t>
  </si>
  <si>
    <t>A newborn baby.</t>
  </si>
  <si>
    <t>97 tree</t>
  </si>
  <si>
    <t>He has three apple trees in his garden.</t>
  </si>
  <si>
    <t>97 mend (v)</t>
  </si>
  <si>
    <t>We need someone to mend the roof.</t>
  </si>
  <si>
    <t>97 chess</t>
  </si>
  <si>
    <t>They meet fairly often to play chess.</t>
  </si>
  <si>
    <t>98 population</t>
  </si>
  <si>
    <t>What's the population of Tokyo?</t>
  </si>
  <si>
    <t>99 type</t>
  </si>
  <si>
    <t>99 quantity</t>
  </si>
  <si>
    <t>Police found a quantity of drugs hidden in their bags.</t>
  </si>
  <si>
    <t>99 centimetre</t>
  </si>
  <si>
    <t>The cut was 12 centimetres long.</t>
  </si>
  <si>
    <t>99 speed limit</t>
  </si>
  <si>
    <t>A 40 mph speed limit.</t>
  </si>
  <si>
    <t>99 motorway</t>
  </si>
  <si>
    <t>We broke down on the motorway.</t>
  </si>
  <si>
    <t>99 approximately</t>
  </si>
  <si>
    <t>The plane will be landing in approximately 20 minutes.</t>
  </si>
  <si>
    <t>99 weigh</t>
  </si>
  <si>
    <t>The baby weighs 12 pounds.</t>
  </si>
  <si>
    <t>99 coast</t>
  </si>
  <si>
    <t>It gets quite cold on the coast.</t>
  </si>
  <si>
    <t>100 pregnant</t>
  </si>
  <si>
    <t>She got pregnant soon after they were married.</t>
  </si>
  <si>
    <t>100 kitten</t>
  </si>
  <si>
    <t>The kitten clawed at my trousers.</t>
  </si>
  <si>
    <t>100 racing</t>
  </si>
  <si>
    <t>A racing driver.</t>
  </si>
  <si>
    <t>100 hunting</t>
  </si>
  <si>
    <t>Is foxhunting cruel?</t>
  </si>
  <si>
    <t>100 customs officer</t>
  </si>
  <si>
    <t>The customs officer searched his luggage.</t>
  </si>
  <si>
    <t>100 keep</t>
  </si>
  <si>
    <t>This blanket should help you keep warm.</t>
  </si>
  <si>
    <t>100 domestic cat</t>
  </si>
  <si>
    <t>It's a wild cat, not a domestic cat.</t>
  </si>
  <si>
    <t>100 at one time</t>
  </si>
  <si>
    <t>We have 10 places at any one time.</t>
  </si>
  <si>
    <t>100 breed</t>
  </si>
  <si>
    <t>Rats can breed every six weeks.</t>
  </si>
  <si>
    <t>100 special</t>
  </si>
  <si>
    <t>We have a very special guest with us this evening.</t>
  </si>
  <si>
    <t>100 sphinx cat</t>
  </si>
  <si>
    <t>I loved the sphinx cat at the zoo.</t>
  </si>
  <si>
    <t>100 together</t>
  </si>
  <si>
    <t>Kevin and I went to school together.</t>
  </si>
  <si>
    <t>100 dog food</t>
  </si>
  <si>
    <t>The school dinners here are worse than dog food.</t>
  </si>
  <si>
    <t>100 baby food</t>
  </si>
  <si>
    <t>We give him only organic baby food.</t>
  </si>
  <si>
    <t>100 such as</t>
  </si>
  <si>
    <t>Moments such as this require immediate action.</t>
  </si>
  <si>
    <t>100 Greyhound</t>
  </si>
  <si>
    <t>Fancy going to the greyhound races?</t>
  </si>
  <si>
    <t>101 cruel</t>
  </si>
  <si>
    <t>People who are cruel to animals make me mad.</t>
  </si>
  <si>
    <t>101 owner</t>
  </si>
  <si>
    <t>Who is the owner of this car?</t>
  </si>
  <si>
    <t>101 ugh!</t>
  </si>
  <si>
    <t>Ugh! Not him again.</t>
  </si>
  <si>
    <t>101 specific</t>
  </si>
  <si>
    <t>The books are designed for this specific age group.</t>
  </si>
  <si>
    <t>101 winter</t>
  </si>
  <si>
    <t>It often snows in winter.</t>
  </si>
  <si>
    <t>101 windy</t>
  </si>
  <si>
    <t>It was too windy to go for a walk.</t>
  </si>
  <si>
    <t>101 country</t>
  </si>
  <si>
    <t>How many countries are there in Europe?</t>
  </si>
  <si>
    <t>101 horse</t>
  </si>
  <si>
    <t>I've never ridden a horse before.</t>
  </si>
  <si>
    <t>101 area</t>
  </si>
  <si>
    <t>Dad grew up in the Portland area.</t>
  </si>
  <si>
    <t>101 allergic</t>
  </si>
  <si>
    <t>He's allergic to cats.</t>
  </si>
  <si>
    <t>101 east</t>
  </si>
  <si>
    <t>We live to the east of the city.</t>
  </si>
  <si>
    <t>101 Arctic</t>
  </si>
  <si>
    <t>Arctic conditions.</t>
  </si>
  <si>
    <t>101 prime minister</t>
  </si>
  <si>
    <t>He was the youngest Prime Minister.</t>
  </si>
  <si>
    <t>101 queen</t>
  </si>
  <si>
    <t>Queen Elizabeth II.</t>
  </si>
  <si>
    <t>101 Antarctic</t>
  </si>
  <si>
    <t>The expedition to the Antarctic was a failure.</t>
  </si>
  <si>
    <t>102 solar system</t>
  </si>
  <si>
    <t>The biggest planet in our solar system.</t>
  </si>
  <si>
    <t>102 litre</t>
  </si>
  <si>
    <t>A litre of water.</t>
  </si>
  <si>
    <t>102 Islamic</t>
  </si>
  <si>
    <t>She follows Islamic custom by covering her hair.</t>
  </si>
  <si>
    <t>102 holy</t>
  </si>
  <si>
    <t>Jerusalem is a holy city for Muslims, Christians and Jews.</t>
  </si>
  <si>
    <t>102 win</t>
  </si>
  <si>
    <t>102 world cup</t>
  </si>
  <si>
    <t>I think Italy will win the next  World Cup.</t>
  </si>
  <si>
    <t>102 Austria</t>
  </si>
  <si>
    <t>Austria's capital city.</t>
  </si>
  <si>
    <t>102 Czech Republic</t>
  </si>
  <si>
    <t>She's from the Czech Republic.</t>
  </si>
  <si>
    <t>102 official</t>
  </si>
  <si>
    <t>The official report will be published next month.</t>
  </si>
  <si>
    <t>102 literature</t>
  </si>
  <si>
    <t>I'm interested in French literature.</t>
  </si>
  <si>
    <t>102 European cup</t>
  </si>
  <si>
    <t>They were knocked out of the European Cup.</t>
  </si>
  <si>
    <t>102 definitely</t>
  </si>
  <si>
    <t>That's definitely true.</t>
  </si>
  <si>
    <t>102 I´ve got no idea</t>
  </si>
  <si>
    <t>103 potato</t>
  </si>
  <si>
    <t>I'll peel the potatoes.</t>
  </si>
  <si>
    <t>103 eye</t>
  </si>
  <si>
    <t>There were tears in her eyes.</t>
  </si>
  <si>
    <t>103 bean</t>
  </si>
  <si>
    <t>Kidney beans.</t>
  </si>
  <si>
    <t>103 mouth</t>
  </si>
  <si>
    <t>She put her hand over her mouth.</t>
  </si>
  <si>
    <t>103 mushroom</t>
  </si>
  <si>
    <t>Mushroom soup.</t>
  </si>
  <si>
    <t>103 cheetah</t>
  </si>
  <si>
    <t>The cheetah is the fastest animal on earth.</t>
  </si>
  <si>
    <t>103 relaxed</t>
  </si>
  <si>
    <t>Gail was lying in the sun, looking happy and relaxed.</t>
  </si>
  <si>
    <t>104 future intensions</t>
  </si>
  <si>
    <t>And what are your future intentions with my daughter?</t>
  </si>
  <si>
    <t>104 going to</t>
  </si>
  <si>
    <t>We're going to celebrate in style.</t>
  </si>
  <si>
    <t>104 dance</t>
  </si>
  <si>
    <t>Who's that dancing with Tom?</t>
  </si>
  <si>
    <t>104 barbecue</t>
  </si>
  <si>
    <t>We had a barbecue on the beach.</t>
  </si>
  <si>
    <t>104 go for a walk</t>
  </si>
  <si>
    <t>Do you want to go for a walk?</t>
  </si>
  <si>
    <t>104 digital</t>
  </si>
  <si>
    <t>A digital clock.</t>
  </si>
  <si>
    <t>104 nothing special</t>
  </si>
  <si>
    <t>What was the band like? - Nothing special.</t>
  </si>
  <si>
    <t>105 straight</t>
  </si>
  <si>
    <t>Draw a straight line across the page.</t>
  </si>
  <si>
    <t>105 anywhere</t>
  </si>
  <si>
    <t>Sit anywhere you like.</t>
  </si>
  <si>
    <t>106 stay in</t>
  </si>
  <si>
    <t>I think I'll stay in tonight.</t>
  </si>
  <si>
    <t>106 rest</t>
  </si>
  <si>
    <t>What shall I do with the rest of the pizza?</t>
  </si>
  <si>
    <t>106 exercise</t>
  </si>
  <si>
    <t>You can do special exercises to strengthen your back.</t>
  </si>
  <si>
    <t>106 social life</t>
  </si>
  <si>
    <t>She doesn't have much of a social life.</t>
  </si>
  <si>
    <t>106 exhibition</t>
  </si>
  <si>
    <t>We went to a Picasso exhibition at the art gallery.</t>
  </si>
  <si>
    <t>107 book</t>
  </si>
  <si>
    <t>Have you read any good books recently?</t>
  </si>
  <si>
    <t>107 shall</t>
  </si>
  <si>
    <t>We shall be away next week.</t>
  </si>
  <si>
    <t>107 a night in</t>
  </si>
  <si>
    <t>Let's have a quiet night in.</t>
  </si>
  <si>
    <t>107 somewhere else</t>
  </si>
  <si>
    <t>I wish I was somewhere else.</t>
  </si>
  <si>
    <t>107 suggestion</t>
  </si>
  <si>
    <t>May I make a suggestion?</t>
  </si>
  <si>
    <t>107 offer</t>
  </si>
  <si>
    <t>Can I offer you a drink?</t>
  </si>
  <si>
    <t>107 arrange</t>
  </si>
  <si>
    <t>I've arranged a meeting with Jim.</t>
  </si>
  <si>
    <t>108 magnificent</t>
  </si>
  <si>
    <t>He gave a magnificent performance.</t>
  </si>
  <si>
    <t>108 cathedral</t>
  </si>
  <si>
    <t>St Paul's Cathedral.</t>
  </si>
  <si>
    <t>108 view</t>
  </si>
  <si>
    <t>He has strong views about politics.</t>
  </si>
  <si>
    <t>108 cliff</t>
  </si>
  <si>
    <t>Don't go near the edge of the cliff.</t>
  </si>
  <si>
    <t>108 island</t>
  </si>
  <si>
    <t>The Greek island of Crete.</t>
  </si>
  <si>
    <t>108 sailing</t>
  </si>
  <si>
    <t>They've invited us to go sailing this weekend.</t>
  </si>
  <si>
    <t>108 B&amp;Bs</t>
  </si>
  <si>
    <t>chezThe street is full of B&amp;B's.</t>
  </si>
  <si>
    <t>108 golf course</t>
  </si>
  <si>
    <t>He's at the golf course.</t>
  </si>
  <si>
    <t>109 square kilometre</t>
  </si>
  <si>
    <t>An area of 50 square kilometres.</t>
  </si>
  <si>
    <t>109 farmland</t>
  </si>
  <si>
    <t>Low grade farmland.</t>
  </si>
  <si>
    <t>109 path</t>
  </si>
  <si>
    <t>A narrow path led down to the stream.</t>
  </si>
  <si>
    <t>109 paragliding</t>
  </si>
  <si>
    <t>His favourite hobby is paragliding.</t>
  </si>
  <si>
    <t>109 paradise</t>
  </si>
  <si>
    <t>Hawaii is a paradise for wind surfers.</t>
  </si>
  <si>
    <t>109 steam railway</t>
  </si>
  <si>
    <t>Hr's a steam railway enthusiast.</t>
  </si>
  <si>
    <t>109 situated</t>
  </si>
  <si>
    <t>The hotel is situated on the lakeside.</t>
  </si>
  <si>
    <t>109 built</t>
  </si>
  <si>
    <t>She is built like a dancer.</t>
  </si>
  <si>
    <t>109 outdoor</t>
  </si>
  <si>
    <t>An outdoor swimming pool.</t>
  </si>
  <si>
    <t>109 frequent</t>
  </si>
  <si>
    <t>Her headaches became more frequent.</t>
  </si>
  <si>
    <t>109 sightseeing</t>
  </si>
  <si>
    <t>In the afternoon, we went sightseeing.</t>
  </si>
  <si>
    <t>109 accommodation</t>
  </si>
  <si>
    <t>The college provides accommodation for all new students.</t>
  </si>
  <si>
    <t>109 excellent</t>
  </si>
  <si>
    <t>What an excellent idea!</t>
  </si>
  <si>
    <t>110 weather</t>
  </si>
  <si>
    <t>What's the weather like today?</t>
  </si>
  <si>
    <t>110 season</t>
  </si>
  <si>
    <t>Autumn is my favourite season.</t>
  </si>
  <si>
    <t>110 cloudy</t>
  </si>
  <si>
    <t>The water looked cloudy.</t>
  </si>
  <si>
    <t>110 snow (v)</t>
  </si>
  <si>
    <t>Look, it's snowing!</t>
  </si>
  <si>
    <t>110 foggy</t>
  </si>
  <si>
    <t>A foggy day.</t>
  </si>
  <si>
    <t>110 warm</t>
  </si>
  <si>
    <t>It's lovely and warm in this room.</t>
  </si>
  <si>
    <t>110 sunny</t>
  </si>
  <si>
    <t>A warm sunny day.</t>
  </si>
  <si>
    <t>110 rain (v)</t>
  </si>
  <si>
    <t>Is it still raining?</t>
  </si>
  <si>
    <t>110 hot</t>
  </si>
  <si>
    <t>The soup's really hot.</t>
  </si>
  <si>
    <t>110 cool</t>
  </si>
  <si>
    <t>A lovely cool drink.</t>
  </si>
  <si>
    <t>110 cold</t>
  </si>
  <si>
    <t>The house was cold and empty.</t>
  </si>
  <si>
    <t>110 wet</t>
  </si>
  <si>
    <t>Her hair was wet.</t>
  </si>
  <si>
    <t>110 icy</t>
  </si>
  <si>
    <t>An icy wind.</t>
  </si>
  <si>
    <t>110 fact file</t>
  </si>
  <si>
    <t>He put together a fact file.</t>
  </si>
  <si>
    <t>110 temperature</t>
  </si>
  <si>
    <t>Check the temperature of the water.</t>
  </si>
  <si>
    <t>110 record (v)</t>
  </si>
  <si>
    <t>All the events were recorded in a diary.</t>
  </si>
  <si>
    <t>110 dry</t>
  </si>
  <si>
    <t>Is the washing dry yet?</t>
  </si>
  <si>
    <t>110 rainy</t>
  </si>
  <si>
    <t>A rainy evening.</t>
  </si>
  <si>
    <t>110 snow (n)</t>
  </si>
  <si>
    <t>Snow was falling heavily.</t>
  </si>
  <si>
    <t>111 average temperature</t>
  </si>
  <si>
    <t>The average temperature is about 24° C.</t>
  </si>
  <si>
    <t>111 parcel</t>
  </si>
  <si>
    <t>112 education</t>
  </si>
  <si>
    <t>The government has promised to spend more on education.</t>
  </si>
  <si>
    <t>112 career</t>
  </si>
  <si>
    <t>A teaching career.</t>
  </si>
  <si>
    <t>112 apply</t>
  </si>
  <si>
    <t>Rob's applied for a job in Canada.</t>
  </si>
  <si>
    <t>112 management</t>
  </si>
  <si>
    <t>I don't enjoy management.</t>
  </si>
  <si>
    <t>112 science</t>
  </si>
  <si>
    <t>The teaching of science in schools.</t>
  </si>
  <si>
    <t>112 business studies</t>
  </si>
  <si>
    <t>She's taking a course in business studies.</t>
  </si>
  <si>
    <t>112 design</t>
  </si>
  <si>
    <t>We've made some changes to the computer's design.</t>
  </si>
  <si>
    <t>112 medicine</t>
  </si>
  <si>
    <t>112 information technology</t>
  </si>
  <si>
    <t>He has gone into a career in information technology.</t>
  </si>
  <si>
    <t>112 maths</t>
  </si>
  <si>
    <t>The new maths teacher.</t>
  </si>
  <si>
    <t>112 engineering</t>
  </si>
  <si>
    <t>The course will introduce young people to engineering.</t>
  </si>
  <si>
    <t>112 pass</t>
  </si>
  <si>
    <t>A police car passed him as he walked down the road.</t>
  </si>
  <si>
    <t>112 fail</t>
  </si>
  <si>
    <t>She failed all her exams .</t>
  </si>
  <si>
    <t>112 degree</t>
  </si>
  <si>
    <t>The factory has a high degree of safety standards.</t>
  </si>
  <si>
    <t>112 primary school</t>
  </si>
  <si>
    <t>It's opposite the primary school.</t>
  </si>
  <si>
    <t>112 secondary school</t>
  </si>
  <si>
    <t>I'll meet you outside the secondary school.</t>
  </si>
  <si>
    <t>112 interview (n)</t>
  </si>
  <si>
    <t>She had an interview for a teaching job.</t>
  </si>
  <si>
    <t>112 train (v)</t>
  </si>
  <si>
    <t>She trained as a nurse for four years.</t>
  </si>
  <si>
    <t>112 chef</t>
  </si>
  <si>
    <t>A master chef.</t>
  </si>
  <si>
    <t>112 unemployed</t>
  </si>
  <si>
    <t>An unemployed teacher.</t>
  </si>
  <si>
    <t>113 subject</t>
  </si>
  <si>
    <t>I don't want to talk about the subject of death.</t>
  </si>
  <si>
    <t>113 apart from</t>
  </si>
  <si>
    <t>Apart from the ending, it's a really good film.</t>
  </si>
  <si>
    <t>113 system</t>
  </si>
  <si>
    <t>We need a better system for dealing with complaints.</t>
  </si>
  <si>
    <t>113 profession</t>
  </si>
  <si>
    <t>I spent most of my life in the teaching profession.</t>
  </si>
  <si>
    <t>113 what else</t>
  </si>
  <si>
    <t>What else do you want?</t>
  </si>
  <si>
    <t>113 ideal</t>
  </si>
  <si>
    <t>An ideal place for a picnic.</t>
  </si>
  <si>
    <t>113 finance company</t>
  </si>
  <si>
    <t>He took out a loan with a finance company.</t>
  </si>
  <si>
    <t>113 Lisbon</t>
  </si>
  <si>
    <t>Flight 503 for Lisbon is now boarding.</t>
  </si>
  <si>
    <t>113 van</t>
  </si>
  <si>
    <t>She got a job as a van driver.</t>
  </si>
  <si>
    <t>114 stop</t>
  </si>
  <si>
    <t>Stop, come back!</t>
  </si>
  <si>
    <t>114 qualification</t>
  </si>
  <si>
    <t>He left school without any qualifications.</t>
  </si>
  <si>
    <t>114 experience</t>
  </si>
  <si>
    <t>He's a very good teacher with a lot of experience.</t>
  </si>
  <si>
    <t>114 upstairs</t>
  </si>
  <si>
    <t>The kids went upstairs to bed.</t>
  </si>
  <si>
    <t>114 borrow</t>
  </si>
  <si>
    <t>Can I borrow the car tonight, dad?</t>
  </si>
  <si>
    <t>114 lend</t>
  </si>
  <si>
    <t>Could you lend me £10?</t>
  </si>
  <si>
    <t>114 grammar</t>
  </si>
  <si>
    <t>His pronunciation is good, but his grammar is poor.</t>
  </si>
  <si>
    <t>114 pronunciation</t>
  </si>
  <si>
    <t>What's the correct pronunciation of this word?</t>
  </si>
  <si>
    <t>114 spelling</t>
  </si>
  <si>
    <t>Your spelling has improved.</t>
  </si>
  <si>
    <t>114 vocabulary</t>
  </si>
  <si>
    <t>Reading helps to improve your vocabulary.</t>
  </si>
  <si>
    <t>114 introduce</t>
  </si>
  <si>
    <t>The store has introduced a new range of food.</t>
  </si>
  <si>
    <t>114 topic</t>
  </si>
  <si>
    <t>Jackie's engagement was the main topic of conversation.</t>
  </si>
  <si>
    <t>114 form</t>
  </si>
  <si>
    <t>The bicycle is a very economical form of transport.</t>
  </si>
  <si>
    <t>114 Seaspeak</t>
  </si>
  <si>
    <t>It's known as Seaspeak.</t>
  </si>
  <si>
    <t>114 Internetish</t>
  </si>
  <si>
    <t>They're an internetish sort of outfit, I think.</t>
  </si>
  <si>
    <t>114 Anglic</t>
  </si>
  <si>
    <t>Anglic? What does that mean?</t>
  </si>
  <si>
    <t>115 global</t>
  </si>
  <si>
    <t>Pollution is a global problem.</t>
  </si>
  <si>
    <t>115 expert</t>
  </si>
  <si>
    <t>An expert on ancient Egyptian art.</t>
  </si>
  <si>
    <t>115 basic</t>
  </si>
  <si>
    <t>The basic principles of chemistry.</t>
  </si>
  <si>
    <t>115 simple</t>
  </si>
  <si>
    <t>She explained her work in simple language.</t>
  </si>
  <si>
    <t>115 message</t>
  </si>
  <si>
    <t>Did you get my message?</t>
  </si>
  <si>
    <t>115 impossible</t>
  </si>
  <si>
    <t>It is impossible to predict what will happen.</t>
  </si>
  <si>
    <t>115 explain</t>
  </si>
  <si>
    <t>I explained the rules to Sara.</t>
  </si>
  <si>
    <t>115 water</t>
  </si>
  <si>
    <t>A ripe, juicy water melon.</t>
  </si>
  <si>
    <t>115 ask</t>
  </si>
  <si>
    <t>Ask for it if you don't know where it is.</t>
  </si>
  <si>
    <t>115 inside</t>
  </si>
  <si>
    <t>The inside of the car was filthy.</t>
  </si>
  <si>
    <t>115 taste</t>
  </si>
  <si>
    <t>I don't like the taste of garlic.</t>
  </si>
  <si>
    <t>115 Sweden</t>
  </si>
  <si>
    <t>In Sweden, it is against the law to hit a child.</t>
  </si>
  <si>
    <t>115 similar</t>
  </si>
  <si>
    <t>They came from similar backgrounds.</t>
  </si>
  <si>
    <t>115 unfortunately</t>
  </si>
  <si>
    <t>Unfortunately, the show had to be cancelled.</t>
  </si>
  <si>
    <t>115 even</t>
  </si>
  <si>
    <t>Even the youngest children enjoyed the concert.</t>
  </si>
  <si>
    <t>115 phrase</t>
  </si>
  <si>
    <t>Darwin's famous phrase 'the survival of the fittest'</t>
  </si>
  <si>
    <t>115 situation</t>
  </si>
  <si>
    <t>She's in a very difficult situation.</t>
  </si>
  <si>
    <t>115 international</t>
  </si>
  <si>
    <t>International communication has become commonplace with the internet.</t>
  </si>
  <si>
    <t>115 fluent</t>
  </si>
  <si>
    <t>speak fluent English = parler cour Jem can speak fluent Japanese.</t>
  </si>
  <si>
    <t>116 disappear</t>
  </si>
  <si>
    <t>My keys have disappeared.</t>
  </si>
  <si>
    <t>116 sure</t>
  </si>
  <si>
    <t>Are you sure you've had enough?</t>
  </si>
  <si>
    <t>116 worried</t>
  </si>
  <si>
    <t>You look worried.</t>
  </si>
  <si>
    <t>116 full-time</t>
  </si>
  <si>
    <t>Both her parents work full-time.</t>
  </si>
  <si>
    <t>116 part-time</t>
  </si>
  <si>
    <t>A part-time job.</t>
  </si>
  <si>
    <t>116 last</t>
  </si>
  <si>
    <t>The hot weather lasted for two weeks.</t>
  </si>
  <si>
    <t>117 leisure</t>
  </si>
  <si>
    <t>How do you spend your leisure time?</t>
  </si>
  <si>
    <t>117 tourism</t>
  </si>
  <si>
    <t>The island depends on tourism for most of its income.</t>
  </si>
  <si>
    <t>117 marketing</t>
  </si>
  <si>
    <t>He works in sales and marketing.</t>
  </si>
  <si>
    <t>117 promotion</t>
  </si>
  <si>
    <t>She felt she deserved promotion.</t>
  </si>
  <si>
    <t>117 customer</t>
  </si>
  <si>
    <t>He took his complaint to Customer Service.</t>
  </si>
  <si>
    <t>117 purpose</t>
  </si>
  <si>
    <t>What is the purpose of your visit to England?</t>
  </si>
  <si>
    <t>117 various</t>
  </si>
  <si>
    <t>The coat is available in various colours.</t>
  </si>
  <si>
    <t>117 childcare</t>
  </si>
  <si>
    <t>People on low wages find it difficult to pay for childcare.</t>
  </si>
  <si>
    <t>117 pre-school</t>
  </si>
  <si>
    <t>A pre-school playgroup.</t>
  </si>
  <si>
    <t>117 nursery</t>
  </si>
  <si>
    <t>Does your son go to nursery?</t>
  </si>
  <si>
    <t>117 private home</t>
  </si>
  <si>
    <t>His grandmother is in a private home.</t>
  </si>
  <si>
    <t>117 development</t>
  </si>
  <si>
    <t>Vitamins are necessary for a child's growth and development.</t>
  </si>
  <si>
    <t>117 health</t>
  </si>
  <si>
    <t>Smoking can damage your health.</t>
  </si>
  <si>
    <t>117 safety</t>
  </si>
  <si>
    <t>Some students are concerned about safety on campus.</t>
  </si>
  <si>
    <t>117 option</t>
  </si>
  <si>
    <t>We have three options.</t>
  </si>
  <si>
    <t>117 sports centre</t>
  </si>
  <si>
    <t>They train twice a week at the sports centre.</t>
  </si>
  <si>
    <t>117 coach (v)</t>
  </si>
  <si>
    <t>He coaches the local football team.</t>
  </si>
  <si>
    <t>117 fitness</t>
  </si>
  <si>
    <t>He started to go running to improve his fitness.</t>
  </si>
  <si>
    <t>117 performing Arts</t>
  </si>
  <si>
    <t>She received an award from the perfuming arts society.</t>
  </si>
  <si>
    <t>117 dance (n)</t>
  </si>
  <si>
    <t>Let's have one more dance.</t>
  </si>
  <si>
    <t>117 drama</t>
  </si>
  <si>
    <t>He has written a new drama for the BBC.</t>
  </si>
  <si>
    <t>117 directing</t>
  </si>
  <si>
    <t>He loves directing short films.</t>
  </si>
  <si>
    <t>117 at the time</t>
  </si>
  <si>
    <t>At the time I was very scared.</t>
  </si>
  <si>
    <t>117 media</t>
  </si>
  <si>
    <t>The story was reported in the media.</t>
  </si>
  <si>
    <t>117 disagree</t>
  </si>
  <si>
    <t>My boss doesn't like people disagreeing with her.</t>
  </si>
  <si>
    <t>118 advanced</t>
  </si>
  <si>
    <t>Advanced technology.</t>
  </si>
  <si>
    <t>118 register (v)</t>
  </si>
  <si>
    <t>You need to register with a doctor.</t>
  </si>
  <si>
    <t>119 administrator</t>
  </si>
  <si>
    <t>She works as an administrator in a government office.</t>
  </si>
  <si>
    <t>119 petrol station</t>
  </si>
  <si>
    <t>We can get milk from the shop at the petrol station.</t>
  </si>
  <si>
    <t>119 library</t>
  </si>
  <si>
    <t>A library book.</t>
  </si>
  <si>
    <t>119 coffee-bar</t>
  </si>
  <si>
    <t>It's a cool, little coffee-bar.</t>
  </si>
  <si>
    <t>120 keep in touch</t>
  </si>
  <si>
    <t>Keep in touch, send me your news.</t>
  </si>
  <si>
    <t>120 typewriter</t>
  </si>
  <si>
    <t>A manual typewriter.</t>
  </si>
  <si>
    <t>120 text message</t>
  </si>
  <si>
    <t>She's always text messaging her friends.</t>
  </si>
  <si>
    <t>120 postage stamp</t>
  </si>
  <si>
    <t>The Penny Black is a rare postage stamp.</t>
  </si>
  <si>
    <t>120 fax machine</t>
  </si>
  <si>
    <t>The fax machine is broken, e-mail it instead.</t>
  </si>
  <si>
    <t>120 deliver</t>
  </si>
  <si>
    <t>The letter was delivered to his home.</t>
  </si>
  <si>
    <t>120 Ancient Egypt</t>
  </si>
  <si>
    <t>It's a book about Ancient Egypt.</t>
  </si>
  <si>
    <t>120 stamp</t>
  </si>
  <si>
    <t>A first-class stamp.</t>
  </si>
  <si>
    <t>120 keyboard</t>
  </si>
  <si>
    <t>Guy plays the guitar, and I'm on the keyboard.</t>
  </si>
  <si>
    <t>120 World War Two</t>
  </si>
  <si>
    <t>She moved away before World War Two.</t>
  </si>
  <si>
    <t>120 annoying</t>
  </si>
  <si>
    <t>An annoying habit of interrupting.</t>
  </si>
  <si>
    <t>120 scribe</t>
  </si>
  <si>
    <t>I acted as his scribe.</t>
  </si>
  <si>
    <t>121 top line</t>
  </si>
  <si>
    <t>Top line sales are down 27%.</t>
  </si>
  <si>
    <t>121 salesman</t>
  </si>
  <si>
    <t>A car salesman.</t>
  </si>
  <si>
    <t>121 demonstrate</t>
  </si>
  <si>
    <t>The accident demonstrated the importance of wearing seatbelts.</t>
  </si>
  <si>
    <t>121 nobody</t>
  </si>
  <si>
    <t>Nobody knows what will happen.</t>
  </si>
  <si>
    <t>121 however</t>
  </si>
  <si>
    <t>It's an unpleasant disease. However, it's easy to treat.</t>
  </si>
  <si>
    <t>121 perhaps</t>
  </si>
  <si>
    <t>Sarah's late - perhaps she missed the bus.</t>
  </si>
  <si>
    <t>121 whistle (n)</t>
  </si>
  <si>
    <t>The referee blew his whistle.</t>
  </si>
  <si>
    <t>121 incredible</t>
  </si>
  <si>
    <t>The view was incredible.</t>
  </si>
  <si>
    <t>122 take a photo</t>
  </si>
  <si>
    <t>Take a photo of us all together.</t>
  </si>
  <si>
    <t>122 note (n)</t>
  </si>
  <si>
    <t>I'll just make a note of your new address.</t>
  </si>
  <si>
    <t>122 leave a message</t>
  </si>
  <si>
    <t>Please leave a message after the tone.</t>
  </si>
  <si>
    <t>122 call</t>
  </si>
  <si>
    <t>122 contact</t>
  </si>
  <si>
    <t>There is little contact between the two tribes.</t>
  </si>
  <si>
    <t>122 urgently</t>
  </si>
  <si>
    <t>Food and medicines are urgently needed.</t>
  </si>
  <si>
    <t>122 quickly</t>
  </si>
  <si>
    <t>He quickly put the money back in the box.</t>
  </si>
  <si>
    <t>122 communicate</t>
  </si>
  <si>
    <t>We communicate by email.</t>
  </si>
  <si>
    <t>122 with each other</t>
  </si>
  <si>
    <t>They're very good with each other.</t>
  </si>
  <si>
    <t>122 wish</t>
  </si>
  <si>
    <t>I wish you hadn't invited him.</t>
  </si>
  <si>
    <t>122 member</t>
  </si>
  <si>
    <t>He's a member of the tennis club.</t>
  </si>
  <si>
    <t>122 bored</t>
  </si>
  <si>
    <t>I'm bored - let's go!</t>
  </si>
  <si>
    <t>122 phone call</t>
  </si>
  <si>
    <t>I need to make a phone call.</t>
  </si>
  <si>
    <t>122 so far</t>
  </si>
  <si>
    <t>So far I've only done three.</t>
  </si>
  <si>
    <t>123 lose</t>
  </si>
  <si>
    <t>Tom lost his job.</t>
  </si>
  <si>
    <t>123 forget</t>
  </si>
  <si>
    <t>I'm sorry, I've forgotten your name.</t>
  </si>
  <si>
    <t>123 emergency service</t>
  </si>
  <si>
    <t>Please inform the emergency services.</t>
  </si>
  <si>
    <t>123 post (v)</t>
  </si>
  <si>
    <t>She posted the letter on her way to work.</t>
  </si>
  <si>
    <t>124 apparently</t>
  </si>
  <si>
    <t>Apparently, it's not the first time she's left him.</t>
  </si>
  <si>
    <t>124 on business</t>
  </si>
  <si>
    <t>He's away on business.</t>
  </si>
  <si>
    <t>124 bit</t>
  </si>
  <si>
    <t>Could you turn the TV up a bit?</t>
  </si>
  <si>
    <t>124 voice mail</t>
  </si>
  <si>
    <t>I had two voicemails on my mobile.</t>
  </si>
  <si>
    <t>124 celebrate</t>
  </si>
  <si>
    <t>John passed his exams so we're having a party to celebrate.</t>
  </si>
  <si>
    <t>124 driving test</t>
  </si>
  <si>
    <t>It's the third time he's failed his driving test.</t>
  </si>
  <si>
    <t>124 congratulations</t>
  </si>
  <si>
    <t>You won? Congratulations!</t>
  </si>
  <si>
    <t>124 detail</t>
  </si>
  <si>
    <t>The documentary included a lot of historical detail.</t>
  </si>
  <si>
    <t>124 line</t>
  </si>
  <si>
    <t>Draw a straight line across the top of the page.</t>
  </si>
  <si>
    <t>124 safe</t>
  </si>
  <si>
    <t>Women are safer drivers than men.</t>
  </si>
  <si>
    <t>124 finally</t>
  </si>
  <si>
    <t>After several delays, the plane finally took off at six o'clock.</t>
  </si>
  <si>
    <t>124 land</t>
  </si>
  <si>
    <t>He owns 5000 acres of agricultural land.</t>
  </si>
  <si>
    <t>124 delay</t>
  </si>
  <si>
    <t>He agreed to delay the decision.</t>
  </si>
  <si>
    <t>124 pick up</t>
  </si>
  <si>
    <t>Pick up your rubbish.</t>
  </si>
  <si>
    <t>124 take care</t>
  </si>
  <si>
    <t>Take care of your new piano.</t>
  </si>
  <si>
    <t>124 all the best</t>
  </si>
  <si>
    <t>He wished us all the best.</t>
  </si>
  <si>
    <t>125 recently</t>
  </si>
  <si>
    <t>They recently moved from South Africa.</t>
  </si>
  <si>
    <t>125 tone</t>
  </si>
  <si>
    <t>"Hello," she said in a welcoming tone.</t>
  </si>
  <si>
    <t>125 be afraid</t>
  </si>
  <si>
    <t>"Don't be afraid", said the big, hairy monster.</t>
  </si>
  <si>
    <t>126 essential</t>
  </si>
  <si>
    <t>A balanced diet is essential for good health.</t>
  </si>
  <si>
    <t>126 main</t>
  </si>
  <si>
    <t>Maths is the main subject I am studying.</t>
  </si>
  <si>
    <t>126 chat (v)</t>
  </si>
  <si>
    <t>126 chat room</t>
  </si>
  <si>
    <t>He spends all evening on the web in chatrooms.</t>
  </si>
  <si>
    <t>126 feature</t>
  </si>
  <si>
    <t>An important feature of his paintings is their colours.</t>
  </si>
  <si>
    <t>126 excited</t>
  </si>
  <si>
    <t>The kids are getting really excited about the trip.</t>
  </si>
  <si>
    <t>126 pay attention</t>
  </si>
  <si>
    <t>Pay attention to what I am saying.</t>
  </si>
  <si>
    <t>127 revise</t>
  </si>
  <si>
    <t>We need to revise our plans.</t>
  </si>
  <si>
    <t>127 approach</t>
  </si>
  <si>
    <t>Slowly, he approached the bed.</t>
  </si>
  <si>
    <t>127 break</t>
  </si>
  <si>
    <t>I had to break a window to get into the house.</t>
  </si>
  <si>
    <t>127 just</t>
  </si>
  <si>
    <t>You look just like your dad.</t>
  </si>
  <si>
    <t>128 palace</t>
  </si>
  <si>
    <t>Buckingham Palace.</t>
  </si>
  <si>
    <t>128 sports stadium</t>
  </si>
  <si>
    <t>Have you seen Bayern Munich's new sports stadium?</t>
  </si>
  <si>
    <t>128 shopping centre</t>
  </si>
  <si>
    <t>They demolished these Georgian houses for a shopping centre.</t>
  </si>
  <si>
    <t>128 bridge</t>
  </si>
  <si>
    <t>They are building a new bridge over the river.</t>
  </si>
  <si>
    <t>128 church</t>
  </si>
  <si>
    <t>How often do you go to church?</t>
  </si>
  <si>
    <t>128 art gallery</t>
  </si>
  <si>
    <t>There's a Kandinsky exhibition on the art gallery.</t>
  </si>
  <si>
    <t>128 canal</t>
  </si>
  <si>
    <t>We walked along by the side of the canal.</t>
  </si>
  <si>
    <t>128 hill</t>
  </si>
  <si>
    <t>Their house is on a hill overlooking the sea.</t>
  </si>
  <si>
    <t>128 mosque</t>
  </si>
  <si>
    <t>The mosque is near the shopping centre.</t>
  </si>
  <si>
    <t>128 temple</t>
  </si>
  <si>
    <t>The marble columns of a Greek temple.</t>
  </si>
  <si>
    <t>128 statue</t>
  </si>
  <si>
    <t>A statue of Queen Victoria.</t>
  </si>
  <si>
    <t>128 park</t>
  </si>
  <si>
    <t>129 religious</t>
  </si>
  <si>
    <t>We don't share the same religious beliefs.</t>
  </si>
  <si>
    <t>129 reformer</t>
  </si>
  <si>
    <t>A great social reformer.</t>
  </si>
  <si>
    <t>129 painting</t>
  </si>
  <si>
    <t>A painting of a horse.</t>
  </si>
  <si>
    <t>129 National Gallery</t>
  </si>
  <si>
    <t>The National Gallery needs more funding.</t>
  </si>
  <si>
    <t>130 step</t>
  </si>
  <si>
    <t>He took a few steps , then stopped.</t>
  </si>
  <si>
    <t>130 up</t>
  </si>
  <si>
    <t>They began walking up the hill.</t>
  </si>
  <si>
    <t>130 across</t>
  </si>
  <si>
    <t>A boy suddenly ran across the road.</t>
  </si>
  <si>
    <t>130 out of</t>
  </si>
  <si>
    <t>Sorry, we're out of petrol.</t>
  </si>
  <si>
    <t>130 down</t>
  </si>
  <si>
    <t>Dave bent down to tie his shoelace.</t>
  </si>
  <si>
    <t>130 past</t>
  </si>
  <si>
    <t>Hopefully, I have learned from past mistakes.</t>
  </si>
  <si>
    <t>130 into</t>
  </si>
  <si>
    <t>He went back into the house.</t>
  </si>
  <si>
    <t>130 from</t>
  </si>
  <si>
    <t>He drove all the way from Colorado.</t>
  </si>
  <si>
    <t>130 along</t>
  </si>
  <si>
    <t>We took a walk along the river.</t>
  </si>
  <si>
    <t>131 ladder</t>
  </si>
  <si>
    <t>Women have had to fight to climb the career ladder.</t>
  </si>
  <si>
    <t>131 field</t>
  </si>
  <si>
    <t>There were cows in the field.</t>
  </si>
  <si>
    <t>131 scenery</t>
  </si>
  <si>
    <t>Alaska's magnificent scenery.</t>
  </si>
  <si>
    <t>131 track</t>
  </si>
  <si>
    <t>The farm was at the end of a rough track.</t>
  </si>
  <si>
    <t>131 tunnel</t>
  </si>
  <si>
    <t>They managed to tunnel under the fence.</t>
  </si>
  <si>
    <t>131 ski resort</t>
  </si>
  <si>
    <t>Arosa is a great ski resort.</t>
  </si>
  <si>
    <t>131 height</t>
  </si>
  <si>
    <t>The boys are about the same height.</t>
  </si>
  <si>
    <t>131 glacier</t>
  </si>
  <si>
    <t>You can ski on the glacier, even in summer.</t>
  </si>
  <si>
    <t>131 pass (v)</t>
  </si>
  <si>
    <t>We used to pass the shop every day.</t>
  </si>
  <si>
    <t>132 smoking area</t>
  </si>
  <si>
    <t>You may only smoke in the designated smoking area.</t>
  </si>
  <si>
    <t>132 entry fees</t>
  </si>
  <si>
    <t>The entry fees are terribly high.</t>
  </si>
  <si>
    <t>132 passport control</t>
  </si>
  <si>
    <t>It took us ages to get through passport control.</t>
  </si>
  <si>
    <t>132 out of order</t>
  </si>
  <si>
    <t>The coffee-machine is out of order.</t>
  </si>
  <si>
    <t>132 grass</t>
  </si>
  <si>
    <t>We lay on the grass by the river.</t>
  </si>
  <si>
    <t>133 wear</t>
  </si>
  <si>
    <t>133 obey</t>
  </si>
  <si>
    <t>Most dogs will obey simple commands.</t>
  </si>
  <si>
    <t>133 instruction</t>
  </si>
  <si>
    <t>Follow the instructions on the packet.</t>
  </si>
  <si>
    <t>133 earn a living</t>
  </si>
  <si>
    <t>It's a tough way to earn a living.</t>
  </si>
  <si>
    <t>133 prison</t>
  </si>
  <si>
    <t>He's been in prison for two years.</t>
  </si>
  <si>
    <t>133 sense of direction</t>
  </si>
  <si>
    <t>You have absolutely no sense of direction.</t>
  </si>
  <si>
    <t>133 straight on</t>
  </si>
  <si>
    <t>Go straight on and you'll see it.</t>
  </si>
  <si>
    <t>134 guidebook</t>
  </si>
  <si>
    <t>Travel guidebooks.</t>
  </si>
  <si>
    <t>134 tourist information</t>
  </si>
  <si>
    <t>We got the tickets from the tourist information office.</t>
  </si>
  <si>
    <t>134 value</t>
  </si>
  <si>
    <t>What is the total value of the paintings in the collection?</t>
  </si>
  <si>
    <t>134 delicious</t>
  </si>
  <si>
    <t>This soup is delicious!</t>
  </si>
  <si>
    <t>134 peaceful</t>
  </si>
  <si>
    <t>The wood was cool and peaceful.</t>
  </si>
  <si>
    <t>134 fun</t>
  </si>
  <si>
    <t>Did you have fun with your friends?</t>
  </si>
  <si>
    <t>134 recommend</t>
  </si>
  <si>
    <t>Dentists strongly recommend that you change your toothbrush every few months.</t>
  </si>
  <si>
    <t>134 service</t>
  </si>
  <si>
    <t>She works for the health service.</t>
  </si>
  <si>
    <t>headword</t>
  </si>
  <si>
    <t>Nederlands</t>
  </si>
  <si>
    <t>Français</t>
  </si>
  <si>
    <t>Pearson Education  Photocopiable</t>
  </si>
  <si>
    <r>
      <t xml:space="preserve">Cutting Edge New Edition: Elementary
Vocabulary Companion - English/Dutch/French
</t>
    </r>
    <r>
      <rPr>
        <sz val="6.0"/>
      </rPr>
      <t>Module  Page  English headword                                                                          Nederlands                                     Français                                        Example sentence</t>
    </r>
  </si>
  <si>
    <t>xDéáWé]äz</t>
  </si>
  <si>
    <t>mensen</t>
  </si>
  <si>
    <t>les gens</t>
  </si>
  <si>
    <r>
      <rPr>
        <rFont val="Times New Roman"/>
        <color rgb="FF000000"/>
        <sz val="6.0"/>
      </rPr>
      <t>xå^fë=</t>
    </r>
    <r>
      <rPr>
        <rFont val="Times New Roman"/>
        <color rgb="FF000000"/>
        <sz val="6.0"/>
      </rPr>
      <t>í</t>
    </r>
    <r>
      <rPr>
        <rFont val="Times New Roman"/>
        <color rgb="FF000000"/>
        <sz val="6.0"/>
      </rPr>
      <t>ə</t>
    </r>
    <r>
      <rPr>
        <rFont val="Times New Roman"/>
        <color rgb="FF000000"/>
        <sz val="6.0"/>
      </rPr>
      <t>=ãáí=</t>
    </r>
    <r>
      <rPr>
        <rFont val="Times New Roman"/>
        <color rgb="FF000000"/>
        <sz val="6.0"/>
      </rPr>
      <t>à</t>
    </r>
    <r>
      <rPr>
        <rFont val="Times New Roman"/>
        <color rgb="FF000000"/>
        <sz val="6.0"/>
      </rPr>
      <t>ə</t>
    </r>
    <r>
      <rPr>
        <rFont val="Times New Roman"/>
        <color rgb="FF000000"/>
        <sz val="6.0"/>
      </rPr>
      <t>z</t>
    </r>
  </si>
  <si>
    <t>aangenaam kennis te maken</t>
  </si>
  <si>
    <t>enchanté</t>
  </si>
  <si>
    <t>xDêf]äáz</t>
  </si>
  <si>
    <t>echt waar</t>
  </si>
  <si>
    <t>vraiment</t>
  </si>
  <si>
    <t>xÑôåDíôëífâz</t>
  </si>
  <si>
    <t>fantastisch</t>
  </si>
  <si>
    <t>fantastique</t>
  </si>
  <si>
    <t>xíìWz</t>
  </si>
  <si>
    <t>ook</t>
  </si>
  <si>
    <t>aussi</t>
  </si>
  <si>
    <t>xïÉäz</t>
  </si>
  <si>
    <t>nou</t>
  </si>
  <si>
    <t>bien</t>
  </si>
  <si>
    <t>xDfí]äáz</t>
  </si>
  <si>
    <t>Italië</t>
  </si>
  <si>
    <t>l'Italie</t>
  </si>
  <si>
    <t>xDãÉâëfâ]rz</t>
  </si>
  <si>
    <t>Mexico</t>
  </si>
  <si>
    <t>le Mexique</t>
  </si>
  <si>
    <t>xDÄêfí]åz</t>
  </si>
  <si>
    <t>Groot-Brittannië</t>
  </si>
  <si>
    <t>la Grande-Bretagne</t>
  </si>
  <si>
    <t>x?àìWÉëDÉfz</t>
  </si>
  <si>
    <t>VS</t>
  </si>
  <si>
    <t>les États-Unis</t>
  </si>
  <si>
    <t>x^WÇw]åDíáWå]z</t>
  </si>
  <si>
    <t>Argentinië</t>
  </si>
  <si>
    <t>l'Argentine</t>
  </si>
  <si>
    <t>xDê¾p]z</t>
  </si>
  <si>
    <t>Rusland</t>
  </si>
  <si>
    <t>la Russie</t>
  </si>
  <si>
    <t>xDíp~få]z</t>
  </si>
  <si>
    <t>China</t>
  </si>
  <si>
    <t>le Chine</t>
  </si>
  <si>
    <t>xDáWÇwféíz</t>
  </si>
  <si>
    <t>Egypte</t>
  </si>
  <si>
    <t>l'Égypte</t>
  </si>
  <si>
    <t>xDé]rä]åÇz</t>
  </si>
  <si>
    <t>Polen</t>
  </si>
  <si>
    <t>le Pologne</t>
  </si>
  <si>
    <t>xëéÉfåz</t>
  </si>
  <si>
    <t>Spanje</t>
  </si>
  <si>
    <t>l'Espagne</t>
  </si>
  <si>
    <t>xDÇw]Wã]åáz</t>
  </si>
  <si>
    <t>Duitsland</t>
  </si>
  <si>
    <t>l'Allemagne</t>
  </si>
  <si>
    <t>xDí^fäôåÇz</t>
  </si>
  <si>
    <t>Thailand</t>
  </si>
  <si>
    <t>le Thaïlande</t>
  </si>
  <si>
    <t>xDâôé]íäz</t>
  </si>
  <si>
    <t>hoofdstad</t>
  </si>
  <si>
    <t>la capitale</t>
  </si>
  <si>
    <t>xDí‰Wâáz</t>
  </si>
  <si>
    <t>Turkije</t>
  </si>
  <si>
    <t>le Turquie</t>
  </si>
  <si>
    <r>
      <rPr>
        <rFont val="Times New Roman"/>
        <color rgb="FF000000"/>
        <sz val="6.0"/>
      </rPr>
      <t>x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DëíêÉfäá]åz</t>
    </r>
  </si>
  <si>
    <t>Australië</t>
  </si>
  <si>
    <t>l'Australie</t>
  </si>
  <si>
    <t>xÇw]Déôåz</t>
  </si>
  <si>
    <t>Japan</t>
  </si>
  <si>
    <t>le Japon</t>
  </si>
  <si>
    <t>xâ]DêáW]z</t>
  </si>
  <si>
    <t>Korea</t>
  </si>
  <si>
    <t>la Corée</t>
  </si>
  <si>
    <t>xÑê^Wåëz</t>
  </si>
  <si>
    <t>Frankrijk</t>
  </si>
  <si>
    <t>la France</t>
  </si>
  <si>
    <t>xDÄêfífpz</t>
  </si>
  <si>
    <t>Engels, Brits</t>
  </si>
  <si>
    <t>britannique</t>
  </si>
  <si>
    <t>x]DãÉê]â]åz</t>
  </si>
  <si>
    <t>Amerikaans</t>
  </si>
  <si>
    <t>américain</t>
  </si>
  <si>
    <t>x?Çwôé]DåáWòz</t>
  </si>
  <si>
    <t>Japans</t>
  </si>
  <si>
    <t>japonais</t>
  </si>
  <si>
    <t>x?íp~fDåáWòz</t>
  </si>
  <si>
    <t>Chinees</t>
  </si>
  <si>
    <t>chinois</t>
  </si>
  <si>
    <r>
      <rPr>
        <rFont val="Times New Roman"/>
        <color rgb="FF000000"/>
        <sz val="6.0"/>
      </rPr>
      <t>xDé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äfpz</t>
    </r>
  </si>
  <si>
    <t>Pools</t>
  </si>
  <si>
    <t>polonais</t>
  </si>
  <si>
    <t>xfDíôäá]åz</t>
  </si>
  <si>
    <t>Italiaans</t>
  </si>
  <si>
    <t>italien</t>
  </si>
  <si>
    <t>xâ]DêáW]åz</t>
  </si>
  <si>
    <t>Koreaans</t>
  </si>
  <si>
    <t>coréen</t>
  </si>
  <si>
    <t>xDê¾p]åz</t>
  </si>
  <si>
    <t>Russisch</t>
  </si>
  <si>
    <t>russe</t>
  </si>
  <si>
    <t>xÑêÉåípz</t>
  </si>
  <si>
    <t>Frans</t>
  </si>
  <si>
    <t>français</t>
  </si>
  <si>
    <t>xDëéôåfpz</t>
  </si>
  <si>
    <t>Spaans</t>
  </si>
  <si>
    <t>espagnol</t>
  </si>
  <si>
    <t>xDí‰Wâfpz</t>
  </si>
  <si>
    <t>Turks</t>
  </si>
  <si>
    <t>turque</t>
  </si>
  <si>
    <r>
      <rPr>
        <rFont val="Times New Roman"/>
        <color rgb="FF000000"/>
        <sz val="6.0"/>
      </rPr>
      <t>x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DëíêÉfäá]åz</t>
    </r>
  </si>
  <si>
    <t>Australisch</t>
  </si>
  <si>
    <t>australien</t>
  </si>
  <si>
    <t>xëíêÉëz</t>
  </si>
  <si>
    <t>klemtoon</t>
  </si>
  <si>
    <t>accent tonique</t>
  </si>
  <si>
    <r>
      <rPr>
        <rFont val="Times New Roman"/>
        <color rgb="FF000000"/>
        <sz val="6.0"/>
      </rPr>
      <t>xÇwÉå]ê]ä=Då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äfÇwz</t>
    </r>
  </si>
  <si>
    <t>algemene kennis</t>
  </si>
  <si>
    <t>connaissance générale</t>
  </si>
  <si>
    <t>xâïfòz</t>
  </si>
  <si>
    <t>test</t>
  </si>
  <si>
    <t>jeu</t>
  </si>
  <si>
    <t>xDôê]Äfâz</t>
  </si>
  <si>
    <t>Arabisch</t>
  </si>
  <si>
    <t>arabe</t>
  </si>
  <si>
    <t>xDôâíê]ëz</t>
  </si>
  <si>
    <t>actrice</t>
  </si>
  <si>
    <t>x?àìWå]Dî‰Wë]íáz</t>
  </si>
  <si>
    <t>universiteit</t>
  </si>
  <si>
    <t>université</t>
  </si>
  <si>
    <t>xDÉ]élWíz</t>
  </si>
  <si>
    <t>vliegveld</t>
  </si>
  <si>
    <t>aéroport</t>
  </si>
  <si>
    <r>
      <rPr>
        <rFont val="Times New Roman"/>
        <color rgb="FF000000"/>
        <sz val="6.0"/>
      </rPr>
      <t>xÄf=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å=DÜ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äfÇÉfz</t>
    </r>
  </si>
  <si>
    <t>op vakantie zijn</t>
  </si>
  <si>
    <t>être en vacances</t>
  </si>
  <si>
    <r>
      <rPr>
        <rFont val="Times New Roman"/>
        <color rgb="FF000000"/>
        <sz val="6.0"/>
      </rPr>
      <t>xÄf=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å=DÄfòå]ëz</t>
    </r>
  </si>
  <si>
    <t>op zakenreis zijn</t>
  </si>
  <si>
    <t>être en voyage d'affaires</t>
  </si>
  <si>
    <t>Page 1 of 26</t>
  </si>
  <si>
    <t>xDír]ê]ëíz</t>
  </si>
  <si>
    <t>toerist</t>
  </si>
  <si>
    <t>touriste</t>
  </si>
  <si>
    <t>xDãôêáÇz</t>
  </si>
  <si>
    <t>getrouwd</t>
  </si>
  <si>
    <t>marié</t>
  </si>
  <si>
    <t>xDëfkÖ]äz</t>
  </si>
  <si>
    <t>vrijgezel</t>
  </si>
  <si>
    <t>célibataire</t>
  </si>
  <si>
    <t>xDäÉë]åz</t>
  </si>
  <si>
    <t>les</t>
  </si>
  <si>
    <t>leçon</t>
  </si>
  <si>
    <t>xDëâlíä]åÇz</t>
  </si>
  <si>
    <t>Schotland</t>
  </si>
  <si>
    <t>l'Écosse</t>
  </si>
  <si>
    <r>
      <rPr>
        <rFont val="Times New Roman"/>
        <color rgb="FF000000"/>
        <sz val="6.0"/>
      </rPr>
      <t>x?é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ä]Dífp]åz</t>
    </r>
  </si>
  <si>
    <t>politicus / politica</t>
  </si>
  <si>
    <t>homme politique / femme politique</t>
  </si>
  <si>
    <t>xôí=Dï‰Wâz</t>
  </si>
  <si>
    <t>op je werk</t>
  </si>
  <si>
    <t>au travail</t>
  </si>
  <si>
    <t>xDÑríÄlWä]z</t>
  </si>
  <si>
    <t>voetballer / voetbalster</t>
  </si>
  <si>
    <t>footballeur / footballeuse</t>
  </si>
  <si>
    <t>xãàìWDòfp]åz</t>
  </si>
  <si>
    <t>musicus</t>
  </si>
  <si>
    <t>musicien(ne)</t>
  </si>
  <si>
    <t>x?ÉåÇw]Dåf]z</t>
  </si>
  <si>
    <t>ingenieur, technicus</t>
  </si>
  <si>
    <t>ingénieur</t>
  </si>
  <si>
    <t>xDälWà]z</t>
  </si>
  <si>
    <t>advocaat / advocate</t>
  </si>
  <si>
    <t>juriste, avocat</t>
  </si>
  <si>
    <r>
      <rPr>
        <rFont val="Times New Roman"/>
        <color rgb="FF000000"/>
        <sz val="6.0"/>
      </rPr>
      <t>xé]DäáWë=?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Ñfë]z</t>
    </r>
  </si>
  <si>
    <t>politieman / politievrouw</t>
  </si>
  <si>
    <t>agent de police</t>
  </si>
  <si>
    <t>xé^Wz</t>
  </si>
  <si>
    <t>secretaresse</t>
  </si>
  <si>
    <t>secrétaire</t>
  </si>
  <si>
    <t>xDëfÏ]z</t>
  </si>
  <si>
    <t>zanger(es)</t>
  </si>
  <si>
    <t>chanteur / chanteuse</t>
  </si>
  <si>
    <t>xf?äÉâDíêfp]åz</t>
  </si>
  <si>
    <t>elektricien</t>
  </si>
  <si>
    <t>électricien</t>
  </si>
  <si>
    <r>
      <rPr>
        <rFont val="Times New Roman"/>
        <color rgb="FF000000"/>
        <sz val="6.0"/>
      </rPr>
      <t>xp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é=]Dëfëí]åíz</t>
    </r>
  </si>
  <si>
    <t>winkelbediende</t>
  </si>
  <si>
    <t>vendeur / vendeuse</t>
  </si>
  <si>
    <r>
      <rPr>
        <rFont val="Times New Roman"/>
        <color rgb="FF000000"/>
        <sz val="6.0"/>
      </rPr>
      <t>xDÇ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âí]z</t>
    </r>
  </si>
  <si>
    <t>dokter</t>
  </si>
  <si>
    <t>médecin</t>
  </si>
  <si>
    <t>xå‰Wëz</t>
  </si>
  <si>
    <t>verpleegkundige</t>
  </si>
  <si>
    <t>infirmière</t>
  </si>
  <si>
    <t>xDôâí]z</t>
  </si>
  <si>
    <t>acteur / actrice</t>
  </si>
  <si>
    <t>xDïÉfí]z</t>
  </si>
  <si>
    <t>ober</t>
  </si>
  <si>
    <t>serveur</t>
  </si>
  <si>
    <t>xDïÉfíê]ëz</t>
  </si>
  <si>
    <t>serveerster</t>
  </si>
  <si>
    <t>serveuse</t>
  </si>
  <si>
    <t>xDÄfòå]ëã]åz</t>
  </si>
  <si>
    <t>zakenman</t>
  </si>
  <si>
    <t>homme d'affaires</t>
  </si>
  <si>
    <t>xDÄfòå]ë?ïrã]åz</t>
  </si>
  <si>
    <t>zakenvrouw</t>
  </si>
  <si>
    <t>femme d'affaires</t>
  </si>
  <si>
    <t>xÖÉëz</t>
  </si>
  <si>
    <t>raden</t>
  </si>
  <si>
    <t>deviner</t>
  </si>
  <si>
    <t>xDÑÉfã]ëz</t>
  </si>
  <si>
    <t>beroemd</t>
  </si>
  <si>
    <t>célèbre</t>
  </si>
  <si>
    <t>xDÑrä=åÉfãz</t>
  </si>
  <si>
    <t>volledige naam</t>
  </si>
  <si>
    <t>nom et prénom</t>
  </si>
  <si>
    <t>xDÑ‰Wëí=åÉfãz</t>
  </si>
  <si>
    <t>voornaam</t>
  </si>
  <si>
    <t>prénom</t>
  </si>
  <si>
    <t>xDë‰WåÉfãz</t>
  </si>
  <si>
    <t>achternaam</t>
  </si>
  <si>
    <t>nom de famille</t>
  </si>
  <si>
    <t>xDã]rÄ~fäz</t>
  </si>
  <si>
    <t>mobiel</t>
  </si>
  <si>
    <t>gsm</t>
  </si>
  <si>
    <t>xDÜ¾òÄ]åÇz</t>
  </si>
  <si>
    <t>echtgenoot</t>
  </si>
  <si>
    <t>mari</t>
  </si>
  <si>
    <t>xfãDéälfáWz</t>
  </si>
  <si>
    <t>werknemer / werkneemster</t>
  </si>
  <si>
    <t>employé(e)</t>
  </si>
  <si>
    <t>xDé‰Wë]å]ä=ÇÉfí]z</t>
  </si>
  <si>
    <t>persoonlijke gegevens</t>
  </si>
  <si>
    <t>renseignements personnels</t>
  </si>
  <si>
    <t>xÇÉfí=]î=Ä‰Wqz</t>
  </si>
  <si>
    <t>geboortedatum</t>
  </si>
  <si>
    <t>date de naissance</t>
  </si>
  <si>
    <t>xéäÉfë=]î=Ä‰Wqz</t>
  </si>
  <si>
    <t>geboorteplaats</t>
  </si>
  <si>
    <t>lieu de naissance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</si>
  <si>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åíôâíz</t>
    </r>
  </si>
  <si>
    <t>waarschuwen</t>
  </si>
  <si>
    <t>contacter</t>
  </si>
  <si>
    <t>xfDã‰WÇw]åëáz</t>
  </si>
  <si>
    <t>noodgeval</t>
  </si>
  <si>
    <t>urgence</t>
  </si>
  <si>
    <t>xDâ¾ê]åíz</t>
  </si>
  <si>
    <t>lopend</t>
  </si>
  <si>
    <t>actuel</t>
  </si>
  <si>
    <t>x]Dâ~råí=DëíÉfíã]åíz</t>
  </si>
  <si>
    <t>rekeningafschrift</t>
  </si>
  <si>
    <t>extrait de compte</t>
  </si>
  <si>
    <t>x]Dâ~råí=åÉfãz</t>
  </si>
  <si>
    <t>rekeninghouder</t>
  </si>
  <si>
    <t>compte au nom de</t>
  </si>
  <si>
    <t>x]Dâ~råí=Då¾ãÄ]z</t>
  </si>
  <si>
    <t>rekeningnummer</t>
  </si>
  <si>
    <t>numéro de compte</t>
  </si>
  <si>
    <t>xÄê^Wåípz</t>
  </si>
  <si>
    <t>vestiging</t>
  </si>
  <si>
    <t>agence</t>
  </si>
  <si>
    <t>xDéäÉfë=]î=Dëí¾Çáz</t>
  </si>
  <si>
    <t>studieplaats</t>
  </si>
  <si>
    <t>lieu d'étude</t>
  </si>
  <si>
    <t>xâlWë=]î=Dëí¾Çáz</t>
  </si>
  <si>
    <t>studierichting</t>
  </si>
  <si>
    <t>section</t>
  </si>
  <si>
    <t>xfåDí~fíäz</t>
  </si>
  <si>
    <t>recht geven</t>
  </si>
  <si>
    <t>donner droit à</t>
  </si>
  <si>
    <t>xàìWëz</t>
  </si>
  <si>
    <t>gebruiken</t>
  </si>
  <si>
    <t>utiliser</t>
  </si>
  <si>
    <t>xÑ]Dëfä]íáòz</t>
  </si>
  <si>
    <t>faciliteiten</t>
  </si>
  <si>
    <t>les infrastructures et services</t>
  </si>
  <si>
    <t>xfåDâäìWÇz</t>
  </si>
  <si>
    <t>omvatten</t>
  </si>
  <si>
    <t>inclure</t>
  </si>
  <si>
    <t>xDä~fÄê]êáz</t>
  </si>
  <si>
    <t>bibliotheek</t>
  </si>
  <si>
    <t>bibliothèque</t>
  </si>
  <si>
    <t>xëéÉäz</t>
  </si>
  <si>
    <t>spellen</t>
  </si>
  <si>
    <t>épeler</t>
  </si>
  <si>
    <t>Page 2 of 26</t>
  </si>
  <si>
    <t>xDàìWëÑ]äz</t>
  </si>
  <si>
    <t>nuttig</t>
  </si>
  <si>
    <t>utile</t>
  </si>
  <si>
    <r>
      <rPr>
        <rFont val="Times New Roman"/>
        <color rgb="FF000000"/>
        <sz val="6.0"/>
      </rPr>
      <t>x?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âà]DéÉfp]åz</t>
    </r>
  </si>
  <si>
    <t>beroep</t>
  </si>
  <si>
    <t>profession</t>
  </si>
  <si>
    <t>xÉfÇwz</t>
  </si>
  <si>
    <t>leeftijd</t>
  </si>
  <si>
    <t>âge</t>
  </si>
  <si>
    <t>xDâôé]íä=DäÉí]z</t>
  </si>
  <si>
    <t>hoofdletter</t>
  </si>
  <si>
    <t>majuscule</t>
  </si>
  <si>
    <t>xDå]ríÄrâz</t>
  </si>
  <si>
    <t>notitieboekje, schrift</t>
  </si>
  <si>
    <t>cahier</t>
  </si>
  <si>
    <t>xDé^Wë]äz</t>
  </si>
  <si>
    <t>pakje</t>
  </si>
  <si>
    <t>paquet</t>
  </si>
  <si>
    <t>x]r=Dê~fíz</t>
  </si>
  <si>
    <t>o goed</t>
  </si>
  <si>
    <t>ah, bien!</t>
  </si>
  <si>
    <t>xD]rî]=aÉ]z</t>
  </si>
  <si>
    <t>daar</t>
  </si>
  <si>
    <t>là-bas</t>
  </si>
  <si>
    <t>xDä¾îäáz</t>
  </si>
  <si>
    <t>leuk</t>
  </si>
  <si>
    <t>merveilleux</t>
  </si>
  <si>
    <t>xâ^W=âáòz</t>
  </si>
  <si>
    <t>autosleutels</t>
  </si>
  <si>
    <t>les clés de voiture</t>
  </si>
  <si>
    <r>
      <rPr>
        <rFont val="Times New Roman"/>
        <color rgb="FF000000"/>
        <sz val="6.0"/>
      </rPr>
      <t>xDÉîêáÇÉf=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ÄÇwÉâíëz</t>
    </r>
  </si>
  <si>
    <t>alledaagse voorwerpen</t>
  </si>
  <si>
    <t>objets de la vie quotidienne</t>
  </si>
  <si>
    <t>xDâôã]ê]z</t>
  </si>
  <si>
    <t>camera</t>
  </si>
  <si>
    <t>caméra / appareil-photo</t>
  </si>
  <si>
    <t>xDâêÉÇfí=â^WÇz</t>
  </si>
  <si>
    <t>creditcard</t>
  </si>
  <si>
    <t>carte de crédit</t>
  </si>
  <si>
    <t>xëíôãéëz</t>
  </si>
  <si>
    <t>postzegels</t>
  </si>
  <si>
    <t>des timbres</t>
  </si>
  <si>
    <t>xDã]rÄ~fä=DÑ]råz</t>
  </si>
  <si>
    <t>mobiele telefoon</t>
  </si>
  <si>
    <t>xÄê¾pz</t>
  </si>
  <si>
    <t>borstel</t>
  </si>
  <si>
    <t>brosse</t>
  </si>
  <si>
    <t>xDÇ~f]êáz</t>
  </si>
  <si>
    <t>agenda</t>
  </si>
  <si>
    <t>xâlfåz</t>
  </si>
  <si>
    <t>munt</t>
  </si>
  <si>
    <t>pied de monnaie</t>
  </si>
  <si>
    <t>xípÉâ=DÄrâz</t>
  </si>
  <si>
    <t>chequeboek</t>
  </si>
  <si>
    <t>chéquier</t>
  </si>
  <si>
    <t>xÑ]rå=â^WÇz</t>
  </si>
  <si>
    <t>telefoonkaart</t>
  </si>
  <si>
    <t>carte de téléphone</t>
  </si>
  <si>
    <r>
      <rPr>
        <rFont val="Arial"/>
        <color rgb="FF000000"/>
        <sz val="6.0"/>
      </rPr>
      <t>You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can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get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phone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cards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for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₤</t>
    </r>
    <r>
      <rPr>
        <rFont val="Arial"/>
        <color rgb="FF000000"/>
        <sz val="6.0"/>
      </rPr>
      <t>5.00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₤</t>
    </r>
    <r>
      <rPr>
        <rFont val="Arial"/>
        <color rgb="FF000000"/>
        <sz val="6.0"/>
      </rPr>
      <t>10.00.</t>
    </r>
  </si>
  <si>
    <t>xDÇfâp]å]êáz</t>
  </si>
  <si>
    <t>woordenboek</t>
  </si>
  <si>
    <t>dictionnaire</t>
  </si>
  <si>
    <t>x~fDÇÉåí]íá=â^WÇz</t>
  </si>
  <si>
    <t>identiteitskaart</t>
  </si>
  <si>
    <t>carte d'identité</t>
  </si>
  <si>
    <t>xDífpìWz</t>
  </si>
  <si>
    <t>papieren zakdoekje</t>
  </si>
  <si>
    <t>mouchoir en papier</t>
  </si>
  <si>
    <r>
      <rPr>
        <rFont val="Times New Roman"/>
        <color rgb="FF000000"/>
        <sz val="6.0"/>
      </rPr>
      <t>xDï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ä]íz</t>
    </r>
  </si>
  <si>
    <t>portefeuille</t>
  </si>
  <si>
    <t>xëïáWíëz</t>
  </si>
  <si>
    <t>snoepjes</t>
  </si>
  <si>
    <t>bonbons</t>
  </si>
  <si>
    <t>x?Öä^Wë]òz</t>
  </si>
  <si>
    <t>bril</t>
  </si>
  <si>
    <t>lunettes</t>
  </si>
  <si>
    <t>xéäÉfz</t>
  </si>
  <si>
    <t>cassettespeler</t>
  </si>
  <si>
    <t>lecteur de cassettes</t>
  </si>
  <si>
    <r>
      <rPr>
        <rFont val="Times New Roman"/>
        <color rgb="FF000000"/>
        <sz val="6.0"/>
      </rPr>
      <t>xï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íë=a]=Dãôí]z</t>
    </r>
  </si>
  <si>
    <t>wat is er aan de hand?</t>
  </si>
  <si>
    <t>quel est le problème?</t>
  </si>
  <si>
    <t>xÜôî=ïfa=àrz</t>
  </si>
  <si>
    <t>bij je hebben</t>
  </si>
  <si>
    <t>avoir sur soi</t>
  </si>
  <si>
    <t>xêfípz</t>
  </si>
  <si>
    <t>rijk</t>
  </si>
  <si>
    <t>riche</t>
  </si>
  <si>
    <t>xDã]rí]Ä~fâz</t>
  </si>
  <si>
    <t>motorfiets</t>
  </si>
  <si>
    <t>moto</t>
  </si>
  <si>
    <t>xãÉfâz</t>
  </si>
  <si>
    <t>merk</t>
  </si>
  <si>
    <t>marque</t>
  </si>
  <si>
    <t>xéÉíz</t>
  </si>
  <si>
    <t>huisdier</t>
  </si>
  <si>
    <t>animal de compagnie</t>
  </si>
  <si>
    <t>xDâ¾ãÑí]Ä]äz</t>
  </si>
  <si>
    <t>comfortabel</t>
  </si>
  <si>
    <t>confortable</t>
  </si>
  <si>
    <t>xÖêÉfíz</t>
  </si>
  <si>
    <t>geweldig</t>
  </si>
  <si>
    <t>génial</t>
  </si>
  <si>
    <t>xéê]DÑÉp]å]äz</t>
  </si>
  <si>
    <t>beroeps</t>
  </si>
  <si>
    <t>professionnel</t>
  </si>
  <si>
    <t>xDôâípì]äáz</t>
  </si>
  <si>
    <t>in feite</t>
  </si>
  <si>
    <t>en fait</t>
  </si>
  <si>
    <t>x]DÄ~ríz</t>
  </si>
  <si>
    <t>ongeveer</t>
  </si>
  <si>
    <t>à peu près</t>
  </si>
  <si>
    <t>xÖÉfãz</t>
  </si>
  <si>
    <t>spelletje</t>
  </si>
  <si>
    <t>xï~fÑz</t>
  </si>
  <si>
    <t>echtgenote</t>
  </si>
  <si>
    <t>épouse</t>
  </si>
  <si>
    <t>xDâ¾ò]åz</t>
  </si>
  <si>
    <t>neef/nicht</t>
  </si>
  <si>
    <t>cousin</t>
  </si>
  <si>
    <t>xDÖêôå?ã¾a]z</t>
  </si>
  <si>
    <t>grootmoeder</t>
  </si>
  <si>
    <t>grand-mère</t>
  </si>
  <si>
    <t>xDÖêôåë¾åz</t>
  </si>
  <si>
    <t>kleinzoon</t>
  </si>
  <si>
    <t>petit-fils</t>
  </si>
  <si>
    <t>xDãÉfÄáz</t>
  </si>
  <si>
    <t>misschien</t>
  </si>
  <si>
    <t>peut-être</t>
  </si>
  <si>
    <t>xDÖêôåéÉ]ê]åíëz</t>
  </si>
  <si>
    <t>grootouders</t>
  </si>
  <si>
    <t>grands-parents</t>
  </si>
  <si>
    <t>xDÖêôåÇ?Ñ^Wa]z</t>
  </si>
  <si>
    <t>grootvader</t>
  </si>
  <si>
    <t>grand-père</t>
  </si>
  <si>
    <t>xDÖêôå?ÇlWí]z</t>
  </si>
  <si>
    <t>kleindochter</t>
  </si>
  <si>
    <t>petite-fille</t>
  </si>
  <si>
    <t>x^Wåíz</t>
  </si>
  <si>
    <t>tante</t>
  </si>
  <si>
    <t>Page 3 of 26</t>
  </si>
  <si>
    <t>xD¾kâ]äz</t>
  </si>
  <si>
    <t>oom</t>
  </si>
  <si>
    <t>oncle</t>
  </si>
  <si>
    <t>xDåÉÑàìWz</t>
  </si>
  <si>
    <t>neef (oom/tantezegger)</t>
  </si>
  <si>
    <t>neveu</t>
  </si>
  <si>
    <t>xåáWëz</t>
  </si>
  <si>
    <t>nicht (oom/tantezegster)</t>
  </si>
  <si>
    <t>nièce</t>
  </si>
  <si>
    <t>xêfDäÉfí]Çz</t>
  </si>
  <si>
    <t>familie van elkaar</t>
  </si>
  <si>
    <t>de la famille</t>
  </si>
  <si>
    <r>
      <rPr>
        <rFont val="Times New Roman"/>
        <color rgb="FF000000"/>
        <sz val="6.0"/>
      </rPr>
      <t>x?Éâ]Då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ãfâëz</t>
    </r>
  </si>
  <si>
    <t>economie</t>
  </si>
  <si>
    <t>l'économie</t>
  </si>
  <si>
    <t>xDÑ¾åáz</t>
  </si>
  <si>
    <t>grappig</t>
  </si>
  <si>
    <t>amusant, drôle</t>
  </si>
  <si>
    <t>xDâäÉî]z</t>
  </si>
  <si>
    <t>slim</t>
  </si>
  <si>
    <t>intelligent</t>
  </si>
  <si>
    <t>xÜ~r=DÇìW==àr=ëÉfz</t>
  </si>
  <si>
    <t>hoe zeg je…</t>
  </si>
  <si>
    <t>comment dites-vous …?</t>
  </si>
  <si>
    <t>xâ]å=DÇìW==àr=ëÉf=aôí]DÖÉåz</t>
  </si>
  <si>
    <t>kunt u dat nog eens herhalen?</t>
  </si>
  <si>
    <t>pouvez-vous répéter?</t>
  </si>
  <si>
    <t>xÜ~r=DÇìW==àr=ëéÉäz</t>
  </si>
  <si>
    <t>hoe spel je…</t>
  </si>
  <si>
    <t>comment épelez-vous ?</t>
  </si>
  <si>
    <t>kunt u dat op het bord schrijven?</t>
  </si>
  <si>
    <t>pouvez-vous l'écrire au tableau?</t>
  </si>
  <si>
    <t>xãáWåz</t>
  </si>
  <si>
    <t>betekenen</t>
  </si>
  <si>
    <t>signifier</t>
  </si>
  <si>
    <t>x~f=Ç]råí==êfDãÉãÄ]z</t>
  </si>
  <si>
    <t>ik weet het niet meer</t>
  </si>
  <si>
    <t>Je en me souviens pas</t>
  </si>
  <si>
    <r>
      <rPr>
        <rFont val="Times New Roman"/>
        <color rgb="FF000000"/>
        <sz val="6.0"/>
      </rPr>
      <t>xï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íë=a]=Dï‰WÇ==Ñ]z</t>
    </r>
  </si>
  <si>
    <t>wat is het woord voor…</t>
  </si>
  <si>
    <t>quel est le mot pour dire…</t>
  </si>
  <si>
    <t>xêfDâlWÇfÏz</t>
  </si>
  <si>
    <t>opname</t>
  </si>
  <si>
    <t>enregistrement</t>
  </si>
  <si>
    <t>x]î=DâlWëz</t>
  </si>
  <si>
    <t>natuurlijk</t>
  </si>
  <si>
    <t>bien sûr</t>
  </si>
  <si>
    <t>op welke bladzijde zijn we?</t>
  </si>
  <si>
    <t>à quelle page sommes-nous?</t>
  </si>
  <si>
    <t>zelfstandig naamwoord</t>
  </si>
  <si>
    <t>nom, substantif</t>
  </si>
  <si>
    <t>werkwoord</t>
  </si>
  <si>
    <t>verbe</t>
  </si>
  <si>
    <t>bijvoeglijk naamwoord</t>
  </si>
  <si>
    <t>adjectif</t>
  </si>
  <si>
    <t>voornaamwoord</t>
  </si>
  <si>
    <t>pronom</t>
  </si>
  <si>
    <t>voorzetsel</t>
  </si>
  <si>
    <t>préposition</t>
  </si>
  <si>
    <t>lettergreep</t>
  </si>
  <si>
    <t>syllabe</t>
  </si>
  <si>
    <t>verkorte vorm (samentrekking)</t>
  </si>
  <si>
    <t>forme contractée</t>
  </si>
  <si>
    <t>vraagwoord</t>
  </si>
  <si>
    <t>mot interrogatif</t>
  </si>
  <si>
    <t>interpunctie</t>
  </si>
  <si>
    <t>ponctuation</t>
  </si>
  <si>
    <t>klank</t>
  </si>
  <si>
    <t>son</t>
  </si>
  <si>
    <t>xDâ¾ãé]åáz</t>
  </si>
  <si>
    <t>bedrijf</t>
  </si>
  <si>
    <t>société, entreprise</t>
  </si>
  <si>
    <r>
      <rPr>
        <rFont val="Times New Roman"/>
        <color rgb="FF000000"/>
        <sz val="6.0"/>
      </rPr>
      <t>xä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k=D~r]òz</t>
    </r>
  </si>
  <si>
    <t>lange dagen</t>
  </si>
  <si>
    <t>beaucoup d'heures</t>
  </si>
  <si>
    <t>xälWz</t>
  </si>
  <si>
    <t>recht</t>
  </si>
  <si>
    <t>le droit</t>
  </si>
  <si>
    <t>xDâä^Wëfòz</t>
  </si>
  <si>
    <t>cursus</t>
  </si>
  <si>
    <t>un cours</t>
  </si>
  <si>
    <t>xãáWäz</t>
  </si>
  <si>
    <t>maaltijd</t>
  </si>
  <si>
    <t>repas</t>
  </si>
  <si>
    <t>xëåôâz</t>
  </si>
  <si>
    <t>tussendoortje</t>
  </si>
  <si>
    <t>encas</t>
  </si>
  <si>
    <r>
      <rPr>
        <rFont val="Times New Roman"/>
        <color rgb="FF000000"/>
        <sz val="6.0"/>
      </rPr>
      <t>xD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Ñfë=ï‰Wâ]z</t>
    </r>
  </si>
  <si>
    <t>kantoormedewerker</t>
  </si>
  <si>
    <t>employé de bureau</t>
  </si>
  <si>
    <t>xä¾åípz</t>
  </si>
  <si>
    <t>lunch</t>
  </si>
  <si>
    <t>dîner, repas de midi</t>
  </si>
  <si>
    <t>xDä¾åípí~fãz</t>
  </si>
  <si>
    <t>lunchtijd</t>
  </si>
  <si>
    <t>temps de midi</t>
  </si>
  <si>
    <t>xDÇÉfäá=Dä~fÑz</t>
  </si>
  <si>
    <t>dagelijks leven</t>
  </si>
  <si>
    <t>vie quotidienne</t>
  </si>
  <si>
    <t>xÄáWípz</t>
  </si>
  <si>
    <t>strand</t>
  </si>
  <si>
    <t>plage</t>
  </si>
  <si>
    <t>xëíÉfz</t>
  </si>
  <si>
    <t>blijven</t>
  </si>
  <si>
    <t>rester</t>
  </si>
  <si>
    <t>xDålWã]äáz</t>
  </si>
  <si>
    <t>gewoonlijk</t>
  </si>
  <si>
    <t>normalement</t>
  </si>
  <si>
    <t>xD]ré]åz</t>
  </si>
  <si>
    <t>opengaan</t>
  </si>
  <si>
    <t>ouvrir, être ouvert</t>
  </si>
  <si>
    <t>xâä]rëz</t>
  </si>
  <si>
    <t>sluiten</t>
  </si>
  <si>
    <t>fermer</t>
  </si>
  <si>
    <t>xëí^Wíz</t>
  </si>
  <si>
    <t>beginnen</t>
  </si>
  <si>
    <t>commencer</t>
  </si>
  <si>
    <t>xDÑfåfpz</t>
  </si>
  <si>
    <t>afgelopen zijn</t>
  </si>
  <si>
    <t>finir</t>
  </si>
  <si>
    <t>xDÖÉí=D¾é=D‰Wäáz</t>
  </si>
  <si>
    <t>vroeg opstaan</t>
  </si>
  <si>
    <t>se lever tôt</t>
  </si>
  <si>
    <t>x?ÖÉí=í]=DÄÉÇ=äÉfíz</t>
  </si>
  <si>
    <t>laat naar bed gaan</t>
  </si>
  <si>
    <t>se coucher tard</t>
  </si>
  <si>
    <t>xÜôî=DÄêÉâÑ]ëíz</t>
  </si>
  <si>
    <t>ontbijten</t>
  </si>
  <si>
    <t>prendre le petit déjeuner</t>
  </si>
  <si>
    <t>Page 4 of 26</t>
  </si>
  <si>
    <t>xÜôî=Dä¾åípz</t>
  </si>
  <si>
    <t>lunchen</t>
  </si>
  <si>
    <t>dîner, prendre le repas de midi</t>
  </si>
  <si>
    <t>xÜôî=DÇfå]=z</t>
  </si>
  <si>
    <t>dineren</t>
  </si>
  <si>
    <t>dîner</t>
  </si>
  <si>
    <t>xâôíp=a]=Ä¾ëz</t>
  </si>
  <si>
    <t>de bus nemen</t>
  </si>
  <si>
    <t>prendre le petit bus</t>
  </si>
  <si>
    <t>xÜôî=]=DÄ^Wqz</t>
  </si>
  <si>
    <t>in bad gaan</t>
  </si>
  <si>
    <t>prendre un bain</t>
  </si>
  <si>
    <t>xÜôî=]=Dp~r]z</t>
  </si>
  <si>
    <t>douchen</t>
  </si>
  <si>
    <t>prendre une douche</t>
  </si>
  <si>
    <t>xDäôkÖïfÇwz</t>
  </si>
  <si>
    <t>taal</t>
  </si>
  <si>
    <t>langue</t>
  </si>
  <si>
    <t>xDÇÉfäf=êrDíáWåz</t>
  </si>
  <si>
    <t>dagprogramma</t>
  </si>
  <si>
    <t>activités quotidiennes</t>
  </si>
  <si>
    <t>xä¾îòz</t>
  </si>
  <si>
    <t>voorkeuren</t>
  </si>
  <si>
    <t>ce qu'on aime</t>
  </si>
  <si>
    <t>xÜÉfíëz</t>
  </si>
  <si>
    <t>aversies</t>
  </si>
  <si>
    <t>ce qu'on déteste</t>
  </si>
  <si>
    <r>
      <rPr>
        <rFont val="Times New Roman"/>
        <color rgb="FF000000"/>
        <sz val="6.0"/>
      </rPr>
      <t>xÇ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Öz</t>
    </r>
  </si>
  <si>
    <t>hond</t>
  </si>
  <si>
    <t>chien</t>
  </si>
  <si>
    <r>
      <rPr>
        <rFont val="Times New Roman"/>
        <color rgb="FF000000"/>
        <sz val="6.0"/>
      </rPr>
      <t>xÇ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äz</t>
    </r>
  </si>
  <si>
    <t>pop</t>
  </si>
  <si>
    <t>poupée</t>
  </si>
  <si>
    <t>xâê~rÇz</t>
  </si>
  <si>
    <t>mensenmassa</t>
  </si>
  <si>
    <t>foule</t>
  </si>
  <si>
    <t>xDëé~fÇ]z</t>
  </si>
  <si>
    <t>spin</t>
  </si>
  <si>
    <t>araignée</t>
  </si>
  <si>
    <t>xÑä~fz</t>
  </si>
  <si>
    <t>vliegen</t>
  </si>
  <si>
    <t>prendre l'avion</t>
  </si>
  <si>
    <t>xDÜ~rëï‰Wâz</t>
  </si>
  <si>
    <t>huishoudelijk werk</t>
  </si>
  <si>
    <t>ménage</t>
  </si>
  <si>
    <t>xÜîåÇê]Çòz</t>
  </si>
  <si>
    <t>honderden</t>
  </si>
  <si>
    <t>des centaines</t>
  </si>
  <si>
    <t>xâôíz</t>
  </si>
  <si>
    <t>kat</t>
  </si>
  <si>
    <t>chat</t>
  </si>
  <si>
    <t>xârâz</t>
  </si>
  <si>
    <t>koken</t>
  </si>
  <si>
    <t>faire la cuisine</t>
  </si>
  <si>
    <t>xDë~fâ]äz</t>
  </si>
  <si>
    <t>fietsen</t>
  </si>
  <si>
    <t>rouler à vélo</t>
  </si>
  <si>
    <t>xÇê~fîz</t>
  </si>
  <si>
    <t>autorijden</t>
  </si>
  <si>
    <t>conduire, rouler en voiture</t>
  </si>
  <si>
    <t>xê¾åz</t>
  </si>
  <si>
    <t>hardlopen</t>
  </si>
  <si>
    <t>courir</t>
  </si>
  <si>
    <t>xÑfäã=Ç]DêÉâí]z</t>
  </si>
  <si>
    <t>filmregisseur / filmregisseuse</t>
  </si>
  <si>
    <t>réalisateur / réalisatrice</t>
  </si>
  <si>
    <t>xëÉåÇz</t>
  </si>
  <si>
    <t>sturen</t>
  </si>
  <si>
    <t>envoyer</t>
  </si>
  <si>
    <t>xDqf]í]z</t>
  </si>
  <si>
    <t>schouwburg</t>
  </si>
  <si>
    <t>théâtre</t>
  </si>
  <si>
    <t>x^Wíz</t>
  </si>
  <si>
    <t>kunst</t>
  </si>
  <si>
    <t>l'art</t>
  </si>
  <si>
    <t>xD^Wâ]íÉâíp]z</t>
  </si>
  <si>
    <t>architectuur</t>
  </si>
  <si>
    <t>l'architecture</t>
  </si>
  <si>
    <t>xDä]râ]äz</t>
  </si>
  <si>
    <t>plaatselijk</t>
  </si>
  <si>
    <t>du coin</t>
  </si>
  <si>
    <t>xfåDÇwlfz</t>
  </si>
  <si>
    <t>genieten van</t>
  </si>
  <si>
    <t>prendre plaisir à</t>
  </si>
  <si>
    <t>xÑêáW=í^fãz</t>
  </si>
  <si>
    <t>vrije tijd</t>
  </si>
  <si>
    <t>temps libre</t>
  </si>
  <si>
    <t>xãfëz</t>
  </si>
  <si>
    <t>missen</t>
  </si>
  <si>
    <t>manquer</t>
  </si>
  <si>
    <t>xDlWÇ]å]êáz</t>
  </si>
  <si>
    <t>gewoon</t>
  </si>
  <si>
    <t>ordinaire</t>
  </si>
  <si>
    <t>xïÉfäòz</t>
  </si>
  <si>
    <t>Wales</t>
  </si>
  <si>
    <t>le Pays de Galle</t>
  </si>
  <si>
    <t>x?Äfäà]DåÉ]z</t>
  </si>
  <si>
    <t>miljardair</t>
  </si>
  <si>
    <t>milliardaire</t>
  </si>
  <si>
    <t>xDâ¾é]äz</t>
  </si>
  <si>
    <t>echtpaar</t>
  </si>
  <si>
    <t>couple</t>
  </si>
  <si>
    <t>xëífäz</t>
  </si>
  <si>
    <t>nog steeds</t>
  </si>
  <si>
    <t>encore</t>
  </si>
  <si>
    <t>xïÉäpz</t>
  </si>
  <si>
    <t>Wels (uit Wales)</t>
  </si>
  <si>
    <t>gallois</t>
  </si>
  <si>
    <t>xÄ]rqz</t>
  </si>
  <si>
    <t>allebei</t>
  </si>
  <si>
    <t>tous les deux</t>
  </si>
  <si>
    <r>
      <rPr>
        <rFont val="Times New Roman"/>
        <color rgb="FF000000"/>
        <sz val="6.0"/>
      </rPr>
      <t>xDÜ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ëéfíäz</t>
    </r>
  </si>
  <si>
    <t>ziekenhuis</t>
  </si>
  <si>
    <t>hôpital</t>
  </si>
  <si>
    <t>xåf]z</t>
  </si>
  <si>
    <t>in de buurt van</t>
  </si>
  <si>
    <t>près de</t>
  </si>
  <si>
    <t>xDë¾ãí~fãòz</t>
  </si>
  <si>
    <t>soms</t>
  </si>
  <si>
    <t>parfois</t>
  </si>
  <si>
    <t>xDã¾kâáz</t>
  </si>
  <si>
    <t>aap</t>
  </si>
  <si>
    <t>singe</t>
  </si>
  <si>
    <t>xDïÉa]z</t>
  </si>
  <si>
    <t>weer</t>
  </si>
  <si>
    <t>temps (qu'il fait)</t>
  </si>
  <si>
    <t>x]råz</t>
  </si>
  <si>
    <t>eigen</t>
  </si>
  <si>
    <t>propre</t>
  </si>
  <si>
    <t>xDåàìWë?éÉfé]z</t>
  </si>
  <si>
    <t>krant</t>
  </si>
  <si>
    <t>journal</t>
  </si>
  <si>
    <t>xDäÉí]z</t>
  </si>
  <si>
    <t>brief</t>
  </si>
  <si>
    <t>lettre</t>
  </si>
  <si>
    <t>xDå¾qfÏz</t>
  </si>
  <si>
    <t>niets</t>
  </si>
  <si>
    <t>rien</t>
  </si>
  <si>
    <r>
      <rPr>
        <rFont val="Times New Roman"/>
        <color rgb="FF000000"/>
        <sz val="6.0"/>
      </rPr>
      <t>xDp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éfÏz</t>
    </r>
  </si>
  <si>
    <t>winkelen</t>
  </si>
  <si>
    <t>les courses, les achats</t>
  </si>
  <si>
    <t>x?ãôÖ]DòáWåz</t>
  </si>
  <si>
    <t>tijdschrift</t>
  </si>
  <si>
    <t>magazine</t>
  </si>
  <si>
    <t>Page 5 of 26</t>
  </si>
  <si>
    <t>xÖfDí^Wz</t>
  </si>
  <si>
    <t>gitaar</t>
  </si>
  <si>
    <t>guitare</t>
  </si>
  <si>
    <t>xDêÉä]ífîz</t>
  </si>
  <si>
    <t>familielid</t>
  </si>
  <si>
    <t>les proches, les gens de la famille</t>
  </si>
  <si>
    <t>xDàìWwì]äáz</t>
  </si>
  <si>
    <t>habituellement</t>
  </si>
  <si>
    <r>
      <rPr>
        <rFont val="Times New Roman"/>
        <color rgb="FF000000"/>
        <sz val="6.0"/>
      </rPr>
      <t>xD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Ñ]åz</t>
    </r>
  </si>
  <si>
    <t>vaak</t>
  </si>
  <si>
    <t>souvent</t>
  </si>
  <si>
    <t>xDåÉî]z</t>
  </si>
  <si>
    <t>nooit</t>
  </si>
  <si>
    <t>jamais</t>
  </si>
  <si>
    <t>xDlWäï]òz</t>
  </si>
  <si>
    <t>altijd</t>
  </si>
  <si>
    <t>toujours</t>
  </si>
  <si>
    <t>xDÉî]z</t>
  </si>
  <si>
    <t>ooit</t>
  </si>
  <si>
    <t>jamais, un jour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</si>
  <si>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åë]íz</t>
    </r>
  </si>
  <si>
    <t>concert</t>
  </si>
  <si>
    <t>xÜ~r=]DÄ~rí=àrz</t>
  </si>
  <si>
    <t>en jij?</t>
  </si>
  <si>
    <t>et toi?</t>
  </si>
  <si>
    <t>xDîfò]íz</t>
  </si>
  <si>
    <t>bezoeken</t>
  </si>
  <si>
    <t>visiter, rendre visite à</t>
  </si>
  <si>
    <t>xDé]r]íêáz</t>
  </si>
  <si>
    <t>poëzie</t>
  </si>
  <si>
    <t>la poésie</t>
  </si>
  <si>
    <t>x~f]êäôåÇz</t>
  </si>
  <si>
    <t>Ierland</t>
  </si>
  <si>
    <t>l'Irlande</t>
  </si>
  <si>
    <t>xí~féz</t>
  </si>
  <si>
    <t>soort</t>
  </si>
  <si>
    <t>genre</t>
  </si>
  <si>
    <t>xéáDôå]rz</t>
  </si>
  <si>
    <t>piano</t>
  </si>
  <si>
    <t>la piano</t>
  </si>
  <si>
    <t>xDlWäë]rz</t>
  </si>
  <si>
    <t>xÖ]r=?~ríz</t>
  </si>
  <si>
    <t>uitgaan</t>
  </si>
  <si>
    <t>sortir</t>
  </si>
  <si>
    <t>xDíêôî]äz</t>
  </si>
  <si>
    <t>reizen</t>
  </si>
  <si>
    <t>voyager</t>
  </si>
  <si>
    <t>xãáWíz</t>
  </si>
  <si>
    <t>vlees</t>
  </si>
  <si>
    <t>viande</t>
  </si>
  <si>
    <t>xêfDëáWîz</t>
  </si>
  <si>
    <t>ontvangen</t>
  </si>
  <si>
    <t>recevoir</t>
  </si>
  <si>
    <t>xDfåíê]ëíz</t>
  </si>
  <si>
    <t>hobby</t>
  </si>
  <si>
    <t>hobby, passion</t>
  </si>
  <si>
    <t>xDâäôëfâ]äz</t>
  </si>
  <si>
    <t>klassiek</t>
  </si>
  <si>
    <t>classique</t>
  </si>
  <si>
    <t>x]DÖêáWz</t>
  </si>
  <si>
    <t>ermee eens zijn</t>
  </si>
  <si>
    <t>être d'accord</t>
  </si>
  <si>
    <t>xé]Dä~fíz</t>
  </si>
  <si>
    <t>beleefd</t>
  </si>
  <si>
    <t>poli</t>
  </si>
  <si>
    <t>xÄfäz</t>
  </si>
  <si>
    <t>rekening</t>
  </si>
  <si>
    <t>addition</t>
  </si>
  <si>
    <t>x?äÉã]DåÉfÇz</t>
  </si>
  <si>
    <t>citroenlimonade</t>
  </si>
  <si>
    <t>limonade</t>
  </si>
  <si>
    <t>xÇêfkâz</t>
  </si>
  <si>
    <t>iets drinken, drankje</t>
  </si>
  <si>
    <t>rafraîchissement</t>
  </si>
  <si>
    <t>xÖrÇ=~fDÇf]z</t>
  </si>
  <si>
    <t>goed idee</t>
  </si>
  <si>
    <t>bonne idée</t>
  </si>
  <si>
    <t>x?ÉåáqfÏ|DÉäëz</t>
  </si>
  <si>
    <t>nog iets anders</t>
  </si>
  <si>
    <t>autre chose</t>
  </si>
  <si>
    <t>xÇw¾ëí=]=Dãfå]íz</t>
  </si>
  <si>
    <t>een ogenblikje</t>
  </si>
  <si>
    <t>juste une minute</t>
  </si>
  <si>
    <t>x]Då¾a]z</t>
  </si>
  <si>
    <t>nog een</t>
  </si>
  <si>
    <t>un(e) autre</t>
  </si>
  <si>
    <t>xâäáWåz</t>
  </si>
  <si>
    <t>schoon</t>
  </si>
  <si>
    <t>xëéìWåz</t>
  </si>
  <si>
    <t>lepel</t>
  </si>
  <si>
    <t>cuiller</t>
  </si>
  <si>
    <t>xDprÖ]z</t>
  </si>
  <si>
    <t>suiker</t>
  </si>
  <si>
    <t>sucre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</si>
  <si>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Ñáz</t>
    </r>
  </si>
  <si>
    <t>koffie</t>
  </si>
  <si>
    <t>café</t>
  </si>
  <si>
    <t>x?î~f]Däfåz</t>
  </si>
  <si>
    <t>viool</t>
  </si>
  <si>
    <t>violon</t>
  </si>
  <si>
    <t>xâôípz</t>
  </si>
  <si>
    <r>
      <rPr>
        <rFont val="Arial"/>
        <color rgb="FF000000"/>
        <sz val="6.0"/>
      </rPr>
      <t>nemen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(als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in</t>
    </r>
    <r>
      <rPr>
        <rFont val="Arial"/>
        <color rgb="FF000000"/>
        <sz val="6.0"/>
      </rPr>
      <t xml:space="preserve"> </t>
    </r>
    <r>
      <rPr>
        <rFont val="Arial"/>
        <i/>
        <color rgb="FF000000"/>
        <sz val="6.0"/>
      </rPr>
      <t>de</t>
    </r>
    <r>
      <rPr>
        <rFont val="Arial"/>
        <i/>
        <color rgb="FF000000"/>
        <sz val="6.0"/>
      </rPr>
      <t xml:space="preserve"> </t>
    </r>
    <r>
      <rPr>
        <rFont val="Arial"/>
        <i/>
        <color rgb="FF000000"/>
        <sz val="6.0"/>
      </rPr>
      <t>bus</t>
    </r>
    <r>
      <rPr>
        <rFont val="Arial"/>
        <i/>
        <color rgb="FF000000"/>
        <sz val="6.0"/>
      </rPr>
      <t xml:space="preserve"> </t>
    </r>
    <r>
      <rPr>
        <rFont val="Arial"/>
        <i/>
        <color rgb="FF000000"/>
        <sz val="6.0"/>
      </rPr>
      <t>nemen</t>
    </r>
    <r>
      <rPr>
        <rFont val="Arial"/>
        <i/>
        <color rgb="FF000000"/>
        <sz val="6.0"/>
      </rPr>
      <t xml:space="preserve"> </t>
    </r>
    <r>
      <rPr>
        <rFont val="Arial"/>
        <color rgb="FF000000"/>
        <sz val="6.0"/>
      </rPr>
      <t>)</t>
    </r>
  </si>
  <si>
    <t>attraper, saisir, prendre</t>
  </si>
  <si>
    <t>xä^WÇwz</t>
  </si>
  <si>
    <t>groot</t>
  </si>
  <si>
    <t>grand</t>
  </si>
  <si>
    <t>xéäÉfëz</t>
  </si>
  <si>
    <t>plaats</t>
  </si>
  <si>
    <t>lieu</t>
  </si>
  <si>
    <r>
      <rPr>
        <rFont val="Times New Roman"/>
        <color rgb="FF000000"/>
        <sz val="6.0"/>
      </rPr>
      <t>xï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ípz</t>
    </r>
  </si>
  <si>
    <t>horloge</t>
  </si>
  <si>
    <t>montre</t>
  </si>
  <si>
    <t>xíêÉfåz</t>
  </si>
  <si>
    <t>trein</t>
  </si>
  <si>
    <t>train</t>
  </si>
  <si>
    <t>xíêôãz</t>
  </si>
  <si>
    <t>tram</t>
  </si>
  <si>
    <t>xDÉ]ê]éäÉfåz</t>
  </si>
  <si>
    <t>vliegtuig</t>
  </si>
  <si>
    <t>avion</t>
  </si>
  <si>
    <t>xpféz</t>
  </si>
  <si>
    <t>schip</t>
  </si>
  <si>
    <t>navire</t>
  </si>
  <si>
    <t>xDëâìWí]z</t>
  </si>
  <si>
    <t>scooter</t>
  </si>
  <si>
    <t>xDÑÉêáz</t>
  </si>
  <si>
    <t>veerboot</t>
  </si>
  <si>
    <t>ferry</t>
  </si>
  <si>
    <t>xD¾åÇ]Öê~råÇz</t>
  </si>
  <si>
    <t>metro</t>
  </si>
  <si>
    <t>métro</t>
  </si>
  <si>
    <t>xDë¾ÄïÉfz</t>
  </si>
  <si>
    <t>xDÄfòåfëz</t>
  </si>
  <si>
    <t>zakenmensen</t>
  </si>
  <si>
    <t>hommes d'affaires</t>
  </si>
  <si>
    <t>Page 6 of 26</t>
  </si>
  <si>
    <t>xÄ~f=â^Wz</t>
  </si>
  <si>
    <t>met de auto</t>
  </si>
  <si>
    <t>en voiture</t>
  </si>
  <si>
    <t>xÄ~f=Ä¾ëz</t>
  </si>
  <si>
    <t>met de bus</t>
  </si>
  <si>
    <t>en bus</t>
  </si>
  <si>
    <r>
      <rPr>
        <rFont val="Times New Roman"/>
        <color rgb="FF000000"/>
        <sz val="6.0"/>
      </rPr>
      <t>x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å=Ñríz</t>
    </r>
  </si>
  <si>
    <t>te voet</t>
  </si>
  <si>
    <t>à pied</t>
  </si>
  <si>
    <t>xâàìWz</t>
  </si>
  <si>
    <t>rij</t>
  </si>
  <si>
    <t>queue</t>
  </si>
  <si>
    <t>xDéôëfåÇw]z</t>
  </si>
  <si>
    <t>passagier</t>
  </si>
  <si>
    <t>passager</t>
  </si>
  <si>
    <t>xDâê~rÇ]Çz</t>
  </si>
  <si>
    <t>vol (met mensen)</t>
  </si>
  <si>
    <t>encombré</t>
  </si>
  <si>
    <t>xDëä]räáz</t>
  </si>
  <si>
    <t>langzaam</t>
  </si>
  <si>
    <t>lentement</t>
  </si>
  <si>
    <t>xDíêôÑfâz</t>
  </si>
  <si>
    <t>verkeer</t>
  </si>
  <si>
    <t>circulation</t>
  </si>
  <si>
    <t>xê~fíz</t>
  </si>
  <si>
    <t>rechts</t>
  </si>
  <si>
    <t>à droite</t>
  </si>
  <si>
    <t>xäÉÑíz</t>
  </si>
  <si>
    <t>links</t>
  </si>
  <si>
    <t>à gauche</t>
  </si>
  <si>
    <t>xïÉfíz</t>
  </si>
  <si>
    <t>wachten</t>
  </si>
  <si>
    <t>attendre</t>
  </si>
  <si>
    <t>xDÇfÑfâ]äíz</t>
  </si>
  <si>
    <t>moeilijk</t>
  </si>
  <si>
    <t>difficile</t>
  </si>
  <si>
    <r>
      <rPr>
        <rFont val="Times New Roman"/>
        <color rgb="FF000000"/>
        <sz val="6.0"/>
      </rPr>
      <t>xÖÉí=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åz</t>
    </r>
  </si>
  <si>
    <t>instappen</t>
  </si>
  <si>
    <t>monter (à bord de)</t>
  </si>
  <si>
    <r>
      <rPr>
        <rFont val="Times New Roman"/>
        <color rgb="FF000000"/>
        <sz val="6.0"/>
      </rPr>
      <t>xÖÉí=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Ñz</t>
    </r>
  </si>
  <si>
    <t>uitstappen</t>
  </si>
  <si>
    <t>descendre de</t>
  </si>
  <si>
    <t>xDÇw‰Wåáz</t>
  </si>
  <si>
    <t>reis</t>
  </si>
  <si>
    <t>voyage</t>
  </si>
  <si>
    <r>
      <rPr>
        <rFont val="Times New Roman"/>
        <color rgb="FF000000"/>
        <sz val="6.0"/>
      </rPr>
      <t>xã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ëâ]rz</t>
    </r>
  </si>
  <si>
    <t>Moskou</t>
  </si>
  <si>
    <t>Moscou</t>
  </si>
  <si>
    <t>xDëíÉfp]åz</t>
  </si>
  <si>
    <t>station</t>
  </si>
  <si>
    <t>xïlWâz</t>
  </si>
  <si>
    <t>lopen</t>
  </si>
  <si>
    <t>marcher</t>
  </si>
  <si>
    <t>xãàìWDòá]ãz</t>
  </si>
  <si>
    <t>museum</t>
  </si>
  <si>
    <t>musée</t>
  </si>
  <si>
    <t>xíêôåDëélWíz</t>
  </si>
  <si>
    <t>vervoer</t>
  </si>
  <si>
    <t>les transports</t>
  </si>
  <si>
    <r>
      <rPr>
        <rFont val="Times New Roman"/>
        <color rgb="FF000000"/>
        <sz val="6.0"/>
      </rPr>
      <t>xâ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ëíz</t>
    </r>
  </si>
  <si>
    <t>kosten</t>
  </si>
  <si>
    <t>le coût / coûter</t>
  </si>
  <si>
    <r>
      <rPr>
        <rFont val="Times New Roman"/>
        <color rgb="FF000000"/>
        <sz val="6.0"/>
      </rPr>
      <t>xÄfDâ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ò=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îz</t>
    </r>
  </si>
  <si>
    <t>vanwege</t>
  </si>
  <si>
    <t>à cause de</t>
  </si>
  <si>
    <t>xíféz</t>
  </si>
  <si>
    <t>fooi</t>
  </si>
  <si>
    <t>pourboire</t>
  </si>
  <si>
    <t>xÑêáWz</t>
  </si>
  <si>
    <t>gratis</t>
  </si>
  <si>
    <t>gratuit</t>
  </si>
  <si>
    <t>xqêìWz</t>
  </si>
  <si>
    <t>door</t>
  </si>
  <si>
    <t>à travers, par</t>
  </si>
  <si>
    <t>xDåôípê]ä=DÜfëí]êáz</t>
  </si>
  <si>
    <t>Natuurlijke Historie</t>
  </si>
  <si>
    <t>histoire naturelle</t>
  </si>
  <si>
    <t>xÉ]=íêÉfåz</t>
  </si>
  <si>
    <t>luchttrein</t>
  </si>
  <si>
    <t>métro aérien</t>
  </si>
  <si>
    <t>x?^WÑí]DåìWåz</t>
  </si>
  <si>
    <t>middag</t>
  </si>
  <si>
    <t>après-midi</t>
  </si>
  <si>
    <t>xDÉîêáz</t>
  </si>
  <si>
    <t>elk</t>
  </si>
  <si>
    <t>chaque, tous les</t>
  </si>
  <si>
    <t>xfí=ÇfDéÉåÇòz</t>
  </si>
  <si>
    <t>het hangt ervan af</t>
  </si>
  <si>
    <t>ça dépend</t>
  </si>
  <si>
    <t>xëã]râz</t>
  </si>
  <si>
    <t>roken</t>
  </si>
  <si>
    <t>fumer</t>
  </si>
  <si>
    <t>xDáWò]äáz</t>
  </si>
  <si>
    <t>gemakkelijk</t>
  </si>
  <si>
    <t>facilement</t>
  </si>
  <si>
    <t>xDëÉfÑäáz</t>
  </si>
  <si>
    <t>veilig</t>
  </si>
  <si>
    <t>en sécurité</t>
  </si>
  <si>
    <t>xDãfÇå~fíz</t>
  </si>
  <si>
    <t>middernacht</t>
  </si>
  <si>
    <t>minuit</t>
  </si>
  <si>
    <t>xëâÉÇw]äÇz</t>
  </si>
  <si>
    <t>volgens de dienstregeling</t>
  </si>
  <si>
    <t>prévu</t>
  </si>
  <si>
    <t>xÇfDé^Wíp]z</t>
  </si>
  <si>
    <t>vertrek</t>
  </si>
  <si>
    <t>départ</t>
  </si>
  <si>
    <t>x]Dê~fî]äz</t>
  </si>
  <si>
    <t>aankomst</t>
  </si>
  <si>
    <t>arrivée</t>
  </si>
  <si>
    <t>xDíêôåë]íz</t>
  </si>
  <si>
    <t>transit</t>
  </si>
  <si>
    <t>xÇfDäÉfÇz</t>
  </si>
  <si>
    <t>vertraagd</t>
  </si>
  <si>
    <t>retardé</t>
  </si>
  <si>
    <t>xä^Wëí=âlWäz</t>
  </si>
  <si>
    <t>laatste oproep</t>
  </si>
  <si>
    <t>dernier appel</t>
  </si>
  <si>
    <t>xéê]DëáWÇz</t>
  </si>
  <si>
    <t>zich begeven</t>
  </si>
  <si>
    <t>avancer</t>
  </si>
  <si>
    <t>xäÉfíz</t>
  </si>
  <si>
    <t>te laat</t>
  </si>
  <si>
    <t>en retard</t>
  </si>
  <si>
    <t>xípÉfåÇwz</t>
  </si>
  <si>
    <t>overstappen</t>
  </si>
  <si>
    <t>changer</t>
  </si>
  <si>
    <t>xDÑ~få]ä=âlWäz</t>
  </si>
  <si>
    <t>xp]rz</t>
  </si>
  <si>
    <t>laten zien</t>
  </si>
  <si>
    <t>montrer</t>
  </si>
  <si>
    <t>xDé^WëélWíz</t>
  </si>
  <si>
    <t>paspoort</t>
  </si>
  <si>
    <t>passeport</t>
  </si>
  <si>
    <t>xÇÉëâz</t>
  </si>
  <si>
    <t>balie</t>
  </si>
  <si>
    <t>comptoir</t>
  </si>
  <si>
    <t>x?fåí]Dåôp]å]äz</t>
  </si>
  <si>
    <t>internationaal</t>
  </si>
  <si>
    <t>international</t>
  </si>
  <si>
    <t>xëéÉåÇz</t>
  </si>
  <si>
    <t>doorbrengen</t>
  </si>
  <si>
    <t>passer (du temps)</t>
  </si>
  <si>
    <t>Page 7 of 26</t>
  </si>
  <si>
    <t>Verenigde Arabische Emiraten</t>
  </si>
  <si>
    <t>les Émirats Arabes Unis</t>
  </si>
  <si>
    <t>xêf]äz</t>
  </si>
  <si>
    <t>echt</t>
  </si>
  <si>
    <t>réel</t>
  </si>
  <si>
    <t>xDÄfòáz</t>
  </si>
  <si>
    <t>druk</t>
  </si>
  <si>
    <t>xDâôêáz</t>
  </si>
  <si>
    <t>meenemen, bij je hebben</t>
  </si>
  <si>
    <t>porter, transporter</t>
  </si>
  <si>
    <r>
      <rPr>
        <rFont val="Times New Roman"/>
        <color rgb="FF000000"/>
        <sz val="6.0"/>
      </rPr>
      <t>x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ÄDÇwÉâíz</t>
    </r>
  </si>
  <si>
    <t>voorwerp</t>
  </si>
  <si>
    <t>objet</t>
  </si>
  <si>
    <t>xDÄfäÇfÏz</t>
  </si>
  <si>
    <t>gebouw</t>
  </si>
  <si>
    <t>bâtiment</t>
  </si>
  <si>
    <t>xÑ^Wz</t>
  </si>
  <si>
    <t>ver</t>
  </si>
  <si>
    <t>loin</t>
  </si>
  <si>
    <t>xDâfä]?ãáWí]z</t>
  </si>
  <si>
    <t>kilometer</t>
  </si>
  <si>
    <t>kilomètre</t>
  </si>
  <si>
    <t>xDëÉî]ê]äz</t>
  </si>
  <si>
    <t>een paar</t>
  </si>
  <si>
    <t>plusieurs</t>
  </si>
  <si>
    <t>xDåf]äáz</t>
  </si>
  <si>
    <t>bijna</t>
  </si>
  <si>
    <t>presque</t>
  </si>
  <si>
    <t>xê]rÇz</t>
  </si>
  <si>
    <t>weg (zn)</t>
  </si>
  <si>
    <t>route, rue</t>
  </si>
  <si>
    <t>xélWz</t>
  </si>
  <si>
    <t>slecht</t>
  </si>
  <si>
    <t>(une chaussée) déformée</t>
  </si>
  <si>
    <t>xDéäôíÑlWãz</t>
  </si>
  <si>
    <t>perron</t>
  </si>
  <si>
    <t>voie</t>
  </si>
  <si>
    <t>xêfDí‰Wåz</t>
  </si>
  <si>
    <t>retour</t>
  </si>
  <si>
    <t>aller-retour</t>
  </si>
  <si>
    <t>xë~fåz</t>
  </si>
  <si>
    <t>handtekening zetten</t>
  </si>
  <si>
    <t>signer</t>
  </si>
  <si>
    <t>xDífâfí=âä^Wâz</t>
  </si>
  <si>
    <t>kaartverkoper / kaartverkoopster</t>
  </si>
  <si>
    <t>guichetier / guichetière</t>
  </si>
  <si>
    <t>xë~rqz</t>
  </si>
  <si>
    <t>zuiden</t>
  </si>
  <si>
    <t>sud</t>
  </si>
  <si>
    <t>xfâDëéÉåëfîz</t>
  </si>
  <si>
    <t>duur</t>
  </si>
  <si>
    <t>cher</t>
  </si>
  <si>
    <t>xDé¾Ääfâ=íêôåDëélWíz</t>
  </si>
  <si>
    <t>openbaar vervoer</t>
  </si>
  <si>
    <t>les transports publics</t>
  </si>
  <si>
    <t>telbaar</t>
  </si>
  <si>
    <t>dénombrable</t>
  </si>
  <si>
    <t>niet-telbaar</t>
  </si>
  <si>
    <t>non-dénombrable</t>
  </si>
  <si>
    <t>xãfäâz</t>
  </si>
  <si>
    <t>melk</t>
  </si>
  <si>
    <t>lait</t>
  </si>
  <si>
    <t>xÉÖz</t>
  </si>
  <si>
    <t>ei</t>
  </si>
  <si>
    <t>œuf</t>
  </si>
  <si>
    <t>xDÄ¾í]z</t>
  </si>
  <si>
    <t>boter</t>
  </si>
  <si>
    <t>beurre</t>
  </si>
  <si>
    <t>xDëf]êá]äz</t>
  </si>
  <si>
    <t>ontbijtgranen</t>
  </si>
  <si>
    <t>céréale</t>
  </si>
  <si>
    <r>
      <rPr>
        <rFont val="Times New Roman"/>
        <color rgb="FF000000"/>
        <sz val="6.0"/>
      </rPr>
      <t>xD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ê]åÇwz</t>
    </r>
  </si>
  <si>
    <t>sinaasappel</t>
  </si>
  <si>
    <t>orange</t>
  </si>
  <si>
    <t>xÇwôãz</t>
  </si>
  <si>
    <t>jam</t>
  </si>
  <si>
    <t>confiture</t>
  </si>
  <si>
    <t>xDôé]äz</t>
  </si>
  <si>
    <t>appel</t>
  </si>
  <si>
    <t>pomme</t>
  </si>
  <si>
    <t>xí]rëíz</t>
  </si>
  <si>
    <t>geroosterd brood</t>
  </si>
  <si>
    <t>toast</t>
  </si>
  <si>
    <t>xÄêÉÇ==ê]räz</t>
  </si>
  <si>
    <t>broodje</t>
  </si>
  <si>
    <t>pistolet</t>
  </si>
  <si>
    <r>
      <rPr>
        <rFont val="Times New Roman"/>
        <color rgb="FF000000"/>
        <sz val="6.0"/>
      </rPr>
      <t>xDë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ëfÇwz</t>
    </r>
  </si>
  <si>
    <t>worstje</t>
  </si>
  <si>
    <t>saucisse</t>
  </si>
  <si>
    <t>xÖêÉféz</t>
  </si>
  <si>
    <t>druif</t>
  </si>
  <si>
    <t>raisin</t>
  </si>
  <si>
    <t>xÄ]Då^Wå]z</t>
  </si>
  <si>
    <t>banaan</t>
  </si>
  <si>
    <t>banane</t>
  </si>
  <si>
    <t>xípáWòz</t>
  </si>
  <si>
    <t>kaas</t>
  </si>
  <si>
    <t>fromage</t>
  </si>
  <si>
    <r>
      <rPr>
        <rFont val="Times New Roman"/>
        <color rgb="FF000000"/>
        <sz val="6.0"/>
      </rPr>
      <t>xDà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Ö]íz</t>
    </r>
  </si>
  <si>
    <t>yoghurt</t>
  </si>
  <si>
    <t>yoghourt</t>
  </si>
  <si>
    <r>
      <rPr>
        <rFont val="Times New Roman"/>
        <color rgb="FF000000"/>
        <sz val="6.0"/>
      </rPr>
      <t>xD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êfåÇw=?ÇwìWëz</t>
    </r>
  </si>
  <si>
    <t>sinaasappelsap</t>
  </si>
  <si>
    <t>jus l'orange</t>
  </si>
  <si>
    <t>xDïlWí]z</t>
  </si>
  <si>
    <t>water</t>
  </si>
  <si>
    <t>eau</t>
  </si>
  <si>
    <t>xíáWz</t>
  </si>
  <si>
    <t>thee</t>
  </si>
  <si>
    <t>thé</t>
  </si>
  <si>
    <t>xÑêìWíz</t>
  </si>
  <si>
    <t>fruit</t>
  </si>
  <si>
    <t>fruits</t>
  </si>
  <si>
    <t>xDÄfëâ]íz</t>
  </si>
  <si>
    <t>koekje</t>
  </si>
  <si>
    <t>biscuit</t>
  </si>
  <si>
    <t>xíêìWz</t>
  </si>
  <si>
    <t>waar</t>
  </si>
  <si>
    <t>vrai</t>
  </si>
  <si>
    <t>xë]ãz</t>
  </si>
  <si>
    <t>een beetje</t>
  </si>
  <si>
    <t>du, des, un peu de</t>
  </si>
  <si>
    <t>xÑlWäëz</t>
  </si>
  <si>
    <t>niet waar</t>
  </si>
  <si>
    <t>faux</t>
  </si>
  <si>
    <t>xDéfâíp]z</t>
  </si>
  <si>
    <t>foto</t>
  </si>
  <si>
    <t>image</t>
  </si>
  <si>
    <t>xïlWäz</t>
  </si>
  <si>
    <t>muur</t>
  </si>
  <si>
    <t>mur</t>
  </si>
  <si>
    <t>xÄfåz</t>
  </si>
  <si>
    <t>prullenbak</t>
  </si>
  <si>
    <t>poubelle</t>
  </si>
  <si>
    <t>xéä^Wåíz</t>
  </si>
  <si>
    <t>plant</t>
  </si>
  <si>
    <t>plante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</si>
  <si>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Ñá=ã]DpáWåz</t>
    </r>
  </si>
  <si>
    <t>koffieautomaat</t>
  </si>
  <si>
    <t>percolateur</t>
  </si>
  <si>
    <t>Page 8 of 26</t>
  </si>
  <si>
    <t>xÑälWz</t>
  </si>
  <si>
    <t>verdieping</t>
  </si>
  <si>
    <t>sol</t>
  </si>
  <si>
    <t>xíê~fz</t>
  </si>
  <si>
    <t>proberen</t>
  </si>
  <si>
    <t>essayer</t>
  </si>
  <si>
    <t>xDâôê]íz</t>
  </si>
  <si>
    <t>wortel</t>
  </si>
  <si>
    <t>carotte</t>
  </si>
  <si>
    <r>
      <rPr>
        <rFont val="Times New Roman"/>
        <color rgb="FF000000"/>
        <sz val="6.0"/>
      </rPr>
      <t>xDíp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âä]íz</t>
    </r>
  </si>
  <si>
    <t>chocola</t>
  </si>
  <si>
    <t>chocolat</t>
  </si>
  <si>
    <t>xDîÉÇwí]Ä]äz</t>
  </si>
  <si>
    <t>groente</t>
  </si>
  <si>
    <t>légume</t>
  </si>
  <si>
    <t>xÖêfäÇz</t>
  </si>
  <si>
    <t>gegrild</t>
  </si>
  <si>
    <t>grillé</t>
  </si>
  <si>
    <t>xÑfpz</t>
  </si>
  <si>
    <t>vis</t>
  </si>
  <si>
    <t>poisson</t>
  </si>
  <si>
    <t>xDäÉã]åz</t>
  </si>
  <si>
    <t>citroen</t>
  </si>
  <si>
    <t>citron</t>
  </si>
  <si>
    <t>xDãÉä]åz</t>
  </si>
  <si>
    <t>meloen</t>
  </si>
  <si>
    <t>melon</t>
  </si>
  <si>
    <t>xDåìWÇäòz</t>
  </si>
  <si>
    <t>noedels</t>
  </si>
  <si>
    <t>nouilles</t>
  </si>
  <si>
    <t>xå¾íz</t>
  </si>
  <si>
    <t>noot</t>
  </si>
  <si>
    <t>noix</t>
  </si>
  <si>
    <t>xDéôëí]z</t>
  </si>
  <si>
    <t>pasta</t>
  </si>
  <si>
    <t>pâtes</t>
  </si>
  <si>
    <r>
      <rPr>
        <rFont val="Arial"/>
        <color rgb="FF000000"/>
        <sz val="6.0"/>
      </rPr>
      <t>My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favourite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pasta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is</t>
    </r>
    <r>
      <rPr>
        <rFont val="Arial"/>
        <color rgb="FF000000"/>
        <sz val="6.0"/>
      </rPr>
      <t xml:space="preserve"> </t>
    </r>
    <r>
      <rPr>
        <rFont val="Arial"/>
        <i/>
        <color rgb="FF000000"/>
        <sz val="6.0"/>
      </rPr>
      <t>farfalle</t>
    </r>
    <r>
      <rPr>
        <rFont val="Arial"/>
        <i/>
        <color rgb="FF000000"/>
        <sz val="6.0"/>
      </rPr>
      <t xml:space="preserve"> </t>
    </r>
    <r>
      <rPr>
        <rFont val="Arial"/>
        <color rgb="FF000000"/>
        <sz val="6.0"/>
      </rPr>
      <t>.</t>
    </r>
  </si>
  <si>
    <t>xê~fëz</t>
  </si>
  <si>
    <t>rijst</t>
  </si>
  <si>
    <t>riz</t>
  </si>
  <si>
    <t>xDîfí]ã]åz</t>
  </si>
  <si>
    <t>vitamine</t>
  </si>
  <si>
    <t>xDãfå]ê]äz</t>
  </si>
  <si>
    <t>mineraal</t>
  </si>
  <si>
    <t>minéral</t>
  </si>
  <si>
    <t>xDéê]ríáWåz</t>
  </si>
  <si>
    <t>eiwit</t>
  </si>
  <si>
    <t>protéine</t>
  </si>
  <si>
    <t>xDâôä]êáz</t>
  </si>
  <si>
    <t>calorieën</t>
  </si>
  <si>
    <t>calories</t>
  </si>
  <si>
    <t>xDÜÉäqáz</t>
  </si>
  <si>
    <t>gezond</t>
  </si>
  <si>
    <t>salutaire</t>
  </si>
  <si>
    <t>x¾åDÜÉäqáz</t>
  </si>
  <si>
    <t>ongezond</t>
  </si>
  <si>
    <t>mauvais pour la santé</t>
  </si>
  <si>
    <t>x?îÉÇw]DíÉ]êá]åz</t>
  </si>
  <si>
    <t>vegetarisch</t>
  </si>
  <si>
    <t>végétarien</t>
  </si>
  <si>
    <t>xÇ^Wâz</t>
  </si>
  <si>
    <t>donker</t>
  </si>
  <si>
    <t>obscurité</t>
  </si>
  <si>
    <t>xÑôâíz</t>
  </si>
  <si>
    <t>feit</t>
  </si>
  <si>
    <t>fait</t>
  </si>
  <si>
    <t>xãfqz</t>
  </si>
  <si>
    <t>fabel</t>
  </si>
  <si>
    <t>mythe</t>
  </si>
  <si>
    <t>xDåôíp]ê]äz</t>
  </si>
  <si>
    <t>naturel</t>
  </si>
  <si>
    <t>xÑêìWí=ÇwìWëz</t>
  </si>
  <si>
    <t>vruchtensap</t>
  </si>
  <si>
    <t>jus de fruits</t>
  </si>
  <si>
    <t>xíáWqz</t>
  </si>
  <si>
    <t>tanden</t>
  </si>
  <si>
    <t>dents</t>
  </si>
  <si>
    <t>xÄfDíïáWåz</t>
  </si>
  <si>
    <t>tussen</t>
  </si>
  <si>
    <t>entre</t>
  </si>
  <si>
    <t>xfåDëíÉÇz</t>
  </si>
  <si>
    <t>in plaats daarvan</t>
  </si>
  <si>
    <t>plutôt</t>
  </si>
  <si>
    <t>x¾é=í]z</t>
  </si>
  <si>
    <t>wel zo'n</t>
  </si>
  <si>
    <t>jusqu'à</t>
  </si>
  <si>
    <t>xÑáWäz</t>
  </si>
  <si>
    <t>voelen</t>
  </si>
  <si>
    <t>se sentir</t>
  </si>
  <si>
    <t>xDÜ¾kÖêáz</t>
  </si>
  <si>
    <t>hebben)</t>
  </si>
  <si>
    <t>affamé (feel hungry = avoir faim)</t>
  </si>
  <si>
    <t>xDprÖ]êáz</t>
  </si>
  <si>
    <t>vol suiker</t>
  </si>
  <si>
    <t>sucré</t>
  </si>
  <si>
    <t>xí~f]Çz</t>
  </si>
  <si>
    <t>vermoeid</t>
  </si>
  <si>
    <t>fatigué</t>
  </si>
  <si>
    <t>xâ¾éz</t>
  </si>
  <si>
    <t>kop</t>
  </si>
  <si>
    <t>tasse</t>
  </si>
  <si>
    <t>xDÇwÉå]ê]äáz</t>
  </si>
  <si>
    <t>over het algemeen</t>
  </si>
  <si>
    <t>généralement</t>
  </si>
  <si>
    <t>xéríz</t>
  </si>
  <si>
    <t>doen</t>
  </si>
  <si>
    <t>mettre</t>
  </si>
  <si>
    <t>xfDëéÉp]äáz</t>
  </si>
  <si>
    <t>in het bijzonder</t>
  </si>
  <si>
    <t>particulièrement</t>
  </si>
  <si>
    <t>xÇfpz</t>
  </si>
  <si>
    <t>schotel</t>
  </si>
  <si>
    <t>plat</t>
  </si>
  <si>
    <t>xâ]åDíÉfåz</t>
  </si>
  <si>
    <t>bevatten</t>
  </si>
  <si>
    <t>contenir</t>
  </si>
  <si>
    <t>xlfäz</t>
  </si>
  <si>
    <t>olie</t>
  </si>
  <si>
    <t>huile</t>
  </si>
  <si>
    <t>xDÑôíåfÏz</t>
  </si>
  <si>
    <t>dikmakend</t>
  </si>
  <si>
    <t>qui fait grossir</t>
  </si>
  <si>
    <t>xDélWp]åz</t>
  </si>
  <si>
    <t>portie</t>
  </si>
  <si>
    <t>portion</t>
  </si>
  <si>
    <t>xåáWÇz</t>
  </si>
  <si>
    <t>nodig hebben</t>
  </si>
  <si>
    <t>avoir besoin de</t>
  </si>
  <si>
    <t>xDÇ~f]íz</t>
  </si>
  <si>
    <t>dieet</t>
  </si>
  <si>
    <t>régime</t>
  </si>
  <si>
    <t>xÑ]ê|fÖDò^Wãé]äz</t>
  </si>
  <si>
    <t>bijvoorbeeld</t>
  </si>
  <si>
    <t>par exemple</t>
  </si>
  <si>
    <r>
      <rPr>
        <rFont val="Arial"/>
        <color rgb="FF000000"/>
        <sz val="6.0"/>
      </rPr>
      <t>Take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fine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wine,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for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example</t>
    </r>
    <r>
      <rPr>
        <rFont val="Arial"/>
        <color rgb="FF000000"/>
        <sz val="6.0"/>
      </rPr>
      <t xml:space="preserve"> </t>
    </r>
    <r>
      <rPr>
        <rFont val="Arial"/>
        <i/>
        <color rgb="FF000000"/>
        <sz val="6.0"/>
      </rPr>
      <t>Rioja.</t>
    </r>
  </si>
  <si>
    <t>xDÄôä]åëíz</t>
  </si>
  <si>
    <t>uitgebalanceerd, evenwichtig</t>
  </si>
  <si>
    <t>équilibré</t>
  </si>
  <si>
    <t>xé]Dífâà]ä]äáz</t>
  </si>
  <si>
    <t>met name</t>
  </si>
  <si>
    <t>xäfëíz</t>
  </si>
  <si>
    <t>lijst</t>
  </si>
  <si>
    <t>liste</t>
  </si>
  <si>
    <t>xÄä¾Çz</t>
  </si>
  <si>
    <t>bloed</t>
  </si>
  <si>
    <t>sang</t>
  </si>
  <si>
    <t>Page 9 of 26</t>
  </si>
  <si>
    <r>
      <rPr>
        <rFont val="Times New Roman"/>
        <color rgb="FF000000"/>
        <sz val="6.0"/>
      </rPr>
      <t>xDÜàìWã]å=DÄ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Çáz</t>
    </r>
  </si>
  <si>
    <t>menselijk lichaam</t>
  </si>
  <si>
    <t>corps humain</t>
  </si>
  <si>
    <t>xÇfDò‰Wíz</t>
  </si>
  <si>
    <t>woestijn</t>
  </si>
  <si>
    <t>désert</t>
  </si>
  <si>
    <t>xã~fäz</t>
  </si>
  <si>
    <t>mijl</t>
  </si>
  <si>
    <t>mile = 1 609,33 mètres</t>
  </si>
  <si>
    <t>x?ëfÖ]DêÉíz</t>
  </si>
  <si>
    <t>sigaret</t>
  </si>
  <si>
    <t>cigarette</t>
  </si>
  <si>
    <t>xëäáWéz</t>
  </si>
  <si>
    <t>slaap</t>
  </si>
  <si>
    <t>sommeil</t>
  </si>
  <si>
    <t>xÇwfãz</t>
  </si>
  <si>
    <t>sportschool</t>
  </si>
  <si>
    <t>salle de gym</t>
  </si>
  <si>
    <t>xëìWéz</t>
  </si>
  <si>
    <t>soep</t>
  </si>
  <si>
    <t>soupe</t>
  </si>
  <si>
    <t>xéêlWåz</t>
  </si>
  <si>
    <t>garnaal</t>
  </si>
  <si>
    <t>crevette</t>
  </si>
  <si>
    <t>xDípfâ]åz</t>
  </si>
  <si>
    <t>kip</t>
  </si>
  <si>
    <t>poulet</t>
  </si>
  <si>
    <t>xéäÉfíz</t>
  </si>
  <si>
    <t>bord</t>
  </si>
  <si>
    <t>assiette</t>
  </si>
  <si>
    <t>xå~fÑz</t>
  </si>
  <si>
    <t>mes</t>
  </si>
  <si>
    <t>couteau</t>
  </si>
  <si>
    <t>xÑlWâz</t>
  </si>
  <si>
    <t>vork</t>
  </si>
  <si>
    <t>fourchette</t>
  </si>
  <si>
    <t>xDë¾å?Öä^Wë]òz</t>
  </si>
  <si>
    <t>zonnebril</t>
  </si>
  <si>
    <t>lunettes de soleil</t>
  </si>
  <si>
    <t>xÜôíz</t>
  </si>
  <si>
    <t>hoed</t>
  </si>
  <si>
    <t>chapeau</t>
  </si>
  <si>
    <t>xÇêÉëz</t>
  </si>
  <si>
    <t>jurk</t>
  </si>
  <si>
    <t>robe</t>
  </si>
  <si>
    <t>xDÑÉa]z</t>
  </si>
  <si>
    <t>veer</t>
  </si>
  <si>
    <t>plume</t>
  </si>
  <si>
    <t>xÄ]DäìWåz</t>
  </si>
  <si>
    <t>ballon</t>
  </si>
  <si>
    <t>xÇê¾ãz</t>
  </si>
  <si>
    <t>drum</t>
  </si>
  <si>
    <t>tambour, batterie</t>
  </si>
  <si>
    <t>xDÇfÑ]ê]åëz</t>
  </si>
  <si>
    <t>verschil</t>
  </si>
  <si>
    <t>différence</t>
  </si>
  <si>
    <t>xÇfDëâê~fÄz</t>
  </si>
  <si>
    <t>beschrijven</t>
  </si>
  <si>
    <t>décrire</t>
  </si>
  <si>
    <t>xDãfÇäz</t>
  </si>
  <si>
    <t>midden</t>
  </si>
  <si>
    <t>milieu</t>
  </si>
  <si>
    <t>xâôéz</t>
  </si>
  <si>
    <t>pet</t>
  </si>
  <si>
    <t>casquette</t>
  </si>
  <si>
    <t>xDÄ‰WÖ]z</t>
  </si>
  <si>
    <t>hamburger</t>
  </si>
  <si>
    <t>x?ãÉf]DåÉfòz</t>
  </si>
  <si>
    <t>mayonaise</t>
  </si>
  <si>
    <t>mayonnaise</t>
  </si>
  <si>
    <t>xDlWÇ]z</t>
  </si>
  <si>
    <t>bestellen</t>
  </si>
  <si>
    <t>commander</t>
  </si>
  <si>
    <t>xáWí=?fåz</t>
  </si>
  <si>
    <t>hier opeten</t>
  </si>
  <si>
    <t>manger sur place</t>
  </si>
  <si>
    <t>x?lWäí]DÖÉa]z</t>
  </si>
  <si>
    <t>alles bij elkaar</t>
  </si>
  <si>
    <t>en tout</t>
  </si>
  <si>
    <t>xÖê]rz</t>
  </si>
  <si>
    <t>groeien</t>
  </si>
  <si>
    <t>pousser</t>
  </si>
  <si>
    <t>xÄ¾åípz</t>
  </si>
  <si>
    <t>tros</t>
  </si>
  <si>
    <t>grappe</t>
  </si>
  <si>
    <t>xDàìWëí=íìWz</t>
  </si>
  <si>
    <t>gebruikt worden voor</t>
  </si>
  <si>
    <t>utilisé pour</t>
  </si>
  <si>
    <t>xDãfâëíp]z</t>
  </si>
  <si>
    <t>combinatie</t>
  </si>
  <si>
    <t>mélange</t>
  </si>
  <si>
    <t>xïáWíz</t>
  </si>
  <si>
    <t>tarwe</t>
  </si>
  <si>
    <t>froment</t>
  </si>
  <si>
    <t>xãfâëz</t>
  </si>
  <si>
    <t>vermengen</t>
  </si>
  <si>
    <t>mélanger</t>
  </si>
  <si>
    <t>xDíêôÑfâ=Çwôãz</t>
  </si>
  <si>
    <t>file</t>
  </si>
  <si>
    <t>embouteillage</t>
  </si>
  <si>
    <t>xãôípz</t>
  </si>
  <si>
    <t>wedstrijd</t>
  </si>
  <si>
    <t>match</t>
  </si>
  <si>
    <t>xÖä^Wëz</t>
  </si>
  <si>
    <t>glas</t>
  </si>
  <si>
    <t>verre</t>
  </si>
  <si>
    <t>x?fåÑ]DãÉfp]å=ÇÉëâz</t>
  </si>
  <si>
    <t>informatiebalie</t>
  </si>
  <si>
    <t>guichet des renseignements</t>
  </si>
  <si>
    <t>xDë~f]åí]ëíz</t>
  </si>
  <si>
    <t>wetenschapper</t>
  </si>
  <si>
    <t>un scientifique</t>
  </si>
  <si>
    <t>xé]Däfífâ]ä=DäáWÇ]z</t>
  </si>
  <si>
    <t>politiek leider/leidster</t>
  </si>
  <si>
    <t>dirigeant(e) politique</t>
  </si>
  <si>
    <t>xD^Wí]ëíz</t>
  </si>
  <si>
    <t>kunstenaar</t>
  </si>
  <si>
    <t>artiste</t>
  </si>
  <si>
    <t>xâ]DãáWÇá]åz</t>
  </si>
  <si>
    <t>komiek</t>
  </si>
  <si>
    <t>comédien, comique</t>
  </si>
  <si>
    <t>xDê~fí]z</t>
  </si>
  <si>
    <t>schrijver / schrijfster</t>
  </si>
  <si>
    <t>écrivain / romancière</t>
  </si>
  <si>
    <t>xâ]ãDé]rò]z</t>
  </si>
  <si>
    <t>componist</t>
  </si>
  <si>
    <t>compositeur</t>
  </si>
  <si>
    <t>xÄlWåz</t>
  </si>
  <si>
    <t>geboren</t>
  </si>
  <si>
    <t>né</t>
  </si>
  <si>
    <t>xÇÉÑz</t>
  </si>
  <si>
    <t>doof</t>
  </si>
  <si>
    <t>sourd</t>
  </si>
  <si>
    <t>xDéêÉò]Ç]åíz</t>
  </si>
  <si>
    <t>president</t>
  </si>
  <si>
    <t>président</t>
  </si>
  <si>
    <t>Page 10 of 26</t>
  </si>
  <si>
    <t>xàìWDå~fífÇ==DëíÉfíëz</t>
  </si>
  <si>
    <t>Verenigde Staten</t>
  </si>
  <si>
    <t>x]DêfÇwfå]äáz</t>
  </si>
  <si>
    <t>oorspronkelijk</t>
  </si>
  <si>
    <t>à l'origine</t>
  </si>
  <si>
    <t>xÄä~fåÇz</t>
  </si>
  <si>
    <t>blind</t>
  </si>
  <si>
    <t>aveugle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</si>
  <si>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ãà]å]ëíz</t>
    </r>
  </si>
  <si>
    <t>communistisch</t>
  </si>
  <si>
    <t>communiste</t>
  </si>
  <si>
    <t>xDäáWÇ]z</t>
  </si>
  <si>
    <t>leider</t>
  </si>
  <si>
    <t>dirigeant</t>
  </si>
  <si>
    <t>xDÄôäÉf=DÇ^Wåë]z</t>
  </si>
  <si>
    <t>balletdanser(es)</t>
  </si>
  <si>
    <t>danseur/danseuse de ballet</t>
  </si>
  <si>
    <t>x?ãôq]ã]Dífp]åz</t>
  </si>
  <si>
    <t>wiskundige</t>
  </si>
  <si>
    <t>mathématicien</t>
  </si>
  <si>
    <r>
      <rPr>
        <rFont val="Times New Roman"/>
        <color rgb="FF000000"/>
        <sz val="6.0"/>
      </rPr>
      <t>xD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é]ê]=DëfÏ]z</t>
    </r>
  </si>
  <si>
    <t>operazanger</t>
  </si>
  <si>
    <t>chanteur d'opéra</t>
  </si>
  <si>
    <t>x]í=?Ü]rãz</t>
  </si>
  <si>
    <t>thuis</t>
  </si>
  <si>
    <t>à la maison, chez soi</t>
  </si>
  <si>
    <t>xDÑê~fíåÇz</t>
  </si>
  <si>
    <t>bang</t>
  </si>
  <si>
    <t>effrayé</t>
  </si>
  <si>
    <r>
      <rPr>
        <rFont val="Times New Roman"/>
        <color rgb="FF000000"/>
        <sz val="6.0"/>
      </rPr>
      <t>xDé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éà]ä]z</t>
    </r>
  </si>
  <si>
    <t>populair</t>
  </si>
  <si>
    <t>connu</t>
  </si>
  <si>
    <t>xDÉãé]ê]z</t>
  </si>
  <si>
    <t>keizer</t>
  </si>
  <si>
    <t>empereur</t>
  </si>
  <si>
    <t>x?êÉî]DäìWp]åz</t>
  </si>
  <si>
    <t>revolutie</t>
  </si>
  <si>
    <t>révolution</t>
  </si>
  <si>
    <t>xDäôåÇfÏz</t>
  </si>
  <si>
    <t>landing</t>
  </si>
  <si>
    <t>atterrissage</t>
  </si>
  <si>
    <t>xãìWåz</t>
  </si>
  <si>
    <t>maan</t>
  </si>
  <si>
    <t>lune</t>
  </si>
  <si>
    <t>xïlWz</t>
  </si>
  <si>
    <t>oorlog</t>
  </si>
  <si>
    <t>guerre</t>
  </si>
  <si>
    <t>xÜfí=DëfÏÖ]äz</t>
  </si>
  <si>
    <t>hit</t>
  </si>
  <si>
    <t>chanson à succès</t>
  </si>
  <si>
    <t>xë]Déê~fòfÏz</t>
  </si>
  <si>
    <t>verrassend</t>
  </si>
  <si>
    <t>surprenant</t>
  </si>
  <si>
    <t>xÄfDâ¾ãz</t>
  </si>
  <si>
    <t>worden</t>
  </si>
  <si>
    <t>devenir</t>
  </si>
  <si>
    <t>xÄá=DfåíêfëífÇ=fåz</t>
  </si>
  <si>
    <t>belangstelling hebben voor</t>
  </si>
  <si>
    <t>s'intéresser à</t>
  </si>
  <si>
    <t>xDÖêôÇwì]íz</t>
  </si>
  <si>
    <t>afstuderen</t>
  </si>
  <si>
    <t>obtenir son diplôme, finir ses</t>
  </si>
  <si>
    <t>xDåÉíï‰Wâz</t>
  </si>
  <si>
    <t>netwerk</t>
  </si>
  <si>
    <t>réseau</t>
  </si>
  <si>
    <t>xÇfDë~fÇz</t>
  </si>
  <si>
    <t>besluiten</t>
  </si>
  <si>
    <t>décider</t>
  </si>
  <si>
    <t>xÄf=äfkâíz</t>
  </si>
  <si>
    <t>gekoppeld zijn</t>
  </si>
  <si>
    <t>être relié</t>
  </si>
  <si>
    <t>xfåDîÉåíz</t>
  </si>
  <si>
    <t>uitvinden</t>
  </si>
  <si>
    <t>inventer</t>
  </si>
  <si>
    <t>xäáWîz</t>
  </si>
  <si>
    <t>vertrekken</t>
  </si>
  <si>
    <t>quitter</t>
  </si>
  <si>
    <t>xärâz</t>
  </si>
  <si>
    <t>kijken</t>
  </si>
  <si>
    <t>avoir l'air</t>
  </si>
  <si>
    <t>xÜÉ]z</t>
  </si>
  <si>
    <t>haar</t>
  </si>
  <si>
    <t>cheveux</t>
  </si>
  <si>
    <t>x~fDÇf]z</t>
  </si>
  <si>
    <t>idee</t>
  </si>
  <si>
    <t>idée</t>
  </si>
  <si>
    <t>xï‰WäÇ?ï~fÇz</t>
  </si>
  <si>
    <t>wereldwijd</t>
  </si>
  <si>
    <t>du monde entier</t>
  </si>
  <si>
    <t>xDÑfòfâëz</t>
  </si>
  <si>
    <t>natuurkunde</t>
  </si>
  <si>
    <t>la physique</t>
  </si>
  <si>
    <t>x?ëïfíë]ä]åÇz</t>
  </si>
  <si>
    <t>Zwitserland</t>
  </si>
  <si>
    <t>la Suisse</t>
  </si>
  <si>
    <t>x?fåÑ]DãÉfp]å=DåÉíï‰Wâz</t>
  </si>
  <si>
    <t>informatienetwerk</t>
  </si>
  <si>
    <t>réseau d'information</t>
  </si>
  <si>
    <t>xâlWäz</t>
  </si>
  <si>
    <t>noemen</t>
  </si>
  <si>
    <t>appeler</t>
  </si>
  <si>
    <t>xD^Wífâ]äz</t>
  </si>
  <si>
    <t>artikel</t>
  </si>
  <si>
    <t>article</t>
  </si>
  <si>
    <t>xDàìWå]î‰Wëz</t>
  </si>
  <si>
    <t>universum</t>
  </si>
  <si>
    <t>univers</t>
  </si>
  <si>
    <t>xDÉîêáï¾åz</t>
  </si>
  <si>
    <t>iedereen</t>
  </si>
  <si>
    <t>chacun</t>
  </si>
  <si>
    <t>xfâëDípÉfåÇwz</t>
  </si>
  <si>
    <t>uitwisselen</t>
  </si>
  <si>
    <t>échanger</t>
  </si>
  <si>
    <t>xDé‰Wë]å]ä=DÇáWíÉfäòz</t>
  </si>
  <si>
    <t>persoonsgegevens</t>
  </si>
  <si>
    <t>x]Dê~fîz</t>
  </si>
  <si>
    <t>aankomen</t>
  </si>
  <si>
    <t>arriver</t>
  </si>
  <si>
    <t>xÄfDÖfåz</t>
  </si>
  <si>
    <t>xÄ]DäáWîz</t>
  </si>
  <si>
    <t>geloven</t>
  </si>
  <si>
    <t>croire</t>
  </si>
  <si>
    <t>xâôåz</t>
  </si>
  <si>
    <t>kunnen</t>
  </si>
  <si>
    <t>pouvoir, savoir</t>
  </si>
  <si>
    <t>xíÉfâz</t>
  </si>
  <si>
    <t>brengen</t>
  </si>
  <si>
    <t>prendre</t>
  </si>
  <si>
    <t>xpÉ]z</t>
  </si>
  <si>
    <t>delen</t>
  </si>
  <si>
    <t>partager</t>
  </si>
  <si>
    <t>xÇ~fz</t>
  </si>
  <si>
    <t>sterven</t>
  </si>
  <si>
    <t>mourir</t>
  </si>
  <si>
    <t>xëíáWäz</t>
  </si>
  <si>
    <t>stelen</t>
  </si>
  <si>
    <t>voler</t>
  </si>
  <si>
    <r>
      <rPr>
        <rFont val="Times New Roman"/>
        <color rgb="FF000000"/>
        <sz val="6.0"/>
      </rPr>
      <t>xï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åíz</t>
    </r>
  </si>
  <si>
    <t>willen</t>
  </si>
  <si>
    <t>vouloir</t>
  </si>
  <si>
    <t>xïfåz</t>
  </si>
  <si>
    <t>winnen</t>
  </si>
  <si>
    <t>gagner</t>
  </si>
  <si>
    <t>Page 11 of 26</t>
  </si>
  <si>
    <r>
      <rPr>
        <rFont val="Times New Roman"/>
        <color rgb="FF000000"/>
        <sz val="6.0"/>
      </rPr>
      <t>xDëâ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íëã]åz</t>
    </r>
  </si>
  <si>
    <t>Schot(se)</t>
  </si>
  <si>
    <t>un Ecossais(e)</t>
  </si>
  <si>
    <t>xfåDîÉåí]z</t>
  </si>
  <si>
    <t>uitvinder</t>
  </si>
  <si>
    <t>inventeur</t>
  </si>
  <si>
    <t>xfåDîÉåp]åz</t>
  </si>
  <si>
    <t>uitvinding</t>
  </si>
  <si>
    <t>invention</t>
  </si>
  <si>
    <r>
      <rPr>
        <rFont val="Times New Roman"/>
        <color rgb="FF000000"/>
        <sz val="6.0"/>
      </rPr>
      <t>xéôíåí=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Ñfëz</t>
    </r>
  </si>
  <si>
    <t>octrooibureau</t>
  </si>
  <si>
    <t>l'Office des brevets</t>
  </si>
  <si>
    <t>xDÑ^Wa]êfå?älWz</t>
  </si>
  <si>
    <t>schoonvader</t>
  </si>
  <si>
    <t>beau-père</t>
  </si>
  <si>
    <t>xílfz</t>
  </si>
  <si>
    <t>speeltje</t>
  </si>
  <si>
    <t>jouet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</si>
  <si>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kÖêÉëz</t>
    </r>
  </si>
  <si>
    <t>het (Amerikaanse) Congres</t>
  </si>
  <si>
    <t>congrès</t>
  </si>
  <si>
    <t>xâêçDÉfpôz</t>
  </si>
  <si>
    <t>Kroatisch</t>
  </si>
  <si>
    <t>croate</t>
  </si>
  <si>
    <t>xëÉäz</t>
  </si>
  <si>
    <t>verkopen</t>
  </si>
  <si>
    <t>vendre</t>
  </si>
  <si>
    <t>xDå]rÄä=éê~fòz</t>
  </si>
  <si>
    <t>Nobelprijs</t>
  </si>
  <si>
    <t>le prix Nobel</t>
  </si>
  <si>
    <t>xDëílWêáz</t>
  </si>
  <si>
    <t>verhaal</t>
  </si>
  <si>
    <t>histoire</t>
  </si>
  <si>
    <t>xDéf]êá]Çz</t>
  </si>
  <si>
    <t>tijdperk</t>
  </si>
  <si>
    <t>époque</t>
  </si>
  <si>
    <t>ontmoeten</t>
  </si>
  <si>
    <t>rencontre</t>
  </si>
  <si>
    <t>xDë‰Wî]åíz</t>
  </si>
  <si>
    <t>dienst-</t>
  </si>
  <si>
    <t>domestique</t>
  </si>
  <si>
    <t>xDÇàr]êfÏz</t>
  </si>
  <si>
    <t>gedurende</t>
  </si>
  <si>
    <t>pendant</t>
  </si>
  <si>
    <t>xDÑ‰Wëí=Dï‰WäÇ=ïlWz</t>
  </si>
  <si>
    <t>Eerste Wereldoorlog</t>
  </si>
  <si>
    <t>la Première Guerre mondiale</t>
  </si>
  <si>
    <t>xíÉfâ=ë¾ãÄ]Çá=ÑlW=]=ïlWâz</t>
  </si>
  <si>
    <t>iemand mee uit wandelen nemen</t>
  </si>
  <si>
    <t>emmener qqn en promenade</t>
  </si>
  <si>
    <t>xÑ~fåÇz</t>
  </si>
  <si>
    <t>vinden</t>
  </si>
  <si>
    <t>trouver</t>
  </si>
  <si>
    <t>xâ]DãàìWå]íáz</t>
  </si>
  <si>
    <t>gemeenschap</t>
  </si>
  <si>
    <t>communauté</t>
  </si>
  <si>
    <t>xÖÉí=DãôêáÇz</t>
  </si>
  <si>
    <t>trouwen</t>
  </si>
  <si>
    <t>se marier</t>
  </si>
  <si>
    <t>xq‰WÇz</t>
  </si>
  <si>
    <t>derde</t>
  </si>
  <si>
    <t>troisième</t>
  </si>
  <si>
    <r>
      <rPr>
        <rFont val="Times New Roman"/>
        <color rgb="FF000000"/>
        <sz val="6.0"/>
      </rPr>
      <t>xëfDâ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åÇz</t>
    </r>
  </si>
  <si>
    <t>tweede</t>
  </si>
  <si>
    <t>deuxième, second</t>
  </si>
  <si>
    <t>xíïÉäÑqz</t>
  </si>
  <si>
    <t>twaalfde</t>
  </si>
  <si>
    <t>douzième</t>
  </si>
  <si>
    <t>xÑ‰Wëíz</t>
  </si>
  <si>
    <t>eerste</t>
  </si>
  <si>
    <t>premier</t>
  </si>
  <si>
    <t>xÑfÑqz</t>
  </si>
  <si>
    <t>vijfde</t>
  </si>
  <si>
    <t>5ème</t>
  </si>
  <si>
    <t>xíÉåqz</t>
  </si>
  <si>
    <t>tiende</t>
  </si>
  <si>
    <t>10ème</t>
  </si>
  <si>
    <t>xDëÉî]åqz</t>
  </si>
  <si>
    <t>zevende</t>
  </si>
  <si>
    <t>7ème</t>
  </si>
  <si>
    <t>xä^Wëíz</t>
  </si>
  <si>
    <r>
      <rPr>
        <rFont val="Arial"/>
        <i/>
        <color rgb="FF000000"/>
        <sz val="6.0"/>
      </rPr>
      <t>dinsdag</t>
    </r>
    <r>
      <rPr>
        <rFont val="Arial"/>
        <i/>
        <color rgb="FF000000"/>
        <sz val="6.0"/>
      </rPr>
      <t xml:space="preserve"> </t>
    </r>
    <r>
      <rPr>
        <rFont val="Arial"/>
        <color rgb="FF000000"/>
        <sz val="6.0"/>
      </rPr>
      <t>)</t>
    </r>
  </si>
  <si>
    <t>dernier</t>
  </si>
  <si>
    <t>x]DÖ]rz</t>
  </si>
  <si>
    <t>geleden</t>
  </si>
  <si>
    <t>il y a</t>
  </si>
  <si>
    <t>xâä]raòz</t>
  </si>
  <si>
    <t>kleren</t>
  </si>
  <si>
    <t>vêtements</t>
  </si>
  <si>
    <t>x~ríDë~fÇz</t>
  </si>
  <si>
    <t>buiten</t>
  </si>
  <si>
    <t>dehors</t>
  </si>
  <si>
    <t>xDÜÉ]?ÇêÉë]z</t>
  </si>
  <si>
    <t>kapper</t>
  </si>
  <si>
    <t>coiffeur</t>
  </si>
  <si>
    <t>xëáWz</t>
  </si>
  <si>
    <t>zee</t>
  </si>
  <si>
    <t>mer</t>
  </si>
  <si>
    <t>xäÉfâz</t>
  </si>
  <si>
    <t>meer</t>
  </si>
  <si>
    <t>lac</t>
  </si>
  <si>
    <t>xD]rî]z</t>
  </si>
  <si>
    <t>meer dan</t>
  </si>
  <si>
    <t>plus de</t>
  </si>
  <si>
    <t>xDÇÉåí]ëíz</t>
  </si>
  <si>
    <t>tandarts</t>
  </si>
  <si>
    <t>dentiste</t>
  </si>
  <si>
    <r>
      <rPr>
        <rFont val="Times New Roman"/>
        <color rgb="FF000000"/>
        <sz val="6.0"/>
      </rPr>
      <t>xÖ]r=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å=DÜ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ä]Çáz</t>
    </r>
  </si>
  <si>
    <t>op vakantie gaan</t>
  </si>
  <si>
    <t>aller en vacances</t>
  </si>
  <si>
    <t>xêfDëÉép]å]ëíz</t>
  </si>
  <si>
    <t>receptionist/receptioniste</t>
  </si>
  <si>
    <t>réceptionniste</t>
  </si>
  <si>
    <t>xÜÉfíz</t>
  </si>
  <si>
    <t>haten</t>
  </si>
  <si>
    <t>détester</t>
  </si>
  <si>
    <t>xDÑ]rí]Öê^WÑz</t>
  </si>
  <si>
    <t>photo</t>
  </si>
  <si>
    <t>xâ^WDíìWåz</t>
  </si>
  <si>
    <t>tekenfilm</t>
  </si>
  <si>
    <t>dessin animé</t>
  </si>
  <si>
    <t>xDä¾î=DëílWêáz</t>
  </si>
  <si>
    <t>liefdesgeschiedenis</t>
  </si>
  <si>
    <t>histoire d'amour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</si>
  <si>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ã]Çáz</t>
    </r>
  </si>
  <si>
    <t>komedie</t>
  </si>
  <si>
    <t>comédie</t>
  </si>
  <si>
    <r>
      <rPr>
        <rFont val="Times New Roman"/>
        <color rgb="FF000000"/>
        <sz val="6.0"/>
      </rPr>
      <t>xDÜ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ê]z</t>
    </r>
  </si>
  <si>
    <t>griezel-</t>
  </si>
  <si>
    <t>d'horreur</t>
  </si>
  <si>
    <r>
      <rPr>
        <rFont val="Times New Roman"/>
        <color rgb="FF000000"/>
        <sz val="6.0"/>
      </rPr>
      <t>xÜfDëí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êfâ]äz</t>
    </r>
  </si>
  <si>
    <t>historisch</t>
  </si>
  <si>
    <t>historique</t>
  </si>
  <si>
    <t>xëôÇz</t>
  </si>
  <si>
    <t>droevig</t>
  </si>
  <si>
    <t>triste</t>
  </si>
  <si>
    <t>xDÑê~fíåfÏz</t>
  </si>
  <si>
    <t>eng</t>
  </si>
  <si>
    <t>effrayant</t>
  </si>
  <si>
    <t>xfâDë~fífÏz</t>
  </si>
  <si>
    <t>spannend</t>
  </si>
  <si>
    <t>passionnant</t>
  </si>
  <si>
    <t>Page 12 of 26</t>
  </si>
  <si>
    <t>xDî~f]ä]åíz</t>
  </si>
  <si>
    <t>gewelddadig</t>
  </si>
  <si>
    <t>violent</t>
  </si>
  <si>
    <t>xDfåíê]ëífÏz</t>
  </si>
  <si>
    <t>interessant</t>
  </si>
  <si>
    <t>intéressant</t>
  </si>
  <si>
    <t>xê]rDãôåífâz</t>
  </si>
  <si>
    <t>romantisch</t>
  </si>
  <si>
    <t>romantique</t>
  </si>
  <si>
    <t>xDÄlWêfÏz</t>
  </si>
  <si>
    <t>saai</t>
  </si>
  <si>
    <t>ennuyant</t>
  </si>
  <si>
    <t>xDëfäáz</t>
  </si>
  <si>
    <t>gek</t>
  </si>
  <si>
    <t>stupide</t>
  </si>
  <si>
    <t>x‰Wåz</t>
  </si>
  <si>
    <t>verdienen</t>
  </si>
  <si>
    <t>xDôî]êfÇwz</t>
  </si>
  <si>
    <t>gemiddeld</t>
  </si>
  <si>
    <t>moyen</t>
  </si>
  <si>
    <t>xäÉÄ]åáWòz</t>
  </si>
  <si>
    <t>Libanees</t>
  </si>
  <si>
    <t>libanais</t>
  </si>
  <si>
    <t>x]Déf]z</t>
  </si>
  <si>
    <t>uitgebracht worden</t>
  </si>
  <si>
    <t>xDÑräD=äÉkqz=</t>
  </si>
  <si>
    <t>avondvullend</t>
  </si>
  <si>
    <t>de long métrage</t>
  </si>
  <si>
    <t>xëí^WêfÏz</t>
  </si>
  <si>
    <t>met in de hoofdrol</t>
  </si>
  <si>
    <t>avec … dans le rôle principal</t>
  </si>
  <si>
    <t>xë]âDëÉëÑ]äz</t>
  </si>
  <si>
    <t>succesvol</t>
  </si>
  <si>
    <t>qui a du succès</t>
  </si>
  <si>
    <r>
      <rPr>
        <rFont val="Times New Roman"/>
        <color rgb="FF000000"/>
        <sz val="6.0"/>
      </rPr>
      <t>xDí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é=éÉfÇz</t>
    </r>
  </si>
  <si>
    <t>hoogstbetaald</t>
  </si>
  <si>
    <t>le mieux payé</t>
  </si>
  <si>
    <r>
      <rPr>
        <rFont val="Times New Roman"/>
        <color rgb="FF000000"/>
        <sz val="6.0"/>
      </rPr>
      <t>xDéê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Ä]Ääáz</t>
    </r>
  </si>
  <si>
    <t>waarschijnlijk</t>
  </si>
  <si>
    <t>probablement</t>
  </si>
  <si>
    <t>xÄÉëí=éÉfÇz</t>
  </si>
  <si>
    <t>bestbetaald</t>
  </si>
  <si>
    <t>xDÑÉfî]ê]íz</t>
  </si>
  <si>
    <t>favoriet</t>
  </si>
  <si>
    <t>favori</t>
  </si>
  <si>
    <t>xDë~fä]åí=DãìWîáWz</t>
  </si>
  <si>
    <t>stomme film</t>
  </si>
  <si>
    <t>film muet</t>
  </si>
  <si>
    <t>xôâíz</t>
  </si>
  <si>
    <t>acteren</t>
  </si>
  <si>
    <t>jouer</t>
  </si>
  <si>
    <t>xDfåÇá]z</t>
  </si>
  <si>
    <t>India</t>
  </si>
  <si>
    <t>l'Inde</t>
  </si>
  <si>
    <t>xâêáDÉfíz</t>
  </si>
  <si>
    <t>maken</t>
  </si>
  <si>
    <t>créer</t>
  </si>
  <si>
    <r>
      <rPr>
        <rFont val="Times New Roman"/>
        <color rgb="FF000000"/>
        <sz val="6.0"/>
      </rPr>
      <t>xDÑ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ä]rz</t>
    </r>
  </si>
  <si>
    <t>volgen</t>
  </si>
  <si>
    <t>suivre</t>
  </si>
  <si>
    <t>xÑlWä=få=ä¾îz</t>
  </si>
  <si>
    <t>verliefd worden</t>
  </si>
  <si>
    <t>tomber amoureux</t>
  </si>
  <si>
    <t>xDîôãé~f]z</t>
  </si>
  <si>
    <t>vampier</t>
  </si>
  <si>
    <t>vampire</t>
  </si>
  <si>
    <t>xDâ^Wë]äz</t>
  </si>
  <si>
    <t>kasteel</t>
  </si>
  <si>
    <t>château</t>
  </si>
  <si>
    <t>xÜ]räz</t>
  </si>
  <si>
    <t>gat</t>
  </si>
  <si>
    <t>trou</t>
  </si>
  <si>
    <t>x]ÇDîÉåíp]z</t>
  </si>
  <si>
    <t>avontuur</t>
  </si>
  <si>
    <t>aventure</t>
  </si>
  <si>
    <r>
      <rPr>
        <rFont val="Times New Roman"/>
        <color rgb="FF000000"/>
        <sz val="6.0"/>
      </rPr>
      <t>xDÑ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ê]ëíz</t>
    </r>
  </si>
  <si>
    <t>bos</t>
  </si>
  <si>
    <t>forêt</t>
  </si>
  <si>
    <r>
      <rPr>
        <rFont val="Times New Roman"/>
        <color rgb="FF000000"/>
        <sz val="6.0"/>
      </rPr>
      <t>xDã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åëí]z</t>
    </r>
  </si>
  <si>
    <t>monster</t>
  </si>
  <si>
    <t>monstre</t>
  </si>
  <si>
    <t>xDÜôåë]ãz</t>
  </si>
  <si>
    <t>knap</t>
  </si>
  <si>
    <t>beau</t>
  </si>
  <si>
    <t>xéäáWòÇz</t>
  </si>
  <si>
    <t>blij</t>
  </si>
  <si>
    <t>content</t>
  </si>
  <si>
    <t>xDêôÄ]íz</t>
  </si>
  <si>
    <t>konijn</t>
  </si>
  <si>
    <t>lapin</t>
  </si>
  <si>
    <t>xD¾Öäáz</t>
  </si>
  <si>
    <t>lelijk</t>
  </si>
  <si>
    <t>laid</t>
  </si>
  <si>
    <t>xDôkÖêáz</t>
  </si>
  <si>
    <t>boos</t>
  </si>
  <si>
    <t>fâché</t>
  </si>
  <si>
    <t>xâfäz</t>
  </si>
  <si>
    <t>doden</t>
  </si>
  <si>
    <t>tuer</t>
  </si>
  <si>
    <t>xïÉ]z</t>
  </si>
  <si>
    <t>dragen</t>
  </si>
  <si>
    <t>porter</t>
  </si>
  <si>
    <t>xê~fÇz</t>
  </si>
  <si>
    <t>rijden</t>
  </si>
  <si>
    <t>rouler à moto</t>
  </si>
  <si>
    <t>xDê]rä]ÄäÉfÇòz</t>
  </si>
  <si>
    <t>skeelers</t>
  </si>
  <si>
    <t>des rollers</t>
  </si>
  <si>
    <t>xêÉåíz</t>
  </si>
  <si>
    <t>huren</t>
  </si>
  <si>
    <t>louer</t>
  </si>
  <si>
    <t>xåàìWòz</t>
  </si>
  <si>
    <t>nieuws</t>
  </si>
  <si>
    <t>les informations</t>
  </si>
  <si>
    <t>xDlWq]z</t>
  </si>
  <si>
    <t>auteur</t>
  </si>
  <si>
    <t>xÄfDÜ~fåÇz</t>
  </si>
  <si>
    <t>achter</t>
  </si>
  <si>
    <t>derrière</t>
  </si>
  <si>
    <t>xDäÉÇw]åÇz</t>
  </si>
  <si>
    <t>legende</t>
  </si>
  <si>
    <t>légende</t>
  </si>
  <si>
    <t>xfÑ=ë]rz</t>
  </si>
  <si>
    <t>zo ja</t>
  </si>
  <si>
    <t>si oui</t>
  </si>
  <si>
    <t>xÑôåDí]ëá=DëílWêáz</t>
  </si>
  <si>
    <t>fantasieverhaal</t>
  </si>
  <si>
    <t>récit fantastique, merveilleux</t>
  </si>
  <si>
    <t>xälWÇz</t>
  </si>
  <si>
    <t>Heer</t>
  </si>
  <si>
    <t>seigneur</t>
  </si>
  <si>
    <r>
      <rPr>
        <rFont val="Times New Roman"/>
        <color rgb="FF000000"/>
        <sz val="6.0"/>
      </rPr>
      <t>xÄÉfëí=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åz</t>
    </r>
  </si>
  <si>
    <t>gebaseerd op</t>
  </si>
  <si>
    <t>basé sur</t>
  </si>
  <si>
    <r>
      <rPr>
        <rFont val="Times New Roman"/>
        <color rgb="FF000000"/>
        <sz val="6.0"/>
      </rPr>
      <t>xDå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î]äz</t>
    </r>
  </si>
  <si>
    <t>roman</t>
  </si>
  <si>
    <t>xÇ]DêÉâí]z</t>
  </si>
  <si>
    <t>regisseur / regisseuse</t>
  </si>
  <si>
    <t>xåàìW=DòáWä]åÇz</t>
  </si>
  <si>
    <t>Nieuw-Zeeland</t>
  </si>
  <si>
    <t>la Nouvelle-Zélande</t>
  </si>
  <si>
    <t>Page 13 of 26</t>
  </si>
  <si>
    <t>xÑôåòz</t>
  </si>
  <si>
    <t>fans</t>
  </si>
  <si>
    <t>les fans</t>
  </si>
  <si>
    <t>in de rij staan</t>
  </si>
  <si>
    <t>faire la file</t>
  </si>
  <si>
    <t>xDífâ]íz</t>
  </si>
  <si>
    <t>kaartje</t>
  </si>
  <si>
    <t>ticket</t>
  </si>
  <si>
    <t>xfDålWã]ëz</t>
  </si>
  <si>
    <t>enorm</t>
  </si>
  <si>
    <t>énorme</t>
  </si>
  <si>
    <t>terugkeer</t>
  </si>
  <si>
    <t>le retour</t>
  </si>
  <si>
    <t>xâfÏz</t>
  </si>
  <si>
    <t>koning</t>
  </si>
  <si>
    <t>roi</t>
  </si>
  <si>
    <t>xDãfÇä=‰Wqz</t>
  </si>
  <si>
    <t>Midden-Aarde</t>
  </si>
  <si>
    <t>la Terre du Milieu</t>
  </si>
  <si>
    <t>xDíp~fäÇÜrÇz</t>
  </si>
  <si>
    <t>jeugd</t>
  </si>
  <si>
    <t>enfance</t>
  </si>
  <si>
    <t>xDÉfåp]åíz</t>
  </si>
  <si>
    <t>oud</t>
  </si>
  <si>
    <t>ancien</t>
  </si>
  <si>
    <t>xéê]DÑÉë]z</t>
  </si>
  <si>
    <t>hoogleraar</t>
  </si>
  <si>
    <t>professeur</t>
  </si>
  <si>
    <t>xÖêÉfí=DÖêôåë¾åz</t>
  </si>
  <si>
    <t>achterkleinzoon</t>
  </si>
  <si>
    <t>arrière petit-fils</t>
  </si>
  <si>
    <t>xDã¾åáz</t>
  </si>
  <si>
    <t>geld</t>
  </si>
  <si>
    <t>argent</t>
  </si>
  <si>
    <t>x]DÄêlWÇz</t>
  </si>
  <si>
    <t>in/naar het buitenland</t>
  </si>
  <si>
    <t>à l'étranger</t>
  </si>
  <si>
    <t>xDÑôp]å]Ä]äz</t>
  </si>
  <si>
    <t>trendy</t>
  </si>
  <si>
    <t>à la mode</t>
  </si>
  <si>
    <t>xãàìWòfâ]ä=?fåëíê]ã]åíz</t>
  </si>
  <si>
    <t>muziekinstrument</t>
  </si>
  <si>
    <t>instrument de musique</t>
  </si>
  <si>
    <t>xêfDãÉãÄ]z</t>
  </si>
  <si>
    <t>nog weten</t>
  </si>
  <si>
    <t>se souvenir</t>
  </si>
  <si>
    <t>x]räÇ=Dí~råz</t>
  </si>
  <si>
    <t>oude stad</t>
  </si>
  <si>
    <t>vieille ville</t>
  </si>
  <si>
    <t>xâä¾Äz</t>
  </si>
  <si>
    <t>nachtclub</t>
  </si>
  <si>
    <t>club</t>
  </si>
  <si>
    <t>xíÉäz</t>
  </si>
  <si>
    <t>vertellen</t>
  </si>
  <si>
    <t>parler</t>
  </si>
  <si>
    <t>xéêôÖz</t>
  </si>
  <si>
    <t>Praag</t>
  </si>
  <si>
    <t>Prague</t>
  </si>
  <si>
    <t>xD‰Wäáz</t>
  </si>
  <si>
    <t>vroeg</t>
  </si>
  <si>
    <t>tôt</t>
  </si>
  <si>
    <t>xâ~fåÇz</t>
  </si>
  <si>
    <t>sorte, genre</t>
  </si>
  <si>
    <t>toneelstuk</t>
  </si>
  <si>
    <t>pièce de théâtre</t>
  </si>
  <si>
    <r>
      <rPr>
        <rFont val="Times New Roman"/>
        <color rgb="FF000000"/>
        <sz val="6.0"/>
      </rPr>
      <t>xD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é]ê]z</t>
    </r>
  </si>
  <si>
    <t>opera</t>
  </si>
  <si>
    <t>opéra</t>
  </si>
  <si>
    <t>xDÄêfäà]åíz</t>
  </si>
  <si>
    <t>excellent</t>
  </si>
  <si>
    <r>
      <rPr>
        <rFont val="Times New Roman"/>
        <color rgb="FF000000"/>
        <sz val="6.0"/>
      </rPr>
      <t>xï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íë=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åz</t>
    </r>
  </si>
  <si>
    <t>wat draait er?</t>
  </si>
  <si>
    <t>qu'est-ce qu'il y a (à voir)?</t>
  </si>
  <si>
    <t>xDé‰WÑfâíz</t>
  </si>
  <si>
    <t>perfect</t>
  </si>
  <si>
    <t>parfait</t>
  </si>
  <si>
    <t>x?~fa]=lWz</t>
  </si>
  <si>
    <t>hetzij… of</t>
  </si>
  <si>
    <t>ou … ou</t>
  </si>
  <si>
    <r>
      <rPr>
        <rFont val="Times New Roman"/>
        <color rgb="FF000000"/>
        <sz val="6.0"/>
      </rPr>
      <t>xaôí=ëlWí=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î=qfÏz=</t>
    </r>
  </si>
  <si>
    <t>dat soort dingen</t>
  </si>
  <si>
    <t>ce genre de choses</t>
  </si>
  <si>
    <t>xÜ~r=]DÄ~ríz</t>
  </si>
  <si>
    <t>wat vind je van</t>
  </si>
  <si>
    <t>et si …?</t>
  </si>
  <si>
    <t>xÇôã^Wëâ]ëz</t>
  </si>
  <si>
    <t>Damascus</t>
  </si>
  <si>
    <t>Damas</t>
  </si>
  <si>
    <t>xâ^fê]rz</t>
  </si>
  <si>
    <t>Cairo</t>
  </si>
  <si>
    <t>le Caire</t>
  </si>
  <si>
    <t>xâä~fãz</t>
  </si>
  <si>
    <t>beklimmen</t>
  </si>
  <si>
    <t>grimper</t>
  </si>
  <si>
    <t>x^fÑ]ä=Dí~r]z</t>
  </si>
  <si>
    <t>Eiffeltoren</t>
  </si>
  <si>
    <t>la Tour Eiffel</t>
  </si>
  <si>
    <t>xÄ~fz</t>
  </si>
  <si>
    <t>kopen</t>
  </si>
  <si>
    <t>acheter</t>
  </si>
  <si>
    <t>xëãlWäz</t>
  </si>
  <si>
    <t>klein</t>
  </si>
  <si>
    <t>petit</t>
  </si>
  <si>
    <t>xípáWéz</t>
  </si>
  <si>
    <t>goedkoop</t>
  </si>
  <si>
    <t>bon-marché</t>
  </si>
  <si>
    <t>x¾åDâ¾ãÑí]Ä]äz</t>
  </si>
  <si>
    <t>oncomfortabel</t>
  </si>
  <si>
    <t>inconfortable</t>
  </si>
  <si>
    <t>xåàìWz</t>
  </si>
  <si>
    <t>nieuw</t>
  </si>
  <si>
    <t>neuf, nouveau</t>
  </si>
  <si>
    <t>xëä]rz</t>
  </si>
  <si>
    <t>lent</t>
  </si>
  <si>
    <t>x]Díêôâífîz</t>
  </si>
  <si>
    <t>aantrekkelijk</t>
  </si>
  <si>
    <t>attirant</t>
  </si>
  <si>
    <t>xD]räÇ]=z</t>
  </si>
  <si>
    <t>ouder</t>
  </si>
  <si>
    <t>plus vieux</t>
  </si>
  <si>
    <t>xDÄfÖ]z</t>
  </si>
  <si>
    <t>groter</t>
  </si>
  <si>
    <t>plus grand</t>
  </si>
  <si>
    <t>xãlW=fâDëéÉåëfîz</t>
  </si>
  <si>
    <t>duurder</t>
  </si>
  <si>
    <t>plus cher</t>
  </si>
  <si>
    <t>xDáWò]‰Wz</t>
  </si>
  <si>
    <t>makkelijker</t>
  </si>
  <si>
    <t>plus facile</t>
  </si>
  <si>
    <t>xé^Wâz</t>
  </si>
  <si>
    <t>parkeren</t>
  </si>
  <si>
    <t>garer</t>
  </si>
  <si>
    <t>xDÄÉí]z</t>
  </si>
  <si>
    <t>beter</t>
  </si>
  <si>
    <t>mieux</t>
  </si>
  <si>
    <t>xfå=ÖrÇ=â]åDÇfp]åz</t>
  </si>
  <si>
    <t>in goede staat</t>
  </si>
  <si>
    <t>en bon état</t>
  </si>
  <si>
    <t>Page 14 of 26</t>
  </si>
  <si>
    <t>xfå=ÄôÇ=â]åDÇfp]åz</t>
  </si>
  <si>
    <t>in slechte staat</t>
  </si>
  <si>
    <t>en mauvais état</t>
  </si>
  <si>
    <t>xëã^Wíz</t>
  </si>
  <si>
    <t>chic</t>
  </si>
  <si>
    <t>élégant</t>
  </si>
  <si>
    <t>xëïáWíz</t>
  </si>
  <si>
    <t>zoet</t>
  </si>
  <si>
    <t>xDáWòá=í]=ê~fÇz</t>
  </si>
  <si>
    <t>makkelijk te besturen</t>
  </si>
  <si>
    <t>facile à conduire</t>
  </si>
  <si>
    <t>xDÇ~f]ã]åÇz</t>
  </si>
  <si>
    <t>diamant</t>
  </si>
  <si>
    <t>xÇfDé^Wíã]åí=DëílWz</t>
  </si>
  <si>
    <t>warenhuis</t>
  </si>
  <si>
    <t>grand magasin</t>
  </si>
  <si>
    <t>xD~fí]ãz</t>
  </si>
  <si>
    <t>xÑ]=DëÉfäz</t>
  </si>
  <si>
    <t>te koop</t>
  </si>
  <si>
    <t>à vendre, en vente</t>
  </si>
  <si>
    <t>xílWäz</t>
  </si>
  <si>
    <t>hoog</t>
  </si>
  <si>
    <t>xDë¾äí]åz</t>
  </si>
  <si>
    <t>sultan</t>
  </si>
  <si>
    <t>xÜÉÇz</t>
  </si>
  <si>
    <t>hoofd</t>
  </si>
  <si>
    <t>directeur</t>
  </si>
  <si>
    <t>xDëÉåíp]êáz</t>
  </si>
  <si>
    <t>eeuw</t>
  </si>
  <si>
    <t>siècle</t>
  </si>
  <si>
    <t>xÜ~fz</t>
  </si>
  <si>
    <t>hooggelegen</t>
  </si>
  <si>
    <t>haut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</si>
  <si>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ã]åz</t>
    </r>
  </si>
  <si>
    <t>veelvoorkomend</t>
  </si>
  <si>
    <t>courant</t>
  </si>
  <si>
    <t>xDâ^Wé]íz</t>
  </si>
  <si>
    <t>tapijt</t>
  </si>
  <si>
    <t>tapis</t>
  </si>
  <si>
    <t>xê¾Öz</t>
  </si>
  <si>
    <t>kleed</t>
  </si>
  <si>
    <t>carpette</t>
  </si>
  <si>
    <t>xDÑä~r]z</t>
  </si>
  <si>
    <t>bloem</t>
  </si>
  <si>
    <t>fleur</t>
  </si>
  <si>
    <t>xÖfÑíz</t>
  </si>
  <si>
    <t>cadeau</t>
  </si>
  <si>
    <t>xÄ‰WÇz</t>
  </si>
  <si>
    <t>vogel</t>
  </si>
  <si>
    <t>oiseau</t>
  </si>
  <si>
    <t>xÜ‰WÄz</t>
  </si>
  <si>
    <t>kruid</t>
  </si>
  <si>
    <t>herbe</t>
  </si>
  <si>
    <t>x?ÇÉâ]DêÉfp]åz</t>
  </si>
  <si>
    <t>versiering</t>
  </si>
  <si>
    <t>décoration</t>
  </si>
  <si>
    <t>xDãÉÇë]åz</t>
  </si>
  <si>
    <t>geneesmiddel</t>
  </si>
  <si>
    <t>médicament, médecine</t>
  </si>
  <si>
    <t>xDå~r]ÇÉfòz</t>
  </si>
  <si>
    <t>tegenwoordig</t>
  </si>
  <si>
    <t>de nos jours, actuellement</t>
  </si>
  <si>
    <r>
      <rPr>
        <rFont val="Times New Roman"/>
        <color rgb="FF000000"/>
        <sz val="6.0"/>
      </rPr>
      <t>xp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éz</t>
    </r>
  </si>
  <si>
    <t>magasin</t>
  </si>
  <si>
    <t>xíê]DÇfp]å]äz</t>
  </si>
  <si>
    <t>traditioneel</t>
  </si>
  <si>
    <t>traditionnel</t>
  </si>
  <si>
    <t>xDëíêáWí=ã^Wâ]íz</t>
  </si>
  <si>
    <t>markt</t>
  </si>
  <si>
    <t>marché</t>
  </si>
  <si>
    <t>xêìWÑz</t>
  </si>
  <si>
    <t>dak</t>
  </si>
  <si>
    <t>toit</t>
  </si>
  <si>
    <t>xÑä]rífÏ=Dã^Wâ]íz</t>
  </si>
  <si>
    <t>drijvende markt</t>
  </si>
  <si>
    <t>marché flottant</t>
  </si>
  <si>
    <t>xDÉfw]z</t>
  </si>
  <si>
    <t>Azië</t>
  </si>
  <si>
    <t>l'Asie</t>
  </si>
  <si>
    <r>
      <rPr>
        <rFont val="Times New Roman"/>
        <color rgb="FF000000"/>
        <sz val="6.0"/>
      </rPr>
      <t>xDíê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éfâ]ä=ÑêìWíz</t>
    </r>
  </si>
  <si>
    <t>tropische vruchten</t>
  </si>
  <si>
    <t>fruits tropicaux</t>
  </si>
  <si>
    <t>xé^Wíz</t>
  </si>
  <si>
    <t>gedeelte</t>
  </si>
  <si>
    <t>quartier</t>
  </si>
  <si>
    <t>xëâïÉ]z</t>
  </si>
  <si>
    <t>plein</t>
  </si>
  <si>
    <t>place</t>
  </si>
  <si>
    <t>xDâ¾ä]Ñ]äz</t>
  </si>
  <si>
    <t>kleurrijk</t>
  </si>
  <si>
    <t>plein de couleurs</t>
  </si>
  <si>
    <t>x?ãfÇDÇÉfz</t>
  </si>
  <si>
    <t>12 uur 's middags</t>
  </si>
  <si>
    <t>midi</t>
  </si>
  <si>
    <t>xDä~fîäáz</t>
  </si>
  <si>
    <t>levendig</t>
  </si>
  <si>
    <t>animé</t>
  </si>
  <si>
    <t>xDâêfëã]ë=Dã^Wâ]íz</t>
  </si>
  <si>
    <t>kerstmarkt</t>
  </si>
  <si>
    <t>marché de Noël</t>
  </si>
  <si>
    <t>xÜôåÇãÉfÇz</t>
  </si>
  <si>
    <t>handgemaakt</t>
  </si>
  <si>
    <t>fait-main</t>
  </si>
  <si>
    <t>xDôíã]ëÑf]z</t>
  </si>
  <si>
    <t>sfeer</t>
  </si>
  <si>
    <t>atmosphère, ambiance</t>
  </si>
  <si>
    <t>xÜÉäéz</t>
  </si>
  <si>
    <t>helpen</t>
  </si>
  <si>
    <t>aider</t>
  </si>
  <si>
    <r>
      <rPr>
        <rFont val="Times New Roman"/>
        <color rgb="FF000000"/>
        <sz val="6.0"/>
      </rPr>
      <t>xDâä]raò=p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éz</t>
    </r>
  </si>
  <si>
    <t>kledingzaak</t>
  </si>
  <si>
    <t>magasin de vêtements</t>
  </si>
  <si>
    <t>xDÑ^Wã]ëáz</t>
  </si>
  <si>
    <t>apotheek</t>
  </si>
  <si>
    <t>pharmacie</t>
  </si>
  <si>
    <t>xDÇê~f=DâäáWå]òz</t>
  </si>
  <si>
    <t>stomerij</t>
  </si>
  <si>
    <t>nettoyage à sec</t>
  </si>
  <si>
    <t>xDÄríp]z</t>
  </si>
  <si>
    <t>slager</t>
  </si>
  <si>
    <t>boucher</t>
  </si>
  <si>
    <r>
      <rPr>
        <rFont val="Times New Roman"/>
        <color rgb="FF000000"/>
        <sz val="6.0"/>
      </rPr>
      <t>xDé]rëí=?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Ñfëz</t>
    </r>
  </si>
  <si>
    <t>postkantoor</t>
  </si>
  <si>
    <t>bureau de poste</t>
  </si>
  <si>
    <t>xDÄÉfâ]êáz</t>
  </si>
  <si>
    <t>bakker</t>
  </si>
  <si>
    <t>boulangerie</t>
  </si>
  <si>
    <r>
      <rPr>
        <rFont val="Times New Roman"/>
        <color rgb="FF000000"/>
        <sz val="6.0"/>
      </rPr>
      <t>xDä]râä=p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éz</t>
    </r>
  </si>
  <si>
    <t>plaatselijke winkel</t>
  </si>
  <si>
    <t>commerce de proximité</t>
  </si>
  <si>
    <r>
      <rPr>
        <rFont val="Times New Roman"/>
        <color rgb="FF000000"/>
        <sz val="6.0"/>
      </rPr>
      <t>xÖfÑí=p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éz</t>
    </r>
  </si>
  <si>
    <t>cadeauwinkel</t>
  </si>
  <si>
    <t>boutique de cadeaux</t>
  </si>
  <si>
    <t>xDÇ‰Wíáz</t>
  </si>
  <si>
    <t>vuil</t>
  </si>
  <si>
    <t>sale</t>
  </si>
  <si>
    <t>xDÜÉ]â¾íz</t>
  </si>
  <si>
    <t>laten knippen)</t>
  </si>
  <si>
    <t>coupe de cheveux</t>
  </si>
  <si>
    <t>Page 15 of 26</t>
  </si>
  <si>
    <t>xDéêÉò]åíz</t>
  </si>
  <si>
    <t>xé]rëíz</t>
  </si>
  <si>
    <t>posten</t>
  </si>
  <si>
    <t>poster</t>
  </si>
  <si>
    <t>xDíìWqéÉfëíz</t>
  </si>
  <si>
    <t>tandpasta</t>
  </si>
  <si>
    <t>dentifrice</t>
  </si>
  <si>
    <t>xëílW=Ç~fDêÉâí]êáz</t>
  </si>
  <si>
    <t>winkelindeling</t>
  </si>
  <si>
    <t>guide du magasin</t>
  </si>
  <si>
    <t>xDÄÉfëã]åíz</t>
  </si>
  <si>
    <t>souterrain</t>
  </si>
  <si>
    <t>sous-sol</t>
  </si>
  <si>
    <t>x?ÑìWÇ=DÜlWäz</t>
  </si>
  <si>
    <t>voedselafdeling</t>
  </si>
  <si>
    <t>rayon d'alimentation</t>
  </si>
  <si>
    <t>xârâ=]åÇ=DâfípfåïÉ]z</t>
  </si>
  <si>
    <t>kook- en keukengerei</t>
  </si>
  <si>
    <t>articles de vaisselle et cuisine</t>
  </si>
  <si>
    <t>xDä¾ÖfÇwz</t>
  </si>
  <si>
    <t>tassen en koffers</t>
  </si>
  <si>
    <t>bagagerie</t>
  </si>
  <si>
    <t>xDÖê~råÇ=DÑälWz</t>
  </si>
  <si>
    <t>begane grond</t>
  </si>
  <si>
    <t>rez-de-chaussée</t>
  </si>
  <si>
    <t>xé]DÑàìWã]êáz</t>
  </si>
  <si>
    <t>parfumerie</t>
  </si>
  <si>
    <r>
      <rPr>
        <rFont val="Times New Roman"/>
        <color rgb="FF000000"/>
        <sz val="6.0"/>
      </rPr>
      <t>xâ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òDãÉífâz</t>
    </r>
  </si>
  <si>
    <t>cosmetica</t>
  </si>
  <si>
    <t>cosmétiques</t>
  </si>
  <si>
    <t>xDÜôåÇÄôÖz</t>
  </si>
  <si>
    <t>handtas</t>
  </si>
  <si>
    <t>sac à main</t>
  </si>
  <si>
    <t>xDëíÉfp]å]êáz</t>
  </si>
  <si>
    <t>kantoorbenodigdheden</t>
  </si>
  <si>
    <t>papeterie</t>
  </si>
  <si>
    <t>xDpìWòz</t>
  </si>
  <si>
    <t>schoenen</t>
  </si>
  <si>
    <t>chaussures</t>
  </si>
  <si>
    <t>xDÇwìW]äêáz</t>
  </si>
  <si>
    <t>sieraden</t>
  </si>
  <si>
    <t>bijouterie</t>
  </si>
  <si>
    <t>xDÖÉfãfÏz</t>
  </si>
  <si>
    <t>speelgoed</t>
  </si>
  <si>
    <t>jeux</t>
  </si>
  <si>
    <t>xfäÉâDíêfâ]ä=ÖrÇòz</t>
  </si>
  <si>
    <t>elektrische apparaten</t>
  </si>
  <si>
    <t>électroménager</t>
  </si>
  <si>
    <t>xÇfDé^Wíã]åíz</t>
  </si>
  <si>
    <t>afdeling</t>
  </si>
  <si>
    <t>rayon</t>
  </si>
  <si>
    <t>xDÄôí]êáz</t>
  </si>
  <si>
    <t>batterij</t>
  </si>
  <si>
    <t>pile</t>
  </si>
  <si>
    <t>xípìWòz</t>
  </si>
  <si>
    <t>kiezen</t>
  </si>
  <si>
    <t>choisir</t>
  </si>
  <si>
    <t>x?ëìWî]Dåf]z</t>
  </si>
  <si>
    <t>souvenir</t>
  </si>
  <si>
    <t>souvenir (objet)</t>
  </si>
  <si>
    <t>xDäÉa]z</t>
  </si>
  <si>
    <t>leren (van leer)</t>
  </si>
  <si>
    <t>cuir</t>
  </si>
  <si>
    <t>xäôãéz</t>
  </si>
  <si>
    <t>lamp</t>
  </si>
  <si>
    <t>lampe</t>
  </si>
  <si>
    <t>xëfäâz</t>
  </si>
  <si>
    <t>zijden</t>
  </si>
  <si>
    <t>soie</t>
  </si>
  <si>
    <t>xëâ^WÑz</t>
  </si>
  <si>
    <t>sjaal</t>
  </si>
  <si>
    <t>foulard</t>
  </si>
  <si>
    <t>xfâDëéÉâíz</t>
  </si>
  <si>
    <t>verwachten</t>
  </si>
  <si>
    <t>s'attendre à</t>
  </si>
  <si>
    <t>xDïÉä=éÉfÇz</t>
  </si>
  <si>
    <t>goedbetaald</t>
  </si>
  <si>
    <t>bien payé</t>
  </si>
  <si>
    <t>xêfDélWíz</t>
  </si>
  <si>
    <t>rapport</t>
  </si>
  <si>
    <r>
      <rPr>
        <rFont val="Times New Roman"/>
        <color rgb="FF000000"/>
        <sz val="6.0"/>
      </rPr>
      <t>xÄ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ëz</t>
    </r>
  </si>
  <si>
    <t>baas</t>
  </si>
  <si>
    <t>chef</t>
  </si>
  <si>
    <t>xípôíz</t>
  </si>
  <si>
    <t>kletsen</t>
  </si>
  <si>
    <t>bavarder</t>
  </si>
  <si>
    <t>xDíêÉfå]òz</t>
  </si>
  <si>
    <t>sportschoenen</t>
  </si>
  <si>
    <t>des baskets</t>
  </si>
  <si>
    <t>xDÇw¾ãé]z</t>
  </si>
  <si>
    <t>trui</t>
  </si>
  <si>
    <t>pull</t>
  </si>
  <si>
    <t>xDíê~rò]òz</t>
  </si>
  <si>
    <t>broek</t>
  </si>
  <si>
    <t>pantalon</t>
  </si>
  <si>
    <t>xëôåÇäz</t>
  </si>
  <si>
    <t>sandalen</t>
  </si>
  <si>
    <t>des sandales</t>
  </si>
  <si>
    <t>xí~fíëz</t>
  </si>
  <si>
    <t>maillot, panty</t>
  </si>
  <si>
    <t>xí~fz</t>
  </si>
  <si>
    <t>stropdas</t>
  </si>
  <si>
    <t>cravate</t>
  </si>
  <si>
    <t>xâ]ríz</t>
  </si>
  <si>
    <t>jas</t>
  </si>
  <si>
    <t>manteau</t>
  </si>
  <si>
    <t>xÄÉäíz</t>
  </si>
  <si>
    <t>riem</t>
  </si>
  <si>
    <t>ceinture</t>
  </si>
  <si>
    <t>xDÄêáWÑâÉfëz</t>
  </si>
  <si>
    <t>aktenkoffertje</t>
  </si>
  <si>
    <t>mallette</t>
  </si>
  <si>
    <t>xëâ‰Wíz</t>
  </si>
  <si>
    <t>rok</t>
  </si>
  <si>
    <t>jupe</t>
  </si>
  <si>
    <t>xplWíëz</t>
  </si>
  <si>
    <t>korte broek</t>
  </si>
  <si>
    <t>un short</t>
  </si>
  <si>
    <t>xÄìWíëz</t>
  </si>
  <si>
    <t>laarzen</t>
  </si>
  <si>
    <t>des bottes</t>
  </si>
  <si>
    <r>
      <rPr>
        <rFont val="Times New Roman"/>
        <color rgb="FF000000"/>
        <sz val="6.0"/>
      </rPr>
      <t>xë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âëz</t>
    </r>
  </si>
  <si>
    <t>sokken</t>
  </si>
  <si>
    <t>chaussettes</t>
  </si>
  <si>
    <t>xÖä¾îòz</t>
  </si>
  <si>
    <t>handschoenen</t>
  </si>
  <si>
    <t>gants</t>
  </si>
  <si>
    <t>xDf]êfÏòz</t>
  </si>
  <si>
    <t>oorbellen</t>
  </si>
  <si>
    <t>boucles d'oreille</t>
  </si>
  <si>
    <t>xp‰Wíz</t>
  </si>
  <si>
    <t>overhemd</t>
  </si>
  <si>
    <t>chemise</t>
  </si>
  <si>
    <t>xëìWíz</t>
  </si>
  <si>
    <t>kostuum, pak</t>
  </si>
  <si>
    <t>costume / tailleur</t>
  </si>
  <si>
    <t>xDÇwôâ]íz</t>
  </si>
  <si>
    <t>jack</t>
  </si>
  <si>
    <t>veste</t>
  </si>
  <si>
    <t>Page 16 of 26</t>
  </si>
  <si>
    <t>xDÄôâéôâz</t>
  </si>
  <si>
    <t>rugzak</t>
  </si>
  <si>
    <t>sac à dos</t>
  </si>
  <si>
    <t>xDëélWíë=ÄôÖz</t>
  </si>
  <si>
    <t>sporttas</t>
  </si>
  <si>
    <t>sac de sport</t>
  </si>
  <si>
    <t>xDëíêáWíDÑôpåz</t>
  </si>
  <si>
    <t>straatmode</t>
  </si>
  <si>
    <t>la mode</t>
  </si>
  <si>
    <t>xDÄôkâ]z</t>
  </si>
  <si>
    <t>bankier</t>
  </si>
  <si>
    <t>banquier</t>
  </si>
  <si>
    <t>x]Délfåíã]åíz</t>
  </si>
  <si>
    <t>afspraak</t>
  </si>
  <si>
    <t>rendez-vous</t>
  </si>
  <si>
    <t>x]Dâ~råí]åíz</t>
  </si>
  <si>
    <t>accountant</t>
  </si>
  <si>
    <t>comptable</t>
  </si>
  <si>
    <t>xDïÉÇfÏz</t>
  </si>
  <si>
    <t>bruiloft</t>
  </si>
  <si>
    <t>mariage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</si>
  <si>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äfÇwz</t>
    </r>
  </si>
  <si>
    <t>college</t>
  </si>
  <si>
    <t>xDàìWå]ÑlWãz</t>
  </si>
  <si>
    <t>uniform</t>
  </si>
  <si>
    <t>uniforme</t>
  </si>
  <si>
    <t>xDÜÉîáz</t>
  </si>
  <si>
    <t>zwaar</t>
  </si>
  <si>
    <t>lourd</t>
  </si>
  <si>
    <t>xÖÉí=êÉÇáz</t>
  </si>
  <si>
    <t>zich gereedmaken</t>
  </si>
  <si>
    <t>se préparer</t>
  </si>
  <si>
    <t>xDäfíäz</t>
  </si>
  <si>
    <t>weinig</t>
  </si>
  <si>
    <t>peu de</t>
  </si>
  <si>
    <t>xÄê~fíz</t>
  </si>
  <si>
    <t>fel</t>
  </si>
  <si>
    <t>vif</t>
  </si>
  <si>
    <t>xâï~fíz</t>
  </si>
  <si>
    <t>vrij</t>
  </si>
  <si>
    <t>assez</t>
  </si>
  <si>
    <t>xôí=a]=Dã]rã]åíz</t>
  </si>
  <si>
    <t>op dit moment</t>
  </si>
  <si>
    <t>en ce moment</t>
  </si>
  <si>
    <t>xDâôwì]äz</t>
  </si>
  <si>
    <t>nonchalant, makkelijk</t>
  </si>
  <si>
    <t>décontracté</t>
  </si>
  <si>
    <t>xDé‰WÑàìWãz</t>
  </si>
  <si>
    <t>parfum</t>
  </si>
  <si>
    <t>xDä¾âáz</t>
  </si>
  <si>
    <t>boffen (to be lucky)</t>
  </si>
  <si>
    <t>qui a de la chance</t>
  </si>
  <si>
    <t>xã]Dëí^Wpz</t>
  </si>
  <si>
    <t>snor</t>
  </si>
  <si>
    <t>moustache</t>
  </si>
  <si>
    <t>xfå=ÜfòI=Ü‰WDq‰Wíáòz</t>
  </si>
  <si>
    <t>in de dertig</t>
  </si>
  <si>
    <t>dans la trentaine</t>
  </si>
  <si>
    <t>xëäfãz</t>
  </si>
  <si>
    <t>slank</t>
  </si>
  <si>
    <t>mince</t>
  </si>
  <si>
    <t>xÄf]Çz</t>
  </si>
  <si>
    <t>baard</t>
  </si>
  <si>
    <t>barbe</t>
  </si>
  <si>
    <t>xpÉfîÇz</t>
  </si>
  <si>
    <t>kaalgeschoren</t>
  </si>
  <si>
    <t>rasé</t>
  </si>
  <si>
    <t>xplWíz</t>
  </si>
  <si>
    <t>kort</t>
  </si>
  <si>
    <t>court</t>
  </si>
  <si>
    <t>xDïÉä=Äfäíz</t>
  </si>
  <si>
    <t>goedgebouwd</t>
  </si>
  <si>
    <t>bien bâti</t>
  </si>
  <si>
    <t>xDãáWÇf]ã=DäÉkqz</t>
  </si>
  <si>
    <t>halflang</t>
  </si>
  <si>
    <t>de taille moyenne</t>
  </si>
  <si>
    <t>xé]råá=íÉfäz</t>
  </si>
  <si>
    <t>paardenstaart</t>
  </si>
  <si>
    <t>queue de cheval</t>
  </si>
  <si>
    <t>xDÜôéáz</t>
  </si>
  <si>
    <t>heureux</t>
  </si>
  <si>
    <t>x¾åDÜôéáz</t>
  </si>
  <si>
    <t>ongelukkig</t>
  </si>
  <si>
    <t>malheureux</t>
  </si>
  <si>
    <t>xÑÉfëz</t>
  </si>
  <si>
    <t>gezicht</t>
  </si>
  <si>
    <t>visage</t>
  </si>
  <si>
    <t>x]âDëÉë]êáz</t>
  </si>
  <si>
    <t>accessoire</t>
  </si>
  <si>
    <r>
      <rPr>
        <rFont val="Times New Roman"/>
        <color rgb="FF000000"/>
        <sz val="6.0"/>
      </rPr>
      <t>x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å=a]=ê~fíz</t>
    </r>
  </si>
  <si>
    <t>xDÜôé]åz</t>
  </si>
  <si>
    <t>gebeuren</t>
  </si>
  <si>
    <t>se passer</t>
  </si>
  <si>
    <t>x]DÄ¾îz</t>
  </si>
  <si>
    <t>boven</t>
  </si>
  <si>
    <t>en haut</t>
  </si>
  <si>
    <t>x~fë=DâêáWãz</t>
  </si>
  <si>
    <t>ijsje</t>
  </si>
  <si>
    <t>crème glacée</t>
  </si>
  <si>
    <t>xëáWíz</t>
  </si>
  <si>
    <t>stoel</t>
  </si>
  <si>
    <t>siège</t>
  </si>
  <si>
    <t>xëfíz</t>
  </si>
  <si>
    <t>zitten</t>
  </si>
  <si>
    <t>être assis</t>
  </si>
  <si>
    <t>xï‰WäÇz</t>
  </si>
  <si>
    <t>wereld</t>
  </si>
  <si>
    <t>monde</t>
  </si>
  <si>
    <t>x]Dê~råÇ=¾ëz</t>
  </si>
  <si>
    <t>om ons heen</t>
  </si>
  <si>
    <t>autour de nous</t>
  </si>
  <si>
    <t>xDôå]ã]äz</t>
  </si>
  <si>
    <t>dieren</t>
  </si>
  <si>
    <t>animaux</t>
  </si>
  <si>
    <t>xDåôípê]ä=DÑáWíp]òz</t>
  </si>
  <si>
    <t>natuurelementen</t>
  </si>
  <si>
    <t>phénomènes naturels</t>
  </si>
  <si>
    <t>xDfåëÉâíz</t>
  </si>
  <si>
    <t>insect</t>
  </si>
  <si>
    <t>insecte</t>
  </si>
  <si>
    <t>x?ípfãéôåDòáWz</t>
  </si>
  <si>
    <t>chimpansee</t>
  </si>
  <si>
    <t>chimpanzé</t>
  </si>
  <si>
    <r>
      <rPr>
        <rFont val="Times New Roman"/>
        <color rgb="FF000000"/>
        <sz val="6.0"/>
      </rPr>
      <t>xî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äDâÉfå]rz</t>
    </r>
  </si>
  <si>
    <t>vulkaan</t>
  </si>
  <si>
    <t>volcan</t>
  </si>
  <si>
    <t>xëåÉfäz</t>
  </si>
  <si>
    <t>slak</t>
  </si>
  <si>
    <t>escargot</t>
  </si>
  <si>
    <t>xDã~råí]åz</t>
  </si>
  <si>
    <t>berg</t>
  </si>
  <si>
    <t>montagne</t>
  </si>
  <si>
    <t>xDÜàìWã]å=DÄáWfÏz</t>
  </si>
  <si>
    <t>mens</t>
  </si>
  <si>
    <t>être humain</t>
  </si>
  <si>
    <t>xDÉä]Ñ]åíz</t>
  </si>
  <si>
    <t>olifant</t>
  </si>
  <si>
    <t>éléphant</t>
  </si>
  <si>
    <t>Page 17 of 26</t>
  </si>
  <si>
    <r>
      <rPr>
        <rFont val="Times New Roman"/>
        <color rgb="FF000000"/>
        <sz val="6.0"/>
      </rPr>
      <t>xDÇ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kâáz</t>
    </r>
  </si>
  <si>
    <t>ezel</t>
  </si>
  <si>
    <t>âne</t>
  </si>
  <si>
    <t>xDêfî]z</t>
  </si>
  <si>
    <t>rivier</t>
  </si>
  <si>
    <t>rivière</t>
  </si>
  <si>
    <t>x‰Wqz</t>
  </si>
  <si>
    <t>aarde</t>
  </si>
  <si>
    <t>terre</t>
  </si>
  <si>
    <t>x?âôkÖ]DêìWz</t>
  </si>
  <si>
    <t>kangoeroe</t>
  </si>
  <si>
    <t>kangourou</t>
  </si>
  <si>
    <r>
      <rPr>
        <rFont val="Times New Roman"/>
        <color rgb="FF000000"/>
        <sz val="6.0"/>
      </rPr>
      <t>xDÇ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äÑ]åz</t>
    </r>
  </si>
  <si>
    <t>dolfijn</t>
  </si>
  <si>
    <t>dauphin</t>
  </si>
  <si>
    <t>x?ÇwáW]DÖêôÑfâ]=DÑáWíp]òz</t>
  </si>
  <si>
    <t>geografische elementen</t>
  </si>
  <si>
    <t>xDéäôå]íz</t>
  </si>
  <si>
    <t>planeet</t>
  </si>
  <si>
    <t>planète</t>
  </si>
  <si>
    <t>xDãÉåp]åz</t>
  </si>
  <si>
    <t>citer</t>
  </si>
  <si>
    <t>x]DãÉfòfÏz</t>
  </si>
  <si>
    <t>verbazingwekkend</t>
  </si>
  <si>
    <t>étonnant</t>
  </si>
  <si>
    <t>gelijktijdig vieren</t>
  </si>
  <si>
    <t>x]í=DäáWëíz</t>
  </si>
  <si>
    <t>minstens</t>
  </si>
  <si>
    <t>au moins</t>
  </si>
  <si>
    <t>xôåíz</t>
  </si>
  <si>
    <t>mier</t>
  </si>
  <si>
    <t>fourmi</t>
  </si>
  <si>
    <t>xê]rDíÉfíz</t>
  </si>
  <si>
    <t>draaien</t>
  </si>
  <si>
    <t>tourner</t>
  </si>
  <si>
    <t>x]Dê~råÇz</t>
  </si>
  <si>
    <t>autour</t>
  </si>
  <si>
    <t>xé]=~r]z</t>
  </si>
  <si>
    <t>per uur</t>
  </si>
  <si>
    <t>à l'heure</t>
  </si>
  <si>
    <t>xqê]rz</t>
  </si>
  <si>
    <t>gooien</t>
  </si>
  <si>
    <t>lancer</t>
  </si>
  <si>
    <t>xDÑ‰Wa]z</t>
  </si>
  <si>
    <t>verder</t>
  </si>
  <si>
    <t>plus loin</t>
  </si>
  <si>
    <t>xïÉëíz</t>
  </si>
  <si>
    <t>naar het westen</t>
  </si>
  <si>
    <t>à l'ouest</t>
  </si>
  <si>
    <t>xÇw¾ãéz</t>
  </si>
  <si>
    <t>springen</t>
  </si>
  <si>
    <t>sauter</t>
  </si>
  <si>
    <t>xDärâ=¾éz</t>
  </si>
  <si>
    <t>omhoog kijken</t>
  </si>
  <si>
    <t>regarder vers le haut</t>
  </si>
  <si>
    <t>xëâ~fz</t>
  </si>
  <si>
    <t>lucht</t>
  </si>
  <si>
    <t>ciel</t>
  </si>
  <si>
    <t>xDÄôâï]Çòz</t>
  </si>
  <si>
    <t>achteruit</t>
  </si>
  <si>
    <t>en arrière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</si>
  <si>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åí]å]åíz</t>
    </r>
  </si>
  <si>
    <t>werelddeel</t>
  </si>
  <si>
    <t>continent</t>
  </si>
  <si>
    <t>xDôâífîz</t>
  </si>
  <si>
    <t>actief</t>
  </si>
  <si>
    <t>en activité</t>
  </si>
  <si>
    <r>
      <rPr>
        <rFont val="Times New Roman"/>
        <color rgb="FF000000"/>
        <sz val="6.0"/>
      </rPr>
      <t>xDÖ~fÇ=Ç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Öz</t>
    </r>
  </si>
  <si>
    <t>hulphond, blindengeleidehond</t>
  </si>
  <si>
    <t>chien-guide</t>
  </si>
  <si>
    <t>xíêôÑfâ=ä~fíz</t>
  </si>
  <si>
    <t>verkeerslicht</t>
  </si>
  <si>
    <t>feu de signalisation</t>
  </si>
  <si>
    <t>xílWâz</t>
  </si>
  <si>
    <t>praten</t>
  </si>
  <si>
    <t>xDë~få=?äôkÖïfÇwz</t>
  </si>
  <si>
    <t>gebarentaal</t>
  </si>
  <si>
    <t>langue des signes</t>
  </si>
  <si>
    <t>xípfãéz</t>
  </si>
  <si>
    <t>xé]DëÉåíz</t>
  </si>
  <si>
    <t>procent</t>
  </si>
  <si>
    <t>pour cent</t>
  </si>
  <si>
    <t>xDäÉÑí=ÜôåÇfÇz</t>
  </si>
  <si>
    <t>linkshandig</t>
  </si>
  <si>
    <t>gaucher</t>
  </si>
  <si>
    <t>x?ëí¾Çáòz</t>
  </si>
  <si>
    <t>onderzoeken, studies</t>
  </si>
  <si>
    <t>études</t>
  </si>
  <si>
    <t>xéêfDÑ‰Wz</t>
  </si>
  <si>
    <t>de voorkeur geven aan</t>
  </si>
  <si>
    <t>préférer</t>
  </si>
  <si>
    <t>pootje</t>
  </si>
  <si>
    <t>patte</t>
  </si>
  <si>
    <t>xÇ‰Wíz</t>
  </si>
  <si>
    <t>saleté, détritus</t>
  </si>
  <si>
    <t>xDä~fÑí~fãz</t>
  </si>
  <si>
    <t>leven</t>
  </si>
  <si>
    <t>vie</t>
  </si>
  <si>
    <t>xDÄôÇäáz</t>
  </si>
  <si>
    <t>mal</t>
  </si>
  <si>
    <r>
      <rPr>
        <rFont val="Times New Roman"/>
        <color rgb="FF000000"/>
        <sz val="6.0"/>
      </rPr>
      <t>xï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píz</t>
    </r>
  </si>
  <si>
    <t>gewassen</t>
  </si>
  <si>
    <t>lavé</t>
  </si>
  <si>
    <t>xDéôê]íz</t>
  </si>
  <si>
    <t>papegaai</t>
  </si>
  <si>
    <t>perroquet</t>
  </si>
  <si>
    <t>xDåàìWÄlWåz</t>
  </si>
  <si>
    <t>pasgeboren</t>
  </si>
  <si>
    <t>nouveau-né</t>
  </si>
  <si>
    <t>xíêáWz</t>
  </si>
  <si>
    <t>boom</t>
  </si>
  <si>
    <t>arbre</t>
  </si>
  <si>
    <t>xãÉåÇz</t>
  </si>
  <si>
    <t>repareren</t>
  </si>
  <si>
    <t>réparer</t>
  </si>
  <si>
    <t>xípÉëz</t>
  </si>
  <si>
    <t>schaken)</t>
  </si>
  <si>
    <t>échecs</t>
  </si>
  <si>
    <r>
      <rPr>
        <rFont val="Times New Roman"/>
        <color rgb="FF000000"/>
        <sz val="6.0"/>
      </rPr>
      <t>x?é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éà]DäÉfp]åz</t>
    </r>
  </si>
  <si>
    <t>bevolking, inwonertal</t>
  </si>
  <si>
    <t>population</t>
  </si>
  <si>
    <t>typen</t>
  </si>
  <si>
    <t>sorte</t>
  </si>
  <si>
    <r>
      <rPr>
        <rFont val="Times New Roman"/>
        <color rgb="FF000000"/>
        <sz val="6.0"/>
      </rPr>
      <t>xDâï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åí]íáz</t>
    </r>
  </si>
  <si>
    <t>hoeveelheid</t>
  </si>
  <si>
    <t>quantité</t>
  </si>
  <si>
    <t>xDëÉåí]?ãáWí]z</t>
  </si>
  <si>
    <t>centimeter</t>
  </si>
  <si>
    <t>centimètre</t>
  </si>
  <si>
    <t>x?ëéáWÇ=äfãfíz</t>
  </si>
  <si>
    <t>maximumsnelheid</t>
  </si>
  <si>
    <t>vitesse maximale autorisée</t>
  </si>
  <si>
    <t>Page 18 of 26</t>
  </si>
  <si>
    <t>xDã]rí]ïÉfz</t>
  </si>
  <si>
    <t>snelweg</t>
  </si>
  <si>
    <t>autoroute</t>
  </si>
  <si>
    <r>
      <rPr>
        <rFont val="Times New Roman"/>
        <color rgb="FF000000"/>
        <sz val="6.0"/>
      </rPr>
      <t>x]Déê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âë]ã]íäáz</t>
    </r>
  </si>
  <si>
    <t>ongeveer, bij benadering</t>
  </si>
  <si>
    <t>approximativement</t>
  </si>
  <si>
    <t>xïÉfz</t>
  </si>
  <si>
    <t>wegen</t>
  </si>
  <si>
    <t>peser</t>
  </si>
  <si>
    <t>xâ]rëíz</t>
  </si>
  <si>
    <t>kust</t>
  </si>
  <si>
    <t>côte</t>
  </si>
  <si>
    <t>xDéêÉÖå]åíz</t>
  </si>
  <si>
    <t>zwanger</t>
  </si>
  <si>
    <t>enceinte</t>
  </si>
  <si>
    <t>xDâfíåz</t>
  </si>
  <si>
    <t>kitten, jong katje</t>
  </si>
  <si>
    <t>chaton</t>
  </si>
  <si>
    <t>xDêÉfëfÏz</t>
  </si>
  <si>
    <t>rensport</t>
  </si>
  <si>
    <t>faire la course</t>
  </si>
  <si>
    <t>xDÜ¾åífÏz</t>
  </si>
  <si>
    <t>jagen</t>
  </si>
  <si>
    <t>chasser</t>
  </si>
  <si>
    <r>
      <rPr>
        <rFont val="Times New Roman"/>
        <color rgb="FF000000"/>
        <sz val="6.0"/>
      </rPr>
      <t>x?â¾ëí]ãòD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Ñfë]z</t>
    </r>
  </si>
  <si>
    <t>douanebeambte</t>
  </si>
  <si>
    <t>agent des douanes</t>
  </si>
  <si>
    <t>xâáWéz</t>
  </si>
  <si>
    <t>houden</t>
  </si>
  <si>
    <t>garder</t>
  </si>
  <si>
    <t>xÇ]DãÉëífâ=âôíz</t>
  </si>
  <si>
    <t>huiskat</t>
  </si>
  <si>
    <t>chat domestique</t>
  </si>
  <si>
    <t>xôí=ï¾å=í^fãz</t>
  </si>
  <si>
    <t>tegelijk</t>
  </si>
  <si>
    <t>un jour</t>
  </si>
  <si>
    <t>xÄêáWÇz</t>
  </si>
  <si>
    <t>ras</t>
  </si>
  <si>
    <t>race</t>
  </si>
  <si>
    <t>xDëéÉp]äz</t>
  </si>
  <si>
    <t>bijzonder</t>
  </si>
  <si>
    <t>spécial, particulier</t>
  </si>
  <si>
    <t>xëÑfåâë==âôíz</t>
  </si>
  <si>
    <t>sphynx</t>
  </si>
  <si>
    <t>chat sphinx</t>
  </si>
  <si>
    <t>xí]DÖÉa]z</t>
  </si>
  <si>
    <t>samen</t>
  </si>
  <si>
    <t>ensemble</t>
  </si>
  <si>
    <r>
      <rPr>
        <rFont val="Times New Roman"/>
        <color rgb="FF000000"/>
        <sz val="6.0"/>
      </rPr>
      <t>xÇ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Ö=ÑìWÇz</t>
    </r>
  </si>
  <si>
    <t>hondenvoer</t>
  </si>
  <si>
    <t>aliments pour chiens</t>
  </si>
  <si>
    <t>xDÄÉfÄá=ÑìWÇz</t>
  </si>
  <si>
    <t>babyvoedsel</t>
  </si>
  <si>
    <t>alimentation pour bébés</t>
  </si>
  <si>
    <t>xë¾íp=ôòz</t>
  </si>
  <si>
    <t>zoals</t>
  </si>
  <si>
    <t>tel que</t>
  </si>
  <si>
    <t>xDÖêÉfÜ~råÇz</t>
  </si>
  <si>
    <t>hazewindhond</t>
  </si>
  <si>
    <t>lévrier</t>
  </si>
  <si>
    <t>xDâêìW]äz</t>
  </si>
  <si>
    <t>wreed</t>
  </si>
  <si>
    <t>cruel</t>
  </si>
  <si>
    <t>xD]rå]z</t>
  </si>
  <si>
    <t>baasje</t>
  </si>
  <si>
    <t>propriétaire</t>
  </si>
  <si>
    <t>x¾Öz</t>
  </si>
  <si>
    <t>bah</t>
  </si>
  <si>
    <t>pouah!</t>
  </si>
  <si>
    <t>xëé]DëfÑfâz</t>
  </si>
  <si>
    <t>specifieke</t>
  </si>
  <si>
    <t>spécifique</t>
  </si>
  <si>
    <t>xDïfåí]z</t>
  </si>
  <si>
    <t>winter</t>
  </si>
  <si>
    <t>hiver</t>
  </si>
  <si>
    <t>xDïfåÇáz</t>
  </si>
  <si>
    <t>winderig</t>
  </si>
  <si>
    <t>venteux</t>
  </si>
  <si>
    <t>xDâ¾åíêáz</t>
  </si>
  <si>
    <t>land, natuur</t>
  </si>
  <si>
    <t>pays</t>
  </si>
  <si>
    <t>xÜlWëz</t>
  </si>
  <si>
    <t>paard</t>
  </si>
  <si>
    <t>cheval</t>
  </si>
  <si>
    <t>xDÉ]êá]z</t>
  </si>
  <si>
    <t>streek</t>
  </si>
  <si>
    <t>région</t>
  </si>
  <si>
    <t>x]Dä‰WÇwfâz</t>
  </si>
  <si>
    <t>allergisch</t>
  </si>
  <si>
    <t>allergique</t>
  </si>
  <si>
    <t>xáWëíz</t>
  </si>
  <si>
    <t>oosten</t>
  </si>
  <si>
    <t>est</t>
  </si>
  <si>
    <t>xD^Wâífâz</t>
  </si>
  <si>
    <t>noordpoolgebied</t>
  </si>
  <si>
    <t>arctique</t>
  </si>
  <si>
    <t>xéê^fã=Dãfå]ëí]z</t>
  </si>
  <si>
    <t>premier ministre</t>
  </si>
  <si>
    <t>xâïáWåz</t>
  </si>
  <si>
    <t>koningin</t>
  </si>
  <si>
    <t>reine</t>
  </si>
  <si>
    <t>xôåDí^Wâífâz</t>
  </si>
  <si>
    <t>zuidpoolgebied</t>
  </si>
  <si>
    <t>antarctique</t>
  </si>
  <si>
    <t>xDë]rä]=Dëfëí]ãz</t>
  </si>
  <si>
    <t>zonnestelsel</t>
  </si>
  <si>
    <t>système solaire</t>
  </si>
  <si>
    <t>xDäáWí]z</t>
  </si>
  <si>
    <t>liter</t>
  </si>
  <si>
    <t>litre</t>
  </si>
  <si>
    <t>xfòDäôãfâz</t>
  </si>
  <si>
    <t>islamitisch</t>
  </si>
  <si>
    <t>islamique</t>
  </si>
  <si>
    <t>xDÜ]räáz</t>
  </si>
  <si>
    <t>heilig</t>
  </si>
  <si>
    <t>saint</t>
  </si>
  <si>
    <t>xDï‰WäÇD=â¾éz</t>
  </si>
  <si>
    <t>wereldbeker</t>
  </si>
  <si>
    <t>coupe du monde</t>
  </si>
  <si>
    <r>
      <rPr>
        <rFont val="Times New Roman"/>
        <color rgb="FF000000"/>
        <sz val="6.0"/>
      </rPr>
      <t>x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DëíêÉf]z</t>
    </r>
  </si>
  <si>
    <t>Oostenrijk</t>
  </si>
  <si>
    <t>l'Autriche</t>
  </si>
  <si>
    <t>xípÉâ=êfDé¾Ääfâz</t>
  </si>
  <si>
    <t>Tsjechië</t>
  </si>
  <si>
    <t>la République tchèque</t>
  </si>
  <si>
    <t>x]DÑfp]äz</t>
  </si>
  <si>
    <t>officieel</t>
  </si>
  <si>
    <t>officiel</t>
  </si>
  <si>
    <t>xDäfí]ê]íp]z</t>
  </si>
  <si>
    <t>literatuur</t>
  </si>
  <si>
    <t>littérature</t>
  </si>
  <si>
    <t>x?àr]ê]DéáW]å=Dâ¾éz</t>
  </si>
  <si>
    <t>Europacup</t>
  </si>
  <si>
    <t>coupe d'Europe</t>
  </si>
  <si>
    <t>xDÇÉÑfå]íäáz</t>
  </si>
  <si>
    <t>absoluut</t>
  </si>
  <si>
    <t>à coup sûr</t>
  </si>
  <si>
    <t>ik heb geen idee</t>
  </si>
  <si>
    <t>je n'ai aucune idée</t>
  </si>
  <si>
    <t>xé]DíÉfí]rz</t>
  </si>
  <si>
    <t>aardappel</t>
  </si>
  <si>
    <t>pomme de terre</t>
  </si>
  <si>
    <t>Page 19 of 26</t>
  </si>
  <si>
    <t>x~fz</t>
  </si>
  <si>
    <t>oog</t>
  </si>
  <si>
    <t>œil</t>
  </si>
  <si>
    <t>xÄáWåz</t>
  </si>
  <si>
    <t>boon</t>
  </si>
  <si>
    <t>haricot</t>
  </si>
  <si>
    <t>xã~raz</t>
  </si>
  <si>
    <t>mond</t>
  </si>
  <si>
    <t>bouche</t>
  </si>
  <si>
    <t>xDã¾pêìWãz</t>
  </si>
  <si>
    <t>paddestoel</t>
  </si>
  <si>
    <t>champignon</t>
  </si>
  <si>
    <t>xDípáWí]z</t>
  </si>
  <si>
    <t>jachtluipaard</t>
  </si>
  <si>
    <t>guépard</t>
  </si>
  <si>
    <t>xêfDäôâëíz</t>
  </si>
  <si>
    <t>ontspannen</t>
  </si>
  <si>
    <t>détendu</t>
  </si>
  <si>
    <t>xDÑàìWíp]=fåDíÉåp]åòz</t>
  </si>
  <si>
    <t>voornemens voor de toekomst</t>
  </si>
  <si>
    <t>intentions</t>
  </si>
  <si>
    <t>xÖ]rfÏ=í]z</t>
  </si>
  <si>
    <t>gaan</t>
  </si>
  <si>
    <t>I'm going to = je vais</t>
  </si>
  <si>
    <t>xÇ^Wåëz</t>
  </si>
  <si>
    <t>dansen</t>
  </si>
  <si>
    <t>danser</t>
  </si>
  <si>
    <t>xDÄ^WÄfâàìWz</t>
  </si>
  <si>
    <t>barbecue</t>
  </si>
  <si>
    <t>xÖ]r=Ñ]ê=]=?ïlWâz</t>
  </si>
  <si>
    <t>wandelen</t>
  </si>
  <si>
    <t>aller se promener</t>
  </si>
  <si>
    <t>xDÇfÇw]íäz</t>
  </si>
  <si>
    <t>digitaal</t>
  </si>
  <si>
    <t>numérique</t>
  </si>
  <si>
    <t>x?å¾qfÏ=DëéÉp]äz</t>
  </si>
  <si>
    <t>niets bijzonders</t>
  </si>
  <si>
    <t>rien de spécial</t>
  </si>
  <si>
    <t>xëíêÉfíz</t>
  </si>
  <si>
    <t>direct</t>
  </si>
  <si>
    <t>directement</t>
  </si>
  <si>
    <t>xDÉåáïÉ]z</t>
  </si>
  <si>
    <t>ergens heen</t>
  </si>
  <si>
    <t>quelque-part</t>
  </si>
  <si>
    <t>xëíÉf=fåz</t>
  </si>
  <si>
    <t>thuisblijven</t>
  </si>
  <si>
    <t>rester à la maison</t>
  </si>
  <si>
    <t>xêÉëíz</t>
  </si>
  <si>
    <t>uitrusten</t>
  </si>
  <si>
    <t>repos</t>
  </si>
  <si>
    <t>xDÉâë]ë~fòz</t>
  </si>
  <si>
    <t>beweging</t>
  </si>
  <si>
    <t>exercice physique</t>
  </si>
  <si>
    <t>x?ë]rpä=ä^fÑz</t>
  </si>
  <si>
    <t>sociaal verkeer</t>
  </si>
  <si>
    <t>sorties entre amis</t>
  </si>
  <si>
    <t>x?Éâë]DÄfp]åz</t>
  </si>
  <si>
    <t>tentoonstelling</t>
  </si>
  <si>
    <t>exposition</t>
  </si>
  <si>
    <t>xÄrâz</t>
  </si>
  <si>
    <t>reserveren</t>
  </si>
  <si>
    <t>réserver</t>
  </si>
  <si>
    <t>xp]äz</t>
  </si>
  <si>
    <t>zullen</t>
  </si>
  <si>
    <t>Shall we …? Et si nous …?</t>
  </si>
  <si>
    <t>x]=å~fí=fåz</t>
  </si>
  <si>
    <t>een avond thuis</t>
  </si>
  <si>
    <t>soirée à la maison</t>
  </si>
  <si>
    <t>xDë¾ãïÉ]=Éäëz</t>
  </si>
  <si>
    <t>ergens anders</t>
  </si>
  <si>
    <t>ailleurs</t>
  </si>
  <si>
    <t>xë]DÇwÉëíp]åz</t>
  </si>
  <si>
    <t>voorstel</t>
  </si>
  <si>
    <t>suggestion</t>
  </si>
  <si>
    <r>
      <rPr>
        <rFont val="Times New Roman"/>
        <color rgb="FF000000"/>
        <sz val="6.0"/>
      </rPr>
      <t>xD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Ñ]z</t>
    </r>
  </si>
  <si>
    <t>aanbod</t>
  </si>
  <si>
    <t>offrir de</t>
  </si>
  <si>
    <t>x]DêÉfåÇwz</t>
  </si>
  <si>
    <t>afspreken</t>
  </si>
  <si>
    <t>préparer</t>
  </si>
  <si>
    <t>xãôÖDåfÑ]ë]åíz</t>
  </si>
  <si>
    <t>schitterend</t>
  </si>
  <si>
    <t>magnifique</t>
  </si>
  <si>
    <t>xâ]DqáWÇê]äz</t>
  </si>
  <si>
    <t>kathedraal</t>
  </si>
  <si>
    <t>cathédrale</t>
  </si>
  <si>
    <t>xîàìWz</t>
  </si>
  <si>
    <t>uitzicht</t>
  </si>
  <si>
    <t>vue</t>
  </si>
  <si>
    <t>xâäfÑz</t>
  </si>
  <si>
    <t>klif</t>
  </si>
  <si>
    <t>falaise</t>
  </si>
  <si>
    <t>xD~fä]åÇz</t>
  </si>
  <si>
    <t>eiland</t>
  </si>
  <si>
    <t>île</t>
  </si>
  <si>
    <t>xDëÉfäfÏz</t>
  </si>
  <si>
    <t>zeilen</t>
  </si>
  <si>
    <t>faire de la voile</t>
  </si>
  <si>
    <t>xÄáW= =ÄáWz</t>
  </si>
  <si>
    <t>bed&amp;breakfast, pension</t>
  </si>
  <si>
    <t>Bed and Breakfast: logement</t>
  </si>
  <si>
    <r>
      <rPr>
        <rFont val="Times New Roman"/>
        <color rgb="FF000000"/>
        <sz val="6.0"/>
      </rPr>
      <t>xÖ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äÑ=âlWëz</t>
    </r>
  </si>
  <si>
    <t>golfbaan</t>
  </si>
  <si>
    <t>terrain de golf</t>
  </si>
  <si>
    <r>
      <rPr>
        <rFont val="Times New Roman"/>
        <color rgb="FF000000"/>
        <sz val="6.0"/>
      </rPr>
      <t>xëâïÉ]=âfDä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ãfí]z</t>
    </r>
  </si>
  <si>
    <t>vierkante kilometer</t>
  </si>
  <si>
    <t>kilomètre carré</t>
  </si>
  <si>
    <t>xDÑ^WãäôåÇz</t>
  </si>
  <si>
    <t>landbouwgrond</t>
  </si>
  <si>
    <t>terres agricoles</t>
  </si>
  <si>
    <t>xé^Wqz</t>
  </si>
  <si>
    <t>pad</t>
  </si>
  <si>
    <t>chemin</t>
  </si>
  <si>
    <t>xDéôê]?Öä~fÇfÏz</t>
  </si>
  <si>
    <t>paragliden</t>
  </si>
  <si>
    <t>faire du parapente</t>
  </si>
  <si>
    <t>xDéôê]Ç~fëz</t>
  </si>
  <si>
    <t>paradijs</t>
  </si>
  <si>
    <t>paradis</t>
  </si>
  <si>
    <t>xëíáWã=êÉfäïÉfz</t>
  </si>
  <si>
    <t>stoomtrein</t>
  </si>
  <si>
    <t>chemin de fer à vapeur</t>
  </si>
  <si>
    <t>xDëfípìÉfí]Çz</t>
  </si>
  <si>
    <t>gelegen</t>
  </si>
  <si>
    <t>situé</t>
  </si>
  <si>
    <t>xÄfäíz</t>
  </si>
  <si>
    <t>gebouwd</t>
  </si>
  <si>
    <t>construit</t>
  </si>
  <si>
    <t>x?~ríDÇlWz</t>
  </si>
  <si>
    <t>openlucht-</t>
  </si>
  <si>
    <t>en plein air</t>
  </si>
  <si>
    <t>xÑêfDâïÉåíz</t>
  </si>
  <si>
    <t>frequent</t>
  </si>
  <si>
    <t>fréquent</t>
  </si>
  <si>
    <t>xDë~fí?ëáWfÏz</t>
  </si>
  <si>
    <t>bezienswaardigheden bekijken</t>
  </si>
  <si>
    <t>visiter</t>
  </si>
  <si>
    <r>
      <rPr>
        <rFont val="Times New Roman"/>
        <color rgb="FF000000"/>
        <sz val="6.0"/>
      </rPr>
      <t>x]?â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ã]DÇÉfp]åz</t>
    </r>
  </si>
  <si>
    <t>accommodatie</t>
  </si>
  <si>
    <t>logement</t>
  </si>
  <si>
    <t>xDÉâë]ä]åíz</t>
  </si>
  <si>
    <t>uitstekend</t>
  </si>
  <si>
    <t>Page 20 of 26</t>
  </si>
  <si>
    <t>temps (météo)</t>
  </si>
  <si>
    <t>xDëáWò]åz</t>
  </si>
  <si>
    <t>seizoen</t>
  </si>
  <si>
    <t>saison</t>
  </si>
  <si>
    <t>xDâä~rÇáz</t>
  </si>
  <si>
    <t>bewolkt</t>
  </si>
  <si>
    <t>nuageux</t>
  </si>
  <si>
    <t>xëå]rz</t>
  </si>
  <si>
    <t>sneeuwen</t>
  </si>
  <si>
    <t>neiger</t>
  </si>
  <si>
    <r>
      <rPr>
        <rFont val="Times New Roman"/>
        <color rgb="FF000000"/>
        <sz val="6.0"/>
      </rPr>
      <t>xDÑ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Öáz</t>
    </r>
  </si>
  <si>
    <t>mistig</t>
  </si>
  <si>
    <t>brumeux</t>
  </si>
  <si>
    <t>xïlWãz</t>
  </si>
  <si>
    <t>warm</t>
  </si>
  <si>
    <t>chaud</t>
  </si>
  <si>
    <t>xDë¾åáz</t>
  </si>
  <si>
    <t>zonnig</t>
  </si>
  <si>
    <t>ensoleillé</t>
  </si>
  <si>
    <t>xêÉfåz</t>
  </si>
  <si>
    <t>regenen</t>
  </si>
  <si>
    <t>pleuvoir</t>
  </si>
  <si>
    <r>
      <rPr>
        <rFont val="Times New Roman"/>
        <color rgb="FF000000"/>
        <sz val="6.0"/>
      </rPr>
      <t>xÜ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íz</t>
    </r>
  </si>
  <si>
    <t>heet</t>
  </si>
  <si>
    <t>très chaud</t>
  </si>
  <si>
    <t>xâìWäz</t>
  </si>
  <si>
    <t>koel</t>
  </si>
  <si>
    <t>frais</t>
  </si>
  <si>
    <t>xâ]räÇz</t>
  </si>
  <si>
    <t>koud</t>
  </si>
  <si>
    <t>froid</t>
  </si>
  <si>
    <t>xïÉíz</t>
  </si>
  <si>
    <t>nat</t>
  </si>
  <si>
    <t>humide</t>
  </si>
  <si>
    <t>xD~fëáz</t>
  </si>
  <si>
    <t>ijskoud</t>
  </si>
  <si>
    <t>it's icy = il gèle</t>
  </si>
  <si>
    <t>xDÑôâí=Ñ^fäz</t>
  </si>
  <si>
    <t>opsomming van feiten</t>
  </si>
  <si>
    <t>dossier</t>
  </si>
  <si>
    <t>xDíÉãéê]íp]z</t>
  </si>
  <si>
    <t>temperatuur</t>
  </si>
  <si>
    <t>température</t>
  </si>
  <si>
    <t>xêfDâlWÇz</t>
  </si>
  <si>
    <t>registreren</t>
  </si>
  <si>
    <t>enregistrer</t>
  </si>
  <si>
    <t>xÇê~fz</t>
  </si>
  <si>
    <t>droog</t>
  </si>
  <si>
    <t>sec</t>
  </si>
  <si>
    <t>xDêÉfåáz</t>
  </si>
  <si>
    <t>regen-</t>
  </si>
  <si>
    <t>pluvieux</t>
  </si>
  <si>
    <t>sneeuw</t>
  </si>
  <si>
    <t>la neige</t>
  </si>
  <si>
    <t>xDôî]êfÇw=?íÉãé]ê]íp]z</t>
  </si>
  <si>
    <t>gemiddelde temperatuur</t>
  </si>
  <si>
    <t>température moyenne</t>
  </si>
  <si>
    <t>x?ÉÇàrDâÉfp]åz</t>
  </si>
  <si>
    <t>onderwijs</t>
  </si>
  <si>
    <t>l'enseignement, l'éducation</t>
  </si>
  <si>
    <t>xâ]Dêf]z</t>
  </si>
  <si>
    <t>loopbaan</t>
  </si>
  <si>
    <t>carrière</t>
  </si>
  <si>
    <t>x]Déä~fz</t>
  </si>
  <si>
    <t>aanmelden</t>
  </si>
  <si>
    <t>postuler</t>
  </si>
  <si>
    <t>xDãôåfÇwã]åíz</t>
  </si>
  <si>
    <t>management</t>
  </si>
  <si>
    <t>gestion</t>
  </si>
  <si>
    <t>xDë~f]åëz</t>
  </si>
  <si>
    <t>natuurwetenschap</t>
  </si>
  <si>
    <t>sciences</t>
  </si>
  <si>
    <t>xDÄfòå]ë?ëí¾Çáòz</t>
  </si>
  <si>
    <t>economie en administratie</t>
  </si>
  <si>
    <t>sciences commerciales</t>
  </si>
  <si>
    <t>xÇfDò~fåz</t>
  </si>
  <si>
    <t>vormgeving</t>
  </si>
  <si>
    <t>design, stylisme</t>
  </si>
  <si>
    <t>medicijnen</t>
  </si>
  <si>
    <t>médecine</t>
  </si>
  <si>
    <r>
      <rPr>
        <rFont val="Times New Roman"/>
        <color rgb="FF000000"/>
        <sz val="6.0"/>
      </rPr>
      <t>x?fåÑ]DãÉfp]å=íÉâDå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ä]Çwáz</t>
    </r>
  </si>
  <si>
    <t>informatietechnologie</t>
  </si>
  <si>
    <t>informatique</t>
  </si>
  <si>
    <t>xãôqëz</t>
  </si>
  <si>
    <t>wiskunde</t>
  </si>
  <si>
    <t>maths</t>
  </si>
  <si>
    <t>x?ÉåÇw]Dåf]êfÏz</t>
  </si>
  <si>
    <t>techniek</t>
  </si>
  <si>
    <t>sciences appliquées</t>
  </si>
  <si>
    <t>xé^Wëz</t>
  </si>
  <si>
    <t>slagen voor</t>
  </si>
  <si>
    <t>réussir</t>
  </si>
  <si>
    <t>xÑÉfäz</t>
  </si>
  <si>
    <t>zakken voor</t>
  </si>
  <si>
    <t>rater</t>
  </si>
  <si>
    <t>xÇfDÖêáWz</t>
  </si>
  <si>
    <t>graad</t>
  </si>
  <si>
    <t>diplôme universitaire</t>
  </si>
  <si>
    <t>x?éê~fã]êá=ëâìWäz</t>
  </si>
  <si>
    <t>basisschool</t>
  </si>
  <si>
    <t>école primaire</t>
  </si>
  <si>
    <t>x?ëÉâ]åÇ]êá=ëâìWäz</t>
  </si>
  <si>
    <t>voortgezet onderwijs</t>
  </si>
  <si>
    <t>école secondaire</t>
  </si>
  <si>
    <t>xDfåí]îàìWz</t>
  </si>
  <si>
    <t>sollicitatiegesprek</t>
  </si>
  <si>
    <t>interview</t>
  </si>
  <si>
    <t>een cursus volgen voor</t>
  </si>
  <si>
    <t>(se) former</t>
  </si>
  <si>
    <t>xpÉÑz</t>
  </si>
  <si>
    <t>kok</t>
  </si>
  <si>
    <t>chef-coq</t>
  </si>
  <si>
    <t>x?¾åfãDéälfÇz</t>
  </si>
  <si>
    <t>werkloos</t>
  </si>
  <si>
    <t>au chômage, sans emploi</t>
  </si>
  <si>
    <t>xë]ÄDÇwÉâíz</t>
  </si>
  <si>
    <t>vak</t>
  </si>
  <si>
    <t>branche, matière</t>
  </si>
  <si>
    <r>
      <rPr>
        <rFont val="Times New Roman"/>
        <color rgb="FF000000"/>
        <sz val="6.0"/>
      </rPr>
      <t>x]?é^Wí=Ñê]ãI=Ñê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ãz</t>
    </r>
  </si>
  <si>
    <t>behalve</t>
  </si>
  <si>
    <t>en dehors de</t>
  </si>
  <si>
    <t>xDëfëí]ãz</t>
  </si>
  <si>
    <t>stelsel</t>
  </si>
  <si>
    <t>système</t>
  </si>
  <si>
    <t>xéê]DÑÉp]åz</t>
  </si>
  <si>
    <r>
      <rPr>
        <rFont val="Times New Roman"/>
        <color rgb="FF000000"/>
        <sz val="6.0"/>
      </rPr>
      <t>xï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í=|DÉäëz</t>
    </r>
  </si>
  <si>
    <t>wat nog meer</t>
  </si>
  <si>
    <t>quoi d'autre</t>
  </si>
  <si>
    <t>x?~fDÇf]äz</t>
  </si>
  <si>
    <t>ideaal</t>
  </si>
  <si>
    <t>idéal</t>
  </si>
  <si>
    <t>xÑf^åôåp=Dâ¾ãé]åáz</t>
  </si>
  <si>
    <t>financieringsmaatschappij</t>
  </si>
  <si>
    <t>société financière</t>
  </si>
  <si>
    <t>Page 21 of 26</t>
  </si>
  <si>
    <t>xDîÉ]êá]ëz</t>
  </si>
  <si>
    <t>verscheidene</t>
  </si>
  <si>
    <t>divers</t>
  </si>
  <si>
    <t>xDíp~fäÇâÉ]z</t>
  </si>
  <si>
    <t>kinderverzorging</t>
  </si>
  <si>
    <t>soins aux enfants</t>
  </si>
  <si>
    <t>x?éêáW=ëâìWäz</t>
  </si>
  <si>
    <t>gaat</t>
  </si>
  <si>
    <t>qui ne vont pas encore à l'école</t>
  </si>
  <si>
    <t>xDå‰Wë]êáz</t>
  </si>
  <si>
    <t>crèche</t>
  </si>
  <si>
    <t>xDéê~fîfí=DÜ]rãz</t>
  </si>
  <si>
    <t>gastgezin</t>
  </si>
  <si>
    <t>maison privée</t>
  </si>
  <si>
    <t>xÇfDîÉä]éã]åíz</t>
  </si>
  <si>
    <t>ontwikkeling</t>
  </si>
  <si>
    <t>développement</t>
  </si>
  <si>
    <t>xÜÉäqz</t>
  </si>
  <si>
    <t>gezondheid</t>
  </si>
  <si>
    <t>santé</t>
  </si>
  <si>
    <t>xDëÉfÑíáz</t>
  </si>
  <si>
    <t>veiligheid</t>
  </si>
  <si>
    <t>sécurité</t>
  </si>
  <si>
    <r>
      <rPr>
        <rFont val="Times New Roman"/>
        <color rgb="FF000000"/>
        <sz val="6.0"/>
      </rPr>
      <t>xD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ép]åz</t>
    </r>
  </si>
  <si>
    <t>mogelijkheid</t>
  </si>
  <si>
    <t>choix</t>
  </si>
  <si>
    <t>xDëélWíë=?ëÉåí]z</t>
  </si>
  <si>
    <t>sportcentrum</t>
  </si>
  <si>
    <t>centre sportif</t>
  </si>
  <si>
    <t>xâ]rípz</t>
  </si>
  <si>
    <t>begeleiden, coachen</t>
  </si>
  <si>
    <t>entraîner</t>
  </si>
  <si>
    <t>xDÑfíå]ëz</t>
  </si>
  <si>
    <t>conditie</t>
  </si>
  <si>
    <t>forme</t>
  </si>
  <si>
    <t>xé]DÑlWãfÏ=^Wíëz</t>
  </si>
  <si>
    <t>podiumkunsten</t>
  </si>
  <si>
    <t>arts du spectacle</t>
  </si>
  <si>
    <t>dans</t>
  </si>
  <si>
    <t>la danse</t>
  </si>
  <si>
    <t>xDÇê^Wã]z</t>
  </si>
  <si>
    <t>toneel</t>
  </si>
  <si>
    <t>art dramatique</t>
  </si>
  <si>
    <t>xÇ]DêÉâífÏz</t>
  </si>
  <si>
    <t>regie</t>
  </si>
  <si>
    <t>mise en scène</t>
  </si>
  <si>
    <t>xôí=a]=í^fãz</t>
  </si>
  <si>
    <t>op het moment</t>
  </si>
  <si>
    <t>au moment de</t>
  </si>
  <si>
    <t>xDãáWÇá]z</t>
  </si>
  <si>
    <t>media</t>
  </si>
  <si>
    <t>les médias</t>
  </si>
  <si>
    <t>x?Çfë]DÖêáWz</t>
  </si>
  <si>
    <t>er niet mee eens zijn</t>
  </si>
  <si>
    <t>ne pas être d'accord</t>
  </si>
  <si>
    <t>x]ÇDî^Wåëíz</t>
  </si>
  <si>
    <t>gevorderd</t>
  </si>
  <si>
    <t>avancé</t>
  </si>
  <si>
    <t>xDêÉÇw]ëí]z</t>
  </si>
  <si>
    <t>inschrijven</t>
  </si>
  <si>
    <t>s'inscrire</t>
  </si>
  <si>
    <t>x]ÇDãfå]ëíêÉfí]z</t>
  </si>
  <si>
    <t>administrateur</t>
  </si>
  <si>
    <t>x?éÉíê]ä=DëíÉfpåz</t>
  </si>
  <si>
    <t>benzinestation</t>
  </si>
  <si>
    <t>station service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</si>
  <si>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Ñá=DÄ^Wz</t>
    </r>
  </si>
  <si>
    <t>xâáWé=få=í¾ípz</t>
  </si>
  <si>
    <t>contact houden</t>
  </si>
  <si>
    <t>rester en contact</t>
  </si>
  <si>
    <t>xDí~fé?ê~fí]z</t>
  </si>
  <si>
    <t>typemachine</t>
  </si>
  <si>
    <t>machine à écrire</t>
  </si>
  <si>
    <t>xíÉâëí=DãÉëfÇwz</t>
  </si>
  <si>
    <t>sms'je</t>
  </si>
  <si>
    <t>sms</t>
  </si>
  <si>
    <t>xDé]rëífÇw=ëíôãéz</t>
  </si>
  <si>
    <t>postzegel</t>
  </si>
  <si>
    <t>timbre-poste</t>
  </si>
  <si>
    <t>x?Ñôâë=ã]‰páWåz</t>
  </si>
  <si>
    <t>faxapparaat</t>
  </si>
  <si>
    <t>fax</t>
  </si>
  <si>
    <t>xÇfDäfî]z</t>
  </si>
  <si>
    <t>bezorgen</t>
  </si>
  <si>
    <t>délivrer</t>
  </si>
  <si>
    <t>xDÉfåp]åí=?áWÇwféíz</t>
  </si>
  <si>
    <t>het oude Egypte</t>
  </si>
  <si>
    <t>Égypte ancienne</t>
  </si>
  <si>
    <t>xëíôãéz</t>
  </si>
  <si>
    <t>timbre</t>
  </si>
  <si>
    <t>xDâáWÄlWÇz</t>
  </si>
  <si>
    <t>toetsenbord</t>
  </si>
  <si>
    <t>clavier</t>
  </si>
  <si>
    <t>xï‰WäÇ=DïlW=íìWz</t>
  </si>
  <si>
    <t>Tweede Wereldoorlog</t>
  </si>
  <si>
    <t>la Seconde Guerre mondiale</t>
  </si>
  <si>
    <t>x]DålffÏz</t>
  </si>
  <si>
    <t>vervelend</t>
  </si>
  <si>
    <t>ennuyeux</t>
  </si>
  <si>
    <t>xëâê~fÄz</t>
  </si>
  <si>
    <t>schrijver</t>
  </si>
  <si>
    <t>scribe</t>
  </si>
  <si>
    <r>
      <rPr>
        <rFont val="Times New Roman"/>
        <color rgb="FF000000"/>
        <sz val="6.0"/>
      </rPr>
      <t>xí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é=Dä~fåz</t>
    </r>
  </si>
  <si>
    <t>bovenste rij</t>
  </si>
  <si>
    <t>première ligne</t>
  </si>
  <si>
    <t>xDëÉfäòã]åz</t>
  </si>
  <si>
    <t>verkoper</t>
  </si>
  <si>
    <t>vendeur, représentant</t>
  </si>
  <si>
    <t>xDÇÉã]åëíêÉfíz</t>
  </si>
  <si>
    <t>demonstreren</t>
  </si>
  <si>
    <t>démontrer</t>
  </si>
  <si>
    <t>xDå]rÄ]Çáz</t>
  </si>
  <si>
    <t>niemand</t>
  </si>
  <si>
    <t>personne</t>
  </si>
  <si>
    <t>xÜ~rDÉî]z</t>
  </si>
  <si>
    <t>echter</t>
  </si>
  <si>
    <t>cependant</t>
  </si>
  <si>
    <t>xé]DÜôéëz</t>
  </si>
  <si>
    <t>wellicht</t>
  </si>
  <si>
    <t>xDïfë]äz</t>
  </si>
  <si>
    <t>fluitje</t>
  </si>
  <si>
    <t>sifflet</t>
  </si>
  <si>
    <t>xfåDâêÉÇ]Ä]äz</t>
  </si>
  <si>
    <t>ongelooflijk</t>
  </si>
  <si>
    <t>incroyable</t>
  </si>
  <si>
    <t>xíÉfâ=]=?Ñ]rí]rz</t>
  </si>
  <si>
    <t>foto maken</t>
  </si>
  <si>
    <t>prendre une photo</t>
  </si>
  <si>
    <t>xå]ríz</t>
  </si>
  <si>
    <t>briefje</t>
  </si>
  <si>
    <t>un petit mot</t>
  </si>
  <si>
    <t>xäáWî=]=?ãÉëfÇwz</t>
  </si>
  <si>
    <t>boodschap achterlaten</t>
  </si>
  <si>
    <t>laisser un message</t>
  </si>
  <si>
    <t>Page 23 of 26</t>
  </si>
  <si>
    <t>opbellen</t>
  </si>
  <si>
    <r>
      <rPr>
        <rFont val="Times New Roman"/>
        <color rgb="FF000000"/>
        <sz val="6.0"/>
      </rPr>
      <t>xDâ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åíôâíz</t>
    </r>
  </si>
  <si>
    <t>contact opnemen</t>
  </si>
  <si>
    <t>prendre contact avec</t>
  </si>
  <si>
    <t>xD‰WÇw]åíäáz</t>
  </si>
  <si>
    <t>dringend</t>
  </si>
  <si>
    <t>de toute urgence</t>
  </si>
  <si>
    <t>xDâïfâäáz</t>
  </si>
  <si>
    <t>snel</t>
  </si>
  <si>
    <t>rapidement</t>
  </si>
  <si>
    <t>xâ]DãàìWå]âÉfíz</t>
  </si>
  <si>
    <t>communiceren</t>
  </si>
  <si>
    <t>communiquer</t>
  </si>
  <si>
    <t>xïfa==áWíp=¾a]z</t>
  </si>
  <si>
    <t>met elkaar</t>
  </si>
  <si>
    <t>l'un avec l'autre</t>
  </si>
  <si>
    <t>xïfpz</t>
  </si>
  <si>
    <t>wensen</t>
  </si>
  <si>
    <t>souhaiter</t>
  </si>
  <si>
    <t>xDãÉãÄ]z</t>
  </si>
  <si>
    <t>lid</t>
  </si>
  <si>
    <t>membre</t>
  </si>
  <si>
    <t>xÄlWÇz</t>
  </si>
  <si>
    <t>vervelen)</t>
  </si>
  <si>
    <t>lassé</t>
  </si>
  <si>
    <t>xDÑ]råâlWäz</t>
  </si>
  <si>
    <t>telefoongesprek</t>
  </si>
  <si>
    <t>coup de fil</t>
  </si>
  <si>
    <t>xë]r=Ñ^Wz</t>
  </si>
  <si>
    <t>tot nu toe</t>
  </si>
  <si>
    <t>jusqu'à maintenant</t>
  </si>
  <si>
    <t>xäìWòz</t>
  </si>
  <si>
    <t>verliezen</t>
  </si>
  <si>
    <t>perdre</t>
  </si>
  <si>
    <t>xÑ]DÖÉíz</t>
  </si>
  <si>
    <t>vergeten</t>
  </si>
  <si>
    <t>oublier</t>
  </si>
  <si>
    <t>noodhulpdienst</t>
  </si>
  <si>
    <t>service des urgences</t>
  </si>
  <si>
    <t>op de post doen</t>
  </si>
  <si>
    <t>x]Déôê]åíäáz</t>
  </si>
  <si>
    <t>blijkbaar</t>
  </si>
  <si>
    <t>apparemment</t>
  </si>
  <si>
    <r>
      <rPr>
        <rFont val="Times New Roman"/>
        <color rgb="FF000000"/>
        <sz val="6.0"/>
      </rPr>
      <t>x=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å=DÄfòå]ëz</t>
    </r>
  </si>
  <si>
    <t>voor zaken</t>
  </si>
  <si>
    <t>en voyage d'affaires</t>
  </si>
  <si>
    <t>xÄfíz</t>
  </si>
  <si>
    <t>beetje</t>
  </si>
  <si>
    <t>un peu</t>
  </si>
  <si>
    <t>xîlfëãÉfäz</t>
  </si>
  <si>
    <t>voicemail</t>
  </si>
  <si>
    <t>messagerie</t>
  </si>
  <si>
    <t>xDëÉä]ÄêÉfíz</t>
  </si>
  <si>
    <t>vieren</t>
  </si>
  <si>
    <t>célébrer</t>
  </si>
  <si>
    <t>xDÇê~fîfÏ?íÉëíz</t>
  </si>
  <si>
    <t>rijexamen</t>
  </si>
  <si>
    <t>examen de permis de conduire</t>
  </si>
  <si>
    <r>
      <rPr>
        <rFont val="Times New Roman"/>
        <color rgb="FF000000"/>
        <sz val="6.0"/>
      </rPr>
      <t>â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å?Öêôíp]DäÉfp]åò</t>
    </r>
  </si>
  <si>
    <t>gefeliciteerd</t>
  </si>
  <si>
    <t>félicitations</t>
  </si>
  <si>
    <t>xDÇáWíÉfäz</t>
  </si>
  <si>
    <t>detail</t>
  </si>
  <si>
    <t>détail</t>
  </si>
  <si>
    <t>xä~fåz</t>
  </si>
  <si>
    <t>regeltje</t>
  </si>
  <si>
    <t>xëÉfÑz</t>
  </si>
  <si>
    <t>ongedeerd, in veiligheid</t>
  </si>
  <si>
    <t>en sécurité, sauf</t>
  </si>
  <si>
    <t>xDÑ~få]äáz</t>
  </si>
  <si>
    <t>eindelijk</t>
  </si>
  <si>
    <t>finalement</t>
  </si>
  <si>
    <t>xäôåÇz</t>
  </si>
  <si>
    <t>landen</t>
  </si>
  <si>
    <t>atterrir</t>
  </si>
  <si>
    <t>xÇfDäÉfz</t>
  </si>
  <si>
    <t>vertraging</t>
  </si>
  <si>
    <t>retard</t>
  </si>
  <si>
    <t>x?éfâ|D¾éz</t>
  </si>
  <si>
    <t>ophalen</t>
  </si>
  <si>
    <t>prendre, venir chercher</t>
  </si>
  <si>
    <t>xíÉfâ=?âÉ]êz</t>
  </si>
  <si>
    <t>oppassen, voorzichtig zijn</t>
  </si>
  <si>
    <t>Portez-vous bien !</t>
  </si>
  <si>
    <t>xlWä=a]=ÄÉëíz</t>
  </si>
  <si>
    <t>het beste</t>
  </si>
  <si>
    <t>amitiés</t>
  </si>
  <si>
    <t>xDêáWë]åíäáz</t>
  </si>
  <si>
    <t>de laatste tijd</t>
  </si>
  <si>
    <t>récemment</t>
  </si>
  <si>
    <t>xí]råz</t>
  </si>
  <si>
    <t>piep</t>
  </si>
  <si>
    <t>signal</t>
  </si>
  <si>
    <t>xÄá=?]DÑêÉfÇz</t>
  </si>
  <si>
    <t>bang zijn</t>
  </si>
  <si>
    <t>craindre</t>
  </si>
  <si>
    <t>xfDëÉåp]äz</t>
  </si>
  <si>
    <t>wezenlijk, onmisbaar</t>
  </si>
  <si>
    <t>essentiel</t>
  </si>
  <si>
    <t>xãÉfåz</t>
  </si>
  <si>
    <t>belangrijkst</t>
  </si>
  <si>
    <t>principal</t>
  </si>
  <si>
    <t>praten, kletsen</t>
  </si>
  <si>
    <t>xípôí=êìWãz</t>
  </si>
  <si>
    <t>chatroom</t>
  </si>
  <si>
    <t>salon de discussion</t>
  </si>
  <si>
    <t>xDÑáWíp]z</t>
  </si>
  <si>
    <t>functie</t>
  </si>
  <si>
    <t>fonction</t>
  </si>
  <si>
    <t>xfâDë~fí]Çz</t>
  </si>
  <si>
    <t>passionné</t>
  </si>
  <si>
    <t>xéÉf=]DíÉåp]åz</t>
  </si>
  <si>
    <t>opletten</t>
  </si>
  <si>
    <t>prêter attention</t>
  </si>
  <si>
    <t>xêfDî~fòz</t>
  </si>
  <si>
    <t>repeteren</t>
  </si>
  <si>
    <t>réviser</t>
  </si>
  <si>
    <t>x]Déê]rípz</t>
  </si>
  <si>
    <t>aanpak</t>
  </si>
  <si>
    <t>approche, méthode</t>
  </si>
  <si>
    <t>xÄêÉfâz</t>
  </si>
  <si>
    <t>breken</t>
  </si>
  <si>
    <t>casser</t>
  </si>
  <si>
    <t>xÇw¾ëíz</t>
  </si>
  <si>
    <t>net</t>
  </si>
  <si>
    <t>juste, tout récemment</t>
  </si>
  <si>
    <t>xDéôä]ëz</t>
  </si>
  <si>
    <t>paleis</t>
  </si>
  <si>
    <t>palais</t>
  </si>
  <si>
    <t>xDëélWíë=DëíÉfÇf]ãz</t>
  </si>
  <si>
    <t>stadion</t>
  </si>
  <si>
    <t>stade</t>
  </si>
  <si>
    <r>
      <rPr>
        <rFont val="Times New Roman"/>
        <color rgb="FF000000"/>
        <sz val="6.0"/>
      </rPr>
      <t>xDp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éfÏ=?ëÉåí]z</t>
    </r>
  </si>
  <si>
    <t>winkelcentrum</t>
  </si>
  <si>
    <t>centre commercial</t>
  </si>
  <si>
    <t>Page 24 of 26</t>
  </si>
  <si>
    <t>xÄêfÇwz</t>
  </si>
  <si>
    <t>brug</t>
  </si>
  <si>
    <t>pont</t>
  </si>
  <si>
    <t>xíp‰Wípz</t>
  </si>
  <si>
    <t>kerk</t>
  </si>
  <si>
    <t>église</t>
  </si>
  <si>
    <t>xD^Wí=Öôä]êáz</t>
  </si>
  <si>
    <t>kunstgalerie</t>
  </si>
  <si>
    <t>galerie d'art</t>
  </si>
  <si>
    <t>xâ]Dåôäz</t>
  </si>
  <si>
    <t>kanaal</t>
  </si>
  <si>
    <t>canal</t>
  </si>
  <si>
    <t>xÜfäz</t>
  </si>
  <si>
    <t>heuvel</t>
  </si>
  <si>
    <t>colline</t>
  </si>
  <si>
    <r>
      <rPr>
        <rFont val="Times New Roman"/>
        <color rgb="FF000000"/>
        <sz val="6.0"/>
      </rPr>
      <t>xã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ëâz</t>
    </r>
  </si>
  <si>
    <t>moskee</t>
  </si>
  <si>
    <t>mosquée</t>
  </si>
  <si>
    <t>xDíÉãé]äz</t>
  </si>
  <si>
    <t>tempel</t>
  </si>
  <si>
    <t>temple</t>
  </si>
  <si>
    <t>xDëíôípìWz</t>
  </si>
  <si>
    <t>standbeeld</t>
  </si>
  <si>
    <t>statue</t>
  </si>
  <si>
    <t>park</t>
  </si>
  <si>
    <t>parc</t>
  </si>
  <si>
    <t>xêfDäfÇw]ëz</t>
  </si>
  <si>
    <t>godsdienst-</t>
  </si>
  <si>
    <t>religieux</t>
  </si>
  <si>
    <t>xêfDÑlWã]z</t>
  </si>
  <si>
    <t>hervormer</t>
  </si>
  <si>
    <t>réformateur</t>
  </si>
  <si>
    <t>xDéÉfåífÏz</t>
  </si>
  <si>
    <t>schilderij</t>
  </si>
  <si>
    <t>peinture</t>
  </si>
  <si>
    <t>xDåôp]å]ä=Öôä]êáz</t>
  </si>
  <si>
    <t>rijksmuseum</t>
  </si>
  <si>
    <t>Galerie Nationale</t>
  </si>
  <si>
    <t>xëíÉéz</t>
  </si>
  <si>
    <t>traptrede</t>
  </si>
  <si>
    <t>marche</t>
  </si>
  <si>
    <t>x¾éz</t>
  </si>
  <si>
    <t>omhoog</t>
  </si>
  <si>
    <t>vers le haut</t>
  </si>
  <si>
    <r>
      <rPr>
        <rFont val="Times New Roman"/>
        <color rgb="FF000000"/>
        <sz val="6.0"/>
      </rPr>
      <t>x]Dâê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ëz</t>
    </r>
  </si>
  <si>
    <t>over</t>
  </si>
  <si>
    <t>à travers</t>
  </si>
  <si>
    <t>x~rí=]îz</t>
  </si>
  <si>
    <t>uit</t>
  </si>
  <si>
    <t>hors de</t>
  </si>
  <si>
    <t>xÇ~råz</t>
  </si>
  <si>
    <t>omlaag</t>
  </si>
  <si>
    <t>vers le bas</t>
  </si>
  <si>
    <t>xé^Wëíz</t>
  </si>
  <si>
    <t>langs</t>
  </si>
  <si>
    <t>en passant</t>
  </si>
  <si>
    <t>xDfåí]z</t>
  </si>
  <si>
    <t>in</t>
  </si>
  <si>
    <t>vers l'intérieur de</t>
  </si>
  <si>
    <t>xÑê]ãz</t>
  </si>
  <si>
    <t>van</t>
  </si>
  <si>
    <t>de</t>
  </si>
  <si>
    <r>
      <rPr>
        <rFont val="Times New Roman"/>
        <color rgb="FF000000"/>
        <sz val="6.0"/>
      </rPr>
      <t>x]Dä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kz</t>
    </r>
  </si>
  <si>
    <t>le long de</t>
  </si>
  <si>
    <t>xDäôÇ]z</t>
  </si>
  <si>
    <t>ladder</t>
  </si>
  <si>
    <t>échelle</t>
  </si>
  <si>
    <t>xÑáWäÇz</t>
  </si>
  <si>
    <t>veld</t>
  </si>
  <si>
    <t>champ</t>
  </si>
  <si>
    <t>xDëáWå]êáz</t>
  </si>
  <si>
    <t>landschap</t>
  </si>
  <si>
    <t>paysage</t>
  </si>
  <si>
    <t>xíêôâz</t>
  </si>
  <si>
    <t>spoor</t>
  </si>
  <si>
    <t>piste</t>
  </si>
  <si>
    <t>xDí¾åäz</t>
  </si>
  <si>
    <t>tunnel</t>
  </si>
  <si>
    <t>xDëâáW=êfDòlWíz</t>
  </si>
  <si>
    <t>skioord</t>
  </si>
  <si>
    <t>station de ski</t>
  </si>
  <si>
    <t>xÜ~fíz</t>
  </si>
  <si>
    <t>hoogte</t>
  </si>
  <si>
    <t>hauteur, altitude</t>
  </si>
  <si>
    <t>xDÖäôëá]z</t>
  </si>
  <si>
    <t>gletsjer</t>
  </si>
  <si>
    <t>glacier</t>
  </si>
  <si>
    <t>passeren</t>
  </si>
  <si>
    <t>passer</t>
  </si>
  <si>
    <t>xëã]râfÏ=É]êá]z</t>
  </si>
  <si>
    <t>rookzone</t>
  </si>
  <si>
    <t>espace fumeur</t>
  </si>
  <si>
    <t>xDÉåíêá=ÑáWòz</t>
  </si>
  <si>
    <t>toegangsprijzen</t>
  </si>
  <si>
    <t>tarif des entrées</t>
  </si>
  <si>
    <t>xDé^WëélWí=â]åDíê]räz</t>
  </si>
  <si>
    <t>paspoortcontrole</t>
  </si>
  <si>
    <t>contrôle des passeports</t>
  </si>
  <si>
    <r>
      <rPr>
        <rFont val="Times New Roman"/>
        <color rgb="FF000000"/>
        <sz val="6.0"/>
      </rPr>
      <t>x~rí=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Ñ=DlWÇ]z</t>
    </r>
  </si>
  <si>
    <t>buiten werking</t>
  </si>
  <si>
    <t>en panne</t>
  </si>
  <si>
    <t>xÖê^Wëz</t>
  </si>
  <si>
    <t>gras</t>
  </si>
  <si>
    <t>pelouse</t>
  </si>
  <si>
    <t>x]rDÄÉfz</t>
  </si>
  <si>
    <t>opvolgen, gehoorzamen</t>
  </si>
  <si>
    <t>obéir à</t>
  </si>
  <si>
    <t>xfåDëíê¾âp]åz</t>
  </si>
  <si>
    <t>opdracht, aanwijzing</t>
  </si>
  <si>
    <t>instruction</t>
  </si>
  <si>
    <t>x‰Wå=]=DäfîfÏz</t>
  </si>
  <si>
    <t>je brood verdienen</t>
  </si>
  <si>
    <t>gagner sa vie</t>
  </si>
  <si>
    <t>xDéêfò]åz</t>
  </si>
  <si>
    <t>gevangenis</t>
  </si>
  <si>
    <t>prison</t>
  </si>
  <si>
    <t>xëÉåë=]î==Ç~fDêÉâíp]åz</t>
  </si>
  <si>
    <t>richtingsgevoel</t>
  </si>
  <si>
    <t>sens de l'orientation</t>
  </si>
  <si>
    <r>
      <rPr>
        <rFont val="Times New Roman"/>
        <color rgb="FF000000"/>
        <sz val="6.0"/>
      </rPr>
      <t>xëíêÉfí=?</t>
    </r>
    <r>
      <rPr>
        <rFont val="Times New Roman"/>
        <color rgb="FF000000"/>
        <sz val="6.0"/>
      </rPr>
      <t>fl</t>
    </r>
    <r>
      <rPr>
        <rFont val="Times New Roman"/>
        <color rgb="FF000000"/>
        <sz val="6.0"/>
      </rPr>
      <t>åz</t>
    </r>
  </si>
  <si>
    <t>rechtdoor</t>
  </si>
  <si>
    <t>tout droit</t>
  </si>
  <si>
    <t>xDÖ~fÇÄrâz</t>
  </si>
  <si>
    <t>reisgids</t>
  </si>
  <si>
    <t>guide (livre)</t>
  </si>
  <si>
    <t>xDír]êfëí=fåÑ]DãÉfpåz</t>
  </si>
  <si>
    <t>vvv-kantoor</t>
  </si>
  <si>
    <t>syndicat d'initiative</t>
  </si>
  <si>
    <t>xDîôäàìWz</t>
  </si>
  <si>
    <r>
      <rPr>
        <rFont val="Arial"/>
        <color rgb="FF000000"/>
        <sz val="6.0"/>
      </rPr>
      <t>waar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(als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in:</t>
    </r>
    <r>
      <rPr>
        <rFont val="Arial"/>
        <color rgb="FF000000"/>
        <sz val="6.0"/>
      </rPr>
      <t xml:space="preserve"> </t>
    </r>
    <r>
      <rPr>
        <rFont val="Arial"/>
        <i/>
        <color rgb="FF000000"/>
        <sz val="6.0"/>
      </rPr>
      <t>waar</t>
    </r>
    <r>
      <rPr>
        <rFont val="Arial"/>
        <i/>
        <color rgb="FF000000"/>
        <sz val="6.0"/>
      </rPr>
      <t xml:space="preserve"> </t>
    </r>
    <r>
      <rPr>
        <rFont val="Arial"/>
        <i/>
        <color rgb="FF000000"/>
        <sz val="6.0"/>
      </rPr>
      <t>voor</t>
    </r>
    <r>
      <rPr>
        <rFont val="Arial"/>
        <i/>
        <color rgb="FF000000"/>
        <sz val="6.0"/>
      </rPr>
      <t xml:space="preserve"> </t>
    </r>
    <r>
      <rPr>
        <rFont val="Arial"/>
        <i/>
        <color rgb="FF000000"/>
        <sz val="6.0"/>
      </rPr>
      <t>je</t>
    </r>
    <r>
      <rPr>
        <rFont val="Arial"/>
        <i/>
        <color rgb="FF000000"/>
        <sz val="6.0"/>
      </rPr>
      <t xml:space="preserve"> </t>
    </r>
    <r>
      <rPr>
        <rFont val="Arial"/>
        <i/>
        <color rgb="FF000000"/>
        <sz val="6.0"/>
      </rPr>
      <t>geld</t>
    </r>
    <r>
      <rPr>
        <rFont val="Arial"/>
        <i/>
        <color rgb="FF000000"/>
        <sz val="6.0"/>
      </rPr>
      <t xml:space="preserve"> </t>
    </r>
    <r>
      <rPr>
        <rFont val="Arial"/>
        <color rgb="FF000000"/>
        <sz val="6.0"/>
      </rPr>
      <t>)</t>
    </r>
  </si>
  <si>
    <t>valeur</t>
  </si>
  <si>
    <t>xÇfDäfp]ëz</t>
  </si>
  <si>
    <t>heerlijk</t>
  </si>
  <si>
    <t>délicieux</t>
  </si>
  <si>
    <t>xDéáWëÑ]äz</t>
  </si>
  <si>
    <t>rustig</t>
  </si>
  <si>
    <t>calme</t>
  </si>
  <si>
    <t>xÑ¾åz</t>
  </si>
  <si>
    <t>gai</t>
  </si>
  <si>
    <t>Page 25 of 26</t>
  </si>
  <si>
    <t>15    134 recommend</t>
  </si>
  <si>
    <r>
      <rPr>
        <rFont val="Times New Roman"/>
        <color rgb="FF000000"/>
        <sz val="6.0"/>
      </rPr>
      <t>x?êÉâ]DãÉåÇz</t>
    </r>
  </si>
  <si>
    <t>aanbevelen</t>
  </si>
  <si>
    <t>recommander</t>
  </si>
  <si>
    <t>15    134 service</t>
  </si>
  <si>
    <t>xDë‰Wî]ëz</t>
  </si>
  <si>
    <t>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</si>
</sst>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color theme="1"/>
      <name val="Calibri"/>
    </font>
    <font>
      <sz val="11.0"/>
      <color rgb="FF000000"/>
      <name val="Docs-Calibri"/>
    </font>
    <font>
      <sz val="11.0"/>
      <color rgb="FF000000"/>
      <name val="Arial"/>
    </font>
    <font>
      <sz val="5.0"/>
      <color rgb="FF000000"/>
      <name val="Arial"/>
    </font>
    <font>
      <b/>
      <sz val="7.0"/>
      <color rgb="FF000000"/>
      <name val="Arial"/>
    </font>
    <font>
      <sz val="6.0"/>
      <color rgb="FF000000"/>
      <name val="Arial"/>
    </font>
    <font>
      <sz val="6.0"/>
      <color rgb="FF000000"/>
      <name val="Times New Roman"/>
    </font>
    <font>
      <i/>
      <sz val="6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1" numFmtId="1" xfId="0" applyFont="1" applyNumberFormat="1"/>
    <xf borderId="0" fillId="0" fontId="4" numFmtId="0" xfId="0" applyAlignment="1" applyFont="1">
      <alignment horizontal="right" vertical="top"/>
    </xf>
    <xf borderId="0" fillId="0" fontId="5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vertical="top"/>
    </xf>
    <xf borderId="1" fillId="0" fontId="6" numFmtId="1" xfId="0" applyAlignment="1" applyBorder="1" applyFont="1" applyNumberFormat="1">
      <alignment horizontal="right" vertical="top"/>
    </xf>
    <xf borderId="1" fillId="0" fontId="6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vertical="top"/>
    </xf>
    <xf borderId="0" fillId="0" fontId="6" numFmtId="1" xfId="0" applyAlignment="1" applyFont="1" applyNumberFormat="1">
      <alignment horizontal="right" vertical="top"/>
    </xf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0" fillId="0" fontId="6" numFmtId="0" xfId="0" applyAlignment="1" applyFont="1">
      <alignment horizontal="center" vertical="top"/>
    </xf>
    <xf borderId="0" fillId="0" fontId="6" numFmtId="1" xfId="0" applyAlignment="1" applyFont="1" applyNumberFormat="1">
      <alignment horizontal="left" vertical="top"/>
    </xf>
    <xf borderId="2" fillId="0" fontId="6" numFmtId="1" xfId="0" applyAlignment="1" applyBorder="1" applyFont="1" applyNumberFormat="1">
      <alignment horizontal="right" vertical="top"/>
    </xf>
    <xf borderId="2" fillId="0" fontId="6" numFmtId="0" xfId="0" applyAlignment="1" applyBorder="1" applyFont="1">
      <alignment horizontal="left" vertical="top"/>
    </xf>
    <xf borderId="2" fillId="0" fontId="7" numFmtId="0" xfId="0" applyAlignment="1" applyBorder="1" applyFont="1">
      <alignment horizontal="left" vertical="top"/>
    </xf>
    <xf borderId="2" fillId="0" fontId="0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vertical="top"/>
    </xf>
    <xf borderId="0" fillId="0" fontId="8" numFmtId="0" xfId="0" applyAlignment="1" applyFont="1">
      <alignment horizontal="left" vertical="top"/>
    </xf>
    <xf borderId="1" fillId="0" fontId="6" numFmtId="1" xfId="0" applyAlignment="1" applyBorder="1" applyFont="1" applyNumberFormat="1">
      <alignment horizontal="left" vertical="top"/>
    </xf>
    <xf borderId="2" fillId="0" fontId="6" numFmtId="1" xfId="0" applyAlignment="1" applyBorder="1" applyFont="1" applyNumberFormat="1">
      <alignment horizontal="left" vertical="top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-19050</xdr:rowOff>
    </xdr:from>
    <xdr:ext cx="8724900" cy="38100"/>
    <xdr:sp>
      <xdr:nvSpPr>
        <xdr:cNvPr id="3" name="Shape 3"/>
        <xdr:cNvSpPr/>
      </xdr:nvSpPr>
      <xdr:spPr>
        <a:xfrm>
          <a:off x="979740" y="3780000"/>
          <a:ext cx="8732520" cy="0"/>
        </a:xfrm>
        <a:custGeom>
          <a:rect b="b" l="l" r="r" t="t"/>
          <a:pathLst>
            <a:path extrusionOk="0" h="120000" w="8732520">
              <a:moveTo>
                <a:pt x="8732520" y="0"/>
              </a:move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8724900" cy="0"/>
    <xdr:grpSp>
      <xdr:nvGrpSpPr>
        <xdr:cNvPr id="2" name="Shape 2"/>
        <xdr:cNvGrpSpPr/>
      </xdr:nvGrpSpPr>
      <xdr:grpSpPr>
        <a:xfrm>
          <a:off x="982035" y="3777600"/>
          <a:ext cx="8727925" cy="4800"/>
          <a:chOff x="982035" y="3777600"/>
          <a:chExt cx="8727925" cy="4800"/>
        </a:xfrm>
      </xdr:grpSpPr>
      <xdr:grpSp>
        <xdr:nvGrpSpPr>
          <xdr:cNvPr id="4" name="Shape 4"/>
          <xdr:cNvGrpSpPr/>
        </xdr:nvGrpSpPr>
        <xdr:grpSpPr>
          <a:xfrm>
            <a:off x="982035" y="3777600"/>
            <a:ext cx="8727925" cy="4800"/>
            <a:chOff x="0" y="601269"/>
            <a:chExt cx="8727925" cy="4800"/>
          </a:xfrm>
        </xdr:grpSpPr>
        <xdr:sp>
          <xdr:nvSpPr>
            <xdr:cNvPr id="5" name="Shape 5"/>
            <xdr:cNvSpPr/>
          </xdr:nvSpPr>
          <xdr:spPr>
            <a:xfrm>
              <a:off x="0" y="601269"/>
              <a:ext cx="8727925" cy="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2400" y="603670"/>
              <a:ext cx="1568015" cy="0"/>
            </a:xfrm>
            <a:custGeom>
              <a:rect b="b" l="l" r="r" t="t"/>
              <a:pathLst>
                <a:path extrusionOk="0" h="120000" w="1568015">
                  <a:moveTo>
                    <a:pt x="0" y="0"/>
                  </a:moveTo>
                  <a:lnTo>
                    <a:pt x="1568015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7" name="Shape 7"/>
            <xdr:cNvSpPr/>
          </xdr:nvSpPr>
          <xdr:spPr>
            <a:xfrm>
              <a:off x="1575168" y="603670"/>
              <a:ext cx="3559819" cy="0"/>
            </a:xfrm>
            <a:custGeom>
              <a:rect b="b" l="l" r="r" t="t"/>
              <a:pathLst>
                <a:path extrusionOk="0" h="120000" w="3559819">
                  <a:moveTo>
                    <a:pt x="0" y="0"/>
                  </a:moveTo>
                  <a:lnTo>
                    <a:pt x="3559819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8" name="Shape 8"/>
            <xdr:cNvSpPr/>
          </xdr:nvSpPr>
          <xdr:spPr>
            <a:xfrm>
              <a:off x="5165712" y="603670"/>
              <a:ext cx="3559819" cy="0"/>
            </a:xfrm>
            <a:custGeom>
              <a:rect b="b" l="l" r="r" t="t"/>
              <a:pathLst>
                <a:path extrusionOk="0" h="120000" w="3559819">
                  <a:moveTo>
                    <a:pt x="0" y="0"/>
                  </a:moveTo>
                  <a:lnTo>
                    <a:pt x="3559819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  <xdr:oneCellAnchor>
    <xdr:from>
      <xdr:col>0</xdr:col>
      <xdr:colOff>0</xdr:colOff>
      <xdr:row>3</xdr:row>
      <xdr:rowOff>0</xdr:rowOff>
    </xdr:from>
    <xdr:ext cx="8724900" cy="0"/>
    <xdr:grpSp>
      <xdr:nvGrpSpPr>
        <xdr:cNvPr id="2" name="Shape 2"/>
        <xdr:cNvGrpSpPr/>
      </xdr:nvGrpSpPr>
      <xdr:grpSpPr>
        <a:xfrm>
          <a:off x="982035" y="3777600"/>
          <a:ext cx="8727925" cy="4800"/>
          <a:chOff x="982035" y="3777600"/>
          <a:chExt cx="8727925" cy="4800"/>
        </a:xfrm>
      </xdr:grpSpPr>
      <xdr:grpSp>
        <xdr:nvGrpSpPr>
          <xdr:cNvPr id="9" name="Shape 9"/>
          <xdr:cNvGrpSpPr/>
        </xdr:nvGrpSpPr>
        <xdr:grpSpPr>
          <a:xfrm>
            <a:off x="982035" y="3777600"/>
            <a:ext cx="8727925" cy="4800"/>
            <a:chOff x="0" y="606070"/>
            <a:chExt cx="8727925" cy="4800"/>
          </a:xfrm>
        </xdr:grpSpPr>
        <xdr:sp>
          <xdr:nvSpPr>
            <xdr:cNvPr id="5" name="Shape 5"/>
            <xdr:cNvSpPr/>
          </xdr:nvSpPr>
          <xdr:spPr>
            <a:xfrm>
              <a:off x="0" y="606070"/>
              <a:ext cx="8727925" cy="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" name="Shape 10"/>
            <xdr:cNvSpPr/>
          </xdr:nvSpPr>
          <xdr:spPr>
            <a:xfrm>
              <a:off x="2400" y="608470"/>
              <a:ext cx="1568015" cy="0"/>
            </a:xfrm>
            <a:custGeom>
              <a:rect b="b" l="l" r="r" t="t"/>
              <a:pathLst>
                <a:path extrusionOk="0" h="120000" w="1568015">
                  <a:moveTo>
                    <a:pt x="0" y="0"/>
                  </a:moveTo>
                  <a:lnTo>
                    <a:pt x="1568015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11" name="Shape 11"/>
            <xdr:cNvSpPr/>
          </xdr:nvSpPr>
          <xdr:spPr>
            <a:xfrm>
              <a:off x="1575168" y="608470"/>
              <a:ext cx="7150363" cy="0"/>
            </a:xfrm>
            <a:custGeom>
              <a:rect b="b" l="l" r="r" t="t"/>
              <a:pathLst>
                <a:path extrusionOk="0" h="120000" w="7150363">
                  <a:moveTo>
                    <a:pt x="0" y="0"/>
                  </a:moveTo>
                  <a:lnTo>
                    <a:pt x="7150363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  <xdr:oneCellAnchor>
    <xdr:from>
      <xdr:col>0</xdr:col>
      <xdr:colOff>0</xdr:colOff>
      <xdr:row>3</xdr:row>
      <xdr:rowOff>0</xdr:rowOff>
    </xdr:from>
    <xdr:ext cx="8724900" cy="0"/>
    <xdr:grpSp>
      <xdr:nvGrpSpPr>
        <xdr:cNvPr id="2" name="Shape 2"/>
        <xdr:cNvGrpSpPr/>
      </xdr:nvGrpSpPr>
      <xdr:grpSpPr>
        <a:xfrm>
          <a:off x="982035" y="3777600"/>
          <a:ext cx="8727925" cy="4800"/>
          <a:chOff x="982035" y="3777600"/>
          <a:chExt cx="8727925" cy="4800"/>
        </a:xfrm>
      </xdr:grpSpPr>
      <xdr:grpSp>
        <xdr:nvGrpSpPr>
          <xdr:cNvPr id="12" name="Shape 12"/>
          <xdr:cNvGrpSpPr/>
        </xdr:nvGrpSpPr>
        <xdr:grpSpPr>
          <a:xfrm>
            <a:off x="982035" y="3777600"/>
            <a:ext cx="8727925" cy="4800"/>
            <a:chOff x="0" y="610871"/>
            <a:chExt cx="8727925" cy="4800"/>
          </a:xfrm>
        </xdr:grpSpPr>
        <xdr:sp>
          <xdr:nvSpPr>
            <xdr:cNvPr id="5" name="Shape 5"/>
            <xdr:cNvSpPr/>
          </xdr:nvSpPr>
          <xdr:spPr>
            <a:xfrm>
              <a:off x="0" y="610871"/>
              <a:ext cx="8727925" cy="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" name="Shape 13"/>
            <xdr:cNvSpPr/>
          </xdr:nvSpPr>
          <xdr:spPr>
            <a:xfrm>
              <a:off x="2400" y="613271"/>
              <a:ext cx="1568015" cy="0"/>
            </a:xfrm>
            <a:custGeom>
              <a:rect b="b" l="l" r="r" t="t"/>
              <a:pathLst>
                <a:path extrusionOk="0" h="120000" w="1568015">
                  <a:moveTo>
                    <a:pt x="0" y="0"/>
                  </a:moveTo>
                  <a:lnTo>
                    <a:pt x="1568015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14" name="Shape 14"/>
            <xdr:cNvSpPr/>
          </xdr:nvSpPr>
          <xdr:spPr>
            <a:xfrm>
              <a:off x="1575168" y="613271"/>
              <a:ext cx="3559819" cy="0"/>
            </a:xfrm>
            <a:custGeom>
              <a:rect b="b" l="l" r="r" t="t"/>
              <a:pathLst>
                <a:path extrusionOk="0" h="120000" w="3559819">
                  <a:moveTo>
                    <a:pt x="0" y="0"/>
                  </a:moveTo>
                  <a:lnTo>
                    <a:pt x="3559819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15" name="Shape 15"/>
            <xdr:cNvSpPr/>
          </xdr:nvSpPr>
          <xdr:spPr>
            <a:xfrm>
              <a:off x="5165712" y="613271"/>
              <a:ext cx="3559819" cy="0"/>
            </a:xfrm>
            <a:custGeom>
              <a:rect b="b" l="l" r="r" t="t"/>
              <a:pathLst>
                <a:path extrusionOk="0" h="120000" w="3559819">
                  <a:moveTo>
                    <a:pt x="0" y="0"/>
                  </a:moveTo>
                  <a:lnTo>
                    <a:pt x="3559819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  <xdr:oneCellAnchor>
    <xdr:from>
      <xdr:col>0</xdr:col>
      <xdr:colOff>0</xdr:colOff>
      <xdr:row>3</xdr:row>
      <xdr:rowOff>0</xdr:rowOff>
    </xdr:from>
    <xdr:ext cx="8724900" cy="0"/>
    <xdr:grpSp>
      <xdr:nvGrpSpPr>
        <xdr:cNvPr id="2" name="Shape 2"/>
        <xdr:cNvGrpSpPr/>
      </xdr:nvGrpSpPr>
      <xdr:grpSpPr>
        <a:xfrm>
          <a:off x="982035" y="3777600"/>
          <a:ext cx="8727925" cy="4800"/>
          <a:chOff x="982035" y="3777600"/>
          <a:chExt cx="8727925" cy="4800"/>
        </a:xfrm>
      </xdr:grpSpPr>
      <xdr:grpSp>
        <xdr:nvGrpSpPr>
          <xdr:cNvPr id="16" name="Shape 16"/>
          <xdr:cNvGrpSpPr/>
        </xdr:nvGrpSpPr>
        <xdr:grpSpPr>
          <a:xfrm>
            <a:off x="982035" y="3777600"/>
            <a:ext cx="8727925" cy="4800"/>
            <a:chOff x="0" y="615671"/>
            <a:chExt cx="8727925" cy="4800"/>
          </a:xfrm>
        </xdr:grpSpPr>
        <xdr:sp>
          <xdr:nvSpPr>
            <xdr:cNvPr id="5" name="Shape 5"/>
            <xdr:cNvSpPr/>
          </xdr:nvSpPr>
          <xdr:spPr>
            <a:xfrm>
              <a:off x="0" y="615671"/>
              <a:ext cx="8727925" cy="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7" name="Shape 17"/>
            <xdr:cNvSpPr/>
          </xdr:nvSpPr>
          <xdr:spPr>
            <a:xfrm>
              <a:off x="2400" y="618072"/>
              <a:ext cx="1568015" cy="0"/>
            </a:xfrm>
            <a:custGeom>
              <a:rect b="b" l="l" r="r" t="t"/>
              <a:pathLst>
                <a:path extrusionOk="0" h="120000" w="1568015">
                  <a:moveTo>
                    <a:pt x="0" y="0"/>
                  </a:moveTo>
                  <a:lnTo>
                    <a:pt x="1568015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18" name="Shape 18"/>
            <xdr:cNvSpPr/>
          </xdr:nvSpPr>
          <xdr:spPr>
            <a:xfrm>
              <a:off x="1575168" y="618072"/>
              <a:ext cx="7150363" cy="0"/>
            </a:xfrm>
            <a:custGeom>
              <a:rect b="b" l="l" r="r" t="t"/>
              <a:pathLst>
                <a:path extrusionOk="0" h="120000" w="7150363">
                  <a:moveTo>
                    <a:pt x="0" y="0"/>
                  </a:moveTo>
                  <a:lnTo>
                    <a:pt x="7150363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  <xdr:oneCellAnchor>
    <xdr:from>
      <xdr:col>0</xdr:col>
      <xdr:colOff>0</xdr:colOff>
      <xdr:row>3</xdr:row>
      <xdr:rowOff>-19050</xdr:rowOff>
    </xdr:from>
    <xdr:ext cx="3552825" cy="38100"/>
    <xdr:sp>
      <xdr:nvSpPr>
        <xdr:cNvPr id="19" name="Shape 19"/>
        <xdr:cNvSpPr/>
      </xdr:nvSpPr>
      <xdr:spPr>
        <a:xfrm>
          <a:off x="3566091" y="3780000"/>
          <a:ext cx="3559819" cy="0"/>
        </a:xfrm>
        <a:custGeom>
          <a:rect b="b" l="l" r="r" t="t"/>
          <a:pathLst>
            <a:path extrusionOk="0" h="120000" w="3559819">
              <a:moveTo>
                <a:pt x="0" y="0"/>
              </a:moveTo>
              <a:lnTo>
                <a:pt x="3559819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3</xdr:row>
      <xdr:rowOff>0</xdr:rowOff>
    </xdr:from>
    <xdr:ext cx="5133975" cy="0"/>
    <xdr:grpSp>
      <xdr:nvGrpSpPr>
        <xdr:cNvPr id="2" name="Shape 2"/>
        <xdr:cNvGrpSpPr/>
      </xdr:nvGrpSpPr>
      <xdr:grpSpPr>
        <a:xfrm>
          <a:off x="2777306" y="3777600"/>
          <a:ext cx="5137375" cy="4800"/>
          <a:chOff x="2777306" y="3777600"/>
          <a:chExt cx="5137375" cy="4800"/>
        </a:xfrm>
      </xdr:grpSpPr>
      <xdr:grpSp>
        <xdr:nvGrpSpPr>
          <xdr:cNvPr id="20" name="Shape 20"/>
          <xdr:cNvGrpSpPr/>
        </xdr:nvGrpSpPr>
        <xdr:grpSpPr>
          <a:xfrm>
            <a:off x="2777306" y="3777600"/>
            <a:ext cx="5137375" cy="4800"/>
            <a:chOff x="0" y="625272"/>
            <a:chExt cx="5137375" cy="4800"/>
          </a:xfrm>
        </xdr:grpSpPr>
        <xdr:sp>
          <xdr:nvSpPr>
            <xdr:cNvPr id="5" name="Shape 5"/>
            <xdr:cNvSpPr/>
          </xdr:nvSpPr>
          <xdr:spPr>
            <a:xfrm>
              <a:off x="0" y="625272"/>
              <a:ext cx="5137375" cy="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" name="Shape 21"/>
            <xdr:cNvSpPr/>
          </xdr:nvSpPr>
          <xdr:spPr>
            <a:xfrm>
              <a:off x="2400" y="627673"/>
              <a:ext cx="1568015" cy="0"/>
            </a:xfrm>
            <a:custGeom>
              <a:rect b="b" l="l" r="r" t="t"/>
              <a:pathLst>
                <a:path extrusionOk="0" h="120000" w="1568015">
                  <a:moveTo>
                    <a:pt x="0" y="0"/>
                  </a:moveTo>
                  <a:lnTo>
                    <a:pt x="1568015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22" name="Shape 22"/>
            <xdr:cNvSpPr/>
          </xdr:nvSpPr>
          <xdr:spPr>
            <a:xfrm>
              <a:off x="1575168" y="627673"/>
              <a:ext cx="3559819" cy="0"/>
            </a:xfrm>
            <a:custGeom>
              <a:rect b="b" l="l" r="r" t="t"/>
              <a:pathLst>
                <a:path extrusionOk="0" h="120000" w="3559819">
                  <a:moveTo>
                    <a:pt x="0" y="0"/>
                  </a:moveTo>
                  <a:lnTo>
                    <a:pt x="3559819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  <xdr:oneCellAnchor>
    <xdr:from>
      <xdr:col>0</xdr:col>
      <xdr:colOff>0</xdr:colOff>
      <xdr:row>3</xdr:row>
      <xdr:rowOff>0</xdr:rowOff>
    </xdr:from>
    <xdr:ext cx="8724900" cy="0"/>
    <xdr:grpSp>
      <xdr:nvGrpSpPr>
        <xdr:cNvPr id="2" name="Shape 2"/>
        <xdr:cNvGrpSpPr/>
      </xdr:nvGrpSpPr>
      <xdr:grpSpPr>
        <a:xfrm>
          <a:off x="982035" y="3777600"/>
          <a:ext cx="8727925" cy="4800"/>
          <a:chOff x="982035" y="3777600"/>
          <a:chExt cx="8727925" cy="4800"/>
        </a:xfrm>
      </xdr:grpSpPr>
      <xdr:grpSp>
        <xdr:nvGrpSpPr>
          <xdr:cNvPr id="23" name="Shape 23"/>
          <xdr:cNvGrpSpPr/>
        </xdr:nvGrpSpPr>
        <xdr:grpSpPr>
          <a:xfrm>
            <a:off x="982035" y="3777600"/>
            <a:ext cx="8727925" cy="4800"/>
            <a:chOff x="0" y="630073"/>
            <a:chExt cx="8727925" cy="4800"/>
          </a:xfrm>
        </xdr:grpSpPr>
        <xdr:sp>
          <xdr:nvSpPr>
            <xdr:cNvPr id="5" name="Shape 5"/>
            <xdr:cNvSpPr/>
          </xdr:nvSpPr>
          <xdr:spPr>
            <a:xfrm>
              <a:off x="0" y="630073"/>
              <a:ext cx="8727925" cy="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" name="Shape 24"/>
            <xdr:cNvSpPr/>
          </xdr:nvSpPr>
          <xdr:spPr>
            <a:xfrm>
              <a:off x="2400" y="632473"/>
              <a:ext cx="1568015" cy="0"/>
            </a:xfrm>
            <a:custGeom>
              <a:rect b="b" l="l" r="r" t="t"/>
              <a:pathLst>
                <a:path extrusionOk="0" h="120000" w="1568015">
                  <a:moveTo>
                    <a:pt x="0" y="0"/>
                  </a:moveTo>
                  <a:lnTo>
                    <a:pt x="1568015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25" name="Shape 25"/>
            <xdr:cNvSpPr/>
          </xdr:nvSpPr>
          <xdr:spPr>
            <a:xfrm>
              <a:off x="1575168" y="632473"/>
              <a:ext cx="7150363" cy="0"/>
            </a:xfrm>
            <a:custGeom>
              <a:rect b="b" l="l" r="r" t="t"/>
              <a:pathLst>
                <a:path extrusionOk="0" h="120000" w="7150363">
                  <a:moveTo>
                    <a:pt x="0" y="0"/>
                  </a:moveTo>
                  <a:lnTo>
                    <a:pt x="7150363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  <xdr:oneCellAnchor>
    <xdr:from>
      <xdr:col>0</xdr:col>
      <xdr:colOff>0</xdr:colOff>
      <xdr:row>3</xdr:row>
      <xdr:rowOff>-19050</xdr:rowOff>
    </xdr:from>
    <xdr:ext cx="3552825" cy="38100"/>
    <xdr:sp>
      <xdr:nvSpPr>
        <xdr:cNvPr id="19" name="Shape 19"/>
        <xdr:cNvSpPr/>
      </xdr:nvSpPr>
      <xdr:spPr>
        <a:xfrm>
          <a:off x="3566091" y="3780000"/>
          <a:ext cx="3559819" cy="0"/>
        </a:xfrm>
        <a:custGeom>
          <a:rect b="b" l="l" r="r" t="t"/>
          <a:pathLst>
            <a:path extrusionOk="0" h="120000" w="3559819">
              <a:moveTo>
                <a:pt x="0" y="0"/>
              </a:moveTo>
              <a:lnTo>
                <a:pt x="3559819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3</xdr:row>
      <xdr:rowOff>0</xdr:rowOff>
    </xdr:from>
    <xdr:ext cx="5133975" cy="0"/>
    <xdr:grpSp>
      <xdr:nvGrpSpPr>
        <xdr:cNvPr id="2" name="Shape 2"/>
        <xdr:cNvGrpSpPr/>
      </xdr:nvGrpSpPr>
      <xdr:grpSpPr>
        <a:xfrm>
          <a:off x="2777306" y="3777600"/>
          <a:ext cx="5137375" cy="4800"/>
          <a:chOff x="2777306" y="3777600"/>
          <a:chExt cx="5137375" cy="4800"/>
        </a:xfrm>
      </xdr:grpSpPr>
      <xdr:grpSp>
        <xdr:nvGrpSpPr>
          <xdr:cNvPr id="26" name="Shape 26"/>
          <xdr:cNvGrpSpPr/>
        </xdr:nvGrpSpPr>
        <xdr:grpSpPr>
          <a:xfrm>
            <a:off x="2777306" y="3777600"/>
            <a:ext cx="5137375" cy="4800"/>
            <a:chOff x="0" y="639674"/>
            <a:chExt cx="5137375" cy="4800"/>
          </a:xfrm>
        </xdr:grpSpPr>
        <xdr:sp>
          <xdr:nvSpPr>
            <xdr:cNvPr id="5" name="Shape 5"/>
            <xdr:cNvSpPr/>
          </xdr:nvSpPr>
          <xdr:spPr>
            <a:xfrm>
              <a:off x="0" y="639674"/>
              <a:ext cx="5137375" cy="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7" name="Shape 27"/>
            <xdr:cNvSpPr/>
          </xdr:nvSpPr>
          <xdr:spPr>
            <a:xfrm>
              <a:off x="2400" y="642075"/>
              <a:ext cx="1568015" cy="0"/>
            </a:xfrm>
            <a:custGeom>
              <a:rect b="b" l="l" r="r" t="t"/>
              <a:pathLst>
                <a:path extrusionOk="0" h="120000" w="1568015">
                  <a:moveTo>
                    <a:pt x="0" y="0"/>
                  </a:moveTo>
                  <a:lnTo>
                    <a:pt x="1568015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28" name="Shape 28"/>
            <xdr:cNvSpPr/>
          </xdr:nvSpPr>
          <xdr:spPr>
            <a:xfrm>
              <a:off x="1575168" y="642075"/>
              <a:ext cx="3559819" cy="0"/>
            </a:xfrm>
            <a:custGeom>
              <a:rect b="b" l="l" r="r" t="t"/>
              <a:pathLst>
                <a:path extrusionOk="0" h="120000" w="3559819">
                  <a:moveTo>
                    <a:pt x="0" y="0"/>
                  </a:moveTo>
                  <a:lnTo>
                    <a:pt x="3559819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  <xdr:oneCellAnchor>
    <xdr:from>
      <xdr:col>0</xdr:col>
      <xdr:colOff>0</xdr:colOff>
      <xdr:row>3</xdr:row>
      <xdr:rowOff>0</xdr:rowOff>
    </xdr:from>
    <xdr:ext cx="8724900" cy="0"/>
    <xdr:grpSp>
      <xdr:nvGrpSpPr>
        <xdr:cNvPr id="2" name="Shape 2"/>
        <xdr:cNvGrpSpPr/>
      </xdr:nvGrpSpPr>
      <xdr:grpSpPr>
        <a:xfrm>
          <a:off x="982035" y="3777600"/>
          <a:ext cx="8727925" cy="4800"/>
          <a:chOff x="982035" y="3777600"/>
          <a:chExt cx="8727925" cy="4800"/>
        </a:xfrm>
      </xdr:grpSpPr>
      <xdr:grpSp>
        <xdr:nvGrpSpPr>
          <xdr:cNvPr id="29" name="Shape 29"/>
          <xdr:cNvGrpSpPr/>
        </xdr:nvGrpSpPr>
        <xdr:grpSpPr>
          <a:xfrm>
            <a:off x="982035" y="3777600"/>
            <a:ext cx="8727925" cy="4800"/>
            <a:chOff x="0" y="644475"/>
            <a:chExt cx="8727925" cy="4800"/>
          </a:xfrm>
        </xdr:grpSpPr>
        <xdr:sp>
          <xdr:nvSpPr>
            <xdr:cNvPr id="5" name="Shape 5"/>
            <xdr:cNvSpPr/>
          </xdr:nvSpPr>
          <xdr:spPr>
            <a:xfrm>
              <a:off x="0" y="644475"/>
              <a:ext cx="8727925" cy="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0" name="Shape 30"/>
            <xdr:cNvSpPr/>
          </xdr:nvSpPr>
          <xdr:spPr>
            <a:xfrm>
              <a:off x="2400" y="646875"/>
              <a:ext cx="1568015" cy="0"/>
            </a:xfrm>
            <a:custGeom>
              <a:rect b="b" l="l" r="r" t="t"/>
              <a:pathLst>
                <a:path extrusionOk="0" h="120000" w="1568015">
                  <a:moveTo>
                    <a:pt x="0" y="0"/>
                  </a:moveTo>
                  <a:lnTo>
                    <a:pt x="1568015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31" name="Shape 31"/>
            <xdr:cNvSpPr/>
          </xdr:nvSpPr>
          <xdr:spPr>
            <a:xfrm>
              <a:off x="1575168" y="646875"/>
              <a:ext cx="7150363" cy="0"/>
            </a:xfrm>
            <a:custGeom>
              <a:rect b="b" l="l" r="r" t="t"/>
              <a:pathLst>
                <a:path extrusionOk="0" h="120000" w="7150363">
                  <a:moveTo>
                    <a:pt x="0" y="0"/>
                  </a:moveTo>
                  <a:lnTo>
                    <a:pt x="7150363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  <xdr:oneCellAnchor>
    <xdr:from>
      <xdr:col>0</xdr:col>
      <xdr:colOff>0</xdr:colOff>
      <xdr:row>3</xdr:row>
      <xdr:rowOff>0</xdr:rowOff>
    </xdr:from>
    <xdr:ext cx="8724900" cy="0"/>
    <xdr:grpSp>
      <xdr:nvGrpSpPr>
        <xdr:cNvPr id="2" name="Shape 2"/>
        <xdr:cNvGrpSpPr/>
      </xdr:nvGrpSpPr>
      <xdr:grpSpPr>
        <a:xfrm>
          <a:off x="982035" y="3777600"/>
          <a:ext cx="8727925" cy="4800"/>
          <a:chOff x="982035" y="3777600"/>
          <a:chExt cx="8727925" cy="4800"/>
        </a:xfrm>
      </xdr:grpSpPr>
      <xdr:grpSp>
        <xdr:nvGrpSpPr>
          <xdr:cNvPr id="32" name="Shape 32"/>
          <xdr:cNvGrpSpPr/>
        </xdr:nvGrpSpPr>
        <xdr:grpSpPr>
          <a:xfrm>
            <a:off x="982035" y="3777600"/>
            <a:ext cx="8727925" cy="4800"/>
            <a:chOff x="0" y="649275"/>
            <a:chExt cx="8727925" cy="4800"/>
          </a:xfrm>
        </xdr:grpSpPr>
        <xdr:sp>
          <xdr:nvSpPr>
            <xdr:cNvPr id="5" name="Shape 5"/>
            <xdr:cNvSpPr/>
          </xdr:nvSpPr>
          <xdr:spPr>
            <a:xfrm>
              <a:off x="0" y="649275"/>
              <a:ext cx="8727925" cy="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3" name="Shape 33"/>
            <xdr:cNvSpPr/>
          </xdr:nvSpPr>
          <xdr:spPr>
            <a:xfrm>
              <a:off x="2400" y="651676"/>
              <a:ext cx="1568015" cy="0"/>
            </a:xfrm>
            <a:custGeom>
              <a:rect b="b" l="l" r="r" t="t"/>
              <a:pathLst>
                <a:path extrusionOk="0" h="120000" w="1568015">
                  <a:moveTo>
                    <a:pt x="0" y="0"/>
                  </a:moveTo>
                  <a:lnTo>
                    <a:pt x="1568015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34" name="Shape 34"/>
            <xdr:cNvSpPr/>
          </xdr:nvSpPr>
          <xdr:spPr>
            <a:xfrm>
              <a:off x="1575168" y="651676"/>
              <a:ext cx="3559819" cy="0"/>
            </a:xfrm>
            <a:custGeom>
              <a:rect b="b" l="l" r="r" t="t"/>
              <a:pathLst>
                <a:path extrusionOk="0" h="120000" w="3559819">
                  <a:moveTo>
                    <a:pt x="0" y="0"/>
                  </a:moveTo>
                  <a:lnTo>
                    <a:pt x="3559819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35" name="Shape 35"/>
            <xdr:cNvSpPr/>
          </xdr:nvSpPr>
          <xdr:spPr>
            <a:xfrm>
              <a:off x="5165712" y="651676"/>
              <a:ext cx="3559819" cy="0"/>
            </a:xfrm>
            <a:custGeom>
              <a:rect b="b" l="l" r="r" t="t"/>
              <a:pathLst>
                <a:path extrusionOk="0" h="120000" w="3559819">
                  <a:moveTo>
                    <a:pt x="0" y="0"/>
                  </a:moveTo>
                  <a:lnTo>
                    <a:pt x="3559819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  <xdr:oneCellAnchor>
    <xdr:from>
      <xdr:col>0</xdr:col>
      <xdr:colOff>0</xdr:colOff>
      <xdr:row>3</xdr:row>
      <xdr:rowOff>0</xdr:rowOff>
    </xdr:from>
    <xdr:ext cx="8724900" cy="0"/>
    <xdr:grpSp>
      <xdr:nvGrpSpPr>
        <xdr:cNvPr id="2" name="Shape 2"/>
        <xdr:cNvGrpSpPr/>
      </xdr:nvGrpSpPr>
      <xdr:grpSpPr>
        <a:xfrm>
          <a:off x="982035" y="3777600"/>
          <a:ext cx="8727925" cy="4800"/>
          <a:chOff x="982035" y="3777600"/>
          <a:chExt cx="8727925" cy="4800"/>
        </a:xfrm>
      </xdr:grpSpPr>
      <xdr:grpSp>
        <xdr:nvGrpSpPr>
          <xdr:cNvPr id="36" name="Shape 36"/>
          <xdr:cNvGrpSpPr/>
        </xdr:nvGrpSpPr>
        <xdr:grpSpPr>
          <a:xfrm>
            <a:off x="982035" y="3777600"/>
            <a:ext cx="8727925" cy="4800"/>
            <a:chOff x="0" y="654076"/>
            <a:chExt cx="8727925" cy="4800"/>
          </a:xfrm>
        </xdr:grpSpPr>
        <xdr:sp>
          <xdr:nvSpPr>
            <xdr:cNvPr id="5" name="Shape 5"/>
            <xdr:cNvSpPr/>
          </xdr:nvSpPr>
          <xdr:spPr>
            <a:xfrm>
              <a:off x="0" y="654076"/>
              <a:ext cx="8727925" cy="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7" name="Shape 37"/>
            <xdr:cNvSpPr/>
          </xdr:nvSpPr>
          <xdr:spPr>
            <a:xfrm>
              <a:off x="2400" y="656476"/>
              <a:ext cx="1568015" cy="0"/>
            </a:xfrm>
            <a:custGeom>
              <a:rect b="b" l="l" r="r" t="t"/>
              <a:pathLst>
                <a:path extrusionOk="0" h="120000" w="1568015">
                  <a:moveTo>
                    <a:pt x="0" y="0"/>
                  </a:moveTo>
                  <a:lnTo>
                    <a:pt x="1568015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38" name="Shape 38"/>
            <xdr:cNvSpPr/>
          </xdr:nvSpPr>
          <xdr:spPr>
            <a:xfrm>
              <a:off x="1575168" y="656476"/>
              <a:ext cx="7150363" cy="0"/>
            </a:xfrm>
            <a:custGeom>
              <a:rect b="b" l="l" r="r" t="t"/>
              <a:pathLst>
                <a:path extrusionOk="0" h="120000" w="7150363">
                  <a:moveTo>
                    <a:pt x="0" y="0"/>
                  </a:moveTo>
                  <a:lnTo>
                    <a:pt x="7150363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hidden="1" min="2" max="2" width="14.43"/>
    <col customWidth="1" min="3" max="3" width="5.14"/>
    <col customWidth="1" min="5" max="5" width="7.57"/>
    <col customWidth="1" min="6" max="6" width="35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>
        <v>1.0</v>
      </c>
      <c r="B2" s="3" t="s">
        <v>7</v>
      </c>
      <c r="C2" s="3" t="str">
        <f t="shared" ref="C2:C1210" si="1">LEFT(B2,FIND(" ", B2))</f>
        <v>8 </v>
      </c>
      <c r="D2" s="3" t="str">
        <f t="shared" ref="D2:D1210" si="2">RIGHT(B2,LEN(B2)- FIND(" ", B2))</f>
        <v>people</v>
      </c>
      <c r="E2" s="2" t="s">
        <v>8</v>
      </c>
      <c r="F2" s="3" t="str">
        <f>IFERROR(__xludf.DUMMYFUNCTION("GOOGLETRANSLATE(D2,$D$1,$F$1)"),"Mọi người")</f>
        <v>Mọi người</v>
      </c>
      <c r="G2" s="3" t="s">
        <v>9</v>
      </c>
    </row>
    <row r="3">
      <c r="A3" s="3">
        <v>1.0</v>
      </c>
      <c r="B3" s="3" t="s">
        <v>10</v>
      </c>
      <c r="C3" s="3" t="str">
        <f t="shared" si="1"/>
        <v>8 </v>
      </c>
      <c r="D3" s="3" t="str">
        <f t="shared" si="2"/>
        <v>nice to meet you.</v>
      </c>
      <c r="E3" s="2" t="s">
        <v>8</v>
      </c>
      <c r="F3" s="3" t="str">
        <f>IFERROR(__xludf.DUMMYFUNCTION("GOOGLETRANSLATE(D3,$D$1,$F$1)"),"rất vui được gặp bạn.")</f>
        <v>rất vui được gặp bạn.</v>
      </c>
      <c r="G3" s="3" t="s">
        <v>11</v>
      </c>
    </row>
    <row r="4">
      <c r="A4" s="3">
        <v>1.0</v>
      </c>
      <c r="B4" s="3" t="s">
        <v>12</v>
      </c>
      <c r="C4" s="3" t="str">
        <f t="shared" si="1"/>
        <v>8 </v>
      </c>
      <c r="D4" s="3" t="str">
        <f t="shared" si="2"/>
        <v>really</v>
      </c>
      <c r="E4" s="2" t="s">
        <v>8</v>
      </c>
      <c r="F4" s="3" t="str">
        <f>IFERROR(__xludf.DUMMYFUNCTION("GOOGLETRANSLATE(D4,$D$1,$F$1)"),"có thật không")</f>
        <v>có thật không</v>
      </c>
      <c r="G4" s="3" t="s">
        <v>13</v>
      </c>
    </row>
    <row r="5">
      <c r="A5" s="3">
        <v>1.0</v>
      </c>
      <c r="B5" s="3" t="s">
        <v>14</v>
      </c>
      <c r="C5" s="3" t="str">
        <f t="shared" si="1"/>
        <v>8 </v>
      </c>
      <c r="D5" s="3" t="str">
        <f t="shared" si="2"/>
        <v>fantastic</v>
      </c>
      <c r="E5" s="2" t="s">
        <v>8</v>
      </c>
      <c r="F5" s="3" t="str">
        <f>IFERROR(__xludf.DUMMYFUNCTION("GOOGLETRANSLATE(D5,$D$1,$F$1)"),"tuyệt diệu")</f>
        <v>tuyệt diệu</v>
      </c>
      <c r="G5" s="3" t="s">
        <v>15</v>
      </c>
    </row>
    <row r="6">
      <c r="A6" s="3">
        <v>1.0</v>
      </c>
      <c r="B6" s="3" t="s">
        <v>16</v>
      </c>
      <c r="C6" s="3" t="str">
        <f t="shared" si="1"/>
        <v>8 </v>
      </c>
      <c r="D6" s="3" t="str">
        <f t="shared" si="2"/>
        <v>too</v>
      </c>
      <c r="E6" s="2" t="s">
        <v>8</v>
      </c>
      <c r="F6" s="3" t="str">
        <f>IFERROR(__xludf.DUMMYFUNCTION("GOOGLETRANSLATE(D6,$D$1,$F$1)"),"quá")</f>
        <v>quá</v>
      </c>
      <c r="G6" s="3" t="s">
        <v>17</v>
      </c>
    </row>
    <row r="7">
      <c r="A7" s="3">
        <v>1.0</v>
      </c>
      <c r="B7" s="3" t="s">
        <v>18</v>
      </c>
      <c r="C7" s="3" t="str">
        <f t="shared" si="1"/>
        <v>8 </v>
      </c>
      <c r="D7" s="3" t="str">
        <f t="shared" si="2"/>
        <v>well</v>
      </c>
      <c r="E7" s="2" t="s">
        <v>8</v>
      </c>
      <c r="F7" s="3" t="str">
        <f>IFERROR(__xludf.DUMMYFUNCTION("GOOGLETRANSLATE(D7,$D$1,$F$1)"),"tốt")</f>
        <v>tốt</v>
      </c>
      <c r="G7" s="3" t="s">
        <v>19</v>
      </c>
    </row>
    <row r="8">
      <c r="A8" s="3">
        <v>1.0</v>
      </c>
      <c r="B8" s="3" t="s">
        <v>20</v>
      </c>
      <c r="C8" s="3" t="str">
        <f t="shared" si="1"/>
        <v>9 </v>
      </c>
      <c r="D8" s="3" t="str">
        <f t="shared" si="2"/>
        <v>Italy</v>
      </c>
      <c r="E8" s="2" t="s">
        <v>8</v>
      </c>
      <c r="F8" s="3" t="str">
        <f>IFERROR(__xludf.DUMMYFUNCTION("GOOGLETRANSLATE(D8,$D$1,$F$1)"),"Nước Ý")</f>
        <v>Nước Ý</v>
      </c>
      <c r="G8" s="3" t="s">
        <v>21</v>
      </c>
    </row>
    <row r="9">
      <c r="A9" s="3">
        <v>1.0</v>
      </c>
      <c r="B9" s="3" t="s">
        <v>22</v>
      </c>
      <c r="C9" s="3" t="str">
        <f t="shared" si="1"/>
        <v>9 </v>
      </c>
      <c r="D9" s="3" t="str">
        <f t="shared" si="2"/>
        <v>Mexico</v>
      </c>
      <c r="E9" s="2" t="s">
        <v>8</v>
      </c>
      <c r="F9" s="3" t="str">
        <f>IFERROR(__xludf.DUMMYFUNCTION("GOOGLETRANSLATE(D9,$D$1,$F$1)"),"Mexico")</f>
        <v>Mexico</v>
      </c>
      <c r="G9" s="3" t="s">
        <v>23</v>
      </c>
    </row>
    <row r="10">
      <c r="A10" s="3">
        <v>1.0</v>
      </c>
      <c r="B10" s="3" t="s">
        <v>24</v>
      </c>
      <c r="C10" s="3" t="str">
        <f t="shared" si="1"/>
        <v>9 </v>
      </c>
      <c r="D10" s="3" t="str">
        <f t="shared" si="2"/>
        <v>Britain</v>
      </c>
      <c r="E10" s="2" t="s">
        <v>8</v>
      </c>
      <c r="F10" s="3" t="str">
        <f>IFERROR(__xludf.DUMMYFUNCTION("GOOGLETRANSLATE(D10,$D$1,$F$1)"),"Anh")</f>
        <v>Anh</v>
      </c>
      <c r="G10" s="3" t="s">
        <v>25</v>
      </c>
    </row>
    <row r="11">
      <c r="A11" s="3">
        <v>1.0</v>
      </c>
      <c r="B11" s="3" t="s">
        <v>26</v>
      </c>
      <c r="C11" s="3" t="str">
        <f t="shared" si="1"/>
        <v>9 </v>
      </c>
      <c r="D11" s="3" t="str">
        <f t="shared" si="2"/>
        <v>USA</v>
      </c>
      <c r="E11" s="2" t="s">
        <v>8</v>
      </c>
      <c r="F11" s="3" t="str">
        <f>IFERROR(__xludf.DUMMYFUNCTION("GOOGLETRANSLATE(D11,$D$1,$F$1)"),"Hoa Kỳ")</f>
        <v>Hoa Kỳ</v>
      </c>
      <c r="G11" s="3" t="s">
        <v>27</v>
      </c>
    </row>
    <row r="12">
      <c r="A12" s="3">
        <v>1.0</v>
      </c>
      <c r="B12" s="3" t="s">
        <v>28</v>
      </c>
      <c r="C12" s="3" t="str">
        <f t="shared" si="1"/>
        <v>9 </v>
      </c>
      <c r="D12" s="3" t="str">
        <f t="shared" si="2"/>
        <v>Argentina</v>
      </c>
      <c r="E12" s="2" t="s">
        <v>8</v>
      </c>
      <c r="F12" s="3" t="str">
        <f>IFERROR(__xludf.DUMMYFUNCTION("GOOGLETRANSLATE(D12,$D$1,$F$1)"),"Argentina")</f>
        <v>Argentina</v>
      </c>
      <c r="G12" s="3" t="s">
        <v>29</v>
      </c>
    </row>
    <row r="13">
      <c r="A13" s="3">
        <v>1.0</v>
      </c>
      <c r="B13" s="3" t="s">
        <v>30</v>
      </c>
      <c r="C13" s="3" t="str">
        <f t="shared" si="1"/>
        <v>9 </v>
      </c>
      <c r="D13" s="3" t="str">
        <f t="shared" si="2"/>
        <v>Russia</v>
      </c>
      <c r="E13" s="2" t="s">
        <v>8</v>
      </c>
      <c r="F13" s="3" t="str">
        <f>IFERROR(__xludf.DUMMYFUNCTION("GOOGLETRANSLATE(D13,$D$1,$F$1)"),"Nga")</f>
        <v>Nga</v>
      </c>
      <c r="G13" s="3" t="s">
        <v>31</v>
      </c>
    </row>
    <row r="14">
      <c r="A14" s="3">
        <v>1.0</v>
      </c>
      <c r="B14" s="3" t="s">
        <v>32</v>
      </c>
      <c r="C14" s="3" t="str">
        <f t="shared" si="1"/>
        <v>9 </v>
      </c>
      <c r="D14" s="3" t="str">
        <f t="shared" si="2"/>
        <v>China</v>
      </c>
      <c r="E14" s="2" t="s">
        <v>8</v>
      </c>
      <c r="F14" s="3" t="str">
        <f>IFERROR(__xludf.DUMMYFUNCTION("GOOGLETRANSLATE(D14,$D$1,$F$1)"),"Trung Quốc")</f>
        <v>Trung Quốc</v>
      </c>
      <c r="G14" s="3" t="s">
        <v>33</v>
      </c>
    </row>
    <row r="15">
      <c r="A15" s="3">
        <v>1.0</v>
      </c>
      <c r="B15" s="3" t="s">
        <v>34</v>
      </c>
      <c r="C15" s="3" t="str">
        <f t="shared" si="1"/>
        <v>9 </v>
      </c>
      <c r="D15" s="3" t="str">
        <f t="shared" si="2"/>
        <v>Egypt</v>
      </c>
      <c r="E15" s="2" t="s">
        <v>8</v>
      </c>
      <c r="F15" s="3" t="str">
        <f>IFERROR(__xludf.DUMMYFUNCTION("GOOGLETRANSLATE(D15,$D$1,$F$1)"),"Ai Cập")</f>
        <v>Ai Cập</v>
      </c>
      <c r="G15" s="3" t="s">
        <v>35</v>
      </c>
    </row>
    <row r="16">
      <c r="A16" s="3">
        <v>1.0</v>
      </c>
      <c r="B16" s="3" t="s">
        <v>36</v>
      </c>
      <c r="C16" s="3" t="str">
        <f t="shared" si="1"/>
        <v>9 </v>
      </c>
      <c r="D16" s="3" t="str">
        <f t="shared" si="2"/>
        <v>Poland</v>
      </c>
      <c r="E16" s="2" t="s">
        <v>8</v>
      </c>
      <c r="F16" s="3" t="str">
        <f>IFERROR(__xludf.DUMMYFUNCTION("GOOGLETRANSLATE(D16,$D$1,$F$1)"),"Ba Lan")</f>
        <v>Ba Lan</v>
      </c>
      <c r="G16" s="3" t="s">
        <v>37</v>
      </c>
    </row>
    <row r="17">
      <c r="A17" s="3">
        <v>1.0</v>
      </c>
      <c r="B17" s="3" t="s">
        <v>38</v>
      </c>
      <c r="C17" s="3" t="str">
        <f t="shared" si="1"/>
        <v>9 </v>
      </c>
      <c r="D17" s="3" t="str">
        <f t="shared" si="2"/>
        <v>Spain</v>
      </c>
      <c r="E17" s="2" t="s">
        <v>8</v>
      </c>
      <c r="F17" s="3" t="str">
        <f>IFERROR(__xludf.DUMMYFUNCTION("GOOGLETRANSLATE(D17,$D$1,$F$1)"),"Tây Ban Nha")</f>
        <v>Tây Ban Nha</v>
      </c>
      <c r="G17" s="3" t="s">
        <v>39</v>
      </c>
    </row>
    <row r="18">
      <c r="A18" s="3">
        <v>1.0</v>
      </c>
      <c r="B18" s="3" t="s">
        <v>40</v>
      </c>
      <c r="C18" s="3" t="str">
        <f t="shared" si="1"/>
        <v>9 </v>
      </c>
      <c r="D18" s="3" t="str">
        <f t="shared" si="2"/>
        <v>Germany</v>
      </c>
      <c r="E18" s="2" t="s">
        <v>8</v>
      </c>
      <c r="F18" s="3" t="str">
        <f>IFERROR(__xludf.DUMMYFUNCTION("GOOGLETRANSLATE(D18,$D$1,$F$1)"),"nước Đức")</f>
        <v>nước Đức</v>
      </c>
      <c r="G18" s="3" t="s">
        <v>41</v>
      </c>
    </row>
    <row r="19">
      <c r="A19" s="3">
        <v>1.0</v>
      </c>
      <c r="B19" s="3" t="s">
        <v>42</v>
      </c>
      <c r="C19" s="3" t="str">
        <f t="shared" si="1"/>
        <v>9 </v>
      </c>
      <c r="D19" s="3" t="str">
        <f t="shared" si="2"/>
        <v>Thailand</v>
      </c>
      <c r="E19" s="2" t="s">
        <v>8</v>
      </c>
      <c r="F19" s="3" t="str">
        <f>IFERROR(__xludf.DUMMYFUNCTION("GOOGLETRANSLATE(D19,$D$1,$F$1)"),"nước Thái Lan")</f>
        <v>nước Thái Lan</v>
      </c>
      <c r="G19" s="3" t="s">
        <v>43</v>
      </c>
    </row>
    <row r="20">
      <c r="A20" s="3">
        <v>1.0</v>
      </c>
      <c r="B20" s="3" t="s">
        <v>44</v>
      </c>
      <c r="C20" s="3" t="str">
        <f t="shared" si="1"/>
        <v>9 </v>
      </c>
      <c r="D20" s="3" t="str">
        <f t="shared" si="2"/>
        <v>capital</v>
      </c>
      <c r="E20" s="2" t="s">
        <v>8</v>
      </c>
      <c r="F20" s="3" t="str">
        <f>IFERROR(__xludf.DUMMYFUNCTION("GOOGLETRANSLATE(D20,$D$1,$F$1)"),"thủ đô")</f>
        <v>thủ đô</v>
      </c>
      <c r="G20" s="3" t="s">
        <v>45</v>
      </c>
    </row>
    <row r="21">
      <c r="A21" s="3">
        <v>1.0</v>
      </c>
      <c r="B21" s="3" t="s">
        <v>46</v>
      </c>
      <c r="C21" s="3" t="str">
        <f t="shared" si="1"/>
        <v>10 </v>
      </c>
      <c r="D21" s="3" t="str">
        <f t="shared" si="2"/>
        <v>Turkey</v>
      </c>
      <c r="E21" s="2" t="s">
        <v>8</v>
      </c>
      <c r="F21" s="3" t="str">
        <f>IFERROR(__xludf.DUMMYFUNCTION("GOOGLETRANSLATE(D21,$D$1,$F$1)"),"gà tây")</f>
        <v>gà tây</v>
      </c>
      <c r="G21" s="3" t="s">
        <v>47</v>
      </c>
    </row>
    <row r="22">
      <c r="A22" s="3">
        <v>1.0</v>
      </c>
      <c r="B22" s="3" t="s">
        <v>48</v>
      </c>
      <c r="C22" s="3" t="str">
        <f t="shared" si="1"/>
        <v>10 </v>
      </c>
      <c r="D22" s="3" t="str">
        <f t="shared" si="2"/>
        <v>Australia</v>
      </c>
      <c r="E22" s="2" t="s">
        <v>8</v>
      </c>
      <c r="F22" s="3" t="str">
        <f>IFERROR(__xludf.DUMMYFUNCTION("GOOGLETRANSLATE(D22,$D$1,$F$1)"),"Châu Úc")</f>
        <v>Châu Úc</v>
      </c>
      <c r="G22" s="3" t="s">
        <v>49</v>
      </c>
    </row>
    <row r="23">
      <c r="A23" s="3">
        <v>1.0</v>
      </c>
      <c r="B23" s="3" t="s">
        <v>50</v>
      </c>
      <c r="C23" s="3" t="str">
        <f t="shared" si="1"/>
        <v>10 </v>
      </c>
      <c r="D23" s="3" t="str">
        <f t="shared" si="2"/>
        <v>Japan</v>
      </c>
      <c r="E23" s="2" t="s">
        <v>8</v>
      </c>
      <c r="F23" s="3" t="str">
        <f>IFERROR(__xludf.DUMMYFUNCTION("GOOGLETRANSLATE(D23,$D$1,$F$1)"),"Nhật Bản")</f>
        <v>Nhật Bản</v>
      </c>
      <c r="G23" s="3" t="s">
        <v>51</v>
      </c>
    </row>
    <row r="24">
      <c r="A24" s="3">
        <v>1.0</v>
      </c>
      <c r="B24" s="3" t="s">
        <v>52</v>
      </c>
      <c r="C24" s="3" t="str">
        <f t="shared" si="1"/>
        <v>10 </v>
      </c>
      <c r="D24" s="3" t="str">
        <f t="shared" si="2"/>
        <v>Korea</v>
      </c>
      <c r="E24" s="2" t="s">
        <v>8</v>
      </c>
      <c r="F24" s="3" t="str">
        <f>IFERROR(__xludf.DUMMYFUNCTION("GOOGLETRANSLATE(D24,$D$1,$F$1)"),"Hàn Quốc")</f>
        <v>Hàn Quốc</v>
      </c>
      <c r="G24" s="3" t="s">
        <v>53</v>
      </c>
    </row>
    <row r="25">
      <c r="A25" s="3">
        <v>1.0</v>
      </c>
      <c r="B25" s="3" t="s">
        <v>54</v>
      </c>
      <c r="C25" s="3" t="str">
        <f t="shared" si="1"/>
        <v>10 </v>
      </c>
      <c r="D25" s="3" t="str">
        <f t="shared" si="2"/>
        <v>France</v>
      </c>
      <c r="E25" s="2" t="s">
        <v>8</v>
      </c>
      <c r="F25" s="3" t="str">
        <f>IFERROR(__xludf.DUMMYFUNCTION("GOOGLETRANSLATE(D25,$D$1,$F$1)"),"Pháp")</f>
        <v>Pháp</v>
      </c>
      <c r="G25" s="3" t="s">
        <v>55</v>
      </c>
    </row>
    <row r="26">
      <c r="A26" s="3">
        <v>1.0</v>
      </c>
      <c r="B26" s="3" t="s">
        <v>56</v>
      </c>
      <c r="C26" s="3" t="str">
        <f t="shared" si="1"/>
        <v>10 </v>
      </c>
      <c r="D26" s="3" t="str">
        <f t="shared" si="2"/>
        <v>British</v>
      </c>
      <c r="E26" s="2" t="s">
        <v>8</v>
      </c>
      <c r="F26" s="3" t="str">
        <f>IFERROR(__xludf.DUMMYFUNCTION("GOOGLETRANSLATE(D26,$D$1,$F$1)"),"người Anh")</f>
        <v>người Anh</v>
      </c>
      <c r="G26" s="3" t="s">
        <v>57</v>
      </c>
    </row>
    <row r="27">
      <c r="A27" s="3">
        <v>1.0</v>
      </c>
      <c r="B27" s="3" t="s">
        <v>58</v>
      </c>
      <c r="C27" s="3" t="str">
        <f t="shared" si="1"/>
        <v>10 </v>
      </c>
      <c r="D27" s="3" t="str">
        <f t="shared" si="2"/>
        <v>American</v>
      </c>
      <c r="E27" s="2" t="s">
        <v>8</v>
      </c>
      <c r="F27" s="3" t="str">
        <f>IFERROR(__xludf.DUMMYFUNCTION("GOOGLETRANSLATE(D27,$D$1,$F$1)"),"Người Mỹ")</f>
        <v>Người Mỹ</v>
      </c>
      <c r="G27" s="3" t="s">
        <v>59</v>
      </c>
    </row>
    <row r="28">
      <c r="A28" s="3">
        <v>1.0</v>
      </c>
      <c r="B28" s="3" t="s">
        <v>60</v>
      </c>
      <c r="C28" s="3" t="str">
        <f t="shared" si="1"/>
        <v>10 </v>
      </c>
      <c r="D28" s="3" t="str">
        <f t="shared" si="2"/>
        <v>Japanese</v>
      </c>
      <c r="E28" s="2" t="s">
        <v>8</v>
      </c>
      <c r="F28" s="3" t="str">
        <f>IFERROR(__xludf.DUMMYFUNCTION("GOOGLETRANSLATE(D28,$D$1,$F$1)"),"tiếng Nhật")</f>
        <v>tiếng Nhật</v>
      </c>
      <c r="G28" s="3" t="s">
        <v>61</v>
      </c>
    </row>
    <row r="29">
      <c r="A29" s="3">
        <v>1.0</v>
      </c>
      <c r="B29" s="3" t="s">
        <v>62</v>
      </c>
      <c r="C29" s="3" t="str">
        <f t="shared" si="1"/>
        <v>10 </v>
      </c>
      <c r="D29" s="3" t="str">
        <f t="shared" si="2"/>
        <v>Chinese</v>
      </c>
      <c r="E29" s="2" t="s">
        <v>8</v>
      </c>
      <c r="F29" s="3" t="str">
        <f>IFERROR(__xludf.DUMMYFUNCTION("GOOGLETRANSLATE(D29,$D$1,$F$1)"),"người Trung Quốc")</f>
        <v>người Trung Quốc</v>
      </c>
      <c r="G29" s="3" t="s">
        <v>63</v>
      </c>
    </row>
    <row r="30">
      <c r="A30" s="3">
        <v>1.0</v>
      </c>
      <c r="B30" s="3" t="s">
        <v>64</v>
      </c>
      <c r="C30" s="3" t="str">
        <f t="shared" si="1"/>
        <v>10 </v>
      </c>
      <c r="D30" s="3" t="str">
        <f t="shared" si="2"/>
        <v>Polish</v>
      </c>
      <c r="E30" s="2" t="s">
        <v>8</v>
      </c>
      <c r="F30" s="3" t="str">
        <f>IFERROR(__xludf.DUMMYFUNCTION("GOOGLETRANSLATE(D30,$D$1,$F$1)"),"đánh bóng")</f>
        <v>đánh bóng</v>
      </c>
      <c r="G30" s="3" t="s">
        <v>65</v>
      </c>
    </row>
    <row r="31">
      <c r="A31" s="3">
        <v>1.0</v>
      </c>
      <c r="B31" s="3" t="s">
        <v>66</v>
      </c>
      <c r="C31" s="3" t="str">
        <f t="shared" si="1"/>
        <v>10 </v>
      </c>
      <c r="D31" s="3" t="str">
        <f t="shared" si="2"/>
        <v>Italian</v>
      </c>
      <c r="E31" s="2" t="s">
        <v>8</v>
      </c>
      <c r="F31" s="3" t="str">
        <f>IFERROR(__xludf.DUMMYFUNCTION("GOOGLETRANSLATE(D31,$D$1,$F$1)"),"người Ý")</f>
        <v>người Ý</v>
      </c>
      <c r="G31" s="3" t="s">
        <v>67</v>
      </c>
    </row>
    <row r="32">
      <c r="A32" s="3">
        <v>1.0</v>
      </c>
      <c r="B32" s="3" t="s">
        <v>68</v>
      </c>
      <c r="C32" s="3" t="str">
        <f t="shared" si="1"/>
        <v>10 </v>
      </c>
      <c r="D32" s="3" t="str">
        <f t="shared" si="2"/>
        <v>Korean</v>
      </c>
      <c r="E32" s="2" t="s">
        <v>8</v>
      </c>
      <c r="F32" s="3" t="str">
        <f>IFERROR(__xludf.DUMMYFUNCTION("GOOGLETRANSLATE(D32,$D$1,$F$1)"),"Hàn Quốc")</f>
        <v>Hàn Quốc</v>
      </c>
      <c r="G32" s="3" t="s">
        <v>69</v>
      </c>
    </row>
    <row r="33">
      <c r="A33" s="3">
        <v>1.0</v>
      </c>
      <c r="B33" s="3" t="s">
        <v>70</v>
      </c>
      <c r="C33" s="3" t="str">
        <f t="shared" si="1"/>
        <v>10 </v>
      </c>
      <c r="D33" s="3" t="str">
        <f t="shared" si="2"/>
        <v>Russian</v>
      </c>
      <c r="E33" s="2" t="s">
        <v>8</v>
      </c>
      <c r="F33" s="3" t="str">
        <f>IFERROR(__xludf.DUMMYFUNCTION("GOOGLETRANSLATE(D33,$D$1,$F$1)"),"tiếng Nga")</f>
        <v>tiếng Nga</v>
      </c>
      <c r="G33" s="3" t="s">
        <v>71</v>
      </c>
    </row>
    <row r="34">
      <c r="A34" s="3">
        <v>1.0</v>
      </c>
      <c r="B34" s="3" t="s">
        <v>72</v>
      </c>
      <c r="C34" s="3" t="str">
        <f t="shared" si="1"/>
        <v>10 </v>
      </c>
      <c r="D34" s="3" t="str">
        <f t="shared" si="2"/>
        <v>French</v>
      </c>
      <c r="E34" s="2" t="s">
        <v>8</v>
      </c>
      <c r="F34" s="3" t="str">
        <f>IFERROR(__xludf.DUMMYFUNCTION("GOOGLETRANSLATE(D34,$D$1,$F$1)"),"người Pháp")</f>
        <v>người Pháp</v>
      </c>
      <c r="G34" s="3" t="s">
        <v>73</v>
      </c>
    </row>
    <row r="35">
      <c r="A35" s="3">
        <v>1.0</v>
      </c>
      <c r="B35" s="3" t="s">
        <v>74</v>
      </c>
      <c r="C35" s="3" t="str">
        <f t="shared" si="1"/>
        <v>10 </v>
      </c>
      <c r="D35" s="3" t="str">
        <f t="shared" si="2"/>
        <v>Spanish</v>
      </c>
      <c r="E35" s="2" t="s">
        <v>8</v>
      </c>
      <c r="F35" s="3" t="str">
        <f>IFERROR(__xludf.DUMMYFUNCTION("GOOGLETRANSLATE(D35,$D$1,$F$1)"),"người Tây Ban Nha")</f>
        <v>người Tây Ban Nha</v>
      </c>
      <c r="G35" s="3" t="s">
        <v>75</v>
      </c>
    </row>
    <row r="36">
      <c r="A36" s="3">
        <v>1.0</v>
      </c>
      <c r="B36" s="3" t="s">
        <v>76</v>
      </c>
      <c r="C36" s="3" t="str">
        <f t="shared" si="1"/>
        <v>10 </v>
      </c>
      <c r="D36" s="3" t="str">
        <f t="shared" si="2"/>
        <v>Turkish</v>
      </c>
      <c r="E36" s="2" t="s">
        <v>8</v>
      </c>
      <c r="F36" s="3" t="str">
        <f>IFERROR(__xludf.DUMMYFUNCTION("GOOGLETRANSLATE(D36,$D$1,$F$1)"),"Thổ Nhĩ Kỳ")</f>
        <v>Thổ Nhĩ Kỳ</v>
      </c>
      <c r="G36" s="3" t="s">
        <v>77</v>
      </c>
    </row>
    <row r="37">
      <c r="A37" s="3">
        <v>1.0</v>
      </c>
      <c r="B37" s="3" t="s">
        <v>78</v>
      </c>
      <c r="C37" s="3" t="str">
        <f t="shared" si="1"/>
        <v>10 </v>
      </c>
      <c r="D37" s="3" t="str">
        <f t="shared" si="2"/>
        <v>Australian</v>
      </c>
      <c r="E37" s="2" t="s">
        <v>8</v>
      </c>
      <c r="F37" s="3" t="str">
        <f>IFERROR(__xludf.DUMMYFUNCTION("GOOGLETRANSLATE(D37,$D$1,$F$1)"),"người Úc")</f>
        <v>người Úc</v>
      </c>
      <c r="G37" s="3" t="s">
        <v>79</v>
      </c>
    </row>
    <row r="38">
      <c r="A38" s="3">
        <v>1.0</v>
      </c>
      <c r="B38" s="3" t="s">
        <v>80</v>
      </c>
      <c r="C38" s="3" t="str">
        <f t="shared" si="1"/>
        <v>10 </v>
      </c>
      <c r="D38" s="3" t="str">
        <f t="shared" si="2"/>
        <v>stress</v>
      </c>
      <c r="E38" s="2" t="s">
        <v>8</v>
      </c>
      <c r="F38" s="3" t="str">
        <f>IFERROR(__xludf.DUMMYFUNCTION("GOOGLETRANSLATE(D38,$D$1,$F$1)"),"nhấn mạnh")</f>
        <v>nhấn mạnh</v>
      </c>
      <c r="G38" s="3" t="s">
        <v>81</v>
      </c>
    </row>
    <row r="39">
      <c r="A39" s="3">
        <v>1.0</v>
      </c>
      <c r="B39" s="3" t="s">
        <v>82</v>
      </c>
      <c r="C39" s="3" t="str">
        <f t="shared" si="1"/>
        <v>10 </v>
      </c>
      <c r="D39" s="3" t="str">
        <f t="shared" si="2"/>
        <v>general knowledge</v>
      </c>
      <c r="E39" s="2" t="s">
        <v>8</v>
      </c>
      <c r="F39" s="3" t="str">
        <f>IFERROR(__xludf.DUMMYFUNCTION("GOOGLETRANSLATE(D39,$D$1,$F$1)"),"kiến thức chung")</f>
        <v>kiến thức chung</v>
      </c>
      <c r="G39" s="3" t="s">
        <v>83</v>
      </c>
    </row>
    <row r="40">
      <c r="A40" s="3">
        <v>1.0</v>
      </c>
      <c r="B40" s="3" t="s">
        <v>84</v>
      </c>
      <c r="C40" s="3" t="str">
        <f t="shared" si="1"/>
        <v>10 </v>
      </c>
      <c r="D40" s="3" t="str">
        <f t="shared" si="2"/>
        <v>quiz</v>
      </c>
      <c r="E40" s="2" t="s">
        <v>8</v>
      </c>
      <c r="F40" s="3" t="str">
        <f>IFERROR(__xludf.DUMMYFUNCTION("GOOGLETRANSLATE(D40,$D$1,$F$1)"),"đố")</f>
        <v>đố</v>
      </c>
      <c r="G40" s="3" t="s">
        <v>85</v>
      </c>
    </row>
    <row r="41">
      <c r="A41" s="3">
        <v>1.0</v>
      </c>
      <c r="B41" s="3" t="s">
        <v>86</v>
      </c>
      <c r="C41" s="3" t="str">
        <f t="shared" si="1"/>
        <v>10 </v>
      </c>
      <c r="D41" s="3" t="str">
        <f t="shared" si="2"/>
        <v>Arabic</v>
      </c>
      <c r="E41" s="2" t="s">
        <v>8</v>
      </c>
      <c r="F41" s="3" t="str">
        <f>IFERROR(__xludf.DUMMYFUNCTION("GOOGLETRANSLATE(D41,$D$1,$F$1)"),"tiếng Ả Rập")</f>
        <v>tiếng Ả Rập</v>
      </c>
      <c r="G41" s="3" t="s">
        <v>87</v>
      </c>
    </row>
    <row r="42">
      <c r="A42" s="3">
        <v>1.0</v>
      </c>
      <c r="B42" s="3" t="s">
        <v>88</v>
      </c>
      <c r="C42" s="3" t="str">
        <f t="shared" si="1"/>
        <v>10 </v>
      </c>
      <c r="D42" s="3" t="str">
        <f t="shared" si="2"/>
        <v>actress</v>
      </c>
      <c r="E42" s="2" t="s">
        <v>8</v>
      </c>
      <c r="F42" s="3" t="str">
        <f>IFERROR(__xludf.DUMMYFUNCTION("GOOGLETRANSLATE(D42,$D$1,$F$1)"),"nữ diễn viên")</f>
        <v>nữ diễn viên</v>
      </c>
      <c r="G42" s="3" t="s">
        <v>89</v>
      </c>
    </row>
    <row r="43">
      <c r="A43" s="3">
        <v>1.0</v>
      </c>
      <c r="B43" s="3" t="s">
        <v>90</v>
      </c>
      <c r="C43" s="3" t="str">
        <f t="shared" si="1"/>
        <v>11 </v>
      </c>
      <c r="D43" s="3" t="str">
        <f t="shared" si="2"/>
        <v>university</v>
      </c>
      <c r="E43" s="2" t="s">
        <v>8</v>
      </c>
      <c r="F43" s="3" t="str">
        <f>IFERROR(__xludf.DUMMYFUNCTION("GOOGLETRANSLATE(D43,$D$1,$F$1)"),"trường đại học")</f>
        <v>trường đại học</v>
      </c>
      <c r="G43" s="3" t="s">
        <v>91</v>
      </c>
    </row>
    <row r="44">
      <c r="A44" s="3">
        <v>1.0</v>
      </c>
      <c r="B44" s="3" t="s">
        <v>92</v>
      </c>
      <c r="C44" s="3" t="str">
        <f t="shared" si="1"/>
        <v>11 </v>
      </c>
      <c r="D44" s="3" t="str">
        <f t="shared" si="2"/>
        <v>airport</v>
      </c>
      <c r="E44" s="2" t="s">
        <v>8</v>
      </c>
      <c r="F44" s="3" t="str">
        <f>IFERROR(__xludf.DUMMYFUNCTION("GOOGLETRANSLATE(D44,$D$1,$F$1)"),"sân bay")</f>
        <v>sân bay</v>
      </c>
      <c r="G44" s="3" t="s">
        <v>93</v>
      </c>
    </row>
    <row r="45">
      <c r="A45" s="3">
        <v>1.0</v>
      </c>
      <c r="B45" s="3" t="s">
        <v>94</v>
      </c>
      <c r="C45" s="3" t="str">
        <f t="shared" si="1"/>
        <v>11 </v>
      </c>
      <c r="D45" s="3" t="str">
        <f t="shared" si="2"/>
        <v>be on holiday</v>
      </c>
      <c r="E45" s="2" t="s">
        <v>8</v>
      </c>
      <c r="F45" s="3" t="str">
        <f>IFERROR(__xludf.DUMMYFUNCTION("GOOGLETRANSLATE(D45,$D$1,$F$1)"),"được đi nghỉ mát")</f>
        <v>được đi nghỉ mát</v>
      </c>
      <c r="G45" s="3" t="s">
        <v>95</v>
      </c>
    </row>
    <row r="46">
      <c r="A46" s="3">
        <v>1.0</v>
      </c>
      <c r="B46" s="3" t="s">
        <v>96</v>
      </c>
      <c r="C46" s="3" t="str">
        <f t="shared" si="1"/>
        <v>11 </v>
      </c>
      <c r="D46" s="3" t="str">
        <f t="shared" si="2"/>
        <v>be on business</v>
      </c>
      <c r="E46" s="2" t="s">
        <v>8</v>
      </c>
      <c r="F46" s="3" t="str">
        <f>IFERROR(__xludf.DUMMYFUNCTION("GOOGLETRANSLATE(D46,$D$1,$F$1)"),"được hoạt động kinh doanh")</f>
        <v>được hoạt động kinh doanh</v>
      </c>
      <c r="G46" s="3" t="s">
        <v>97</v>
      </c>
    </row>
    <row r="47">
      <c r="A47" s="3">
        <v>1.0</v>
      </c>
      <c r="B47" s="3" t="s">
        <v>98</v>
      </c>
      <c r="C47" s="3" t="str">
        <f t="shared" si="1"/>
        <v>11 </v>
      </c>
      <c r="D47" s="3" t="str">
        <f t="shared" si="2"/>
        <v>tourist</v>
      </c>
      <c r="E47" s="2" t="s">
        <v>8</v>
      </c>
      <c r="F47" s="3" t="str">
        <f>IFERROR(__xludf.DUMMYFUNCTION("GOOGLETRANSLATE(D47,$D$1,$F$1)"),"du khách")</f>
        <v>du khách</v>
      </c>
      <c r="G47" s="3" t="s">
        <v>99</v>
      </c>
    </row>
    <row r="48">
      <c r="A48" s="3">
        <v>1.0</v>
      </c>
      <c r="B48" s="3" t="s">
        <v>100</v>
      </c>
      <c r="C48" s="3" t="str">
        <f t="shared" si="1"/>
        <v>11 </v>
      </c>
      <c r="D48" s="3" t="str">
        <f t="shared" si="2"/>
        <v>married</v>
      </c>
      <c r="E48" s="2" t="s">
        <v>8</v>
      </c>
      <c r="F48" s="3" t="str">
        <f>IFERROR(__xludf.DUMMYFUNCTION("GOOGLETRANSLATE(D48,$D$1,$F$1)"),"cưới nhau")</f>
        <v>cưới nhau</v>
      </c>
      <c r="G48" s="3" t="s">
        <v>101</v>
      </c>
    </row>
    <row r="49">
      <c r="A49" s="3">
        <v>1.0</v>
      </c>
      <c r="B49" s="3" t="s">
        <v>102</v>
      </c>
      <c r="C49" s="3" t="str">
        <f t="shared" si="1"/>
        <v>11 </v>
      </c>
      <c r="D49" s="3" t="str">
        <f t="shared" si="2"/>
        <v>single</v>
      </c>
      <c r="E49" s="2" t="s">
        <v>8</v>
      </c>
      <c r="F49" s="3" t="str">
        <f>IFERROR(__xludf.DUMMYFUNCTION("GOOGLETRANSLATE(D49,$D$1,$F$1)"),"Độc thân")</f>
        <v>Độc thân</v>
      </c>
      <c r="G49" s="3" t="s">
        <v>103</v>
      </c>
    </row>
    <row r="50">
      <c r="A50" s="3">
        <v>1.0</v>
      </c>
      <c r="B50" s="3" t="s">
        <v>104</v>
      </c>
      <c r="C50" s="3" t="str">
        <f t="shared" si="1"/>
        <v>11 </v>
      </c>
      <c r="D50" s="3" t="str">
        <f t="shared" si="2"/>
        <v>lesson</v>
      </c>
      <c r="E50" s="2" t="s">
        <v>8</v>
      </c>
      <c r="F50" s="3" t="str">
        <f>IFERROR(__xludf.DUMMYFUNCTION("GOOGLETRANSLATE(D50,$D$1,$F$1)"),"bài học")</f>
        <v>bài học</v>
      </c>
      <c r="G50" s="3" t="s">
        <v>105</v>
      </c>
    </row>
    <row r="51">
      <c r="A51" s="3">
        <v>1.0</v>
      </c>
      <c r="B51" s="3" t="s">
        <v>106</v>
      </c>
      <c r="C51" s="3" t="str">
        <f t="shared" si="1"/>
        <v>11 </v>
      </c>
      <c r="D51" s="3" t="str">
        <f t="shared" si="2"/>
        <v>Scotland</v>
      </c>
      <c r="E51" s="2" t="s">
        <v>8</v>
      </c>
      <c r="F51" s="3" t="str">
        <f>IFERROR(__xludf.DUMMYFUNCTION("GOOGLETRANSLATE(D51,$D$1,$F$1)"),"Scotland")</f>
        <v>Scotland</v>
      </c>
      <c r="G51" s="3" t="s">
        <v>107</v>
      </c>
    </row>
    <row r="52">
      <c r="A52" s="3">
        <v>1.0</v>
      </c>
      <c r="B52" s="3" t="s">
        <v>108</v>
      </c>
      <c r="C52" s="3" t="str">
        <f t="shared" si="1"/>
        <v>11 </v>
      </c>
      <c r="D52" s="3" t="str">
        <f t="shared" si="2"/>
        <v>politician</v>
      </c>
      <c r="E52" s="2" t="s">
        <v>8</v>
      </c>
      <c r="F52" s="3" t="str">
        <f>IFERROR(__xludf.DUMMYFUNCTION("GOOGLETRANSLATE(D52,$D$1,$F$1)"),"chính trị")</f>
        <v>chính trị</v>
      </c>
      <c r="G52" s="3" t="s">
        <v>109</v>
      </c>
    </row>
    <row r="53">
      <c r="A53" s="3">
        <v>1.0</v>
      </c>
      <c r="B53" s="3" t="s">
        <v>110</v>
      </c>
      <c r="C53" s="3" t="str">
        <f t="shared" si="1"/>
        <v>11 </v>
      </c>
      <c r="D53" s="3" t="str">
        <f t="shared" si="2"/>
        <v>at work</v>
      </c>
      <c r="E53" s="2" t="s">
        <v>8</v>
      </c>
      <c r="F53" s="3" t="str">
        <f>IFERROR(__xludf.DUMMYFUNCTION("GOOGLETRANSLATE(D53,$D$1,$F$1)"),"tại nơi làm việc")</f>
        <v>tại nơi làm việc</v>
      </c>
      <c r="G53" s="3" t="s">
        <v>111</v>
      </c>
    </row>
    <row r="54">
      <c r="A54" s="3">
        <v>1.0</v>
      </c>
      <c r="B54" s="3" t="s">
        <v>112</v>
      </c>
      <c r="C54" s="3" t="str">
        <f t="shared" si="1"/>
        <v>12 </v>
      </c>
      <c r="D54" s="3" t="str">
        <f t="shared" si="2"/>
        <v>footballer</v>
      </c>
      <c r="E54" s="2" t="s">
        <v>8</v>
      </c>
      <c r="F54" s="3" t="str">
        <f>IFERROR(__xludf.DUMMYFUNCTION("GOOGLETRANSLATE(D54,$D$1,$F$1)"),"người chơi banh")</f>
        <v>người chơi banh</v>
      </c>
      <c r="G54" s="3" t="s">
        <v>113</v>
      </c>
    </row>
    <row r="55">
      <c r="A55" s="3">
        <v>1.0</v>
      </c>
      <c r="B55" s="3" t="s">
        <v>114</v>
      </c>
      <c r="C55" s="3" t="str">
        <f t="shared" si="1"/>
        <v>12 </v>
      </c>
      <c r="D55" s="3" t="str">
        <f t="shared" si="2"/>
        <v>musician</v>
      </c>
      <c r="E55" s="2" t="s">
        <v>8</v>
      </c>
      <c r="F55" s="3" t="str">
        <f>IFERROR(__xludf.DUMMYFUNCTION("GOOGLETRANSLATE(D55,$D$1,$F$1)"),"nhạc sĩ")</f>
        <v>nhạc sĩ</v>
      </c>
      <c r="G55" s="3" t="s">
        <v>115</v>
      </c>
    </row>
    <row r="56">
      <c r="A56" s="3">
        <v>1.0</v>
      </c>
      <c r="B56" s="3" t="s">
        <v>116</v>
      </c>
      <c r="C56" s="3" t="str">
        <f t="shared" si="1"/>
        <v>12 </v>
      </c>
      <c r="D56" s="3" t="str">
        <f t="shared" si="2"/>
        <v>engineer</v>
      </c>
      <c r="E56" s="2" t="s">
        <v>8</v>
      </c>
      <c r="F56" s="3" t="str">
        <f>IFERROR(__xludf.DUMMYFUNCTION("GOOGLETRANSLATE(D56,$D$1,$F$1)"),"kỹ sư")</f>
        <v>kỹ sư</v>
      </c>
      <c r="G56" s="3" t="s">
        <v>117</v>
      </c>
    </row>
    <row r="57">
      <c r="A57" s="3">
        <v>1.0</v>
      </c>
      <c r="B57" s="3" t="s">
        <v>118</v>
      </c>
      <c r="C57" s="3" t="str">
        <f t="shared" si="1"/>
        <v>12 </v>
      </c>
      <c r="D57" s="3" t="str">
        <f t="shared" si="2"/>
        <v>lawyer</v>
      </c>
      <c r="E57" s="2" t="s">
        <v>8</v>
      </c>
      <c r="F57" s="3" t="str">
        <f>IFERROR(__xludf.DUMMYFUNCTION("GOOGLETRANSLATE(D57,$D$1,$F$1)"),"luật sư")</f>
        <v>luật sư</v>
      </c>
      <c r="G57" s="3" t="s">
        <v>119</v>
      </c>
    </row>
    <row r="58">
      <c r="A58" s="3">
        <v>1.0</v>
      </c>
      <c r="B58" s="3" t="s">
        <v>120</v>
      </c>
      <c r="C58" s="3" t="str">
        <f t="shared" si="1"/>
        <v>12 </v>
      </c>
      <c r="D58" s="3" t="str">
        <f t="shared" si="2"/>
        <v>police officer</v>
      </c>
      <c r="E58" s="2" t="s">
        <v>8</v>
      </c>
      <c r="F58" s="3" t="str">
        <f>IFERROR(__xludf.DUMMYFUNCTION("GOOGLETRANSLATE(D58,$D$1,$F$1)"),"Cảnh sát")</f>
        <v>Cảnh sát</v>
      </c>
      <c r="G58" s="3" t="s">
        <v>121</v>
      </c>
    </row>
    <row r="59">
      <c r="A59" s="3">
        <v>1.0</v>
      </c>
      <c r="B59" s="3" t="s">
        <v>122</v>
      </c>
      <c r="C59" s="3" t="str">
        <f t="shared" si="1"/>
        <v>12 </v>
      </c>
      <c r="D59" s="3" t="str">
        <f t="shared" si="2"/>
        <v>PA (personal assistant)</v>
      </c>
      <c r="E59" s="2" t="s">
        <v>8</v>
      </c>
      <c r="F59" s="3" t="str">
        <f>IFERROR(__xludf.DUMMYFUNCTION("GOOGLETRANSLATE(D59,$D$1,$F$1)"),"PA (trợ lý cá nhân)")</f>
        <v>PA (trợ lý cá nhân)</v>
      </c>
      <c r="G59" s="3" t="s">
        <v>123</v>
      </c>
    </row>
    <row r="60">
      <c r="A60" s="3">
        <v>1.0</v>
      </c>
      <c r="B60" s="3" t="s">
        <v>124</v>
      </c>
      <c r="C60" s="3" t="str">
        <f t="shared" si="1"/>
        <v>12 </v>
      </c>
      <c r="D60" s="3" t="str">
        <f t="shared" si="2"/>
        <v>singer</v>
      </c>
      <c r="E60" s="2" t="s">
        <v>8</v>
      </c>
      <c r="F60" s="3" t="str">
        <f>IFERROR(__xludf.DUMMYFUNCTION("GOOGLETRANSLATE(D60,$D$1,$F$1)"),"ca sĩ")</f>
        <v>ca sĩ</v>
      </c>
      <c r="G60" s="3" t="s">
        <v>125</v>
      </c>
    </row>
    <row r="61">
      <c r="A61" s="3">
        <v>1.0</v>
      </c>
      <c r="B61" s="3" t="s">
        <v>126</v>
      </c>
      <c r="C61" s="3" t="str">
        <f t="shared" si="1"/>
        <v>12 </v>
      </c>
      <c r="D61" s="3" t="str">
        <f t="shared" si="2"/>
        <v>electrician</v>
      </c>
      <c r="E61" s="2" t="s">
        <v>8</v>
      </c>
      <c r="F61" s="3" t="str">
        <f>IFERROR(__xludf.DUMMYFUNCTION("GOOGLETRANSLATE(D61,$D$1,$F$1)"),"thợ điện")</f>
        <v>thợ điện</v>
      </c>
      <c r="G61" s="3" t="s">
        <v>127</v>
      </c>
    </row>
    <row r="62">
      <c r="A62" s="3">
        <v>1.0</v>
      </c>
      <c r="B62" s="3" t="s">
        <v>128</v>
      </c>
      <c r="C62" s="3" t="str">
        <f t="shared" si="1"/>
        <v>12 </v>
      </c>
      <c r="D62" s="3" t="str">
        <f t="shared" si="2"/>
        <v>shop assistant</v>
      </c>
      <c r="E62" s="2" t="s">
        <v>8</v>
      </c>
      <c r="F62" s="3" t="str">
        <f>IFERROR(__xludf.DUMMYFUNCTION("GOOGLETRANSLATE(D62,$D$1,$F$1)"),"Nhân viên bán hàng")</f>
        <v>Nhân viên bán hàng</v>
      </c>
      <c r="G62" s="3" t="s">
        <v>129</v>
      </c>
    </row>
    <row r="63">
      <c r="A63" s="3">
        <v>1.0</v>
      </c>
      <c r="B63" s="3" t="s">
        <v>130</v>
      </c>
      <c r="C63" s="3" t="str">
        <f t="shared" si="1"/>
        <v>12 </v>
      </c>
      <c r="D63" s="3" t="str">
        <f t="shared" si="2"/>
        <v>doctor</v>
      </c>
      <c r="E63" s="2" t="s">
        <v>8</v>
      </c>
      <c r="F63" s="3" t="str">
        <f>IFERROR(__xludf.DUMMYFUNCTION("GOOGLETRANSLATE(D63,$D$1,$F$1)"),"Bác sĩ")</f>
        <v>Bác sĩ</v>
      </c>
      <c r="G63" s="3" t="s">
        <v>131</v>
      </c>
    </row>
    <row r="64">
      <c r="A64" s="3">
        <v>1.0</v>
      </c>
      <c r="B64" s="3" t="s">
        <v>132</v>
      </c>
      <c r="C64" s="3" t="str">
        <f t="shared" si="1"/>
        <v>12 </v>
      </c>
      <c r="D64" s="3" t="str">
        <f t="shared" si="2"/>
        <v>nurse</v>
      </c>
      <c r="E64" s="2" t="s">
        <v>8</v>
      </c>
      <c r="F64" s="3" t="str">
        <f>IFERROR(__xludf.DUMMYFUNCTION("GOOGLETRANSLATE(D64,$D$1,$F$1)"),"y tá")</f>
        <v>y tá</v>
      </c>
      <c r="G64" s="3" t="s">
        <v>133</v>
      </c>
    </row>
    <row r="65">
      <c r="A65" s="3">
        <v>1.0</v>
      </c>
      <c r="B65" s="3" t="s">
        <v>134</v>
      </c>
      <c r="C65" s="3" t="str">
        <f t="shared" si="1"/>
        <v>12 </v>
      </c>
      <c r="D65" s="3" t="str">
        <f t="shared" si="2"/>
        <v>actor</v>
      </c>
      <c r="E65" s="2" t="s">
        <v>8</v>
      </c>
      <c r="F65" s="3" t="str">
        <f>IFERROR(__xludf.DUMMYFUNCTION("GOOGLETRANSLATE(D65,$D$1,$F$1)"),"diễn viên")</f>
        <v>diễn viên</v>
      </c>
      <c r="G65" s="3" t="s">
        <v>135</v>
      </c>
    </row>
    <row r="66">
      <c r="A66" s="3">
        <v>1.0</v>
      </c>
      <c r="B66" s="3" t="s">
        <v>136</v>
      </c>
      <c r="C66" s="3" t="str">
        <f t="shared" si="1"/>
        <v>12 </v>
      </c>
      <c r="D66" s="3" t="str">
        <f t="shared" si="2"/>
        <v>waiter</v>
      </c>
      <c r="E66" s="2" t="s">
        <v>8</v>
      </c>
      <c r="F66" s="3" t="str">
        <f>IFERROR(__xludf.DUMMYFUNCTION("GOOGLETRANSLATE(D66,$D$1,$F$1)"),"phục vụ nam")</f>
        <v>phục vụ nam</v>
      </c>
      <c r="G66" s="3" t="s">
        <v>137</v>
      </c>
    </row>
    <row r="67">
      <c r="A67" s="3">
        <v>1.0</v>
      </c>
      <c r="B67" s="3" t="s">
        <v>138</v>
      </c>
      <c r="C67" s="3" t="str">
        <f t="shared" si="1"/>
        <v>12 </v>
      </c>
      <c r="D67" s="3" t="str">
        <f t="shared" si="2"/>
        <v>waitress</v>
      </c>
      <c r="E67" s="2" t="s">
        <v>8</v>
      </c>
      <c r="F67" s="3" t="str">
        <f>IFERROR(__xludf.DUMMYFUNCTION("GOOGLETRANSLATE(D67,$D$1,$F$1)"),"nữ phục vụ")</f>
        <v>nữ phục vụ</v>
      </c>
      <c r="G67" s="3" t="s">
        <v>139</v>
      </c>
    </row>
    <row r="68">
      <c r="A68" s="3">
        <v>1.0</v>
      </c>
      <c r="B68" s="3" t="s">
        <v>140</v>
      </c>
      <c r="C68" s="3" t="str">
        <f t="shared" si="1"/>
        <v>12 </v>
      </c>
      <c r="D68" s="3" t="str">
        <f t="shared" si="2"/>
        <v>businessman</v>
      </c>
      <c r="E68" s="2" t="s">
        <v>8</v>
      </c>
      <c r="F68" s="3" t="str">
        <f>IFERROR(__xludf.DUMMYFUNCTION("GOOGLETRANSLATE(D68,$D$1,$F$1)"),"doanh nhân")</f>
        <v>doanh nhân</v>
      </c>
      <c r="G68" s="3" t="s">
        <v>141</v>
      </c>
    </row>
    <row r="69">
      <c r="A69" s="3">
        <v>1.0</v>
      </c>
      <c r="B69" s="3" t="s">
        <v>142</v>
      </c>
      <c r="C69" s="3" t="str">
        <f t="shared" si="1"/>
        <v>12 </v>
      </c>
      <c r="D69" s="3" t="str">
        <f t="shared" si="2"/>
        <v>businesswoman</v>
      </c>
      <c r="E69" s="2" t="s">
        <v>8</v>
      </c>
      <c r="F69" s="3" t="str">
        <f>IFERROR(__xludf.DUMMYFUNCTION("GOOGLETRANSLATE(D69,$D$1,$F$1)"),"nữ doanh nhân")</f>
        <v>nữ doanh nhân</v>
      </c>
      <c r="G69" s="3" t="s">
        <v>143</v>
      </c>
    </row>
    <row r="70">
      <c r="A70" s="3">
        <v>1.0</v>
      </c>
      <c r="B70" s="3" t="s">
        <v>144</v>
      </c>
      <c r="C70" s="3" t="str">
        <f t="shared" si="1"/>
        <v>12 </v>
      </c>
      <c r="D70" s="3" t="str">
        <f t="shared" si="2"/>
        <v>guess</v>
      </c>
      <c r="E70" s="2" t="s">
        <v>8</v>
      </c>
      <c r="F70" s="3" t="str">
        <f>IFERROR(__xludf.DUMMYFUNCTION("GOOGLETRANSLATE(D70,$D$1,$F$1)"),"phỏng đoán")</f>
        <v>phỏng đoán</v>
      </c>
      <c r="G70" s="3" t="s">
        <v>145</v>
      </c>
    </row>
    <row r="71">
      <c r="A71" s="3">
        <v>1.0</v>
      </c>
      <c r="B71" s="3" t="s">
        <v>146</v>
      </c>
      <c r="C71" s="3" t="str">
        <f t="shared" si="1"/>
        <v>12 </v>
      </c>
      <c r="D71" s="3" t="str">
        <f t="shared" si="2"/>
        <v>famous</v>
      </c>
      <c r="E71" s="2" t="s">
        <v>8</v>
      </c>
      <c r="F71" s="3" t="str">
        <f>IFERROR(__xludf.DUMMYFUNCTION("GOOGLETRANSLATE(D71,$D$1,$F$1)"),"nổi danh")</f>
        <v>nổi danh</v>
      </c>
      <c r="G71" s="3" t="s">
        <v>147</v>
      </c>
    </row>
    <row r="72">
      <c r="A72" s="3">
        <v>1.0</v>
      </c>
      <c r="B72" s="3" t="s">
        <v>148</v>
      </c>
      <c r="C72" s="3" t="str">
        <f t="shared" si="1"/>
        <v>13 </v>
      </c>
      <c r="D72" s="3" t="str">
        <f t="shared" si="2"/>
        <v>full name</v>
      </c>
      <c r="E72" s="2" t="s">
        <v>8</v>
      </c>
      <c r="F72" s="3" t="str">
        <f>IFERROR(__xludf.DUMMYFUNCTION("GOOGLETRANSLATE(D72,$D$1,$F$1)"),"Họ và tên")</f>
        <v>Họ và tên</v>
      </c>
      <c r="G72" s="3" t="s">
        <v>149</v>
      </c>
    </row>
    <row r="73">
      <c r="A73" s="3">
        <v>1.0</v>
      </c>
      <c r="B73" s="3" t="s">
        <v>150</v>
      </c>
      <c r="C73" s="3" t="str">
        <f t="shared" si="1"/>
        <v>14 </v>
      </c>
      <c r="D73" s="3" t="str">
        <f t="shared" si="2"/>
        <v>first name</v>
      </c>
      <c r="E73" s="2" t="s">
        <v>8</v>
      </c>
      <c r="F73" s="3" t="str">
        <f>IFERROR(__xludf.DUMMYFUNCTION("GOOGLETRANSLATE(D73,$D$1,$F$1)"),"tên đầu tiên")</f>
        <v>tên đầu tiên</v>
      </c>
      <c r="G73" s="3" t="s">
        <v>151</v>
      </c>
    </row>
    <row r="74">
      <c r="A74" s="3">
        <v>1.0</v>
      </c>
      <c r="B74" s="3" t="s">
        <v>152</v>
      </c>
      <c r="C74" s="3" t="str">
        <f t="shared" si="1"/>
        <v>14 </v>
      </c>
      <c r="D74" s="3" t="str">
        <f t="shared" si="2"/>
        <v>surname</v>
      </c>
      <c r="E74" s="2" t="s">
        <v>8</v>
      </c>
      <c r="F74" s="3" t="str">
        <f>IFERROR(__xludf.DUMMYFUNCTION("GOOGLETRANSLATE(D74,$D$1,$F$1)"),"họ")</f>
        <v>họ</v>
      </c>
      <c r="G74" s="3" t="s">
        <v>153</v>
      </c>
    </row>
    <row r="75">
      <c r="A75" s="3">
        <v>1.0</v>
      </c>
      <c r="B75" s="3" t="s">
        <v>154</v>
      </c>
      <c r="C75" s="3" t="str">
        <f t="shared" si="1"/>
        <v>14 </v>
      </c>
      <c r="D75" s="3" t="str">
        <f t="shared" si="2"/>
        <v>mobile</v>
      </c>
      <c r="E75" s="2" t="s">
        <v>8</v>
      </c>
      <c r="F75" s="3" t="str">
        <f>IFERROR(__xludf.DUMMYFUNCTION("GOOGLETRANSLATE(D75,$D$1,$F$1)"),"di động")</f>
        <v>di động</v>
      </c>
      <c r="G75" s="3" t="s">
        <v>155</v>
      </c>
    </row>
    <row r="76">
      <c r="A76" s="3">
        <v>1.0</v>
      </c>
      <c r="B76" s="3" t="s">
        <v>156</v>
      </c>
      <c r="C76" s="3" t="str">
        <f t="shared" si="1"/>
        <v>14 </v>
      </c>
      <c r="D76" s="3" t="str">
        <f t="shared" si="2"/>
        <v>husband</v>
      </c>
      <c r="E76" s="2" t="s">
        <v>8</v>
      </c>
      <c r="F76" s="3" t="str">
        <f>IFERROR(__xludf.DUMMYFUNCTION("GOOGLETRANSLATE(D76,$D$1,$F$1)"),"người chồng")</f>
        <v>người chồng</v>
      </c>
      <c r="G76" s="3" t="s">
        <v>157</v>
      </c>
    </row>
    <row r="77">
      <c r="A77" s="3">
        <v>1.0</v>
      </c>
      <c r="B77" s="3" t="s">
        <v>158</v>
      </c>
      <c r="C77" s="3" t="str">
        <f t="shared" si="1"/>
        <v>14 </v>
      </c>
      <c r="D77" s="3" t="str">
        <f t="shared" si="2"/>
        <v>employee</v>
      </c>
      <c r="E77" s="2" t="s">
        <v>8</v>
      </c>
      <c r="F77" s="3" t="str">
        <f>IFERROR(__xludf.DUMMYFUNCTION("GOOGLETRANSLATE(D77,$D$1,$F$1)"),"Nhân viên")</f>
        <v>Nhân viên</v>
      </c>
      <c r="G77" s="3" t="s">
        <v>159</v>
      </c>
    </row>
    <row r="78">
      <c r="A78" s="3">
        <v>1.0</v>
      </c>
      <c r="B78" s="3" t="s">
        <v>160</v>
      </c>
      <c r="C78" s="3" t="str">
        <f t="shared" si="1"/>
        <v>14 </v>
      </c>
      <c r="D78" s="3" t="str">
        <f t="shared" si="2"/>
        <v>personal data</v>
      </c>
      <c r="E78" s="2" t="s">
        <v>8</v>
      </c>
      <c r="F78" s="3" t="str">
        <f>IFERROR(__xludf.DUMMYFUNCTION("GOOGLETRANSLATE(D78,$D$1,$F$1)"),"dữ liệu cá nhân")</f>
        <v>dữ liệu cá nhân</v>
      </c>
      <c r="G78" s="3" t="s">
        <v>161</v>
      </c>
    </row>
    <row r="79">
      <c r="A79" s="3">
        <v>1.0</v>
      </c>
      <c r="B79" s="3" t="s">
        <v>162</v>
      </c>
      <c r="C79" s="3" t="str">
        <f t="shared" si="1"/>
        <v>14 </v>
      </c>
      <c r="D79" s="3" t="str">
        <f t="shared" si="2"/>
        <v>date of birth</v>
      </c>
      <c r="E79" s="2" t="s">
        <v>8</v>
      </c>
      <c r="F79" s="3" t="str">
        <f>IFERROR(__xludf.DUMMYFUNCTION("GOOGLETRANSLATE(D79,$D$1,$F$1)"),"ngày sinh")</f>
        <v>ngày sinh</v>
      </c>
      <c r="G79" s="3" t="s">
        <v>163</v>
      </c>
    </row>
    <row r="80">
      <c r="A80" s="3">
        <v>1.0</v>
      </c>
      <c r="B80" s="3" t="s">
        <v>164</v>
      </c>
      <c r="C80" s="3" t="str">
        <f t="shared" si="1"/>
        <v>14 </v>
      </c>
      <c r="D80" s="3" t="str">
        <f t="shared" si="2"/>
        <v>place of birth</v>
      </c>
      <c r="E80" s="2" t="s">
        <v>8</v>
      </c>
      <c r="F80" s="3" t="str">
        <f>IFERROR(__xludf.DUMMYFUNCTION("GOOGLETRANSLATE(D80,$D$1,$F$1)"),"Nơi sinh")</f>
        <v>Nơi sinh</v>
      </c>
      <c r="G80" s="3" t="s">
        <v>165</v>
      </c>
    </row>
    <row r="81">
      <c r="A81" s="3">
        <v>1.0</v>
      </c>
      <c r="B81" s="3" t="s">
        <v>166</v>
      </c>
      <c r="C81" s="3" t="str">
        <f t="shared" si="1"/>
        <v>14 </v>
      </c>
      <c r="D81" s="3" t="str">
        <f t="shared" si="2"/>
        <v>contact (v)</v>
      </c>
      <c r="E81" s="2" t="s">
        <v>8</v>
      </c>
      <c r="F81" s="3" t="str">
        <f>IFERROR(__xludf.DUMMYFUNCTION("GOOGLETRANSLATE(D81,$D$1,$F$1)"),"tiếp xúc (v)")</f>
        <v>tiếp xúc (v)</v>
      </c>
      <c r="G81" s="3" t="s">
        <v>167</v>
      </c>
    </row>
    <row r="82">
      <c r="A82" s="3">
        <v>1.0</v>
      </c>
      <c r="B82" s="3" t="s">
        <v>168</v>
      </c>
      <c r="C82" s="3" t="str">
        <f t="shared" si="1"/>
        <v>14 </v>
      </c>
      <c r="D82" s="3" t="str">
        <f t="shared" si="2"/>
        <v>emergency</v>
      </c>
      <c r="E82" s="2" t="s">
        <v>8</v>
      </c>
      <c r="F82" s="3" t="str">
        <f>IFERROR(__xludf.DUMMYFUNCTION("GOOGLETRANSLATE(D82,$D$1,$F$1)"),"trường hợp khẩn cấp")</f>
        <v>trường hợp khẩn cấp</v>
      </c>
      <c r="G82" s="3" t="s">
        <v>169</v>
      </c>
    </row>
    <row r="83">
      <c r="A83" s="3">
        <v>1.0</v>
      </c>
      <c r="B83" s="3" t="s">
        <v>170</v>
      </c>
      <c r="C83" s="3" t="str">
        <f t="shared" si="1"/>
        <v>15 </v>
      </c>
      <c r="D83" s="3" t="str">
        <f t="shared" si="2"/>
        <v>current</v>
      </c>
      <c r="E83" s="2" t="s">
        <v>8</v>
      </c>
      <c r="F83" s="3" t="str">
        <f>IFERROR(__xludf.DUMMYFUNCTION("GOOGLETRANSLATE(D83,$D$1,$F$1)"),"hiện hành")</f>
        <v>hiện hành</v>
      </c>
      <c r="G83" s="3" t="s">
        <v>171</v>
      </c>
    </row>
    <row r="84">
      <c r="A84" s="3">
        <v>1.0</v>
      </c>
      <c r="B84" s="3" t="s">
        <v>172</v>
      </c>
      <c r="C84" s="3" t="str">
        <f t="shared" si="1"/>
        <v>15 </v>
      </c>
      <c r="D84" s="3" t="str">
        <f t="shared" si="2"/>
        <v>account statement</v>
      </c>
      <c r="E84" s="2" t="s">
        <v>8</v>
      </c>
      <c r="F84" s="3" t="str">
        <f>IFERROR(__xludf.DUMMYFUNCTION("GOOGLETRANSLATE(D84,$D$1,$F$1)"),"sao kê tài khoản")</f>
        <v>sao kê tài khoản</v>
      </c>
      <c r="G84" s="3" t="s">
        <v>173</v>
      </c>
    </row>
    <row r="85">
      <c r="A85" s="3">
        <v>1.0</v>
      </c>
      <c r="B85" s="3" t="s">
        <v>174</v>
      </c>
      <c r="C85" s="3" t="str">
        <f t="shared" si="1"/>
        <v>15 </v>
      </c>
      <c r="D85" s="3" t="str">
        <f t="shared" si="2"/>
        <v>account name</v>
      </c>
      <c r="E85" s="2" t="s">
        <v>8</v>
      </c>
      <c r="F85" s="3" t="str">
        <f>IFERROR(__xludf.DUMMYFUNCTION("GOOGLETRANSLATE(D85,$D$1,$F$1)"),"tên tài khoản")</f>
        <v>tên tài khoản</v>
      </c>
      <c r="G85" s="3" t="s">
        <v>175</v>
      </c>
    </row>
    <row r="86">
      <c r="A86" s="3">
        <v>1.0</v>
      </c>
      <c r="B86" s="3" t="s">
        <v>176</v>
      </c>
      <c r="C86" s="3" t="str">
        <f t="shared" si="1"/>
        <v>15 </v>
      </c>
      <c r="D86" s="3" t="str">
        <f t="shared" si="2"/>
        <v>account number</v>
      </c>
      <c r="E86" s="2" t="s">
        <v>8</v>
      </c>
      <c r="F86" s="3" t="str">
        <f>IFERROR(__xludf.DUMMYFUNCTION("GOOGLETRANSLATE(D86,$D$1,$F$1)"),"số tài khoản")</f>
        <v>số tài khoản</v>
      </c>
      <c r="G86" s="3" t="s">
        <v>177</v>
      </c>
    </row>
    <row r="87">
      <c r="A87" s="3">
        <v>1.0</v>
      </c>
      <c r="B87" s="3" t="s">
        <v>178</v>
      </c>
      <c r="C87" s="3" t="str">
        <f t="shared" si="1"/>
        <v>15 </v>
      </c>
      <c r="D87" s="3" t="str">
        <f t="shared" si="2"/>
        <v>branch</v>
      </c>
      <c r="E87" s="2" t="s">
        <v>8</v>
      </c>
      <c r="F87" s="3" t="str">
        <f>IFERROR(__xludf.DUMMYFUNCTION("GOOGLETRANSLATE(D87,$D$1,$F$1)"),"chi nhánh")</f>
        <v>chi nhánh</v>
      </c>
      <c r="G87" s="3" t="s">
        <v>179</v>
      </c>
    </row>
    <row r="88">
      <c r="A88" s="3">
        <v>1.0</v>
      </c>
      <c r="B88" s="3" t="s">
        <v>180</v>
      </c>
      <c r="C88" s="3" t="str">
        <f t="shared" si="1"/>
        <v>15 </v>
      </c>
      <c r="D88" s="3" t="str">
        <f t="shared" si="2"/>
        <v>place of study</v>
      </c>
      <c r="E88" s="2" t="s">
        <v>8</v>
      </c>
      <c r="F88" s="3" t="str">
        <f>IFERROR(__xludf.DUMMYFUNCTION("GOOGLETRANSLATE(D88,$D$1,$F$1)"),"nơi học")</f>
        <v>nơi học</v>
      </c>
      <c r="G88" s="3" t="s">
        <v>181</v>
      </c>
    </row>
    <row r="89">
      <c r="A89" s="3">
        <v>1.0</v>
      </c>
      <c r="B89" s="3" t="s">
        <v>182</v>
      </c>
      <c r="C89" s="3" t="str">
        <f t="shared" si="1"/>
        <v>15 </v>
      </c>
      <c r="D89" s="3" t="str">
        <f t="shared" si="2"/>
        <v>course of study</v>
      </c>
      <c r="E89" s="2" t="s">
        <v>8</v>
      </c>
      <c r="F89" s="3" t="str">
        <f>IFERROR(__xludf.DUMMYFUNCTION("GOOGLETRANSLATE(D89,$D$1,$F$1)"),"khoa học")</f>
        <v>khoa học</v>
      </c>
      <c r="G89" s="3" t="s">
        <v>183</v>
      </c>
    </row>
    <row r="90">
      <c r="A90" s="3">
        <v>1.0</v>
      </c>
      <c r="B90" s="3" t="s">
        <v>184</v>
      </c>
      <c r="C90" s="3" t="str">
        <f t="shared" si="1"/>
        <v>15 </v>
      </c>
      <c r="D90" s="3" t="str">
        <f t="shared" si="2"/>
        <v>entitle</v>
      </c>
      <c r="E90" s="2" t="s">
        <v>8</v>
      </c>
      <c r="F90" s="3" t="str">
        <f>IFERROR(__xludf.DUMMYFUNCTION("GOOGLETRANSLATE(D90,$D$1,$F$1)"),"cho phép")</f>
        <v>cho phép</v>
      </c>
      <c r="G90" s="3" t="s">
        <v>185</v>
      </c>
    </row>
    <row r="91">
      <c r="A91" s="3">
        <v>1.0</v>
      </c>
      <c r="B91" s="3" t="s">
        <v>186</v>
      </c>
      <c r="C91" s="3" t="str">
        <f t="shared" si="1"/>
        <v>15 </v>
      </c>
      <c r="D91" s="3" t="str">
        <f t="shared" si="2"/>
        <v>use</v>
      </c>
      <c r="E91" s="2" t="s">
        <v>8</v>
      </c>
      <c r="F91" s="3" t="str">
        <f>IFERROR(__xludf.DUMMYFUNCTION("GOOGLETRANSLATE(D91,$D$1,$F$1)"),"sử dụng")</f>
        <v>sử dụng</v>
      </c>
      <c r="G91" s="3" t="s">
        <v>187</v>
      </c>
    </row>
    <row r="92">
      <c r="A92" s="3">
        <v>1.0</v>
      </c>
      <c r="B92" s="3" t="s">
        <v>188</v>
      </c>
      <c r="C92" s="3" t="str">
        <f t="shared" si="1"/>
        <v>15 </v>
      </c>
      <c r="D92" s="3" t="str">
        <f t="shared" si="2"/>
        <v>facilities</v>
      </c>
      <c r="E92" s="2" t="s">
        <v>8</v>
      </c>
      <c r="F92" s="3" t="str">
        <f>IFERROR(__xludf.DUMMYFUNCTION("GOOGLETRANSLATE(D92,$D$1,$F$1)"),"cơ sở vật chất")</f>
        <v>cơ sở vật chất</v>
      </c>
      <c r="G92" s="3" t="s">
        <v>189</v>
      </c>
    </row>
    <row r="93">
      <c r="A93" s="3">
        <v>1.0</v>
      </c>
      <c r="B93" s="3" t="s">
        <v>190</v>
      </c>
      <c r="C93" s="3" t="str">
        <f t="shared" si="1"/>
        <v>15 </v>
      </c>
      <c r="D93" s="3" t="str">
        <f t="shared" si="2"/>
        <v>include</v>
      </c>
      <c r="E93" s="2" t="s">
        <v>8</v>
      </c>
      <c r="F93" s="3" t="str">
        <f>IFERROR(__xludf.DUMMYFUNCTION("GOOGLETRANSLATE(D93,$D$1,$F$1)"),"bao gồm")</f>
        <v>bao gồm</v>
      </c>
      <c r="G93" s="3" t="s">
        <v>191</v>
      </c>
    </row>
    <row r="94">
      <c r="A94" s="3">
        <v>1.0</v>
      </c>
      <c r="B94" s="3" t="s">
        <v>192</v>
      </c>
      <c r="C94" s="3" t="str">
        <f t="shared" si="1"/>
        <v>15 </v>
      </c>
      <c r="D94" s="3" t="str">
        <f t="shared" si="2"/>
        <v>library</v>
      </c>
      <c r="E94" s="2" t="s">
        <v>8</v>
      </c>
      <c r="F94" s="3" t="str">
        <f>IFERROR(__xludf.DUMMYFUNCTION("GOOGLETRANSLATE(D94,$D$1,$F$1)"),"thư viện")</f>
        <v>thư viện</v>
      </c>
      <c r="G94" s="3" t="s">
        <v>193</v>
      </c>
    </row>
    <row r="95">
      <c r="A95" s="3">
        <v>1.0</v>
      </c>
      <c r="B95" s="3" t="s">
        <v>194</v>
      </c>
      <c r="C95" s="3" t="str">
        <f t="shared" si="1"/>
        <v>15 </v>
      </c>
      <c r="D95" s="3" t="str">
        <f t="shared" si="2"/>
        <v>spell</v>
      </c>
      <c r="E95" s="2" t="s">
        <v>8</v>
      </c>
      <c r="F95" s="3" t="str">
        <f>IFERROR(__xludf.DUMMYFUNCTION("GOOGLETRANSLATE(D95,$D$1,$F$1)"),"Đánh vần")</f>
        <v>Đánh vần</v>
      </c>
      <c r="G95" s="3" t="s">
        <v>195</v>
      </c>
    </row>
    <row r="96">
      <c r="A96" s="3">
        <v>1.0</v>
      </c>
      <c r="B96" s="3" t="s">
        <v>196</v>
      </c>
      <c r="C96" s="3" t="str">
        <f t="shared" si="1"/>
        <v>15 </v>
      </c>
      <c r="D96" s="3" t="str">
        <f t="shared" si="2"/>
        <v>useful</v>
      </c>
      <c r="E96" s="2" t="s">
        <v>8</v>
      </c>
      <c r="F96" s="3" t="str">
        <f>IFERROR(__xludf.DUMMYFUNCTION("GOOGLETRANSLATE(D96,$D$1,$F$1)"),"hữu ích")</f>
        <v>hữu ích</v>
      </c>
      <c r="G96" s="3" t="s">
        <v>197</v>
      </c>
    </row>
    <row r="97">
      <c r="A97" s="3">
        <v>1.0</v>
      </c>
      <c r="B97" s="3" t="s">
        <v>198</v>
      </c>
      <c r="C97" s="3" t="str">
        <f t="shared" si="1"/>
        <v>16 </v>
      </c>
      <c r="D97" s="3" t="str">
        <f t="shared" si="2"/>
        <v>occupation</v>
      </c>
      <c r="E97" s="2" t="s">
        <v>8</v>
      </c>
      <c r="F97" s="3" t="str">
        <f>IFERROR(__xludf.DUMMYFUNCTION("GOOGLETRANSLATE(D97,$D$1,$F$1)"),"nghề")</f>
        <v>nghề</v>
      </c>
      <c r="G97" s="3" t="s">
        <v>199</v>
      </c>
    </row>
    <row r="98">
      <c r="A98" s="3">
        <v>1.0</v>
      </c>
      <c r="B98" s="3" t="s">
        <v>200</v>
      </c>
      <c r="C98" s="3" t="str">
        <f t="shared" si="1"/>
        <v>16 </v>
      </c>
      <c r="D98" s="3" t="str">
        <f t="shared" si="2"/>
        <v>age</v>
      </c>
      <c r="E98" s="2" t="s">
        <v>8</v>
      </c>
      <c r="F98" s="3" t="str">
        <f>IFERROR(__xludf.DUMMYFUNCTION("GOOGLETRANSLATE(D98,$D$1,$F$1)"),"tuổi tác")</f>
        <v>tuổi tác</v>
      </c>
      <c r="G98" s="3" t="s">
        <v>201</v>
      </c>
    </row>
    <row r="99">
      <c r="A99" s="3">
        <v>1.0</v>
      </c>
      <c r="B99" s="3" t="s">
        <v>202</v>
      </c>
      <c r="C99" s="3" t="str">
        <f t="shared" si="1"/>
        <v>17 </v>
      </c>
      <c r="D99" s="3" t="str">
        <f t="shared" si="2"/>
        <v>capital letter</v>
      </c>
      <c r="E99" s="2" t="s">
        <v>8</v>
      </c>
      <c r="F99" s="3" t="str">
        <f>IFERROR(__xludf.DUMMYFUNCTION("GOOGLETRANSLATE(D99,$D$1,$F$1)"),"chữ viết hoa")</f>
        <v>chữ viết hoa</v>
      </c>
      <c r="G99" s="3" t="s">
        <v>203</v>
      </c>
    </row>
    <row r="100">
      <c r="A100" s="3">
        <v>1.0</v>
      </c>
      <c r="B100" s="3" t="s">
        <v>204</v>
      </c>
      <c r="C100" s="3" t="str">
        <f t="shared" si="1"/>
        <v>17 </v>
      </c>
      <c r="D100" s="3" t="str">
        <f t="shared" si="2"/>
        <v>notebook</v>
      </c>
      <c r="E100" s="2" t="s">
        <v>8</v>
      </c>
      <c r="F100" s="3" t="str">
        <f>IFERROR(__xludf.DUMMYFUNCTION("GOOGLETRANSLATE(D100,$D$1,$F$1)"),"sổ tay")</f>
        <v>sổ tay</v>
      </c>
      <c r="G100" s="3" t="s">
        <v>205</v>
      </c>
    </row>
    <row r="101">
      <c r="A101" s="3">
        <v>2.0</v>
      </c>
      <c r="B101" s="3" t="s">
        <v>206</v>
      </c>
      <c r="C101" s="3" t="str">
        <f t="shared" si="1"/>
        <v>18 </v>
      </c>
      <c r="D101" s="3" t="str">
        <f t="shared" si="2"/>
        <v>parcel</v>
      </c>
      <c r="E101" s="2" t="s">
        <v>8</v>
      </c>
      <c r="F101" s="3" t="str">
        <f>IFERROR(__xludf.DUMMYFUNCTION("GOOGLETRANSLATE(D101,$D$1,$F$1)"),"Bưu kiện")</f>
        <v>Bưu kiện</v>
      </c>
      <c r="G101" s="3" t="s">
        <v>207</v>
      </c>
    </row>
    <row r="102">
      <c r="A102" s="3">
        <v>2.0</v>
      </c>
      <c r="B102" s="3" t="s">
        <v>208</v>
      </c>
      <c r="C102" s="3" t="str">
        <f t="shared" si="1"/>
        <v>18 </v>
      </c>
      <c r="D102" s="3" t="str">
        <f t="shared" si="2"/>
        <v>oh right</v>
      </c>
      <c r="E102" s="2" t="s">
        <v>8</v>
      </c>
      <c r="F102" s="3" t="str">
        <f>IFERROR(__xludf.DUMMYFUNCTION("GOOGLETRANSLATE(D102,$D$1,$F$1)"),"ô đúng rồi")</f>
        <v>ô đúng rồi</v>
      </c>
      <c r="G102" s="3" t="s">
        <v>209</v>
      </c>
    </row>
    <row r="103">
      <c r="A103" s="3">
        <v>2.0</v>
      </c>
      <c r="B103" s="3" t="s">
        <v>210</v>
      </c>
      <c r="C103" s="3" t="str">
        <f t="shared" si="1"/>
        <v>18 </v>
      </c>
      <c r="D103" s="3" t="str">
        <f t="shared" si="2"/>
        <v>over there</v>
      </c>
      <c r="E103" s="2" t="s">
        <v>8</v>
      </c>
      <c r="F103" s="3" t="str">
        <f>IFERROR(__xludf.DUMMYFUNCTION("GOOGLETRANSLATE(D103,$D$1,$F$1)"),"đằng kia")</f>
        <v>đằng kia</v>
      </c>
      <c r="G103" s="3" t="s">
        <v>211</v>
      </c>
    </row>
    <row r="104">
      <c r="A104" s="3">
        <v>2.0</v>
      </c>
      <c r="B104" s="3" t="s">
        <v>212</v>
      </c>
      <c r="C104" s="3" t="str">
        <f t="shared" si="1"/>
        <v>18 </v>
      </c>
      <c r="D104" s="3" t="str">
        <f t="shared" si="2"/>
        <v>lovely</v>
      </c>
      <c r="E104" s="2" t="s">
        <v>8</v>
      </c>
      <c r="F104" s="3" t="str">
        <f>IFERROR(__xludf.DUMMYFUNCTION("GOOGLETRANSLATE(D104,$D$1,$F$1)"),"đáng yêu")</f>
        <v>đáng yêu</v>
      </c>
      <c r="G104" s="3" t="s">
        <v>213</v>
      </c>
    </row>
    <row r="105">
      <c r="A105" s="3">
        <v>2.0</v>
      </c>
      <c r="B105" s="3" t="s">
        <v>214</v>
      </c>
      <c r="C105" s="3" t="str">
        <f t="shared" si="1"/>
        <v>18 </v>
      </c>
      <c r="D105" s="3" t="str">
        <f t="shared" si="2"/>
        <v>car keys</v>
      </c>
      <c r="E105" s="2" t="s">
        <v>8</v>
      </c>
      <c r="F105" s="3" t="str">
        <f>IFERROR(__xludf.DUMMYFUNCTION("GOOGLETRANSLATE(D105,$D$1,$F$1)"),"chìa khóa xe")</f>
        <v>chìa khóa xe</v>
      </c>
      <c r="G105" s="3" t="s">
        <v>215</v>
      </c>
    </row>
    <row r="106">
      <c r="A106" s="3">
        <v>2.0</v>
      </c>
      <c r="B106" s="3" t="s">
        <v>216</v>
      </c>
      <c r="C106" s="3" t="str">
        <f t="shared" si="1"/>
        <v>19 </v>
      </c>
      <c r="D106" s="3" t="str">
        <f t="shared" si="2"/>
        <v>everyday objects</v>
      </c>
      <c r="E106" s="2" t="s">
        <v>8</v>
      </c>
      <c r="F106" s="3" t="str">
        <f>IFERROR(__xludf.DUMMYFUNCTION("GOOGLETRANSLATE(D106,$D$1,$F$1)"),"vật dụng hàng ngày")</f>
        <v>vật dụng hàng ngày</v>
      </c>
      <c r="G106" s="3" t="s">
        <v>217</v>
      </c>
    </row>
    <row r="107">
      <c r="A107" s="3">
        <v>2.0</v>
      </c>
      <c r="B107" s="3" t="s">
        <v>218</v>
      </c>
      <c r="C107" s="3" t="str">
        <f t="shared" si="1"/>
        <v>19 </v>
      </c>
      <c r="D107" s="3" t="str">
        <f t="shared" si="2"/>
        <v>camera</v>
      </c>
      <c r="E107" s="2" t="s">
        <v>8</v>
      </c>
      <c r="F107" s="3" t="str">
        <f>IFERROR(__xludf.DUMMYFUNCTION("GOOGLETRANSLATE(D107,$D$1,$F$1)"),"Máy ảnh")</f>
        <v>Máy ảnh</v>
      </c>
      <c r="G107" s="3" t="s">
        <v>219</v>
      </c>
    </row>
    <row r="108">
      <c r="A108" s="3">
        <v>2.0</v>
      </c>
      <c r="B108" s="3" t="s">
        <v>220</v>
      </c>
      <c r="C108" s="3" t="str">
        <f t="shared" si="1"/>
        <v>19 </v>
      </c>
      <c r="D108" s="3" t="str">
        <f t="shared" si="2"/>
        <v>credit card</v>
      </c>
      <c r="E108" s="2" t="s">
        <v>8</v>
      </c>
      <c r="F108" s="3" t="str">
        <f>IFERROR(__xludf.DUMMYFUNCTION("GOOGLETRANSLATE(D108,$D$1,$F$1)"),"thẻ tín dụng")</f>
        <v>thẻ tín dụng</v>
      </c>
      <c r="G108" s="3" t="s">
        <v>221</v>
      </c>
    </row>
    <row r="109">
      <c r="A109" s="3">
        <v>2.0</v>
      </c>
      <c r="B109" s="3" t="s">
        <v>222</v>
      </c>
      <c r="C109" s="3" t="str">
        <f t="shared" si="1"/>
        <v>19 </v>
      </c>
      <c r="D109" s="3" t="str">
        <f t="shared" si="2"/>
        <v>stamps</v>
      </c>
      <c r="E109" s="2" t="s">
        <v>8</v>
      </c>
      <c r="F109" s="3" t="str">
        <f>IFERROR(__xludf.DUMMYFUNCTION("GOOGLETRANSLATE(D109,$D$1,$F$1)"),"tem")</f>
        <v>tem</v>
      </c>
      <c r="G109" s="3" t="s">
        <v>223</v>
      </c>
    </row>
    <row r="110">
      <c r="A110" s="3">
        <v>2.0</v>
      </c>
      <c r="B110" s="3" t="s">
        <v>224</v>
      </c>
      <c r="C110" s="3" t="str">
        <f t="shared" si="1"/>
        <v>19 </v>
      </c>
      <c r="D110" s="3" t="str">
        <f t="shared" si="2"/>
        <v>mobile phone</v>
      </c>
      <c r="E110" s="2" t="s">
        <v>8</v>
      </c>
      <c r="F110" s="3" t="str">
        <f>IFERROR(__xludf.DUMMYFUNCTION("GOOGLETRANSLATE(D110,$D$1,$F$1)"),"điện thoại di động")</f>
        <v>điện thoại di động</v>
      </c>
      <c r="G110" s="3" t="s">
        <v>225</v>
      </c>
    </row>
    <row r="111">
      <c r="A111" s="3">
        <v>2.0</v>
      </c>
      <c r="B111" s="3" t="s">
        <v>226</v>
      </c>
      <c r="C111" s="3" t="str">
        <f t="shared" si="1"/>
        <v>19 </v>
      </c>
      <c r="D111" s="3" t="str">
        <f t="shared" si="2"/>
        <v>brush</v>
      </c>
      <c r="E111" s="2" t="s">
        <v>8</v>
      </c>
      <c r="F111" s="3" t="str">
        <f>IFERROR(__xludf.DUMMYFUNCTION("GOOGLETRANSLATE(D111,$D$1,$F$1)"),"chải")</f>
        <v>chải</v>
      </c>
      <c r="G111" s="3" t="s">
        <v>227</v>
      </c>
    </row>
    <row r="112">
      <c r="A112" s="3">
        <v>2.0</v>
      </c>
      <c r="B112" s="3" t="s">
        <v>228</v>
      </c>
      <c r="C112" s="3" t="str">
        <f t="shared" si="1"/>
        <v>19 </v>
      </c>
      <c r="D112" s="3" t="str">
        <f t="shared" si="2"/>
        <v>diary</v>
      </c>
      <c r="E112" s="2" t="s">
        <v>8</v>
      </c>
      <c r="F112" s="3" t="str">
        <f>IFERROR(__xludf.DUMMYFUNCTION("GOOGLETRANSLATE(D112,$D$1,$F$1)"),"Nhật ký")</f>
        <v>Nhật ký</v>
      </c>
      <c r="G112" s="3" t="s">
        <v>229</v>
      </c>
    </row>
    <row r="113">
      <c r="A113" s="3">
        <v>2.0</v>
      </c>
      <c r="B113" s="3" t="s">
        <v>230</v>
      </c>
      <c r="C113" s="3" t="str">
        <f t="shared" si="1"/>
        <v>19 </v>
      </c>
      <c r="D113" s="3" t="str">
        <f t="shared" si="2"/>
        <v>coin</v>
      </c>
      <c r="E113" s="2" t="s">
        <v>8</v>
      </c>
      <c r="F113" s="3" t="str">
        <f>IFERROR(__xludf.DUMMYFUNCTION("GOOGLETRANSLATE(D113,$D$1,$F$1)"),"đồng tiền")</f>
        <v>đồng tiền</v>
      </c>
      <c r="G113" s="3" t="s">
        <v>231</v>
      </c>
    </row>
    <row r="114">
      <c r="A114" s="3">
        <v>2.0</v>
      </c>
      <c r="B114" s="3" t="s">
        <v>232</v>
      </c>
      <c r="C114" s="3" t="str">
        <f t="shared" si="1"/>
        <v>19 </v>
      </c>
      <c r="D114" s="3" t="str">
        <f t="shared" si="2"/>
        <v>cheque book</v>
      </c>
      <c r="E114" s="2" t="s">
        <v>8</v>
      </c>
      <c r="F114" s="3" t="str">
        <f>IFERROR(__xludf.DUMMYFUNCTION("GOOGLETRANSLATE(D114,$D$1,$F$1)"),"kiểm tra sổ sách")</f>
        <v>kiểm tra sổ sách</v>
      </c>
      <c r="G114" s="3" t="s">
        <v>233</v>
      </c>
    </row>
    <row r="115">
      <c r="A115" s="3">
        <v>2.0</v>
      </c>
      <c r="B115" s="3" t="s">
        <v>234</v>
      </c>
      <c r="C115" s="3" t="str">
        <f t="shared" si="1"/>
        <v>19 </v>
      </c>
      <c r="D115" s="3" t="str">
        <f t="shared" si="2"/>
        <v>phone card</v>
      </c>
      <c r="E115" s="2" t="s">
        <v>8</v>
      </c>
      <c r="F115" s="3" t="str">
        <f>IFERROR(__xludf.DUMMYFUNCTION("GOOGLETRANSLATE(D115,$D$1,$F$1)"),"thẻ điện thoại")</f>
        <v>thẻ điện thoại</v>
      </c>
      <c r="G115" s="3" t="s">
        <v>235</v>
      </c>
    </row>
    <row r="116">
      <c r="A116" s="3">
        <v>2.0</v>
      </c>
      <c r="B116" s="3" t="s">
        <v>236</v>
      </c>
      <c r="C116" s="3" t="str">
        <f t="shared" si="1"/>
        <v>19 </v>
      </c>
      <c r="D116" s="3" t="str">
        <f t="shared" si="2"/>
        <v>dictionary</v>
      </c>
      <c r="E116" s="2" t="s">
        <v>8</v>
      </c>
      <c r="F116" s="3" t="str">
        <f>IFERROR(__xludf.DUMMYFUNCTION("GOOGLETRANSLATE(D116,$D$1,$F$1)"),"tự điển")</f>
        <v>tự điển</v>
      </c>
      <c r="G116" s="3" t="s">
        <v>237</v>
      </c>
    </row>
    <row r="117">
      <c r="A117" s="3">
        <v>2.0</v>
      </c>
      <c r="B117" s="3" t="s">
        <v>238</v>
      </c>
      <c r="C117" s="3" t="str">
        <f t="shared" si="1"/>
        <v>19 </v>
      </c>
      <c r="D117" s="3" t="str">
        <f t="shared" si="2"/>
        <v>identity card</v>
      </c>
      <c r="E117" s="2" t="s">
        <v>8</v>
      </c>
      <c r="F117" s="3" t="str">
        <f>IFERROR(__xludf.DUMMYFUNCTION("GOOGLETRANSLATE(D117,$D$1,$F$1)"),"Chứng minh thư")</f>
        <v>Chứng minh thư</v>
      </c>
      <c r="G117" s="3" t="s">
        <v>239</v>
      </c>
    </row>
    <row r="118">
      <c r="A118" s="3">
        <v>2.0</v>
      </c>
      <c r="B118" s="3" t="s">
        <v>240</v>
      </c>
      <c r="C118" s="3" t="str">
        <f t="shared" si="1"/>
        <v>19 </v>
      </c>
      <c r="D118" s="3" t="str">
        <f t="shared" si="2"/>
        <v>tissue</v>
      </c>
      <c r="E118" s="2" t="s">
        <v>8</v>
      </c>
      <c r="F118" s="3" t="str">
        <f>IFERROR(__xludf.DUMMYFUNCTION("GOOGLETRANSLATE(D118,$D$1,$F$1)"),"mô")</f>
        <v>mô</v>
      </c>
      <c r="G118" s="3" t="s">
        <v>241</v>
      </c>
    </row>
    <row r="119">
      <c r="A119" s="3">
        <v>2.0</v>
      </c>
      <c r="B119" s="3" t="s">
        <v>242</v>
      </c>
      <c r="C119" s="3" t="str">
        <f t="shared" si="1"/>
        <v>19 </v>
      </c>
      <c r="D119" s="3" t="str">
        <f t="shared" si="2"/>
        <v>wallet</v>
      </c>
      <c r="E119" s="2" t="s">
        <v>8</v>
      </c>
      <c r="F119" s="3" t="str">
        <f>IFERROR(__xludf.DUMMYFUNCTION("GOOGLETRANSLATE(D119,$D$1,$F$1)"),"ví tiền")</f>
        <v>ví tiền</v>
      </c>
      <c r="G119" s="3" t="s">
        <v>243</v>
      </c>
    </row>
    <row r="120">
      <c r="A120" s="3">
        <v>2.0</v>
      </c>
      <c r="B120" s="3" t="s">
        <v>244</v>
      </c>
      <c r="C120" s="3" t="str">
        <f t="shared" si="1"/>
        <v>19 </v>
      </c>
      <c r="D120" s="3" t="str">
        <f t="shared" si="2"/>
        <v>sweets</v>
      </c>
      <c r="E120" s="2" t="s">
        <v>8</v>
      </c>
      <c r="F120" s="3" t="str">
        <f>IFERROR(__xludf.DUMMYFUNCTION("GOOGLETRANSLATE(D120,$D$1,$F$1)"),"Kẹo")</f>
        <v>Kẹo</v>
      </c>
      <c r="G120" s="3" t="s">
        <v>245</v>
      </c>
    </row>
    <row r="121">
      <c r="A121" s="3">
        <v>2.0</v>
      </c>
      <c r="B121" s="3" t="s">
        <v>246</v>
      </c>
      <c r="C121" s="3" t="str">
        <f t="shared" si="1"/>
        <v>19 </v>
      </c>
      <c r="D121" s="3" t="str">
        <f t="shared" si="2"/>
        <v>glasses</v>
      </c>
      <c r="E121" s="2" t="s">
        <v>8</v>
      </c>
      <c r="F121" s="3" t="str">
        <f>IFERROR(__xludf.DUMMYFUNCTION("GOOGLETRANSLATE(D121,$D$1,$F$1)"),"kính")</f>
        <v>kính</v>
      </c>
      <c r="G121" s="3" t="s">
        <v>247</v>
      </c>
    </row>
    <row r="122">
      <c r="A122" s="3">
        <v>2.0</v>
      </c>
      <c r="B122" s="3" t="s">
        <v>248</v>
      </c>
      <c r="C122" s="3" t="str">
        <f t="shared" si="1"/>
        <v>19 </v>
      </c>
      <c r="D122" s="3" t="str">
        <f t="shared" si="2"/>
        <v>cassette player</v>
      </c>
      <c r="E122" s="2" t="s">
        <v>8</v>
      </c>
      <c r="F122" s="3" t="str">
        <f>IFERROR(__xludf.DUMMYFUNCTION("GOOGLETRANSLATE(D122,$D$1,$F$1)"),"máy cát-xét")</f>
        <v>máy cát-xét</v>
      </c>
      <c r="G122" s="3" t="s">
        <v>249</v>
      </c>
    </row>
    <row r="123">
      <c r="A123" s="3">
        <v>2.0</v>
      </c>
      <c r="B123" s="3" t="s">
        <v>250</v>
      </c>
      <c r="C123" s="3" t="str">
        <f t="shared" si="1"/>
        <v>20 </v>
      </c>
      <c r="D123" s="3" t="str">
        <f t="shared" si="2"/>
        <v>what's the matter?</v>
      </c>
      <c r="E123" s="2" t="s">
        <v>8</v>
      </c>
      <c r="F123" s="3" t="str">
        <f>IFERROR(__xludf.DUMMYFUNCTION("GOOGLETRANSLATE(D123,$D$1,$F$1)"),"Có chuyện gì?")</f>
        <v>Có chuyện gì?</v>
      </c>
      <c r="G123" s="3" t="s">
        <v>251</v>
      </c>
    </row>
    <row r="124">
      <c r="A124" s="3">
        <v>2.0</v>
      </c>
      <c r="B124" s="3" t="s">
        <v>252</v>
      </c>
      <c r="C124" s="3" t="str">
        <f t="shared" si="1"/>
        <v>20 </v>
      </c>
      <c r="D124" s="3" t="str">
        <f t="shared" si="2"/>
        <v>have with you</v>
      </c>
      <c r="E124" s="2" t="s">
        <v>8</v>
      </c>
      <c r="F124" s="3" t="str">
        <f>IFERROR(__xludf.DUMMYFUNCTION("GOOGLETRANSLATE(D124,$D$1,$F$1)"),"có với bạn")</f>
        <v>có với bạn</v>
      </c>
      <c r="G124" s="3" t="s">
        <v>253</v>
      </c>
    </row>
    <row r="125">
      <c r="A125" s="3">
        <v>2.0</v>
      </c>
      <c r="B125" s="3" t="s">
        <v>254</v>
      </c>
      <c r="C125" s="3" t="str">
        <f t="shared" si="1"/>
        <v>20 </v>
      </c>
      <c r="D125" s="3" t="str">
        <f t="shared" si="2"/>
        <v>rich</v>
      </c>
      <c r="E125" s="2" t="s">
        <v>8</v>
      </c>
      <c r="F125" s="3" t="str">
        <f>IFERROR(__xludf.DUMMYFUNCTION("GOOGLETRANSLATE(D125,$D$1,$F$1)"),"giàu có")</f>
        <v>giàu có</v>
      </c>
      <c r="G125" s="3" t="s">
        <v>255</v>
      </c>
    </row>
    <row r="126">
      <c r="A126" s="3">
        <v>2.0</v>
      </c>
      <c r="B126" s="3" t="s">
        <v>256</v>
      </c>
      <c r="C126" s="3" t="str">
        <f t="shared" si="1"/>
        <v>20 </v>
      </c>
      <c r="D126" s="3" t="str">
        <f t="shared" si="2"/>
        <v>motorbike</v>
      </c>
      <c r="E126" s="2" t="s">
        <v>8</v>
      </c>
      <c r="F126" s="3" t="str">
        <f>IFERROR(__xludf.DUMMYFUNCTION("GOOGLETRANSLATE(D126,$D$1,$F$1)"),"xe máy")</f>
        <v>xe máy</v>
      </c>
      <c r="G126" s="3" t="s">
        <v>257</v>
      </c>
    </row>
    <row r="127">
      <c r="A127" s="3">
        <v>2.0</v>
      </c>
      <c r="B127" s="3" t="s">
        <v>258</v>
      </c>
      <c r="C127" s="3" t="str">
        <f t="shared" si="1"/>
        <v>20 </v>
      </c>
      <c r="D127" s="3" t="str">
        <f t="shared" si="2"/>
        <v>make (n)</v>
      </c>
      <c r="E127" s="2" t="s">
        <v>8</v>
      </c>
      <c r="F127" s="3" t="str">
        <f>IFERROR(__xludf.DUMMYFUNCTION("GOOGLETRANSLATE(D127,$D$1,$F$1)"),"làm cho (n)")</f>
        <v>làm cho (n)</v>
      </c>
      <c r="G127" s="3" t="s">
        <v>259</v>
      </c>
    </row>
    <row r="128">
      <c r="A128" s="3">
        <v>2.0</v>
      </c>
      <c r="B128" s="3" t="s">
        <v>260</v>
      </c>
      <c r="C128" s="3" t="str">
        <f t="shared" si="1"/>
        <v>20 </v>
      </c>
      <c r="D128" s="3" t="str">
        <f t="shared" si="2"/>
        <v>pet</v>
      </c>
      <c r="E128" s="2" t="s">
        <v>8</v>
      </c>
      <c r="F128" s="3" t="str">
        <f>IFERROR(__xludf.DUMMYFUNCTION("GOOGLETRANSLATE(D128,$D$1,$F$1)"),"vật nuôi")</f>
        <v>vật nuôi</v>
      </c>
      <c r="G128" s="3" t="s">
        <v>261</v>
      </c>
    </row>
    <row r="129">
      <c r="A129" s="3">
        <v>2.0</v>
      </c>
      <c r="B129" s="3" t="s">
        <v>262</v>
      </c>
      <c r="C129" s="3" t="str">
        <f t="shared" si="1"/>
        <v>21 </v>
      </c>
      <c r="D129" s="3" t="str">
        <f t="shared" si="2"/>
        <v>comfortable</v>
      </c>
      <c r="E129" s="2" t="s">
        <v>8</v>
      </c>
      <c r="F129" s="3" t="str">
        <f>IFERROR(__xludf.DUMMYFUNCTION("GOOGLETRANSLATE(D129,$D$1,$F$1)"),"Thoải mái")</f>
        <v>Thoải mái</v>
      </c>
      <c r="G129" s="3" t="s">
        <v>263</v>
      </c>
    </row>
    <row r="130">
      <c r="A130" s="3">
        <v>2.0</v>
      </c>
      <c r="B130" s="3" t="s">
        <v>264</v>
      </c>
      <c r="C130" s="3" t="str">
        <f t="shared" si="1"/>
        <v>21 </v>
      </c>
      <c r="D130" s="3" t="str">
        <f t="shared" si="2"/>
        <v>great</v>
      </c>
      <c r="E130" s="2" t="s">
        <v>8</v>
      </c>
      <c r="F130" s="3" t="str">
        <f>IFERROR(__xludf.DUMMYFUNCTION("GOOGLETRANSLATE(D130,$D$1,$F$1)"),"tuyệt quá")</f>
        <v>tuyệt quá</v>
      </c>
      <c r="G130" s="3" t="s">
        <v>265</v>
      </c>
    </row>
    <row r="131">
      <c r="A131" s="3">
        <v>2.0</v>
      </c>
      <c r="B131" s="3" t="s">
        <v>266</v>
      </c>
      <c r="C131" s="3" t="str">
        <f t="shared" si="1"/>
        <v>21 </v>
      </c>
      <c r="D131" s="3" t="str">
        <f t="shared" si="2"/>
        <v>professional</v>
      </c>
      <c r="E131" s="2" t="s">
        <v>8</v>
      </c>
      <c r="F131" s="3" t="str">
        <f>IFERROR(__xludf.DUMMYFUNCTION("GOOGLETRANSLATE(D131,$D$1,$F$1)"),"chuyên nghiệp")</f>
        <v>chuyên nghiệp</v>
      </c>
      <c r="G131" s="3" t="s">
        <v>267</v>
      </c>
    </row>
    <row r="132">
      <c r="A132" s="3">
        <v>2.0</v>
      </c>
      <c r="B132" s="3" t="s">
        <v>268</v>
      </c>
      <c r="C132" s="3" t="str">
        <f t="shared" si="1"/>
        <v>21 </v>
      </c>
      <c r="D132" s="3" t="str">
        <f t="shared" si="2"/>
        <v>actually</v>
      </c>
      <c r="E132" s="2" t="s">
        <v>8</v>
      </c>
      <c r="F132" s="3" t="str">
        <f>IFERROR(__xludf.DUMMYFUNCTION("GOOGLETRANSLATE(D132,$D$1,$F$1)"),"thực ra")</f>
        <v>thực ra</v>
      </c>
      <c r="G132" s="3" t="s">
        <v>269</v>
      </c>
    </row>
    <row r="133">
      <c r="A133" s="3">
        <v>2.0</v>
      </c>
      <c r="B133" s="3" t="s">
        <v>270</v>
      </c>
      <c r="C133" s="3" t="str">
        <f t="shared" si="1"/>
        <v>21 </v>
      </c>
      <c r="D133" s="3" t="str">
        <f t="shared" si="2"/>
        <v>about</v>
      </c>
      <c r="E133" s="2" t="s">
        <v>8</v>
      </c>
      <c r="F133" s="3" t="str">
        <f>IFERROR(__xludf.DUMMYFUNCTION("GOOGLETRANSLATE(D133,$D$1,$F$1)"),"trong khoảng")</f>
        <v>trong khoảng</v>
      </c>
      <c r="G133" s="3" t="s">
        <v>271</v>
      </c>
    </row>
    <row r="134">
      <c r="A134" s="3">
        <v>2.0</v>
      </c>
      <c r="B134" s="3" t="s">
        <v>272</v>
      </c>
      <c r="C134" s="3" t="str">
        <f t="shared" si="1"/>
        <v>21 </v>
      </c>
      <c r="D134" s="3" t="str">
        <f t="shared" si="2"/>
        <v>game</v>
      </c>
      <c r="E134" s="2" t="s">
        <v>8</v>
      </c>
      <c r="F134" s="3" t="str">
        <f>IFERROR(__xludf.DUMMYFUNCTION("GOOGLETRANSLATE(D134,$D$1,$F$1)"),"trò chơi")</f>
        <v>trò chơi</v>
      </c>
      <c r="G134" s="3" t="s">
        <v>273</v>
      </c>
    </row>
    <row r="135">
      <c r="A135" s="3">
        <v>2.0</v>
      </c>
      <c r="B135" s="3" t="s">
        <v>274</v>
      </c>
      <c r="C135" s="3" t="str">
        <f t="shared" si="1"/>
        <v>22 </v>
      </c>
      <c r="D135" s="3" t="str">
        <f t="shared" si="2"/>
        <v>wife</v>
      </c>
      <c r="E135" s="2" t="s">
        <v>8</v>
      </c>
      <c r="F135" s="3" t="str">
        <f>IFERROR(__xludf.DUMMYFUNCTION("GOOGLETRANSLATE(D135,$D$1,$F$1)"),"người vợ")</f>
        <v>người vợ</v>
      </c>
      <c r="G135" s="3" t="s">
        <v>275</v>
      </c>
    </row>
    <row r="136">
      <c r="A136" s="3">
        <v>2.0</v>
      </c>
      <c r="B136" s="3" t="s">
        <v>276</v>
      </c>
      <c r="C136" s="3" t="str">
        <f t="shared" si="1"/>
        <v>22 </v>
      </c>
      <c r="D136" s="3" t="str">
        <f t="shared" si="2"/>
        <v>cousin</v>
      </c>
      <c r="E136" s="2" t="s">
        <v>8</v>
      </c>
      <c r="F136" s="3" t="str">
        <f>IFERROR(__xludf.DUMMYFUNCTION("GOOGLETRANSLATE(D136,$D$1,$F$1)"),"anh chị em họ")</f>
        <v>anh chị em họ</v>
      </c>
      <c r="G136" s="3" t="s">
        <v>277</v>
      </c>
    </row>
    <row r="137">
      <c r="A137" s="3">
        <v>2.0</v>
      </c>
      <c r="B137" s="3" t="s">
        <v>278</v>
      </c>
      <c r="C137" s="3" t="str">
        <f t="shared" si="1"/>
        <v>22 </v>
      </c>
      <c r="D137" s="3" t="str">
        <f t="shared" si="2"/>
        <v>grandmother</v>
      </c>
      <c r="E137" s="2" t="s">
        <v>8</v>
      </c>
      <c r="F137" s="3" t="str">
        <f>IFERROR(__xludf.DUMMYFUNCTION("GOOGLETRANSLATE(D137,$D$1,$F$1)"),"bà ngoại")</f>
        <v>bà ngoại</v>
      </c>
      <c r="G137" s="3" t="s">
        <v>279</v>
      </c>
    </row>
    <row r="138">
      <c r="A138" s="3">
        <v>2.0</v>
      </c>
      <c r="B138" s="3" t="s">
        <v>280</v>
      </c>
      <c r="C138" s="3" t="str">
        <f t="shared" si="1"/>
        <v>22 </v>
      </c>
      <c r="D138" s="3" t="str">
        <f t="shared" si="2"/>
        <v>grandson</v>
      </c>
      <c r="E138" s="2" t="s">
        <v>8</v>
      </c>
      <c r="F138" s="3" t="str">
        <f>IFERROR(__xludf.DUMMYFUNCTION("GOOGLETRANSLATE(D138,$D$1,$F$1)"),"cháu trai")</f>
        <v>cháu trai</v>
      </c>
      <c r="G138" s="3" t="s">
        <v>281</v>
      </c>
    </row>
    <row r="139">
      <c r="A139" s="3">
        <v>2.0</v>
      </c>
      <c r="B139" s="3" t="s">
        <v>282</v>
      </c>
      <c r="C139" s="3" t="str">
        <f t="shared" si="1"/>
        <v>22 </v>
      </c>
      <c r="D139" s="3" t="str">
        <f t="shared" si="2"/>
        <v>maybe</v>
      </c>
      <c r="E139" s="2" t="s">
        <v>8</v>
      </c>
      <c r="F139" s="3" t="str">
        <f>IFERROR(__xludf.DUMMYFUNCTION("GOOGLETRANSLATE(D139,$D$1,$F$1)"),"có lẽ")</f>
        <v>có lẽ</v>
      </c>
      <c r="G139" s="3" t="s">
        <v>283</v>
      </c>
    </row>
    <row r="140">
      <c r="A140" s="3">
        <v>2.0</v>
      </c>
      <c r="B140" s="3" t="s">
        <v>284</v>
      </c>
      <c r="C140" s="3" t="str">
        <f t="shared" si="1"/>
        <v>22 </v>
      </c>
      <c r="D140" s="3" t="str">
        <f t="shared" si="2"/>
        <v>grandparents</v>
      </c>
      <c r="E140" s="2" t="s">
        <v>8</v>
      </c>
      <c r="F140" s="3" t="str">
        <f>IFERROR(__xludf.DUMMYFUNCTION("GOOGLETRANSLATE(D140,$D$1,$F$1)"),"ông bà")</f>
        <v>ông bà</v>
      </c>
      <c r="G140" s="3" t="s">
        <v>285</v>
      </c>
    </row>
    <row r="141">
      <c r="A141" s="3">
        <v>2.0</v>
      </c>
      <c r="B141" s="3" t="s">
        <v>286</v>
      </c>
      <c r="C141" s="3" t="str">
        <f t="shared" si="1"/>
        <v>22 </v>
      </c>
      <c r="D141" s="3" t="str">
        <f t="shared" si="2"/>
        <v>grandfather</v>
      </c>
      <c r="E141" s="2" t="s">
        <v>8</v>
      </c>
      <c r="F141" s="3" t="str">
        <f>IFERROR(__xludf.DUMMYFUNCTION("GOOGLETRANSLATE(D141,$D$1,$F$1)"),"ông nội")</f>
        <v>ông nội</v>
      </c>
      <c r="G141" s="3" t="s">
        <v>287</v>
      </c>
    </row>
    <row r="142">
      <c r="A142" s="3">
        <v>2.0</v>
      </c>
      <c r="B142" s="3" t="s">
        <v>288</v>
      </c>
      <c r="C142" s="3" t="str">
        <f t="shared" si="1"/>
        <v>22 </v>
      </c>
      <c r="D142" s="3" t="str">
        <f t="shared" si="2"/>
        <v>granddaughter</v>
      </c>
      <c r="E142" s="2" t="s">
        <v>8</v>
      </c>
      <c r="F142" s="3" t="str">
        <f>IFERROR(__xludf.DUMMYFUNCTION("GOOGLETRANSLATE(D142,$D$1,$F$1)"),"cháu gái")</f>
        <v>cháu gái</v>
      </c>
      <c r="G142" s="3" t="s">
        <v>289</v>
      </c>
    </row>
    <row r="143">
      <c r="A143" s="3">
        <v>2.0</v>
      </c>
      <c r="B143" s="3" t="s">
        <v>290</v>
      </c>
      <c r="C143" s="3" t="str">
        <f t="shared" si="1"/>
        <v>22 </v>
      </c>
      <c r="D143" s="3" t="str">
        <f t="shared" si="2"/>
        <v>aunt</v>
      </c>
      <c r="E143" s="2" t="s">
        <v>8</v>
      </c>
      <c r="F143" s="3" t="str">
        <f>IFERROR(__xludf.DUMMYFUNCTION("GOOGLETRANSLATE(D143,$D$1,$F$1)"),"cô")</f>
        <v>cô</v>
      </c>
      <c r="G143" s="3" t="s">
        <v>291</v>
      </c>
    </row>
    <row r="144">
      <c r="A144" s="3">
        <v>2.0</v>
      </c>
      <c r="B144" s="3" t="s">
        <v>292</v>
      </c>
      <c r="C144" s="3" t="str">
        <f t="shared" si="1"/>
        <v>22 </v>
      </c>
      <c r="D144" s="3" t="str">
        <f t="shared" si="2"/>
        <v>uncle</v>
      </c>
      <c r="E144" s="2" t="s">
        <v>8</v>
      </c>
      <c r="F144" s="3" t="str">
        <f>IFERROR(__xludf.DUMMYFUNCTION("GOOGLETRANSLATE(D144,$D$1,$F$1)"),"Chú")</f>
        <v>Chú</v>
      </c>
      <c r="G144" s="3" t="s">
        <v>293</v>
      </c>
    </row>
    <row r="145">
      <c r="A145" s="3">
        <v>2.0</v>
      </c>
      <c r="B145" s="3" t="s">
        <v>294</v>
      </c>
      <c r="C145" s="3" t="str">
        <f t="shared" si="1"/>
        <v>22 </v>
      </c>
      <c r="D145" s="3" t="str">
        <f t="shared" si="2"/>
        <v>nephew</v>
      </c>
      <c r="E145" s="2" t="s">
        <v>8</v>
      </c>
      <c r="F145" s="3" t="str">
        <f>IFERROR(__xludf.DUMMYFUNCTION("GOOGLETRANSLATE(D145,$D$1,$F$1)"),"cháu trai")</f>
        <v>cháu trai</v>
      </c>
      <c r="G145" s="3" t="s">
        <v>295</v>
      </c>
    </row>
    <row r="146">
      <c r="A146" s="3">
        <v>2.0</v>
      </c>
      <c r="B146" s="3" t="s">
        <v>296</v>
      </c>
      <c r="C146" s="3" t="str">
        <f t="shared" si="1"/>
        <v>22 </v>
      </c>
      <c r="D146" s="3" t="str">
        <f t="shared" si="2"/>
        <v>niece</v>
      </c>
      <c r="E146" s="2" t="s">
        <v>8</v>
      </c>
      <c r="F146" s="3" t="str">
        <f>IFERROR(__xludf.DUMMYFUNCTION("GOOGLETRANSLATE(D146,$D$1,$F$1)"),"cháu gái")</f>
        <v>cháu gái</v>
      </c>
      <c r="G146" s="3" t="s">
        <v>297</v>
      </c>
    </row>
    <row r="147">
      <c r="A147" s="3">
        <v>2.0</v>
      </c>
      <c r="B147" s="3" t="s">
        <v>298</v>
      </c>
      <c r="C147" s="3" t="str">
        <f t="shared" si="1"/>
        <v>22 </v>
      </c>
      <c r="D147" s="3" t="str">
        <f t="shared" si="2"/>
        <v>related</v>
      </c>
      <c r="E147" s="2" t="s">
        <v>8</v>
      </c>
      <c r="F147" s="3" t="str">
        <f>IFERROR(__xludf.DUMMYFUNCTION("GOOGLETRANSLATE(D147,$D$1,$F$1)"),"có liên quan")</f>
        <v>có liên quan</v>
      </c>
      <c r="G147" s="3" t="s">
        <v>299</v>
      </c>
    </row>
    <row r="148">
      <c r="A148" s="3">
        <v>2.0</v>
      </c>
      <c r="B148" s="3" t="s">
        <v>300</v>
      </c>
      <c r="C148" s="3" t="str">
        <f t="shared" si="1"/>
        <v>23 </v>
      </c>
      <c r="D148" s="3" t="str">
        <f t="shared" si="2"/>
        <v>economics</v>
      </c>
      <c r="E148" s="2" t="s">
        <v>8</v>
      </c>
      <c r="F148" s="3" t="str">
        <f>IFERROR(__xludf.DUMMYFUNCTION("GOOGLETRANSLATE(D148,$D$1,$F$1)"),"Kinh tế học")</f>
        <v>Kinh tế học</v>
      </c>
      <c r="G148" s="3" t="s">
        <v>301</v>
      </c>
    </row>
    <row r="149">
      <c r="A149" s="3">
        <v>2.0</v>
      </c>
      <c r="B149" s="3" t="s">
        <v>302</v>
      </c>
      <c r="C149" s="3" t="str">
        <f t="shared" si="1"/>
        <v>23 </v>
      </c>
      <c r="D149" s="3" t="str">
        <f t="shared" si="2"/>
        <v>funny</v>
      </c>
      <c r="E149" s="2" t="s">
        <v>8</v>
      </c>
      <c r="F149" s="3" t="str">
        <f>IFERROR(__xludf.DUMMYFUNCTION("GOOGLETRANSLATE(D149,$D$1,$F$1)"),"buồn cười")</f>
        <v>buồn cười</v>
      </c>
      <c r="G149" s="3" t="s">
        <v>303</v>
      </c>
    </row>
    <row r="150">
      <c r="A150" s="3">
        <v>2.0</v>
      </c>
      <c r="B150" s="3" t="s">
        <v>304</v>
      </c>
      <c r="C150" s="3" t="str">
        <f t="shared" si="1"/>
        <v>23 </v>
      </c>
      <c r="D150" s="3" t="str">
        <f t="shared" si="2"/>
        <v>clever</v>
      </c>
      <c r="E150" s="2" t="s">
        <v>8</v>
      </c>
      <c r="F150" s="3" t="str">
        <f>IFERROR(__xludf.DUMMYFUNCTION("GOOGLETRANSLATE(D150,$D$1,$F$1)"),"tài giỏi")</f>
        <v>tài giỏi</v>
      </c>
      <c r="G150" s="3" t="s">
        <v>305</v>
      </c>
    </row>
    <row r="151">
      <c r="A151" s="3">
        <v>2.0</v>
      </c>
      <c r="B151" s="3" t="s">
        <v>306</v>
      </c>
      <c r="C151" s="3" t="str">
        <f t="shared" si="1"/>
        <v>24 </v>
      </c>
      <c r="D151" s="3" t="str">
        <f t="shared" si="2"/>
        <v>how do you say…</v>
      </c>
      <c r="E151" s="2" t="s">
        <v>8</v>
      </c>
      <c r="F151" s="3" t="str">
        <f>IFERROR(__xludf.DUMMYFUNCTION("GOOGLETRANSLATE(D151,$D$1,$F$1)"),"bạn nói như thế nào…")</f>
        <v>bạn nói như thế nào…</v>
      </c>
      <c r="G151" s="3" t="s">
        <v>307</v>
      </c>
    </row>
    <row r="152">
      <c r="A152" s="3">
        <v>2.0</v>
      </c>
      <c r="B152" s="3" t="s">
        <v>308</v>
      </c>
      <c r="C152" s="3" t="str">
        <f t="shared" si="1"/>
        <v>24 </v>
      </c>
      <c r="D152" s="3" t="str">
        <f t="shared" si="2"/>
        <v>can you say that again ?</v>
      </c>
      <c r="E152" s="2" t="s">
        <v>8</v>
      </c>
      <c r="F152" s="3" t="str">
        <f>IFERROR(__xludf.DUMMYFUNCTION("GOOGLETRANSLATE(D152,$D$1,$F$1)"),"Bạn có thể nhắc lại không ?")</f>
        <v>Bạn có thể nhắc lại không ?</v>
      </c>
      <c r="G152" s="3" t="s">
        <v>309</v>
      </c>
    </row>
    <row r="153">
      <c r="A153" s="3">
        <v>2.0</v>
      </c>
      <c r="B153" s="3" t="s">
        <v>310</v>
      </c>
      <c r="C153" s="3" t="str">
        <f t="shared" si="1"/>
        <v>24 </v>
      </c>
      <c r="D153" s="3" t="str">
        <f t="shared" si="2"/>
        <v>how do you spell…</v>
      </c>
      <c r="E153" s="2" t="s">
        <v>8</v>
      </c>
      <c r="F153" s="3" t="str">
        <f>IFERROR(__xludf.DUMMYFUNCTION("GOOGLETRANSLATE(D153,$D$1,$F$1)"),"bạn đánh vần như thế nào…")</f>
        <v>bạn đánh vần như thế nào…</v>
      </c>
      <c r="G153" s="3" t="s">
        <v>311</v>
      </c>
    </row>
    <row r="154">
      <c r="A154" s="3">
        <v>2.0</v>
      </c>
      <c r="B154" s="3" t="s">
        <v>312</v>
      </c>
      <c r="C154" s="3" t="str">
        <f t="shared" si="1"/>
        <v>24 </v>
      </c>
      <c r="D154" s="3" t="str">
        <f t="shared" si="2"/>
        <v>can you write it on the board ?</v>
      </c>
      <c r="E154" s="2" t="s">
        <v>8</v>
      </c>
      <c r="F154" s="3" t="str">
        <f>IFERROR(__xludf.DUMMYFUNCTION("GOOGLETRANSLATE(D154,$D$1,$F$1)"),"bạn có thể viết nó vào hội đồng quản trị?")</f>
        <v>bạn có thể viết nó vào hội đồng quản trị?</v>
      </c>
    </row>
    <row r="155">
      <c r="A155" s="3">
        <v>2.0</v>
      </c>
      <c r="B155" s="3" t="s">
        <v>313</v>
      </c>
      <c r="C155" s="3" t="str">
        <f t="shared" si="1"/>
        <v>24 </v>
      </c>
      <c r="D155" s="3" t="str">
        <f t="shared" si="2"/>
        <v>mean</v>
      </c>
      <c r="E155" s="2" t="s">
        <v>8</v>
      </c>
      <c r="F155" s="3" t="str">
        <f>IFERROR(__xludf.DUMMYFUNCTION("GOOGLETRANSLATE(D155,$D$1,$F$1)"),"nghĩa là")</f>
        <v>nghĩa là</v>
      </c>
      <c r="G155" s="3" t="s">
        <v>314</v>
      </c>
    </row>
    <row r="156">
      <c r="A156" s="3">
        <v>2.0</v>
      </c>
      <c r="B156" s="3" t="s">
        <v>315</v>
      </c>
      <c r="C156" s="3" t="str">
        <f t="shared" si="1"/>
        <v>24 </v>
      </c>
      <c r="D156" s="3" t="str">
        <f t="shared" si="2"/>
        <v>I don´t remember</v>
      </c>
      <c r="E156" s="2" t="s">
        <v>8</v>
      </c>
      <c r="F156" s="3" t="str">
        <f>IFERROR(__xludf.DUMMYFUNCTION("GOOGLETRANSLATE(D156,$D$1,$F$1)"),"Tôi không nhớ")</f>
        <v>Tôi không nhớ</v>
      </c>
      <c r="G156" s="3" t="s">
        <v>316</v>
      </c>
    </row>
    <row r="157">
      <c r="A157" s="3">
        <v>2.0</v>
      </c>
      <c r="B157" s="3" t="s">
        <v>317</v>
      </c>
      <c r="C157" s="3" t="str">
        <f t="shared" si="1"/>
        <v>24 </v>
      </c>
      <c r="D157" s="3" t="str">
        <f t="shared" si="2"/>
        <v>what´s the word for…</v>
      </c>
      <c r="E157" s="2" t="s">
        <v>8</v>
      </c>
      <c r="F157" s="3" t="str">
        <f>IFERROR(__xludf.DUMMYFUNCTION("GOOGLETRANSLATE(D157,$D$1,$F$1)"),"từ này là gì…")</f>
        <v>từ này là gì…</v>
      </c>
      <c r="G157" s="3" t="s">
        <v>318</v>
      </c>
    </row>
    <row r="158">
      <c r="A158" s="3">
        <v>2.0</v>
      </c>
      <c r="B158" s="3" t="s">
        <v>319</v>
      </c>
      <c r="C158" s="3" t="str">
        <f t="shared" si="1"/>
        <v>24 </v>
      </c>
      <c r="D158" s="3" t="str">
        <f t="shared" si="2"/>
        <v>recording (n)</v>
      </c>
      <c r="E158" s="2" t="s">
        <v>8</v>
      </c>
      <c r="F158" s="3" t="str">
        <f>IFERROR(__xludf.DUMMYFUNCTION("GOOGLETRANSLATE(D158,$D$1,$F$1)"),"ghi âm (n)")</f>
        <v>ghi âm (n)</v>
      </c>
      <c r="G158" s="3" t="s">
        <v>320</v>
      </c>
    </row>
    <row r="159">
      <c r="A159" s="3">
        <v>2.0</v>
      </c>
      <c r="B159" s="3" t="s">
        <v>321</v>
      </c>
      <c r="C159" s="3" t="str">
        <f t="shared" si="1"/>
        <v>24 </v>
      </c>
      <c r="D159" s="3" t="str">
        <f t="shared" si="2"/>
        <v>of course</v>
      </c>
      <c r="E159" s="2" t="s">
        <v>8</v>
      </c>
      <c r="F159" s="3" t="str">
        <f>IFERROR(__xludf.DUMMYFUNCTION("GOOGLETRANSLATE(D159,$D$1,$F$1)"),"tất nhiên")</f>
        <v>tất nhiên</v>
      </c>
      <c r="G159" s="3" t="s">
        <v>322</v>
      </c>
    </row>
    <row r="160">
      <c r="A160" s="3">
        <v>2.0</v>
      </c>
      <c r="B160" s="3" t="s">
        <v>323</v>
      </c>
      <c r="C160" s="3" t="str">
        <f t="shared" si="1"/>
        <v>24 </v>
      </c>
      <c r="D160" s="3" t="str">
        <f t="shared" si="2"/>
        <v>what page are we on?</v>
      </c>
      <c r="E160" s="2" t="s">
        <v>8</v>
      </c>
      <c r="F160" s="3" t="str">
        <f>IFERROR(__xludf.DUMMYFUNCTION("GOOGLETRANSLATE(D160,$D$1,$F$1)"),"những gì trang chúng tôi đang trên?")</f>
        <v>những gì trang chúng tôi đang trên?</v>
      </c>
    </row>
    <row r="161">
      <c r="A161" s="3">
        <v>2.0</v>
      </c>
      <c r="B161" s="3" t="s">
        <v>324</v>
      </c>
      <c r="C161" s="3" t="str">
        <f t="shared" si="1"/>
        <v>25 </v>
      </c>
      <c r="D161" s="3" t="str">
        <f t="shared" si="2"/>
        <v>noun</v>
      </c>
      <c r="E161" s="2" t="s">
        <v>8</v>
      </c>
      <c r="F161" s="3" t="str">
        <f>IFERROR(__xludf.DUMMYFUNCTION("GOOGLETRANSLATE(D161,$D$1,$F$1)"),"danh từ")</f>
        <v>danh từ</v>
      </c>
    </row>
    <row r="162">
      <c r="A162" s="3">
        <v>2.0</v>
      </c>
      <c r="B162" s="3" t="s">
        <v>325</v>
      </c>
      <c r="C162" s="3" t="str">
        <f t="shared" si="1"/>
        <v>25 </v>
      </c>
      <c r="D162" s="3" t="str">
        <f t="shared" si="2"/>
        <v>verb</v>
      </c>
      <c r="E162" s="2" t="s">
        <v>8</v>
      </c>
      <c r="F162" s="3" t="str">
        <f>IFERROR(__xludf.DUMMYFUNCTION("GOOGLETRANSLATE(D162,$D$1,$F$1)"),"động từ")</f>
        <v>động từ</v>
      </c>
    </row>
    <row r="163">
      <c r="A163" s="3">
        <v>2.0</v>
      </c>
      <c r="B163" s="3" t="s">
        <v>326</v>
      </c>
      <c r="C163" s="3" t="str">
        <f t="shared" si="1"/>
        <v>25 </v>
      </c>
      <c r="D163" s="3" t="str">
        <f t="shared" si="2"/>
        <v>adjective</v>
      </c>
      <c r="E163" s="2" t="s">
        <v>8</v>
      </c>
      <c r="F163" s="3" t="str">
        <f>IFERROR(__xludf.DUMMYFUNCTION("GOOGLETRANSLATE(D163,$D$1,$F$1)"),"tính từ")</f>
        <v>tính từ</v>
      </c>
    </row>
    <row r="164">
      <c r="A164" s="3">
        <v>2.0</v>
      </c>
      <c r="B164" s="3" t="s">
        <v>327</v>
      </c>
      <c r="C164" s="3" t="str">
        <f t="shared" si="1"/>
        <v>25 </v>
      </c>
      <c r="D164" s="3" t="str">
        <f t="shared" si="2"/>
        <v>pronoun</v>
      </c>
      <c r="E164" s="2" t="s">
        <v>8</v>
      </c>
      <c r="F164" s="3" t="str">
        <f>IFERROR(__xludf.DUMMYFUNCTION("GOOGLETRANSLATE(D164,$D$1,$F$1)"),"đại danh từ")</f>
        <v>đại danh từ</v>
      </c>
    </row>
    <row r="165">
      <c r="A165" s="3">
        <v>2.0</v>
      </c>
      <c r="B165" s="3" t="s">
        <v>328</v>
      </c>
      <c r="C165" s="3" t="str">
        <f t="shared" si="1"/>
        <v>25 </v>
      </c>
      <c r="D165" s="3" t="str">
        <f t="shared" si="2"/>
        <v>preposition</v>
      </c>
      <c r="E165" s="2" t="s">
        <v>8</v>
      </c>
      <c r="F165" s="3" t="str">
        <f>IFERROR(__xludf.DUMMYFUNCTION("GOOGLETRANSLATE(D165,$D$1,$F$1)"),"giới từ")</f>
        <v>giới từ</v>
      </c>
    </row>
    <row r="166">
      <c r="A166" s="3">
        <v>2.0</v>
      </c>
      <c r="B166" s="3" t="s">
        <v>329</v>
      </c>
      <c r="C166" s="3" t="str">
        <f t="shared" si="1"/>
        <v>25 </v>
      </c>
      <c r="D166" s="3" t="str">
        <f t="shared" si="2"/>
        <v>syllable</v>
      </c>
      <c r="E166" s="2" t="s">
        <v>8</v>
      </c>
      <c r="F166" s="3" t="str">
        <f>IFERROR(__xludf.DUMMYFUNCTION("GOOGLETRANSLATE(D166,$D$1,$F$1)"),"vần")</f>
        <v>vần</v>
      </c>
    </row>
    <row r="167">
      <c r="A167" s="3">
        <v>2.0</v>
      </c>
      <c r="B167" s="3" t="s">
        <v>330</v>
      </c>
      <c r="C167" s="3" t="str">
        <f t="shared" si="1"/>
        <v>25 </v>
      </c>
      <c r="D167" s="3" t="str">
        <f t="shared" si="2"/>
        <v>short form (contraction)</v>
      </c>
      <c r="E167" s="2" t="s">
        <v>8</v>
      </c>
      <c r="F167" s="3" t="str">
        <f>IFERROR(__xludf.DUMMYFUNCTION("GOOGLETRANSLATE(D167,$D$1,$F$1)"),"hình thức ngắn (co)")</f>
        <v>hình thức ngắn (co)</v>
      </c>
    </row>
    <row r="168">
      <c r="A168" s="3">
        <v>2.0</v>
      </c>
      <c r="B168" s="3" t="s">
        <v>331</v>
      </c>
      <c r="C168" s="3" t="str">
        <f t="shared" si="1"/>
        <v>25 </v>
      </c>
      <c r="D168" s="3" t="str">
        <f t="shared" si="2"/>
        <v>question word</v>
      </c>
      <c r="E168" s="2" t="s">
        <v>8</v>
      </c>
      <c r="F168" s="3" t="str">
        <f>IFERROR(__xludf.DUMMYFUNCTION("GOOGLETRANSLATE(D168,$D$1,$F$1)"),"từ để hỏi")</f>
        <v>từ để hỏi</v>
      </c>
    </row>
    <row r="169">
      <c r="A169" s="3">
        <v>2.0</v>
      </c>
      <c r="B169" s="3" t="s">
        <v>332</v>
      </c>
      <c r="C169" s="3" t="str">
        <f t="shared" si="1"/>
        <v>25 </v>
      </c>
      <c r="D169" s="3" t="str">
        <f t="shared" si="2"/>
        <v>stress (n)</v>
      </c>
      <c r="E169" s="2" t="s">
        <v>8</v>
      </c>
      <c r="F169" s="3" t="str">
        <f>IFERROR(__xludf.DUMMYFUNCTION("GOOGLETRANSLATE(D169,$D$1,$F$1)"),"căng thẳng (n)")</f>
        <v>căng thẳng (n)</v>
      </c>
    </row>
    <row r="170">
      <c r="A170" s="3">
        <v>2.0</v>
      </c>
      <c r="B170" s="3" t="s">
        <v>333</v>
      </c>
      <c r="C170" s="3" t="str">
        <f t="shared" si="1"/>
        <v>25 </v>
      </c>
      <c r="D170" s="3" t="str">
        <f t="shared" si="2"/>
        <v>punctuation</v>
      </c>
      <c r="E170" s="2" t="s">
        <v>8</v>
      </c>
      <c r="F170" s="3" t="str">
        <f>IFERROR(__xludf.DUMMYFUNCTION("GOOGLETRANSLATE(D170,$D$1,$F$1)"),"chấm câu")</f>
        <v>chấm câu</v>
      </c>
    </row>
    <row r="171">
      <c r="A171" s="3">
        <v>2.0</v>
      </c>
      <c r="B171" s="3" t="s">
        <v>334</v>
      </c>
      <c r="C171" s="3" t="str">
        <f t="shared" si="1"/>
        <v>25 </v>
      </c>
      <c r="D171" s="3" t="str">
        <f t="shared" si="2"/>
        <v>sound</v>
      </c>
      <c r="E171" s="2" t="s">
        <v>8</v>
      </c>
      <c r="F171" s="3" t="str">
        <f>IFERROR(__xludf.DUMMYFUNCTION("GOOGLETRANSLATE(D171,$D$1,$F$1)"),"âm thanh")</f>
        <v>âm thanh</v>
      </c>
    </row>
    <row r="172">
      <c r="A172" s="3">
        <v>3.0</v>
      </c>
      <c r="B172" s="3" t="s">
        <v>335</v>
      </c>
      <c r="C172" s="3" t="str">
        <f t="shared" si="1"/>
        <v>26 </v>
      </c>
      <c r="D172" s="3" t="str">
        <f t="shared" si="2"/>
        <v>company</v>
      </c>
      <c r="E172" s="2" t="s">
        <v>8</v>
      </c>
      <c r="F172" s="3" t="str">
        <f>IFERROR(__xludf.DUMMYFUNCTION("GOOGLETRANSLATE(D172,$D$1,$F$1)"),"Công ty")</f>
        <v>Công ty</v>
      </c>
      <c r="G172" s="3" t="s">
        <v>336</v>
      </c>
    </row>
    <row r="173">
      <c r="A173" s="3">
        <v>3.0</v>
      </c>
      <c r="B173" s="3" t="s">
        <v>337</v>
      </c>
      <c r="C173" s="3" t="str">
        <f t="shared" si="1"/>
        <v>26 </v>
      </c>
      <c r="D173" s="3" t="str">
        <f t="shared" si="2"/>
        <v>long hours</v>
      </c>
      <c r="E173" s="2" t="s">
        <v>8</v>
      </c>
      <c r="F173" s="3" t="str">
        <f>IFERROR(__xludf.DUMMYFUNCTION("GOOGLETRANSLATE(D173,$D$1,$F$1)"),"nhiều giờ")</f>
        <v>nhiều giờ</v>
      </c>
      <c r="G173" s="3" t="s">
        <v>338</v>
      </c>
    </row>
    <row r="174">
      <c r="A174" s="3">
        <v>3.0</v>
      </c>
      <c r="B174" s="3" t="s">
        <v>339</v>
      </c>
      <c r="C174" s="3" t="str">
        <f t="shared" si="1"/>
        <v>26 </v>
      </c>
      <c r="D174" s="3" t="str">
        <f t="shared" si="2"/>
        <v>law</v>
      </c>
      <c r="E174" s="2" t="s">
        <v>8</v>
      </c>
      <c r="F174" s="3" t="str">
        <f>IFERROR(__xludf.DUMMYFUNCTION("GOOGLETRANSLATE(D174,$D$1,$F$1)"),"pháp luật")</f>
        <v>pháp luật</v>
      </c>
      <c r="G174" s="3" t="s">
        <v>340</v>
      </c>
    </row>
    <row r="175">
      <c r="A175" s="3">
        <v>3.0</v>
      </c>
      <c r="B175" s="3" t="s">
        <v>341</v>
      </c>
      <c r="C175" s="3" t="str">
        <f t="shared" si="1"/>
        <v>27 </v>
      </c>
      <c r="D175" s="3" t="str">
        <f t="shared" si="2"/>
        <v>classes</v>
      </c>
      <c r="E175" s="2" t="s">
        <v>8</v>
      </c>
      <c r="F175" s="3" t="str">
        <f>IFERROR(__xludf.DUMMYFUNCTION("GOOGLETRANSLATE(D175,$D$1,$F$1)"),"các lớp học")</f>
        <v>các lớp học</v>
      </c>
      <c r="G175" s="3" t="s">
        <v>342</v>
      </c>
    </row>
    <row r="176">
      <c r="A176" s="3">
        <v>3.0</v>
      </c>
      <c r="B176" s="3" t="s">
        <v>343</v>
      </c>
      <c r="C176" s="3" t="str">
        <f t="shared" si="1"/>
        <v>28 </v>
      </c>
      <c r="D176" s="3" t="str">
        <f t="shared" si="2"/>
        <v>meal</v>
      </c>
      <c r="E176" s="2" t="s">
        <v>8</v>
      </c>
      <c r="F176" s="3" t="str">
        <f>IFERROR(__xludf.DUMMYFUNCTION("GOOGLETRANSLATE(D176,$D$1,$F$1)"),"bữa ăn")</f>
        <v>bữa ăn</v>
      </c>
      <c r="G176" s="3" t="s">
        <v>344</v>
      </c>
    </row>
    <row r="177">
      <c r="A177" s="3">
        <v>3.0</v>
      </c>
      <c r="B177" s="3" t="s">
        <v>345</v>
      </c>
      <c r="C177" s="3" t="str">
        <f t="shared" si="1"/>
        <v>28 </v>
      </c>
      <c r="D177" s="3" t="str">
        <f t="shared" si="2"/>
        <v>snack</v>
      </c>
      <c r="E177" s="2" t="s">
        <v>8</v>
      </c>
      <c r="F177" s="3" t="str">
        <f>IFERROR(__xludf.DUMMYFUNCTION("GOOGLETRANSLATE(D177,$D$1,$F$1)"),"snack")</f>
        <v>snack</v>
      </c>
      <c r="G177" s="3" t="s">
        <v>346</v>
      </c>
    </row>
    <row r="178">
      <c r="A178" s="3">
        <v>3.0</v>
      </c>
      <c r="B178" s="3" t="s">
        <v>347</v>
      </c>
      <c r="C178" s="3" t="str">
        <f t="shared" si="1"/>
        <v>28 </v>
      </c>
      <c r="D178" s="3" t="str">
        <f t="shared" si="2"/>
        <v>office worker</v>
      </c>
      <c r="E178" s="2" t="s">
        <v>8</v>
      </c>
      <c r="F178" s="3" t="str">
        <f>IFERROR(__xludf.DUMMYFUNCTION("GOOGLETRANSLATE(D178,$D$1,$F$1)"),"nhân viên văn phòng")</f>
        <v>nhân viên văn phòng</v>
      </c>
      <c r="G178" s="3" t="s">
        <v>348</v>
      </c>
    </row>
    <row r="179">
      <c r="A179" s="3">
        <v>3.0</v>
      </c>
      <c r="B179" s="3" t="s">
        <v>349</v>
      </c>
      <c r="C179" s="3" t="str">
        <f t="shared" si="1"/>
        <v>28 </v>
      </c>
      <c r="D179" s="3" t="str">
        <f t="shared" si="2"/>
        <v>lunch</v>
      </c>
      <c r="E179" s="2" t="s">
        <v>8</v>
      </c>
      <c r="F179" s="3" t="str">
        <f>IFERROR(__xludf.DUMMYFUNCTION("GOOGLETRANSLATE(D179,$D$1,$F$1)"),"Bữa trưa")</f>
        <v>Bữa trưa</v>
      </c>
      <c r="G179" s="3" t="s">
        <v>350</v>
      </c>
    </row>
    <row r="180">
      <c r="A180" s="3">
        <v>3.0</v>
      </c>
      <c r="B180" s="3" t="s">
        <v>351</v>
      </c>
      <c r="C180" s="3" t="str">
        <f t="shared" si="1"/>
        <v>28 </v>
      </c>
      <c r="D180" s="3" t="str">
        <f t="shared" si="2"/>
        <v>lunchtime</v>
      </c>
      <c r="E180" s="2" t="s">
        <v>8</v>
      </c>
      <c r="F180" s="3" t="str">
        <f>IFERROR(__xludf.DUMMYFUNCTION("GOOGLETRANSLATE(D180,$D$1,$F$1)"),"giờ ăn trưa")</f>
        <v>giờ ăn trưa</v>
      </c>
      <c r="G180" s="3" t="s">
        <v>352</v>
      </c>
    </row>
    <row r="181">
      <c r="A181" s="3">
        <v>3.0</v>
      </c>
      <c r="B181" s="3" t="s">
        <v>353</v>
      </c>
      <c r="C181" s="3" t="str">
        <f t="shared" si="1"/>
        <v>29 </v>
      </c>
      <c r="D181" s="3" t="str">
        <f t="shared" si="2"/>
        <v>daily life</v>
      </c>
      <c r="E181" s="2" t="s">
        <v>8</v>
      </c>
      <c r="F181" s="3" t="str">
        <f>IFERROR(__xludf.DUMMYFUNCTION("GOOGLETRANSLATE(D181,$D$1,$F$1)"),"cuộc sống hàng ngày")</f>
        <v>cuộc sống hàng ngày</v>
      </c>
      <c r="G181" s="3" t="s">
        <v>354</v>
      </c>
    </row>
    <row r="182">
      <c r="A182" s="3">
        <v>3.0</v>
      </c>
      <c r="B182" s="3" t="s">
        <v>355</v>
      </c>
      <c r="C182" s="3" t="str">
        <f t="shared" si="1"/>
        <v>29 </v>
      </c>
      <c r="D182" s="3" t="str">
        <f t="shared" si="2"/>
        <v>beach</v>
      </c>
      <c r="E182" s="2" t="s">
        <v>8</v>
      </c>
      <c r="F182" s="3" t="str">
        <f>IFERROR(__xludf.DUMMYFUNCTION("GOOGLETRANSLATE(D182,$D$1,$F$1)"),"bờ biển")</f>
        <v>bờ biển</v>
      </c>
      <c r="G182" s="3" t="s">
        <v>356</v>
      </c>
    </row>
    <row r="183">
      <c r="A183" s="3">
        <v>3.0</v>
      </c>
      <c r="B183" s="3" t="s">
        <v>357</v>
      </c>
      <c r="C183" s="3" t="str">
        <f t="shared" si="1"/>
        <v>29 </v>
      </c>
      <c r="D183" s="3" t="str">
        <f t="shared" si="2"/>
        <v>stay</v>
      </c>
      <c r="E183" s="2" t="s">
        <v>8</v>
      </c>
      <c r="F183" s="3" t="str">
        <f>IFERROR(__xludf.DUMMYFUNCTION("GOOGLETRANSLATE(D183,$D$1,$F$1)"),"nghỉ")</f>
        <v>nghỉ</v>
      </c>
      <c r="G183" s="3" t="s">
        <v>358</v>
      </c>
    </row>
    <row r="184">
      <c r="A184" s="3">
        <v>3.0</v>
      </c>
      <c r="B184" s="3" t="s">
        <v>359</v>
      </c>
      <c r="C184" s="3" t="str">
        <f t="shared" si="1"/>
        <v>30 </v>
      </c>
      <c r="D184" s="3" t="str">
        <f t="shared" si="2"/>
        <v>normally</v>
      </c>
      <c r="E184" s="2" t="s">
        <v>8</v>
      </c>
      <c r="F184" s="3" t="str">
        <f>IFERROR(__xludf.DUMMYFUNCTION("GOOGLETRANSLATE(D184,$D$1,$F$1)"),"thường")</f>
        <v>thường</v>
      </c>
      <c r="G184" s="3" t="s">
        <v>360</v>
      </c>
    </row>
    <row r="185">
      <c r="A185" s="3">
        <v>3.0</v>
      </c>
      <c r="B185" s="3" t="s">
        <v>361</v>
      </c>
      <c r="C185" s="3" t="str">
        <f t="shared" si="1"/>
        <v>30 </v>
      </c>
      <c r="D185" s="3" t="str">
        <f t="shared" si="2"/>
        <v>open</v>
      </c>
      <c r="E185" s="2" t="s">
        <v>8</v>
      </c>
      <c r="F185" s="3" t="str">
        <f>IFERROR(__xludf.DUMMYFUNCTION("GOOGLETRANSLATE(D185,$D$1,$F$1)"),"mở")</f>
        <v>mở</v>
      </c>
      <c r="G185" s="3" t="s">
        <v>362</v>
      </c>
    </row>
    <row r="186">
      <c r="A186" s="3">
        <v>3.0</v>
      </c>
      <c r="B186" s="3" t="s">
        <v>363</v>
      </c>
      <c r="C186" s="3" t="str">
        <f t="shared" si="1"/>
        <v>30 </v>
      </c>
      <c r="D186" s="3" t="str">
        <f t="shared" si="2"/>
        <v>close</v>
      </c>
      <c r="E186" s="2" t="s">
        <v>8</v>
      </c>
      <c r="F186" s="3" t="str">
        <f>IFERROR(__xludf.DUMMYFUNCTION("GOOGLETRANSLATE(D186,$D$1,$F$1)"),"đóng")</f>
        <v>đóng</v>
      </c>
      <c r="G186" s="3" t="s">
        <v>364</v>
      </c>
    </row>
    <row r="187">
      <c r="A187" s="3">
        <v>3.0</v>
      </c>
      <c r="B187" s="3" t="s">
        <v>365</v>
      </c>
      <c r="C187" s="3" t="str">
        <f t="shared" si="1"/>
        <v>30 </v>
      </c>
      <c r="D187" s="3" t="str">
        <f t="shared" si="2"/>
        <v>start</v>
      </c>
      <c r="E187" s="2" t="s">
        <v>8</v>
      </c>
      <c r="F187" s="3" t="str">
        <f>IFERROR(__xludf.DUMMYFUNCTION("GOOGLETRANSLATE(D187,$D$1,$F$1)"),"khởi đầu")</f>
        <v>khởi đầu</v>
      </c>
      <c r="G187" s="3" t="s">
        <v>366</v>
      </c>
    </row>
    <row r="188">
      <c r="A188" s="3">
        <v>3.0</v>
      </c>
      <c r="B188" s="3" t="s">
        <v>367</v>
      </c>
      <c r="C188" s="3" t="str">
        <f t="shared" si="1"/>
        <v>30 </v>
      </c>
      <c r="D188" s="3" t="str">
        <f t="shared" si="2"/>
        <v>finish (v)</v>
      </c>
      <c r="E188" s="2" t="s">
        <v>8</v>
      </c>
      <c r="F188" s="3" t="str">
        <f>IFERROR(__xludf.DUMMYFUNCTION("GOOGLETRANSLATE(D188,$D$1,$F$1)"),"kết thúc (v)")</f>
        <v>kết thúc (v)</v>
      </c>
      <c r="G188" s="3" t="s">
        <v>368</v>
      </c>
    </row>
    <row r="189">
      <c r="A189" s="3">
        <v>3.0</v>
      </c>
      <c r="B189" s="3" t="s">
        <v>369</v>
      </c>
      <c r="C189" s="3" t="str">
        <f t="shared" si="1"/>
        <v>31 </v>
      </c>
      <c r="D189" s="3" t="str">
        <f t="shared" si="2"/>
        <v>get up early</v>
      </c>
      <c r="E189" s="2" t="s">
        <v>8</v>
      </c>
      <c r="F189" s="3" t="str">
        <f>IFERROR(__xludf.DUMMYFUNCTION("GOOGLETRANSLATE(D189,$D$1,$F$1)"),"dậy sớm")</f>
        <v>dậy sớm</v>
      </c>
      <c r="G189" s="3" t="s">
        <v>370</v>
      </c>
    </row>
    <row r="190">
      <c r="A190" s="3">
        <v>3.0</v>
      </c>
      <c r="B190" s="3" t="s">
        <v>371</v>
      </c>
      <c r="C190" s="3" t="str">
        <f t="shared" si="1"/>
        <v>31 </v>
      </c>
      <c r="D190" s="3" t="str">
        <f t="shared" si="2"/>
        <v>go to bed late</v>
      </c>
      <c r="E190" s="2" t="s">
        <v>8</v>
      </c>
      <c r="F190" s="3" t="str">
        <f>IFERROR(__xludf.DUMMYFUNCTION("GOOGLETRANSLATE(D190,$D$1,$F$1)"),"đi ngủ trễ")</f>
        <v>đi ngủ trễ</v>
      </c>
      <c r="G190" s="3" t="s">
        <v>372</v>
      </c>
    </row>
    <row r="191">
      <c r="A191" s="3">
        <v>3.0</v>
      </c>
      <c r="B191" s="3" t="s">
        <v>373</v>
      </c>
      <c r="C191" s="3" t="str">
        <f t="shared" si="1"/>
        <v>31 </v>
      </c>
      <c r="D191" s="3" t="str">
        <f t="shared" si="2"/>
        <v>have breakfast</v>
      </c>
      <c r="E191" s="2" t="s">
        <v>8</v>
      </c>
      <c r="F191" s="3" t="str">
        <f>IFERROR(__xludf.DUMMYFUNCTION("GOOGLETRANSLATE(D191,$D$1,$F$1)"),"ăn sáng")</f>
        <v>ăn sáng</v>
      </c>
      <c r="G191" s="3" t="s">
        <v>374</v>
      </c>
    </row>
    <row r="192">
      <c r="A192" s="3">
        <v>3.0</v>
      </c>
      <c r="B192" s="3" t="s">
        <v>375</v>
      </c>
      <c r="C192" s="3" t="str">
        <f t="shared" si="1"/>
        <v>31 </v>
      </c>
      <c r="D192" s="3" t="str">
        <f t="shared" si="2"/>
        <v>have lunch</v>
      </c>
      <c r="E192" s="2" t="s">
        <v>8</v>
      </c>
      <c r="F192" s="3" t="str">
        <f>IFERROR(__xludf.DUMMYFUNCTION("GOOGLETRANSLATE(D192,$D$1,$F$1)"),"bữa trưa")</f>
        <v>bữa trưa</v>
      </c>
      <c r="G192" s="3" t="s">
        <v>376</v>
      </c>
    </row>
    <row r="193">
      <c r="A193" s="3">
        <v>3.0</v>
      </c>
      <c r="B193" s="3" t="s">
        <v>377</v>
      </c>
      <c r="C193" s="3" t="str">
        <f t="shared" si="1"/>
        <v>31 </v>
      </c>
      <c r="D193" s="3" t="str">
        <f t="shared" si="2"/>
        <v>have dinner</v>
      </c>
      <c r="E193" s="2" t="s">
        <v>8</v>
      </c>
      <c r="F193" s="3" t="str">
        <f>IFERROR(__xludf.DUMMYFUNCTION("GOOGLETRANSLATE(D193,$D$1,$F$1)"),"ăn tối")</f>
        <v>ăn tối</v>
      </c>
      <c r="G193" s="3" t="s">
        <v>378</v>
      </c>
    </row>
    <row r="194">
      <c r="A194" s="3">
        <v>3.0</v>
      </c>
      <c r="B194" s="3" t="s">
        <v>379</v>
      </c>
      <c r="C194" s="3" t="str">
        <f t="shared" si="1"/>
        <v>31 </v>
      </c>
      <c r="D194" s="3" t="str">
        <f t="shared" si="2"/>
        <v>catch the bus</v>
      </c>
      <c r="E194" s="2" t="s">
        <v>8</v>
      </c>
      <c r="F194" s="3" t="str">
        <f>IFERROR(__xludf.DUMMYFUNCTION("GOOGLETRANSLATE(D194,$D$1,$F$1)"),"bắt xe buýt")</f>
        <v>bắt xe buýt</v>
      </c>
      <c r="G194" s="3" t="s">
        <v>380</v>
      </c>
    </row>
    <row r="195">
      <c r="A195" s="3">
        <v>3.0</v>
      </c>
      <c r="B195" s="3" t="s">
        <v>381</v>
      </c>
      <c r="C195" s="3" t="str">
        <f t="shared" si="1"/>
        <v>31 </v>
      </c>
      <c r="D195" s="3" t="str">
        <f t="shared" si="2"/>
        <v>have a bath</v>
      </c>
      <c r="E195" s="2" t="s">
        <v>8</v>
      </c>
      <c r="F195" s="3" t="str">
        <f>IFERROR(__xludf.DUMMYFUNCTION("GOOGLETRANSLATE(D195,$D$1,$F$1)"),"có một phòng tắm")</f>
        <v>có một phòng tắm</v>
      </c>
      <c r="G195" s="3" t="s">
        <v>382</v>
      </c>
    </row>
    <row r="196">
      <c r="A196" s="3">
        <v>3.0</v>
      </c>
      <c r="B196" s="3" t="s">
        <v>383</v>
      </c>
      <c r="C196" s="3" t="str">
        <f t="shared" si="1"/>
        <v>31 </v>
      </c>
      <c r="D196" s="3" t="str">
        <f t="shared" si="2"/>
        <v>have a shower</v>
      </c>
      <c r="E196" s="2" t="s">
        <v>8</v>
      </c>
      <c r="F196" s="3" t="str">
        <f>IFERROR(__xludf.DUMMYFUNCTION("GOOGLETRANSLATE(D196,$D$1,$F$1)"),"đi tắm")</f>
        <v>đi tắm</v>
      </c>
      <c r="G196" s="3" t="s">
        <v>384</v>
      </c>
    </row>
    <row r="197">
      <c r="A197" s="3">
        <v>3.0</v>
      </c>
      <c r="B197" s="3" t="s">
        <v>385</v>
      </c>
      <c r="C197" s="3" t="str">
        <f t="shared" si="1"/>
        <v>32 </v>
      </c>
      <c r="D197" s="3" t="str">
        <f t="shared" si="2"/>
        <v>language</v>
      </c>
      <c r="E197" s="2" t="s">
        <v>8</v>
      </c>
      <c r="F197" s="3" t="str">
        <f>IFERROR(__xludf.DUMMYFUNCTION("GOOGLETRANSLATE(D197,$D$1,$F$1)"),"ngôn ngữ")</f>
        <v>ngôn ngữ</v>
      </c>
      <c r="G197" s="3" t="s">
        <v>386</v>
      </c>
    </row>
    <row r="198">
      <c r="A198" s="3">
        <v>3.0</v>
      </c>
      <c r="B198" s="3" t="s">
        <v>387</v>
      </c>
      <c r="C198" s="3" t="str">
        <f t="shared" si="1"/>
        <v>32 </v>
      </c>
      <c r="D198" s="3" t="str">
        <f t="shared" si="2"/>
        <v>daily routine</v>
      </c>
      <c r="E198" s="2" t="s">
        <v>8</v>
      </c>
      <c r="F198" s="3" t="str">
        <f>IFERROR(__xludf.DUMMYFUNCTION("GOOGLETRANSLATE(D198,$D$1,$F$1)"),"thói quen hàng ngày")</f>
        <v>thói quen hàng ngày</v>
      </c>
      <c r="G198" s="3" t="s">
        <v>388</v>
      </c>
    </row>
    <row r="199">
      <c r="A199" s="3">
        <v>4.0</v>
      </c>
      <c r="B199" s="3" t="s">
        <v>389</v>
      </c>
      <c r="C199" s="3" t="str">
        <f t="shared" si="1"/>
        <v>34 </v>
      </c>
      <c r="D199" s="3" t="str">
        <f t="shared" si="2"/>
        <v>loves(n)</v>
      </c>
      <c r="E199" s="2" t="s">
        <v>8</v>
      </c>
      <c r="F199" s="3" t="str">
        <f>IFERROR(__xludf.DUMMYFUNCTION("GOOGLETRANSLATE(D199,$D$1,$F$1)"),"tình yêu (n)")</f>
        <v>tình yêu (n)</v>
      </c>
      <c r="G199" s="3" t="s">
        <v>390</v>
      </c>
    </row>
    <row r="200">
      <c r="A200" s="3">
        <v>4.0</v>
      </c>
      <c r="B200" s="3" t="s">
        <v>391</v>
      </c>
      <c r="C200" s="3" t="str">
        <f t="shared" si="1"/>
        <v>34 </v>
      </c>
      <c r="D200" s="3" t="str">
        <f t="shared" si="2"/>
        <v>hates(n)</v>
      </c>
      <c r="E200" s="2" t="s">
        <v>8</v>
      </c>
      <c r="F200" s="3" t="str">
        <f>IFERROR(__xludf.DUMMYFUNCTION("GOOGLETRANSLATE(D200,$D$1,$F$1)"),"ghét (n)")</f>
        <v>ghét (n)</v>
      </c>
      <c r="G200" s="3" t="s">
        <v>392</v>
      </c>
    </row>
    <row r="201">
      <c r="A201" s="3">
        <v>4.0</v>
      </c>
      <c r="B201" s="3" t="s">
        <v>393</v>
      </c>
      <c r="C201" s="3" t="str">
        <f t="shared" si="1"/>
        <v>34 </v>
      </c>
      <c r="D201" s="3" t="str">
        <f t="shared" si="2"/>
        <v>dog</v>
      </c>
      <c r="E201" s="2" t="s">
        <v>8</v>
      </c>
      <c r="F201" s="3" t="str">
        <f>IFERROR(__xludf.DUMMYFUNCTION("GOOGLETRANSLATE(D201,$D$1,$F$1)"),"chó")</f>
        <v>chó</v>
      </c>
      <c r="G201" s="3" t="s">
        <v>394</v>
      </c>
    </row>
    <row r="202">
      <c r="A202" s="3">
        <v>4.0</v>
      </c>
      <c r="B202" s="3" t="s">
        <v>395</v>
      </c>
      <c r="C202" s="3" t="str">
        <f t="shared" si="1"/>
        <v>34 </v>
      </c>
      <c r="D202" s="3" t="str">
        <f t="shared" si="2"/>
        <v>doll</v>
      </c>
      <c r="E202" s="2" t="s">
        <v>8</v>
      </c>
      <c r="F202" s="3" t="str">
        <f>IFERROR(__xludf.DUMMYFUNCTION("GOOGLETRANSLATE(D202,$D$1,$F$1)"),"búp bê")</f>
        <v>búp bê</v>
      </c>
      <c r="G202" s="3" t="s">
        <v>396</v>
      </c>
    </row>
    <row r="203">
      <c r="A203" s="3">
        <v>4.0</v>
      </c>
      <c r="B203" s="3" t="s">
        <v>397</v>
      </c>
      <c r="C203" s="3" t="str">
        <f t="shared" si="1"/>
        <v>34 </v>
      </c>
      <c r="D203" s="3" t="str">
        <f t="shared" si="2"/>
        <v>crowd</v>
      </c>
      <c r="E203" s="2" t="s">
        <v>8</v>
      </c>
      <c r="F203" s="3" t="str">
        <f>IFERROR(__xludf.DUMMYFUNCTION("GOOGLETRANSLATE(D203,$D$1,$F$1)"),"bầy đàn")</f>
        <v>bầy đàn</v>
      </c>
      <c r="G203" s="3" t="s">
        <v>398</v>
      </c>
    </row>
    <row r="204">
      <c r="A204" s="3">
        <v>4.0</v>
      </c>
      <c r="B204" s="3" t="s">
        <v>399</v>
      </c>
      <c r="C204" s="3" t="str">
        <f t="shared" si="1"/>
        <v>34 </v>
      </c>
      <c r="D204" s="3" t="str">
        <f t="shared" si="2"/>
        <v>spider</v>
      </c>
      <c r="E204" s="2" t="s">
        <v>8</v>
      </c>
      <c r="F204" s="3" t="str">
        <f>IFERROR(__xludf.DUMMYFUNCTION("GOOGLETRANSLATE(D204,$D$1,$F$1)"),"con nhện")</f>
        <v>con nhện</v>
      </c>
      <c r="G204" s="3" t="s">
        <v>400</v>
      </c>
    </row>
    <row r="205">
      <c r="A205" s="3">
        <v>4.0</v>
      </c>
      <c r="B205" s="3" t="s">
        <v>401</v>
      </c>
      <c r="C205" s="3" t="str">
        <f t="shared" si="1"/>
        <v>34 </v>
      </c>
      <c r="D205" s="3" t="str">
        <f t="shared" si="2"/>
        <v>fly (v)</v>
      </c>
      <c r="E205" s="2" t="s">
        <v>8</v>
      </c>
      <c r="F205" s="3" t="str">
        <f>IFERROR(__xludf.DUMMYFUNCTION("GOOGLETRANSLATE(D205,$D$1,$F$1)"),"bay (v)")</f>
        <v>bay (v)</v>
      </c>
      <c r="G205" s="3" t="s">
        <v>402</v>
      </c>
    </row>
    <row r="206">
      <c r="A206" s="3">
        <v>4.0</v>
      </c>
      <c r="B206" s="3" t="s">
        <v>403</v>
      </c>
      <c r="C206" s="3" t="str">
        <f t="shared" si="1"/>
        <v>34 </v>
      </c>
      <c r="D206" s="3" t="str">
        <f t="shared" si="2"/>
        <v>housework</v>
      </c>
      <c r="E206" s="2" t="s">
        <v>8</v>
      </c>
      <c r="F206" s="3" t="str">
        <f>IFERROR(__xludf.DUMMYFUNCTION("GOOGLETRANSLATE(D206,$D$1,$F$1)"),"công việc nhà")</f>
        <v>công việc nhà</v>
      </c>
      <c r="G206" s="3" t="s">
        <v>404</v>
      </c>
    </row>
    <row r="207">
      <c r="A207" s="3">
        <v>4.0</v>
      </c>
      <c r="B207" s="3" t="s">
        <v>405</v>
      </c>
      <c r="C207" s="3" t="str">
        <f t="shared" si="1"/>
        <v>34 </v>
      </c>
      <c r="D207" s="3" t="str">
        <f t="shared" si="2"/>
        <v>hundreds</v>
      </c>
      <c r="E207" s="2" t="s">
        <v>8</v>
      </c>
      <c r="F207" s="3" t="str">
        <f>IFERROR(__xludf.DUMMYFUNCTION("GOOGLETRANSLATE(D207,$D$1,$F$1)"),"hàng trăm")</f>
        <v>hàng trăm</v>
      </c>
      <c r="G207" s="3" t="s">
        <v>406</v>
      </c>
    </row>
    <row r="208">
      <c r="A208" s="3">
        <v>4.0</v>
      </c>
      <c r="B208" s="3" t="s">
        <v>407</v>
      </c>
      <c r="C208" s="3" t="str">
        <f t="shared" si="1"/>
        <v>35 </v>
      </c>
      <c r="D208" s="3" t="str">
        <f t="shared" si="2"/>
        <v>cat</v>
      </c>
      <c r="E208" s="2" t="s">
        <v>8</v>
      </c>
      <c r="F208" s="3" t="str">
        <f>IFERROR(__xludf.DUMMYFUNCTION("GOOGLETRANSLATE(D208,$D$1,$F$1)"),"con mèo")</f>
        <v>con mèo</v>
      </c>
      <c r="G208" s="3" t="s">
        <v>408</v>
      </c>
    </row>
    <row r="209">
      <c r="A209" s="3">
        <v>4.0</v>
      </c>
      <c r="B209" s="3" t="s">
        <v>409</v>
      </c>
      <c r="C209" s="3" t="str">
        <f t="shared" si="1"/>
        <v>35 </v>
      </c>
      <c r="D209" s="3" t="str">
        <f t="shared" si="2"/>
        <v>cook (v)</v>
      </c>
      <c r="E209" s="2" t="s">
        <v>8</v>
      </c>
      <c r="F209" s="3" t="str">
        <f>IFERROR(__xludf.DUMMYFUNCTION("GOOGLETRANSLATE(D209,$D$1,$F$1)"),"nấu (v)")</f>
        <v>nấu (v)</v>
      </c>
      <c r="G209" s="3" t="s">
        <v>410</v>
      </c>
    </row>
    <row r="210">
      <c r="A210" s="3">
        <v>4.0</v>
      </c>
      <c r="B210" s="3" t="s">
        <v>411</v>
      </c>
      <c r="C210" s="3" t="str">
        <f t="shared" si="1"/>
        <v>35 </v>
      </c>
      <c r="D210" s="3" t="str">
        <f t="shared" si="2"/>
        <v>cycle</v>
      </c>
      <c r="E210" s="2" t="s">
        <v>8</v>
      </c>
      <c r="F210" s="3" t="str">
        <f>IFERROR(__xludf.DUMMYFUNCTION("GOOGLETRANSLATE(D210,$D$1,$F$1)"),"đi xe đạp")</f>
        <v>đi xe đạp</v>
      </c>
      <c r="G210" s="3" t="s">
        <v>412</v>
      </c>
    </row>
    <row r="211">
      <c r="A211" s="3">
        <v>4.0</v>
      </c>
      <c r="B211" s="3" t="s">
        <v>413</v>
      </c>
      <c r="C211" s="3" t="str">
        <f t="shared" si="1"/>
        <v>35 </v>
      </c>
      <c r="D211" s="3" t="str">
        <f t="shared" si="2"/>
        <v>drive</v>
      </c>
      <c r="E211" s="2" t="s">
        <v>8</v>
      </c>
      <c r="F211" s="3" t="str">
        <f>IFERROR(__xludf.DUMMYFUNCTION("GOOGLETRANSLATE(D211,$D$1,$F$1)"),"lái xe")</f>
        <v>lái xe</v>
      </c>
      <c r="G211" s="3" t="s">
        <v>414</v>
      </c>
    </row>
    <row r="212">
      <c r="A212" s="3">
        <v>4.0</v>
      </c>
      <c r="B212" s="3" t="s">
        <v>415</v>
      </c>
      <c r="C212" s="3" t="str">
        <f t="shared" si="1"/>
        <v>35 </v>
      </c>
      <c r="D212" s="3" t="str">
        <f t="shared" si="2"/>
        <v>run</v>
      </c>
      <c r="E212" s="2" t="s">
        <v>8</v>
      </c>
      <c r="F212" s="3" t="str">
        <f>IFERROR(__xludf.DUMMYFUNCTION("GOOGLETRANSLATE(D212,$D$1,$F$1)"),"chạy")</f>
        <v>chạy</v>
      </c>
      <c r="G212" s="3" t="s">
        <v>416</v>
      </c>
    </row>
    <row r="213">
      <c r="A213" s="3">
        <v>4.0</v>
      </c>
      <c r="B213" s="3" t="s">
        <v>417</v>
      </c>
      <c r="C213" s="3" t="str">
        <f t="shared" si="1"/>
        <v>36 </v>
      </c>
      <c r="D213" s="3" t="str">
        <f t="shared" si="2"/>
        <v>film director</v>
      </c>
      <c r="E213" s="2" t="s">
        <v>8</v>
      </c>
      <c r="F213" s="3" t="str">
        <f>IFERROR(__xludf.DUMMYFUNCTION("GOOGLETRANSLATE(D213,$D$1,$F$1)"),"đạo diễn phim")</f>
        <v>đạo diễn phim</v>
      </c>
      <c r="G213" s="3" t="s">
        <v>418</v>
      </c>
    </row>
    <row r="214">
      <c r="A214" s="3">
        <v>4.0</v>
      </c>
      <c r="B214" s="3" t="s">
        <v>419</v>
      </c>
      <c r="C214" s="3" t="str">
        <f t="shared" si="1"/>
        <v>36 </v>
      </c>
      <c r="D214" s="3" t="str">
        <f t="shared" si="2"/>
        <v>send</v>
      </c>
      <c r="E214" s="2" t="s">
        <v>8</v>
      </c>
      <c r="F214" s="3" t="str">
        <f>IFERROR(__xludf.DUMMYFUNCTION("GOOGLETRANSLATE(D214,$D$1,$F$1)"),"gửi")</f>
        <v>gửi</v>
      </c>
      <c r="G214" s="3" t="s">
        <v>420</v>
      </c>
    </row>
    <row r="215">
      <c r="A215" s="3">
        <v>4.0</v>
      </c>
      <c r="B215" s="3" t="s">
        <v>421</v>
      </c>
      <c r="C215" s="3" t="str">
        <f t="shared" si="1"/>
        <v>36 </v>
      </c>
      <c r="D215" s="3" t="str">
        <f t="shared" si="2"/>
        <v>theatre</v>
      </c>
      <c r="E215" s="2" t="s">
        <v>8</v>
      </c>
      <c r="F215" s="3" t="str">
        <f>IFERROR(__xludf.DUMMYFUNCTION("GOOGLETRANSLATE(D215,$D$1,$F$1)"),"rạp hát")</f>
        <v>rạp hát</v>
      </c>
      <c r="G215" s="3" t="s">
        <v>422</v>
      </c>
    </row>
    <row r="216">
      <c r="A216" s="3">
        <v>4.0</v>
      </c>
      <c r="B216" s="3" t="s">
        <v>423</v>
      </c>
      <c r="C216" s="3" t="str">
        <f t="shared" si="1"/>
        <v>36 </v>
      </c>
      <c r="D216" s="3" t="str">
        <f t="shared" si="2"/>
        <v>art</v>
      </c>
      <c r="E216" s="2" t="s">
        <v>8</v>
      </c>
      <c r="F216" s="3" t="str">
        <f>IFERROR(__xludf.DUMMYFUNCTION("GOOGLETRANSLATE(D216,$D$1,$F$1)"),"nghệ thuật")</f>
        <v>nghệ thuật</v>
      </c>
      <c r="G216" s="3" t="s">
        <v>424</v>
      </c>
    </row>
    <row r="217">
      <c r="A217" s="3">
        <v>4.0</v>
      </c>
      <c r="B217" s="3" t="s">
        <v>425</v>
      </c>
      <c r="C217" s="3" t="str">
        <f t="shared" si="1"/>
        <v>36 </v>
      </c>
      <c r="D217" s="3" t="str">
        <f t="shared" si="2"/>
        <v>architecture</v>
      </c>
      <c r="E217" s="2" t="s">
        <v>8</v>
      </c>
      <c r="F217" s="3" t="str">
        <f>IFERROR(__xludf.DUMMYFUNCTION("GOOGLETRANSLATE(D217,$D$1,$F$1)"),"ngành kiến ​​trúc")</f>
        <v>ngành kiến ​​trúc</v>
      </c>
      <c r="G217" s="3" t="s">
        <v>426</v>
      </c>
    </row>
    <row r="218">
      <c r="A218" s="3">
        <v>4.0</v>
      </c>
      <c r="B218" s="3" t="s">
        <v>427</v>
      </c>
      <c r="C218" s="3" t="str">
        <f t="shared" si="1"/>
        <v>36 </v>
      </c>
      <c r="D218" s="3" t="str">
        <f t="shared" si="2"/>
        <v>local</v>
      </c>
      <c r="E218" s="2" t="s">
        <v>8</v>
      </c>
      <c r="F218" s="3" t="str">
        <f>IFERROR(__xludf.DUMMYFUNCTION("GOOGLETRANSLATE(D218,$D$1,$F$1)"),"địa phương")</f>
        <v>địa phương</v>
      </c>
      <c r="G218" s="3" t="s">
        <v>428</v>
      </c>
    </row>
    <row r="219">
      <c r="A219" s="3">
        <v>4.0</v>
      </c>
      <c r="B219" s="3" t="s">
        <v>429</v>
      </c>
      <c r="C219" s="3" t="str">
        <f t="shared" si="1"/>
        <v>36 </v>
      </c>
      <c r="D219" s="3" t="str">
        <f t="shared" si="2"/>
        <v>enjoy</v>
      </c>
      <c r="E219" s="2" t="s">
        <v>8</v>
      </c>
      <c r="F219" s="3" t="str">
        <f>IFERROR(__xludf.DUMMYFUNCTION("GOOGLETRANSLATE(D219,$D$1,$F$1)"),"thưởng thức")</f>
        <v>thưởng thức</v>
      </c>
      <c r="G219" s="3" t="s">
        <v>430</v>
      </c>
    </row>
    <row r="220">
      <c r="A220" s="3">
        <v>4.0</v>
      </c>
      <c r="B220" s="3" t="s">
        <v>431</v>
      </c>
      <c r="C220" s="3" t="str">
        <f t="shared" si="1"/>
        <v>36 </v>
      </c>
      <c r="D220" s="3" t="str">
        <f t="shared" si="2"/>
        <v>free time</v>
      </c>
      <c r="E220" s="2" t="s">
        <v>8</v>
      </c>
      <c r="F220" s="3" t="str">
        <f>IFERROR(__xludf.DUMMYFUNCTION("GOOGLETRANSLATE(D220,$D$1,$F$1)"),"thời gian rảnh")</f>
        <v>thời gian rảnh</v>
      </c>
      <c r="G220" s="3" t="s">
        <v>432</v>
      </c>
    </row>
    <row r="221">
      <c r="A221" s="3">
        <v>4.0</v>
      </c>
      <c r="B221" s="3" t="s">
        <v>433</v>
      </c>
      <c r="C221" s="3" t="str">
        <f t="shared" si="1"/>
        <v>36 </v>
      </c>
      <c r="D221" s="3" t="str">
        <f t="shared" si="2"/>
        <v>miss</v>
      </c>
      <c r="E221" s="2" t="s">
        <v>8</v>
      </c>
      <c r="F221" s="3" t="str">
        <f>IFERROR(__xludf.DUMMYFUNCTION("GOOGLETRANSLATE(D221,$D$1,$F$1)"),"cô")</f>
        <v>cô</v>
      </c>
      <c r="G221" s="3" t="s">
        <v>434</v>
      </c>
    </row>
    <row r="222">
      <c r="A222" s="3">
        <v>4.0</v>
      </c>
      <c r="B222" s="3" t="s">
        <v>435</v>
      </c>
      <c r="C222" s="3" t="str">
        <f t="shared" si="1"/>
        <v>36 </v>
      </c>
      <c r="D222" s="3" t="str">
        <f t="shared" si="2"/>
        <v>ordinary</v>
      </c>
      <c r="E222" s="2" t="s">
        <v>8</v>
      </c>
      <c r="F222" s="3" t="str">
        <f>IFERROR(__xludf.DUMMYFUNCTION("GOOGLETRANSLATE(D222,$D$1,$F$1)"),"bình thường")</f>
        <v>bình thường</v>
      </c>
      <c r="G222" s="3" t="s">
        <v>436</v>
      </c>
    </row>
    <row r="223">
      <c r="A223" s="3">
        <v>4.0</v>
      </c>
      <c r="B223" s="3" t="s">
        <v>437</v>
      </c>
      <c r="C223" s="3" t="str">
        <f t="shared" si="1"/>
        <v>36 </v>
      </c>
      <c r="D223" s="3" t="str">
        <f t="shared" si="2"/>
        <v>Wales</v>
      </c>
      <c r="E223" s="2" t="s">
        <v>8</v>
      </c>
      <c r="F223" s="3" t="str">
        <f>IFERROR(__xludf.DUMMYFUNCTION("GOOGLETRANSLATE(D223,$D$1,$F$1)"),"xứ Wales")</f>
        <v>xứ Wales</v>
      </c>
      <c r="G223" s="3" t="s">
        <v>438</v>
      </c>
    </row>
    <row r="224">
      <c r="A224" s="3">
        <v>4.0</v>
      </c>
      <c r="B224" s="3" t="s">
        <v>439</v>
      </c>
      <c r="C224" s="3" t="str">
        <f t="shared" si="1"/>
        <v>36 </v>
      </c>
      <c r="D224" s="3" t="str">
        <f t="shared" si="2"/>
        <v>billionaire</v>
      </c>
      <c r="E224" s="2" t="s">
        <v>8</v>
      </c>
      <c r="F224" s="3" t="str">
        <f>IFERROR(__xludf.DUMMYFUNCTION("GOOGLETRANSLATE(D224,$D$1,$F$1)"),"tỷ phú")</f>
        <v>tỷ phú</v>
      </c>
      <c r="G224" s="3" t="s">
        <v>440</v>
      </c>
    </row>
    <row r="225">
      <c r="A225" s="3">
        <v>4.0</v>
      </c>
      <c r="B225" s="3" t="s">
        <v>441</v>
      </c>
      <c r="C225" s="3" t="str">
        <f t="shared" si="1"/>
        <v>36 </v>
      </c>
      <c r="D225" s="3" t="str">
        <f t="shared" si="2"/>
        <v>couple</v>
      </c>
      <c r="E225" s="2" t="s">
        <v>8</v>
      </c>
      <c r="F225" s="3" t="str">
        <f>IFERROR(__xludf.DUMMYFUNCTION("GOOGLETRANSLATE(D225,$D$1,$F$1)"),"cặp đôi")</f>
        <v>cặp đôi</v>
      </c>
      <c r="G225" s="3" t="s">
        <v>442</v>
      </c>
    </row>
    <row r="226">
      <c r="A226" s="3">
        <v>4.0</v>
      </c>
      <c r="B226" s="3" t="s">
        <v>443</v>
      </c>
      <c r="C226" s="3" t="str">
        <f t="shared" si="1"/>
        <v>36 </v>
      </c>
      <c r="D226" s="3" t="str">
        <f t="shared" si="2"/>
        <v>still</v>
      </c>
      <c r="E226" s="2" t="s">
        <v>8</v>
      </c>
      <c r="F226" s="3" t="str">
        <f>IFERROR(__xludf.DUMMYFUNCTION("GOOGLETRANSLATE(D226,$D$1,$F$1)"),"vẫn")</f>
        <v>vẫn</v>
      </c>
      <c r="G226" s="3" t="s">
        <v>444</v>
      </c>
    </row>
    <row r="227">
      <c r="A227" s="3">
        <v>4.0</v>
      </c>
      <c r="B227" s="3" t="s">
        <v>445</v>
      </c>
      <c r="C227" s="3" t="str">
        <f t="shared" si="1"/>
        <v>36 </v>
      </c>
      <c r="D227" s="3" t="str">
        <f t="shared" si="2"/>
        <v>Welsh</v>
      </c>
      <c r="E227" s="2" t="s">
        <v>8</v>
      </c>
      <c r="F227" s="3" t="str">
        <f>IFERROR(__xludf.DUMMYFUNCTION("GOOGLETRANSLATE(D227,$D$1,$F$1)"),"người xứ Wales")</f>
        <v>người xứ Wales</v>
      </c>
      <c r="G227" s="3" t="s">
        <v>446</v>
      </c>
    </row>
    <row r="228">
      <c r="A228" s="3">
        <v>4.0</v>
      </c>
      <c r="B228" s="3" t="s">
        <v>447</v>
      </c>
      <c r="C228" s="3" t="str">
        <f t="shared" si="1"/>
        <v>37 </v>
      </c>
      <c r="D228" s="3" t="str">
        <f t="shared" si="2"/>
        <v>both</v>
      </c>
      <c r="E228" s="2" t="s">
        <v>8</v>
      </c>
      <c r="F228" s="3" t="str">
        <f>IFERROR(__xludf.DUMMYFUNCTION("GOOGLETRANSLATE(D228,$D$1,$F$1)"),"cả hai")</f>
        <v>cả hai</v>
      </c>
      <c r="G228" s="3" t="s">
        <v>448</v>
      </c>
    </row>
    <row r="229">
      <c r="A229" s="3">
        <v>4.0</v>
      </c>
      <c r="B229" s="3" t="s">
        <v>449</v>
      </c>
      <c r="C229" s="3" t="str">
        <f t="shared" si="1"/>
        <v>37 </v>
      </c>
      <c r="D229" s="3" t="str">
        <f t="shared" si="2"/>
        <v>hospital</v>
      </c>
      <c r="E229" s="2" t="s">
        <v>8</v>
      </c>
      <c r="F229" s="3" t="str">
        <f>IFERROR(__xludf.DUMMYFUNCTION("GOOGLETRANSLATE(D229,$D$1,$F$1)"),"bệnh viện")</f>
        <v>bệnh viện</v>
      </c>
      <c r="G229" s="3" t="s">
        <v>450</v>
      </c>
    </row>
    <row r="230">
      <c r="A230" s="3">
        <v>4.0</v>
      </c>
      <c r="B230" s="3" t="s">
        <v>451</v>
      </c>
      <c r="C230" s="3" t="str">
        <f t="shared" si="1"/>
        <v>37 </v>
      </c>
      <c r="D230" s="3" t="str">
        <f t="shared" si="2"/>
        <v>near</v>
      </c>
      <c r="E230" s="2" t="s">
        <v>8</v>
      </c>
      <c r="F230" s="3" t="str">
        <f>IFERROR(__xludf.DUMMYFUNCTION("GOOGLETRANSLATE(D230,$D$1,$F$1)"),"ở gần")</f>
        <v>ở gần</v>
      </c>
      <c r="G230" s="3" t="s">
        <v>452</v>
      </c>
    </row>
    <row r="231">
      <c r="A231" s="3">
        <v>4.0</v>
      </c>
      <c r="B231" s="3" t="s">
        <v>453</v>
      </c>
      <c r="C231" s="3" t="str">
        <f t="shared" si="1"/>
        <v>37 </v>
      </c>
      <c r="D231" s="3" t="str">
        <f t="shared" si="2"/>
        <v>sometimes</v>
      </c>
      <c r="E231" s="2" t="s">
        <v>8</v>
      </c>
      <c r="F231" s="3" t="str">
        <f>IFERROR(__xludf.DUMMYFUNCTION("GOOGLETRANSLATE(D231,$D$1,$F$1)"),"đôi khi")</f>
        <v>đôi khi</v>
      </c>
      <c r="G231" s="3" t="s">
        <v>454</v>
      </c>
    </row>
    <row r="232">
      <c r="A232" s="3">
        <v>4.0</v>
      </c>
      <c r="B232" s="3" t="s">
        <v>455</v>
      </c>
      <c r="C232" s="3" t="str">
        <f t="shared" si="1"/>
        <v>37 </v>
      </c>
      <c r="D232" s="3" t="str">
        <f t="shared" si="2"/>
        <v>monkey</v>
      </c>
      <c r="E232" s="2" t="s">
        <v>8</v>
      </c>
      <c r="F232" s="3" t="str">
        <f>IFERROR(__xludf.DUMMYFUNCTION("GOOGLETRANSLATE(D232,$D$1,$F$1)"),"con khỉ")</f>
        <v>con khỉ</v>
      </c>
      <c r="G232" s="3" t="s">
        <v>456</v>
      </c>
    </row>
    <row r="233">
      <c r="A233" s="3">
        <v>4.0</v>
      </c>
      <c r="B233" s="3" t="s">
        <v>457</v>
      </c>
      <c r="C233" s="3" t="str">
        <f t="shared" si="1"/>
        <v>37 </v>
      </c>
      <c r="D233" s="3" t="str">
        <f t="shared" si="2"/>
        <v>weather</v>
      </c>
      <c r="E233" s="2" t="s">
        <v>8</v>
      </c>
      <c r="F233" s="3" t="str">
        <f>IFERROR(__xludf.DUMMYFUNCTION("GOOGLETRANSLATE(D233,$D$1,$F$1)"),"thời tiết")</f>
        <v>thời tiết</v>
      </c>
      <c r="G233" s="3" t="s">
        <v>458</v>
      </c>
    </row>
    <row r="234">
      <c r="A234" s="3">
        <v>4.0</v>
      </c>
      <c r="B234" s="3" t="s">
        <v>459</v>
      </c>
      <c r="C234" s="3" t="str">
        <f t="shared" si="1"/>
        <v>37 </v>
      </c>
      <c r="D234" s="3" t="str">
        <f t="shared" si="2"/>
        <v>own</v>
      </c>
      <c r="E234" s="2" t="s">
        <v>8</v>
      </c>
      <c r="F234" s="3" t="str">
        <f>IFERROR(__xludf.DUMMYFUNCTION("GOOGLETRANSLATE(D234,$D$1,$F$1)"),"sở hữu")</f>
        <v>sở hữu</v>
      </c>
      <c r="G234" s="3" t="s">
        <v>460</v>
      </c>
    </row>
    <row r="235">
      <c r="A235" s="3">
        <v>4.0</v>
      </c>
      <c r="B235" s="3" t="s">
        <v>461</v>
      </c>
      <c r="C235" s="3" t="str">
        <f t="shared" si="1"/>
        <v>38 </v>
      </c>
      <c r="D235" s="3" t="str">
        <f t="shared" si="2"/>
        <v>newspaper</v>
      </c>
      <c r="E235" s="2" t="s">
        <v>8</v>
      </c>
      <c r="F235" s="3" t="str">
        <f>IFERROR(__xludf.DUMMYFUNCTION("GOOGLETRANSLATE(D235,$D$1,$F$1)"),"báo chí")</f>
        <v>báo chí</v>
      </c>
      <c r="G235" s="3" t="s">
        <v>462</v>
      </c>
    </row>
    <row r="236">
      <c r="A236" s="3">
        <v>4.0</v>
      </c>
      <c r="B236" s="3" t="s">
        <v>463</v>
      </c>
      <c r="C236" s="3" t="str">
        <f t="shared" si="1"/>
        <v>38 </v>
      </c>
      <c r="D236" s="3" t="str">
        <f t="shared" si="2"/>
        <v>letter</v>
      </c>
      <c r="E236" s="2" t="s">
        <v>8</v>
      </c>
      <c r="F236" s="3" t="str">
        <f>IFERROR(__xludf.DUMMYFUNCTION("GOOGLETRANSLATE(D236,$D$1,$F$1)"),"lá thư")</f>
        <v>lá thư</v>
      </c>
      <c r="G236" s="3" t="s">
        <v>464</v>
      </c>
    </row>
    <row r="237">
      <c r="A237" s="3">
        <v>4.0</v>
      </c>
      <c r="B237" s="3" t="s">
        <v>465</v>
      </c>
      <c r="C237" s="3" t="str">
        <f t="shared" si="1"/>
        <v>38 </v>
      </c>
      <c r="D237" s="3" t="str">
        <f t="shared" si="2"/>
        <v>nothing</v>
      </c>
      <c r="E237" s="2" t="s">
        <v>8</v>
      </c>
      <c r="F237" s="3" t="str">
        <f>IFERROR(__xludf.DUMMYFUNCTION("GOOGLETRANSLATE(D237,$D$1,$F$1)"),"không có gì")</f>
        <v>không có gì</v>
      </c>
      <c r="G237" s="3" t="s">
        <v>466</v>
      </c>
    </row>
    <row r="238">
      <c r="A238" s="3">
        <v>4.0</v>
      </c>
      <c r="B238" s="3" t="s">
        <v>467</v>
      </c>
      <c r="C238" s="3" t="str">
        <f t="shared" si="1"/>
        <v>38 </v>
      </c>
      <c r="D238" s="3" t="str">
        <f t="shared" si="2"/>
        <v>shopping</v>
      </c>
      <c r="E238" s="2" t="s">
        <v>8</v>
      </c>
      <c r="F238" s="3" t="str">
        <f>IFERROR(__xludf.DUMMYFUNCTION("GOOGLETRANSLATE(D238,$D$1,$F$1)"),"mua sắm")</f>
        <v>mua sắm</v>
      </c>
      <c r="G238" s="3" t="s">
        <v>468</v>
      </c>
    </row>
    <row r="239">
      <c r="A239" s="3">
        <v>4.0</v>
      </c>
      <c r="B239" s="3" t="s">
        <v>469</v>
      </c>
      <c r="C239" s="3" t="str">
        <f t="shared" si="1"/>
        <v>38 </v>
      </c>
      <c r="D239" s="3" t="str">
        <f t="shared" si="2"/>
        <v>magazine</v>
      </c>
      <c r="E239" s="2" t="s">
        <v>8</v>
      </c>
      <c r="F239" s="3" t="str">
        <f>IFERROR(__xludf.DUMMYFUNCTION("GOOGLETRANSLATE(D239,$D$1,$F$1)"),"tạp chí")</f>
        <v>tạp chí</v>
      </c>
      <c r="G239" s="3" t="s">
        <v>470</v>
      </c>
    </row>
    <row r="240">
      <c r="A240" s="3">
        <v>4.0</v>
      </c>
      <c r="B240" s="3" t="s">
        <v>471</v>
      </c>
      <c r="C240" s="3" t="str">
        <f t="shared" si="1"/>
        <v>38 </v>
      </c>
      <c r="D240" s="3" t="str">
        <f t="shared" si="2"/>
        <v>guitar</v>
      </c>
      <c r="E240" s="2" t="s">
        <v>8</v>
      </c>
      <c r="F240" s="3" t="str">
        <f>IFERROR(__xludf.DUMMYFUNCTION("GOOGLETRANSLATE(D240,$D$1,$F$1)"),"đàn ghi ta")</f>
        <v>đàn ghi ta</v>
      </c>
      <c r="G240" s="3" t="s">
        <v>472</v>
      </c>
    </row>
    <row r="241">
      <c r="A241" s="3">
        <v>4.0</v>
      </c>
      <c r="B241" s="3" t="s">
        <v>473</v>
      </c>
      <c r="C241" s="3" t="str">
        <f t="shared" si="1"/>
        <v>38 </v>
      </c>
      <c r="D241" s="3" t="str">
        <f t="shared" si="2"/>
        <v>relative</v>
      </c>
      <c r="E241" s="2" t="s">
        <v>8</v>
      </c>
      <c r="F241" s="3" t="str">
        <f>IFERROR(__xludf.DUMMYFUNCTION("GOOGLETRANSLATE(D241,$D$1,$F$1)"),"quan hệ")</f>
        <v>quan hệ</v>
      </c>
      <c r="G241" s="3" t="s">
        <v>474</v>
      </c>
    </row>
    <row r="242">
      <c r="A242" s="3">
        <v>4.0</v>
      </c>
      <c r="B242" s="3" t="s">
        <v>475</v>
      </c>
      <c r="C242" s="3" t="str">
        <f t="shared" si="1"/>
        <v>38 </v>
      </c>
      <c r="D242" s="3" t="str">
        <f t="shared" si="2"/>
        <v>usually</v>
      </c>
      <c r="E242" s="2" t="s">
        <v>8</v>
      </c>
      <c r="F242" s="3" t="str">
        <f>IFERROR(__xludf.DUMMYFUNCTION("GOOGLETRANSLATE(D242,$D$1,$F$1)"),"thông thường")</f>
        <v>thông thường</v>
      </c>
      <c r="G242" s="3" t="s">
        <v>476</v>
      </c>
    </row>
    <row r="243">
      <c r="A243" s="3">
        <v>4.0</v>
      </c>
      <c r="B243" s="3" t="s">
        <v>477</v>
      </c>
      <c r="C243" s="3" t="str">
        <f t="shared" si="1"/>
        <v>38 </v>
      </c>
      <c r="D243" s="3" t="str">
        <f t="shared" si="2"/>
        <v>often</v>
      </c>
      <c r="E243" s="2" t="s">
        <v>8</v>
      </c>
      <c r="F243" s="3" t="str">
        <f>IFERROR(__xludf.DUMMYFUNCTION("GOOGLETRANSLATE(D243,$D$1,$F$1)"),"thường")</f>
        <v>thường</v>
      </c>
      <c r="G243" s="3" t="s">
        <v>478</v>
      </c>
    </row>
    <row r="244">
      <c r="A244" s="3">
        <v>4.0</v>
      </c>
      <c r="B244" s="3" t="s">
        <v>479</v>
      </c>
      <c r="C244" s="3" t="str">
        <f t="shared" si="1"/>
        <v>38 </v>
      </c>
      <c r="D244" s="3" t="str">
        <f t="shared" si="2"/>
        <v>never</v>
      </c>
      <c r="E244" s="2" t="s">
        <v>8</v>
      </c>
      <c r="F244" s="3" t="str">
        <f>IFERROR(__xludf.DUMMYFUNCTION("GOOGLETRANSLATE(D244,$D$1,$F$1)"),"không bao giờ")</f>
        <v>không bao giờ</v>
      </c>
      <c r="G244" s="3" t="s">
        <v>480</v>
      </c>
    </row>
    <row r="245">
      <c r="A245" s="3">
        <v>4.0</v>
      </c>
      <c r="B245" s="3" t="s">
        <v>481</v>
      </c>
      <c r="C245" s="3" t="str">
        <f t="shared" si="1"/>
        <v>38 </v>
      </c>
      <c r="D245" s="3" t="str">
        <f t="shared" si="2"/>
        <v>always</v>
      </c>
      <c r="E245" s="2" t="s">
        <v>8</v>
      </c>
      <c r="F245" s="3" t="str">
        <f>IFERROR(__xludf.DUMMYFUNCTION("GOOGLETRANSLATE(D245,$D$1,$F$1)"),"luôn luôn")</f>
        <v>luôn luôn</v>
      </c>
      <c r="G245" s="3" t="s">
        <v>482</v>
      </c>
    </row>
    <row r="246">
      <c r="A246" s="3">
        <v>4.0</v>
      </c>
      <c r="B246" s="3" t="s">
        <v>483</v>
      </c>
      <c r="C246" s="3" t="str">
        <f t="shared" si="1"/>
        <v>38 </v>
      </c>
      <c r="D246" s="3" t="str">
        <f t="shared" si="2"/>
        <v>ever</v>
      </c>
      <c r="E246" s="2" t="s">
        <v>8</v>
      </c>
      <c r="F246" s="3" t="str">
        <f>IFERROR(__xludf.DUMMYFUNCTION("GOOGLETRANSLATE(D246,$D$1,$F$1)"),"không bao giờ")</f>
        <v>không bao giờ</v>
      </c>
      <c r="G246" s="3" t="s">
        <v>484</v>
      </c>
    </row>
    <row r="247">
      <c r="A247" s="3">
        <v>4.0</v>
      </c>
      <c r="B247" s="3" t="s">
        <v>485</v>
      </c>
      <c r="C247" s="3" t="str">
        <f t="shared" si="1"/>
        <v>38 </v>
      </c>
      <c r="D247" s="3" t="str">
        <f t="shared" si="2"/>
        <v>concert</v>
      </c>
      <c r="E247" s="2" t="s">
        <v>8</v>
      </c>
      <c r="F247" s="3" t="str">
        <f>IFERROR(__xludf.DUMMYFUNCTION("GOOGLETRANSLATE(D247,$D$1,$F$1)"),"buổi hòa nhạc")</f>
        <v>buổi hòa nhạc</v>
      </c>
      <c r="G247" s="3" t="s">
        <v>486</v>
      </c>
    </row>
    <row r="248">
      <c r="A248" s="3">
        <v>4.0</v>
      </c>
      <c r="B248" s="3" t="s">
        <v>487</v>
      </c>
      <c r="C248" s="3" t="str">
        <f t="shared" si="1"/>
        <v>38 </v>
      </c>
      <c r="D248" s="3" t="str">
        <f t="shared" si="2"/>
        <v>how about you?</v>
      </c>
      <c r="E248" s="2" t="s">
        <v>8</v>
      </c>
      <c r="F248" s="3" t="str">
        <f>IFERROR(__xludf.DUMMYFUNCTION("GOOGLETRANSLATE(D248,$D$1,$F$1)"),"Còn bạn thì sao?")</f>
        <v>Còn bạn thì sao?</v>
      </c>
      <c r="G248" s="3" t="s">
        <v>488</v>
      </c>
    </row>
    <row r="249">
      <c r="A249" s="3">
        <v>4.0</v>
      </c>
      <c r="B249" s="3" t="s">
        <v>489</v>
      </c>
      <c r="C249" s="3" t="str">
        <f t="shared" si="1"/>
        <v>38 </v>
      </c>
      <c r="D249" s="3" t="str">
        <f t="shared" si="2"/>
        <v>visit</v>
      </c>
      <c r="E249" s="2" t="s">
        <v>8</v>
      </c>
      <c r="F249" s="3" t="str">
        <f>IFERROR(__xludf.DUMMYFUNCTION("GOOGLETRANSLATE(D249,$D$1,$F$1)"),"chuyến thăm")</f>
        <v>chuyến thăm</v>
      </c>
      <c r="G249" s="3" t="s">
        <v>490</v>
      </c>
    </row>
    <row r="250">
      <c r="A250" s="3">
        <v>4.0</v>
      </c>
      <c r="B250" s="3" t="s">
        <v>491</v>
      </c>
      <c r="C250" s="3" t="str">
        <f t="shared" si="1"/>
        <v>38 </v>
      </c>
      <c r="D250" s="3" t="str">
        <f t="shared" si="2"/>
        <v>poetry</v>
      </c>
      <c r="E250" s="2" t="s">
        <v>8</v>
      </c>
      <c r="F250" s="3" t="str">
        <f>IFERROR(__xludf.DUMMYFUNCTION("GOOGLETRANSLATE(D250,$D$1,$F$1)"),"thơ")</f>
        <v>thơ</v>
      </c>
      <c r="G250" s="3" t="s">
        <v>492</v>
      </c>
    </row>
    <row r="251">
      <c r="A251" s="3">
        <v>4.0</v>
      </c>
      <c r="B251" s="3" t="s">
        <v>493</v>
      </c>
      <c r="C251" s="3" t="str">
        <f t="shared" si="1"/>
        <v>39 </v>
      </c>
      <c r="D251" s="3" t="str">
        <f t="shared" si="2"/>
        <v>Ireland</v>
      </c>
      <c r="E251" s="2" t="s">
        <v>8</v>
      </c>
      <c r="F251" s="3" t="str">
        <f>IFERROR(__xludf.DUMMYFUNCTION("GOOGLETRANSLATE(D251,$D$1,$F$1)"),"Ireland")</f>
        <v>Ireland</v>
      </c>
      <c r="G251" s="3" t="s">
        <v>494</v>
      </c>
    </row>
    <row r="252">
      <c r="A252" s="3">
        <v>4.0</v>
      </c>
      <c r="B252" s="3" t="s">
        <v>495</v>
      </c>
      <c r="C252" s="3" t="str">
        <f t="shared" si="1"/>
        <v>39 </v>
      </c>
      <c r="D252" s="3" t="str">
        <f t="shared" si="2"/>
        <v>type</v>
      </c>
      <c r="E252" s="2" t="s">
        <v>8</v>
      </c>
      <c r="F252" s="3" t="str">
        <f>IFERROR(__xludf.DUMMYFUNCTION("GOOGLETRANSLATE(D252,$D$1,$F$1)"),"kiểu")</f>
        <v>kiểu</v>
      </c>
      <c r="G252" s="3" t="s">
        <v>496</v>
      </c>
    </row>
    <row r="253">
      <c r="A253" s="3">
        <v>4.0</v>
      </c>
      <c r="B253" s="3" t="s">
        <v>497</v>
      </c>
      <c r="C253" s="3" t="str">
        <f t="shared" si="1"/>
        <v>39 </v>
      </c>
      <c r="D253" s="3" t="str">
        <f t="shared" si="2"/>
        <v>piano</v>
      </c>
      <c r="E253" s="2" t="s">
        <v>8</v>
      </c>
      <c r="F253" s="3" t="str">
        <f>IFERROR(__xludf.DUMMYFUNCTION("GOOGLETRANSLATE(D253,$D$1,$F$1)"),"đàn piano")</f>
        <v>đàn piano</v>
      </c>
      <c r="G253" s="3" t="s">
        <v>498</v>
      </c>
    </row>
    <row r="254">
      <c r="A254" s="3">
        <v>4.0</v>
      </c>
      <c r="B254" s="3" t="s">
        <v>499</v>
      </c>
      <c r="C254" s="3" t="str">
        <f t="shared" si="1"/>
        <v>39 </v>
      </c>
      <c r="D254" s="3" t="str">
        <f t="shared" si="2"/>
        <v>also</v>
      </c>
      <c r="E254" s="2" t="s">
        <v>8</v>
      </c>
      <c r="F254" s="3" t="str">
        <f>IFERROR(__xludf.DUMMYFUNCTION("GOOGLETRANSLATE(D254,$D$1,$F$1)"),"cũng thế")</f>
        <v>cũng thế</v>
      </c>
      <c r="G254" s="3" t="s">
        <v>500</v>
      </c>
    </row>
    <row r="255">
      <c r="A255" s="3">
        <v>4.0</v>
      </c>
      <c r="B255" s="3" t="s">
        <v>501</v>
      </c>
      <c r="C255" s="3" t="str">
        <f t="shared" si="1"/>
        <v>39 </v>
      </c>
      <c r="D255" s="3" t="str">
        <f t="shared" si="2"/>
        <v>go out</v>
      </c>
      <c r="E255" s="2" t="s">
        <v>8</v>
      </c>
      <c r="F255" s="3" t="str">
        <f>IFERROR(__xludf.DUMMYFUNCTION("GOOGLETRANSLATE(D255,$D$1,$F$1)"),"đi ra ngoài")</f>
        <v>đi ra ngoài</v>
      </c>
      <c r="G255" s="3" t="s">
        <v>502</v>
      </c>
    </row>
    <row r="256">
      <c r="A256" s="3">
        <v>4.0</v>
      </c>
      <c r="B256" s="3" t="s">
        <v>503</v>
      </c>
      <c r="C256" s="3" t="str">
        <f t="shared" si="1"/>
        <v>39 </v>
      </c>
      <c r="D256" s="3" t="str">
        <f t="shared" si="2"/>
        <v>travel</v>
      </c>
      <c r="E256" s="2" t="s">
        <v>8</v>
      </c>
      <c r="F256" s="3" t="str">
        <f>IFERROR(__xludf.DUMMYFUNCTION("GOOGLETRANSLATE(D256,$D$1,$F$1)"),"du lịch")</f>
        <v>du lịch</v>
      </c>
      <c r="G256" s="3" t="s">
        <v>504</v>
      </c>
    </row>
    <row r="257">
      <c r="A257" s="3">
        <v>4.0</v>
      </c>
      <c r="B257" s="3" t="s">
        <v>505</v>
      </c>
      <c r="C257" s="3" t="str">
        <f t="shared" si="1"/>
        <v>39 </v>
      </c>
      <c r="D257" s="3" t="str">
        <f t="shared" si="2"/>
        <v>meat</v>
      </c>
      <c r="E257" s="2" t="s">
        <v>8</v>
      </c>
      <c r="F257" s="3" t="str">
        <f>IFERROR(__xludf.DUMMYFUNCTION("GOOGLETRANSLATE(D257,$D$1,$F$1)"),"thịt")</f>
        <v>thịt</v>
      </c>
      <c r="G257" s="3" t="s">
        <v>506</v>
      </c>
    </row>
    <row r="258">
      <c r="A258" s="3">
        <v>4.0</v>
      </c>
      <c r="B258" s="3" t="s">
        <v>507</v>
      </c>
      <c r="C258" s="3" t="str">
        <f t="shared" si="1"/>
        <v>39 </v>
      </c>
      <c r="D258" s="3" t="str">
        <f t="shared" si="2"/>
        <v>receive</v>
      </c>
      <c r="E258" s="2" t="s">
        <v>8</v>
      </c>
      <c r="F258" s="3" t="str">
        <f>IFERROR(__xludf.DUMMYFUNCTION("GOOGLETRANSLATE(D258,$D$1,$F$1)"),"nhận được")</f>
        <v>nhận được</v>
      </c>
      <c r="G258" s="3" t="s">
        <v>508</v>
      </c>
    </row>
    <row r="259">
      <c r="A259" s="3">
        <v>4.0</v>
      </c>
      <c r="B259" s="3" t="s">
        <v>509</v>
      </c>
      <c r="C259" s="3" t="str">
        <f t="shared" si="1"/>
        <v>39 </v>
      </c>
      <c r="D259" s="3" t="str">
        <f t="shared" si="2"/>
        <v>interest</v>
      </c>
      <c r="E259" s="2" t="s">
        <v>8</v>
      </c>
      <c r="F259" s="3" t="str">
        <f>IFERROR(__xludf.DUMMYFUNCTION("GOOGLETRANSLATE(D259,$D$1,$F$1)"),"quan tâm")</f>
        <v>quan tâm</v>
      </c>
      <c r="G259" s="3" t="s">
        <v>510</v>
      </c>
    </row>
    <row r="260">
      <c r="A260" s="3">
        <v>4.0</v>
      </c>
      <c r="B260" s="3" t="s">
        <v>511</v>
      </c>
      <c r="C260" s="3" t="str">
        <f t="shared" si="1"/>
        <v>39 </v>
      </c>
      <c r="D260" s="3" t="str">
        <f t="shared" si="2"/>
        <v>classical</v>
      </c>
      <c r="E260" s="2" t="s">
        <v>8</v>
      </c>
      <c r="F260" s="3" t="str">
        <f>IFERROR(__xludf.DUMMYFUNCTION("GOOGLETRANSLATE(D260,$D$1,$F$1)"),"cổ điển")</f>
        <v>cổ điển</v>
      </c>
      <c r="G260" s="3" t="s">
        <v>512</v>
      </c>
    </row>
    <row r="261">
      <c r="A261" s="3">
        <v>4.0</v>
      </c>
      <c r="B261" s="3" t="s">
        <v>513</v>
      </c>
      <c r="C261" s="3" t="str">
        <f t="shared" si="1"/>
        <v>39 </v>
      </c>
      <c r="D261" s="3" t="str">
        <f t="shared" si="2"/>
        <v>agree</v>
      </c>
      <c r="E261" s="2" t="s">
        <v>8</v>
      </c>
      <c r="F261" s="3" t="str">
        <f>IFERROR(__xludf.DUMMYFUNCTION("GOOGLETRANSLATE(D261,$D$1,$F$1)"),"đồng ý")</f>
        <v>đồng ý</v>
      </c>
      <c r="G261" s="3" t="s">
        <v>514</v>
      </c>
    </row>
    <row r="262">
      <c r="A262" s="3">
        <v>4.0</v>
      </c>
      <c r="B262" s="3" t="s">
        <v>515</v>
      </c>
      <c r="C262" s="3" t="str">
        <f t="shared" si="1"/>
        <v>40 </v>
      </c>
      <c r="D262" s="3" t="str">
        <f t="shared" si="2"/>
        <v>polite</v>
      </c>
      <c r="E262" s="2" t="s">
        <v>8</v>
      </c>
      <c r="F262" s="3" t="str">
        <f>IFERROR(__xludf.DUMMYFUNCTION("GOOGLETRANSLATE(D262,$D$1,$F$1)"),"lịch sự")</f>
        <v>lịch sự</v>
      </c>
      <c r="G262" s="3" t="s">
        <v>516</v>
      </c>
    </row>
    <row r="263">
      <c r="A263" s="3">
        <v>4.0</v>
      </c>
      <c r="B263" s="3" t="s">
        <v>517</v>
      </c>
      <c r="C263" s="3" t="str">
        <f t="shared" si="1"/>
        <v>40 </v>
      </c>
      <c r="D263" s="3" t="str">
        <f t="shared" si="2"/>
        <v>bill</v>
      </c>
      <c r="E263" s="2" t="s">
        <v>8</v>
      </c>
      <c r="F263" s="3" t="str">
        <f>IFERROR(__xludf.DUMMYFUNCTION("GOOGLETRANSLATE(D263,$D$1,$F$1)"),"hóa đơn")</f>
        <v>hóa đơn</v>
      </c>
      <c r="G263" s="3" t="s">
        <v>518</v>
      </c>
    </row>
    <row r="264">
      <c r="A264" s="3">
        <v>4.0</v>
      </c>
      <c r="B264" s="3" t="s">
        <v>519</v>
      </c>
      <c r="C264" s="3" t="str">
        <f t="shared" si="1"/>
        <v>40 </v>
      </c>
      <c r="D264" s="3" t="str">
        <f t="shared" si="2"/>
        <v>lemonade</v>
      </c>
      <c r="E264" s="2" t="s">
        <v>8</v>
      </c>
      <c r="F264" s="3" t="str">
        <f>IFERROR(__xludf.DUMMYFUNCTION("GOOGLETRANSLATE(D264,$D$1,$F$1)"),"Nước chanh")</f>
        <v>Nước chanh</v>
      </c>
      <c r="G264" s="3" t="s">
        <v>520</v>
      </c>
    </row>
    <row r="265">
      <c r="A265" s="3">
        <v>4.0</v>
      </c>
      <c r="B265" s="3" t="s">
        <v>521</v>
      </c>
      <c r="C265" s="3" t="str">
        <f t="shared" si="1"/>
        <v>40 </v>
      </c>
      <c r="D265" s="3" t="str">
        <f t="shared" si="2"/>
        <v>drink (n)</v>
      </c>
      <c r="E265" s="2" t="s">
        <v>8</v>
      </c>
      <c r="F265" s="3" t="str">
        <f>IFERROR(__xludf.DUMMYFUNCTION("GOOGLETRANSLATE(D265,$D$1,$F$1)"),"uống (n)")</f>
        <v>uống (n)</v>
      </c>
      <c r="G265" s="3" t="s">
        <v>522</v>
      </c>
    </row>
    <row r="266">
      <c r="A266" s="3">
        <v>4.0</v>
      </c>
      <c r="B266" s="3" t="s">
        <v>523</v>
      </c>
      <c r="C266" s="3" t="str">
        <f t="shared" si="1"/>
        <v>40 </v>
      </c>
      <c r="D266" s="3" t="str">
        <f t="shared" si="2"/>
        <v>good idea</v>
      </c>
      <c r="E266" s="2" t="s">
        <v>8</v>
      </c>
      <c r="F266" s="3" t="str">
        <f>IFERROR(__xludf.DUMMYFUNCTION("GOOGLETRANSLATE(D266,$D$1,$F$1)"),"ý tưởng tốt")</f>
        <v>ý tưởng tốt</v>
      </c>
      <c r="G266" s="3" t="s">
        <v>524</v>
      </c>
    </row>
    <row r="267">
      <c r="A267" s="3">
        <v>4.0</v>
      </c>
      <c r="B267" s="3" t="s">
        <v>525</v>
      </c>
      <c r="C267" s="3" t="str">
        <f t="shared" si="1"/>
        <v>40 </v>
      </c>
      <c r="D267" s="3" t="str">
        <f t="shared" si="2"/>
        <v>anything else</v>
      </c>
      <c r="E267" s="2" t="s">
        <v>8</v>
      </c>
      <c r="F267" s="3" t="str">
        <f>IFERROR(__xludf.DUMMYFUNCTION("GOOGLETRANSLATE(D267,$D$1,$F$1)"),"còn gì nữa không")</f>
        <v>còn gì nữa không</v>
      </c>
      <c r="G267" s="3" t="s">
        <v>526</v>
      </c>
    </row>
    <row r="268">
      <c r="A268" s="3">
        <v>4.0</v>
      </c>
      <c r="B268" s="3" t="s">
        <v>527</v>
      </c>
      <c r="C268" s="3" t="str">
        <f t="shared" si="1"/>
        <v>40 </v>
      </c>
      <c r="D268" s="3" t="str">
        <f t="shared" si="2"/>
        <v>just a minute</v>
      </c>
      <c r="E268" s="2" t="s">
        <v>8</v>
      </c>
      <c r="F268" s="3" t="str">
        <f>IFERROR(__xludf.DUMMYFUNCTION("GOOGLETRANSLATE(D268,$D$1,$F$1)"),"chỉ một phút")</f>
        <v>chỉ một phút</v>
      </c>
      <c r="G268" s="3" t="s">
        <v>528</v>
      </c>
    </row>
    <row r="269">
      <c r="A269" s="3">
        <v>4.0</v>
      </c>
      <c r="B269" s="3" t="s">
        <v>529</v>
      </c>
      <c r="C269" s="3" t="str">
        <f t="shared" si="1"/>
        <v>40 </v>
      </c>
      <c r="D269" s="3" t="str">
        <f t="shared" si="2"/>
        <v>another</v>
      </c>
      <c r="E269" s="2" t="s">
        <v>8</v>
      </c>
      <c r="F269" s="3" t="str">
        <f>IFERROR(__xludf.DUMMYFUNCTION("GOOGLETRANSLATE(D269,$D$1,$F$1)"),"khác")</f>
        <v>khác</v>
      </c>
      <c r="G269" s="3" t="s">
        <v>530</v>
      </c>
    </row>
    <row r="270">
      <c r="A270" s="3">
        <v>4.0</v>
      </c>
      <c r="B270" s="3" t="s">
        <v>531</v>
      </c>
      <c r="C270" s="3" t="str">
        <f t="shared" si="1"/>
        <v>40 </v>
      </c>
      <c r="D270" s="3" t="str">
        <f t="shared" si="2"/>
        <v>clean</v>
      </c>
      <c r="E270" s="2" t="s">
        <v>8</v>
      </c>
      <c r="F270" s="3" t="str">
        <f>IFERROR(__xludf.DUMMYFUNCTION("GOOGLETRANSLATE(D270,$D$1,$F$1)"),"dọn dẹp")</f>
        <v>dọn dẹp</v>
      </c>
      <c r="G270" s="3" t="s">
        <v>532</v>
      </c>
    </row>
    <row r="271">
      <c r="A271" s="3">
        <v>4.0</v>
      </c>
      <c r="B271" s="3" t="s">
        <v>533</v>
      </c>
      <c r="C271" s="3" t="str">
        <f t="shared" si="1"/>
        <v>40 </v>
      </c>
      <c r="D271" s="3" t="str">
        <f t="shared" si="2"/>
        <v>spoon</v>
      </c>
      <c r="E271" s="2" t="s">
        <v>8</v>
      </c>
      <c r="F271" s="3" t="str">
        <f>IFERROR(__xludf.DUMMYFUNCTION("GOOGLETRANSLATE(D271,$D$1,$F$1)"),"cái thìa")</f>
        <v>cái thìa</v>
      </c>
      <c r="G271" s="3" t="s">
        <v>534</v>
      </c>
    </row>
    <row r="272">
      <c r="A272" s="3">
        <v>4.0</v>
      </c>
      <c r="B272" s="3" t="s">
        <v>535</v>
      </c>
      <c r="C272" s="3" t="str">
        <f t="shared" si="1"/>
        <v>40 </v>
      </c>
      <c r="D272" s="3" t="str">
        <f t="shared" si="2"/>
        <v>sugar</v>
      </c>
      <c r="E272" s="2" t="s">
        <v>8</v>
      </c>
      <c r="F272" s="3" t="str">
        <f>IFERROR(__xludf.DUMMYFUNCTION("GOOGLETRANSLATE(D272,$D$1,$F$1)"),"Đường")</f>
        <v>Đường</v>
      </c>
      <c r="G272" s="3" t="s">
        <v>536</v>
      </c>
    </row>
    <row r="273">
      <c r="A273" s="3">
        <v>4.0</v>
      </c>
      <c r="B273" s="3" t="s">
        <v>537</v>
      </c>
      <c r="C273" s="3" t="str">
        <f t="shared" si="1"/>
        <v>40 </v>
      </c>
      <c r="D273" s="3" t="str">
        <f t="shared" si="2"/>
        <v>coffee</v>
      </c>
      <c r="E273" s="2" t="s">
        <v>8</v>
      </c>
      <c r="F273" s="3" t="str">
        <f>IFERROR(__xludf.DUMMYFUNCTION("GOOGLETRANSLATE(D273,$D$1,$F$1)"),"cà phê")</f>
        <v>cà phê</v>
      </c>
      <c r="G273" s="3" t="s">
        <v>538</v>
      </c>
    </row>
    <row r="274">
      <c r="A274" s="3">
        <v>4.0</v>
      </c>
      <c r="B274" s="3" t="s">
        <v>539</v>
      </c>
      <c r="C274" s="3" t="str">
        <f t="shared" si="1"/>
        <v>41 </v>
      </c>
      <c r="D274" s="3" t="str">
        <f t="shared" si="2"/>
        <v>violin</v>
      </c>
      <c r="E274" s="2" t="s">
        <v>8</v>
      </c>
      <c r="F274" s="3" t="str">
        <f>IFERROR(__xludf.DUMMYFUNCTION("GOOGLETRANSLATE(D274,$D$1,$F$1)"),"đàn vi ô lông")</f>
        <v>đàn vi ô lông</v>
      </c>
      <c r="G274" s="3" t="s">
        <v>540</v>
      </c>
    </row>
    <row r="275">
      <c r="A275" s="3">
        <v>4.0</v>
      </c>
      <c r="B275" s="3" t="s">
        <v>541</v>
      </c>
      <c r="C275" s="3" t="str">
        <f t="shared" si="1"/>
        <v>41 </v>
      </c>
      <c r="D275" s="3" t="str">
        <f t="shared" si="2"/>
        <v>catch</v>
      </c>
      <c r="E275" s="2" t="s">
        <v>8</v>
      </c>
      <c r="F275" s="3" t="str">
        <f>IFERROR(__xludf.DUMMYFUNCTION("GOOGLETRANSLATE(D275,$D$1,$F$1)"),"nắm lấy")</f>
        <v>nắm lấy</v>
      </c>
      <c r="G275" s="3" t="s">
        <v>542</v>
      </c>
    </row>
    <row r="276">
      <c r="A276" s="3">
        <v>4.0</v>
      </c>
      <c r="B276" s="3" t="s">
        <v>543</v>
      </c>
      <c r="C276" s="3" t="str">
        <f t="shared" si="1"/>
        <v>41 </v>
      </c>
      <c r="D276" s="3" t="str">
        <f t="shared" si="2"/>
        <v>large</v>
      </c>
      <c r="E276" s="2" t="s">
        <v>8</v>
      </c>
      <c r="F276" s="3" t="str">
        <f>IFERROR(__xludf.DUMMYFUNCTION("GOOGLETRANSLATE(D276,$D$1,$F$1)"),"lớn")</f>
        <v>lớn</v>
      </c>
      <c r="G276" s="3" t="s">
        <v>544</v>
      </c>
    </row>
    <row r="277">
      <c r="A277" s="3">
        <v>4.0</v>
      </c>
      <c r="B277" s="3" t="s">
        <v>545</v>
      </c>
      <c r="C277" s="3" t="str">
        <f t="shared" si="1"/>
        <v>41 </v>
      </c>
      <c r="D277" s="3" t="str">
        <f t="shared" si="2"/>
        <v>place</v>
      </c>
      <c r="E277" s="2" t="s">
        <v>8</v>
      </c>
      <c r="F277" s="3" t="str">
        <f>IFERROR(__xludf.DUMMYFUNCTION("GOOGLETRANSLATE(D277,$D$1,$F$1)"),"địa điểm")</f>
        <v>địa điểm</v>
      </c>
      <c r="G277" s="3" t="s">
        <v>546</v>
      </c>
    </row>
    <row r="278">
      <c r="A278" s="3">
        <v>4.0</v>
      </c>
      <c r="B278" s="3" t="s">
        <v>547</v>
      </c>
      <c r="C278" s="3" t="str">
        <f t="shared" si="1"/>
        <v>41 </v>
      </c>
      <c r="D278" s="3" t="str">
        <f t="shared" si="2"/>
        <v>watch</v>
      </c>
      <c r="E278" s="2" t="s">
        <v>8</v>
      </c>
      <c r="F278" s="3" t="str">
        <f>IFERROR(__xludf.DUMMYFUNCTION("GOOGLETRANSLATE(D278,$D$1,$F$1)"),"đồng hồ đeo tay")</f>
        <v>đồng hồ đeo tay</v>
      </c>
      <c r="G278" s="3" t="s">
        <v>548</v>
      </c>
    </row>
    <row r="279">
      <c r="A279" s="3">
        <v>5.0</v>
      </c>
      <c r="B279" s="3" t="s">
        <v>549</v>
      </c>
      <c r="C279" s="3" t="str">
        <f t="shared" si="1"/>
        <v>42 </v>
      </c>
      <c r="D279" s="3" t="str">
        <f t="shared" si="2"/>
        <v>train</v>
      </c>
      <c r="E279" s="2" t="s">
        <v>8</v>
      </c>
      <c r="F279" s="3" t="str">
        <f>IFERROR(__xludf.DUMMYFUNCTION("GOOGLETRANSLATE(D279,$D$1,$F$1)"),"xe lửa")</f>
        <v>xe lửa</v>
      </c>
      <c r="G279" s="3" t="s">
        <v>550</v>
      </c>
    </row>
    <row r="280">
      <c r="A280" s="3">
        <v>5.0</v>
      </c>
      <c r="B280" s="3" t="s">
        <v>551</v>
      </c>
      <c r="C280" s="3" t="str">
        <f t="shared" si="1"/>
        <v>42 </v>
      </c>
      <c r="D280" s="3" t="str">
        <f t="shared" si="2"/>
        <v>tram</v>
      </c>
      <c r="E280" s="2" t="s">
        <v>8</v>
      </c>
      <c r="F280" s="3" t="str">
        <f>IFERROR(__xludf.DUMMYFUNCTION("GOOGLETRANSLATE(D280,$D$1,$F$1)"),"Xe điện")</f>
        <v>Xe điện</v>
      </c>
      <c r="G280" s="3" t="s">
        <v>552</v>
      </c>
    </row>
    <row r="281">
      <c r="A281" s="3">
        <v>5.0</v>
      </c>
      <c r="B281" s="3" t="s">
        <v>553</v>
      </c>
      <c r="C281" s="3" t="str">
        <f t="shared" si="1"/>
        <v>42 </v>
      </c>
      <c r="D281" s="3" t="str">
        <f t="shared" si="2"/>
        <v>aeroplane</v>
      </c>
      <c r="E281" s="2" t="s">
        <v>8</v>
      </c>
      <c r="F281" s="3" t="str">
        <f>IFERROR(__xludf.DUMMYFUNCTION("GOOGLETRANSLATE(D281,$D$1,$F$1)"),"Máy bay")</f>
        <v>Máy bay</v>
      </c>
      <c r="G281" s="3" t="s">
        <v>554</v>
      </c>
    </row>
    <row r="282">
      <c r="A282" s="3">
        <v>5.0</v>
      </c>
      <c r="B282" s="3" t="s">
        <v>555</v>
      </c>
      <c r="C282" s="3" t="str">
        <f t="shared" si="1"/>
        <v>42 </v>
      </c>
      <c r="D282" s="3" t="str">
        <f t="shared" si="2"/>
        <v>ship</v>
      </c>
      <c r="E282" s="2" t="s">
        <v>8</v>
      </c>
      <c r="F282" s="3" t="str">
        <f>IFERROR(__xludf.DUMMYFUNCTION("GOOGLETRANSLATE(D282,$D$1,$F$1)"),"tàu")</f>
        <v>tàu</v>
      </c>
      <c r="G282" s="3" t="s">
        <v>556</v>
      </c>
    </row>
    <row r="283">
      <c r="A283" s="3">
        <v>5.0</v>
      </c>
      <c r="B283" s="3" t="s">
        <v>557</v>
      </c>
      <c r="C283" s="3" t="str">
        <f t="shared" si="1"/>
        <v>42 </v>
      </c>
      <c r="D283" s="3" t="str">
        <f t="shared" si="2"/>
        <v>scooter</v>
      </c>
      <c r="E283" s="2" t="s">
        <v>8</v>
      </c>
      <c r="F283" s="3" t="str">
        <f>IFERROR(__xludf.DUMMYFUNCTION("GOOGLETRANSLATE(D283,$D$1,$F$1)"),"xe tay ga")</f>
        <v>xe tay ga</v>
      </c>
      <c r="G283" s="3" t="s">
        <v>558</v>
      </c>
    </row>
    <row r="284">
      <c r="A284" s="3">
        <v>5.0</v>
      </c>
      <c r="B284" s="3" t="s">
        <v>559</v>
      </c>
      <c r="C284" s="3" t="str">
        <f t="shared" si="1"/>
        <v>42 </v>
      </c>
      <c r="D284" s="3" t="str">
        <f t="shared" si="2"/>
        <v>ferry</v>
      </c>
      <c r="E284" s="2" t="s">
        <v>8</v>
      </c>
      <c r="F284" s="3" t="str">
        <f>IFERROR(__xludf.DUMMYFUNCTION("GOOGLETRANSLATE(D284,$D$1,$F$1)"),"chiếc phà")</f>
        <v>chiếc phà</v>
      </c>
      <c r="G284" s="3" t="s">
        <v>560</v>
      </c>
    </row>
    <row r="285">
      <c r="A285" s="3">
        <v>5.0</v>
      </c>
      <c r="B285" s="3" t="s">
        <v>561</v>
      </c>
      <c r="C285" s="3" t="str">
        <f t="shared" si="1"/>
        <v>42 </v>
      </c>
      <c r="D285" s="3" t="str">
        <f t="shared" si="2"/>
        <v>underground</v>
      </c>
      <c r="E285" s="2" t="s">
        <v>8</v>
      </c>
      <c r="F285" s="3" t="str">
        <f>IFERROR(__xludf.DUMMYFUNCTION("GOOGLETRANSLATE(D285,$D$1,$F$1)"),"bí mật")</f>
        <v>bí mật</v>
      </c>
      <c r="G285" s="3" t="s">
        <v>562</v>
      </c>
    </row>
    <row r="286">
      <c r="A286" s="3">
        <v>5.0</v>
      </c>
      <c r="B286" s="3" t="s">
        <v>563</v>
      </c>
      <c r="C286" s="3" t="str">
        <f t="shared" si="1"/>
        <v>42 </v>
      </c>
      <c r="D286" s="3" t="str">
        <f t="shared" si="2"/>
        <v>subway</v>
      </c>
      <c r="E286" s="2" t="s">
        <v>8</v>
      </c>
      <c r="F286" s="3" t="str">
        <f>IFERROR(__xludf.DUMMYFUNCTION("GOOGLETRANSLATE(D286,$D$1,$F$1)"),"xe điện ngầm")</f>
        <v>xe điện ngầm</v>
      </c>
      <c r="G286" s="3" t="s">
        <v>564</v>
      </c>
    </row>
    <row r="287">
      <c r="A287" s="3">
        <v>5.0</v>
      </c>
      <c r="B287" s="3" t="s">
        <v>565</v>
      </c>
      <c r="C287" s="3" t="str">
        <f t="shared" si="1"/>
        <v>42 </v>
      </c>
      <c r="D287" s="3" t="str">
        <f t="shared" si="2"/>
        <v>business people</v>
      </c>
      <c r="E287" s="2" t="s">
        <v>8</v>
      </c>
      <c r="F287" s="3" t="str">
        <f>IFERROR(__xludf.DUMMYFUNCTION("GOOGLETRANSLATE(D287,$D$1,$F$1)"),"doanh nhân")</f>
        <v>doanh nhân</v>
      </c>
      <c r="G287" s="3" t="s">
        <v>566</v>
      </c>
    </row>
    <row r="288">
      <c r="A288" s="3">
        <v>5.0</v>
      </c>
      <c r="B288" s="3" t="s">
        <v>567</v>
      </c>
      <c r="C288" s="3" t="str">
        <f t="shared" si="1"/>
        <v>42 </v>
      </c>
      <c r="D288" s="3" t="str">
        <f t="shared" si="2"/>
        <v>by car</v>
      </c>
      <c r="E288" s="2" t="s">
        <v>8</v>
      </c>
      <c r="F288" s="3" t="str">
        <f>IFERROR(__xludf.DUMMYFUNCTION("GOOGLETRANSLATE(D288,$D$1,$F$1)"),"bằng xe hơi")</f>
        <v>bằng xe hơi</v>
      </c>
      <c r="G288" s="3" t="s">
        <v>568</v>
      </c>
    </row>
    <row r="289">
      <c r="A289" s="3">
        <v>5.0</v>
      </c>
      <c r="B289" s="3" t="s">
        <v>569</v>
      </c>
      <c r="C289" s="3" t="str">
        <f t="shared" si="1"/>
        <v>42 </v>
      </c>
      <c r="D289" s="3" t="str">
        <f t="shared" si="2"/>
        <v>by bus</v>
      </c>
      <c r="E289" s="2" t="s">
        <v>8</v>
      </c>
      <c r="F289" s="3" t="str">
        <f>IFERROR(__xludf.DUMMYFUNCTION("GOOGLETRANSLATE(D289,$D$1,$F$1)"),"bằng xe buýt")</f>
        <v>bằng xe buýt</v>
      </c>
      <c r="G289" s="3" t="s">
        <v>570</v>
      </c>
    </row>
    <row r="290">
      <c r="A290" s="3">
        <v>5.0</v>
      </c>
      <c r="B290" s="3" t="s">
        <v>571</v>
      </c>
      <c r="C290" s="3" t="str">
        <f t="shared" si="1"/>
        <v>42 </v>
      </c>
      <c r="D290" s="3" t="str">
        <f t="shared" si="2"/>
        <v>on foot</v>
      </c>
      <c r="E290" s="2" t="s">
        <v>8</v>
      </c>
      <c r="F290" s="3" t="str">
        <f>IFERROR(__xludf.DUMMYFUNCTION("GOOGLETRANSLATE(D290,$D$1,$F$1)"),"bằng chân")</f>
        <v>bằng chân</v>
      </c>
      <c r="G290" s="3" t="s">
        <v>572</v>
      </c>
    </row>
    <row r="291">
      <c r="A291" s="3">
        <v>5.0</v>
      </c>
      <c r="B291" s="3" t="s">
        <v>573</v>
      </c>
      <c r="C291" s="3" t="str">
        <f t="shared" si="1"/>
        <v>42 </v>
      </c>
      <c r="D291" s="3" t="str">
        <f t="shared" si="2"/>
        <v>queue (n)</v>
      </c>
      <c r="E291" s="2" t="s">
        <v>8</v>
      </c>
      <c r="F291" s="3" t="str">
        <f>IFERROR(__xludf.DUMMYFUNCTION("GOOGLETRANSLATE(D291,$D$1,$F$1)"),"hàng đợi (n)")</f>
        <v>hàng đợi (n)</v>
      </c>
      <c r="G291" s="3" t="s">
        <v>574</v>
      </c>
    </row>
    <row r="292">
      <c r="A292" s="3">
        <v>5.0</v>
      </c>
      <c r="B292" s="3" t="s">
        <v>575</v>
      </c>
      <c r="C292" s="3" t="str">
        <f t="shared" si="1"/>
        <v>42 </v>
      </c>
      <c r="D292" s="3" t="str">
        <f t="shared" si="2"/>
        <v>passenger</v>
      </c>
      <c r="E292" s="2" t="s">
        <v>8</v>
      </c>
      <c r="F292" s="3" t="str">
        <f>IFERROR(__xludf.DUMMYFUNCTION("GOOGLETRANSLATE(D292,$D$1,$F$1)"),"hành khách")</f>
        <v>hành khách</v>
      </c>
      <c r="G292" s="3" t="s">
        <v>576</v>
      </c>
    </row>
    <row r="293">
      <c r="A293" s="3">
        <v>5.0</v>
      </c>
      <c r="B293" s="3" t="s">
        <v>577</v>
      </c>
      <c r="C293" s="3" t="str">
        <f t="shared" si="1"/>
        <v>42 </v>
      </c>
      <c r="D293" s="3" t="str">
        <f t="shared" si="2"/>
        <v>crowded</v>
      </c>
      <c r="E293" s="2" t="s">
        <v>8</v>
      </c>
      <c r="F293" s="3" t="str">
        <f>IFERROR(__xludf.DUMMYFUNCTION("GOOGLETRANSLATE(D293,$D$1,$F$1)"),"Đông người")</f>
        <v>Đông người</v>
      </c>
      <c r="G293" s="3" t="s">
        <v>578</v>
      </c>
    </row>
    <row r="294">
      <c r="A294" s="3">
        <v>5.0</v>
      </c>
      <c r="B294" s="3" t="s">
        <v>579</v>
      </c>
      <c r="C294" s="3" t="str">
        <f t="shared" si="1"/>
        <v>42 </v>
      </c>
      <c r="D294" s="3" t="str">
        <f t="shared" si="2"/>
        <v>slowly</v>
      </c>
      <c r="E294" s="2" t="s">
        <v>8</v>
      </c>
      <c r="F294" s="3" t="str">
        <f>IFERROR(__xludf.DUMMYFUNCTION("GOOGLETRANSLATE(D294,$D$1,$F$1)"),"chậm rãi")</f>
        <v>chậm rãi</v>
      </c>
      <c r="G294" s="3" t="s">
        <v>580</v>
      </c>
    </row>
    <row r="295">
      <c r="A295" s="3">
        <v>5.0</v>
      </c>
      <c r="B295" s="3" t="s">
        <v>581</v>
      </c>
      <c r="C295" s="3" t="str">
        <f t="shared" si="1"/>
        <v>42 </v>
      </c>
      <c r="D295" s="3" t="str">
        <f t="shared" si="2"/>
        <v>traffic</v>
      </c>
      <c r="E295" s="2" t="s">
        <v>8</v>
      </c>
      <c r="F295" s="3" t="str">
        <f>IFERROR(__xludf.DUMMYFUNCTION("GOOGLETRANSLATE(D295,$D$1,$F$1)"),"giao thông")</f>
        <v>giao thông</v>
      </c>
      <c r="G295" s="3" t="s">
        <v>582</v>
      </c>
    </row>
    <row r="296">
      <c r="A296" s="3">
        <v>5.0</v>
      </c>
      <c r="B296" s="3" t="s">
        <v>583</v>
      </c>
      <c r="C296" s="3" t="str">
        <f t="shared" si="1"/>
        <v>43 </v>
      </c>
      <c r="D296" s="3" t="str">
        <f t="shared" si="2"/>
        <v>right</v>
      </c>
      <c r="E296" s="2" t="s">
        <v>8</v>
      </c>
      <c r="F296" s="3" t="str">
        <f>IFERROR(__xludf.DUMMYFUNCTION("GOOGLETRANSLATE(D296,$D$1,$F$1)"),"đúng")</f>
        <v>đúng</v>
      </c>
      <c r="G296" s="3" t="s">
        <v>584</v>
      </c>
    </row>
    <row r="297">
      <c r="A297" s="3">
        <v>5.0</v>
      </c>
      <c r="B297" s="3" t="s">
        <v>585</v>
      </c>
      <c r="C297" s="3" t="str">
        <f t="shared" si="1"/>
        <v>43 </v>
      </c>
      <c r="D297" s="3" t="str">
        <f t="shared" si="2"/>
        <v>left</v>
      </c>
      <c r="E297" s="2" t="s">
        <v>8</v>
      </c>
      <c r="F297" s="3" t="str">
        <f>IFERROR(__xludf.DUMMYFUNCTION("GOOGLETRANSLATE(D297,$D$1,$F$1)"),"trái")</f>
        <v>trái</v>
      </c>
      <c r="G297" s="3" t="s">
        <v>586</v>
      </c>
    </row>
    <row r="298">
      <c r="A298" s="3">
        <v>5.0</v>
      </c>
      <c r="B298" s="3" t="s">
        <v>587</v>
      </c>
      <c r="C298" s="3" t="str">
        <f t="shared" si="1"/>
        <v>43 </v>
      </c>
      <c r="D298" s="3" t="str">
        <f t="shared" si="2"/>
        <v>wait</v>
      </c>
      <c r="E298" s="2" t="s">
        <v>8</v>
      </c>
      <c r="F298" s="3" t="str">
        <f>IFERROR(__xludf.DUMMYFUNCTION("GOOGLETRANSLATE(D298,$D$1,$F$1)"),"chờ đợi")</f>
        <v>chờ đợi</v>
      </c>
      <c r="G298" s="3" t="s">
        <v>588</v>
      </c>
    </row>
    <row r="299">
      <c r="A299" s="3">
        <v>5.0</v>
      </c>
      <c r="B299" s="3" t="s">
        <v>589</v>
      </c>
      <c r="C299" s="3" t="str">
        <f t="shared" si="1"/>
        <v>43 </v>
      </c>
      <c r="D299" s="3" t="str">
        <f t="shared" si="2"/>
        <v>difficult</v>
      </c>
      <c r="E299" s="2" t="s">
        <v>8</v>
      </c>
      <c r="F299" s="3" t="str">
        <f>IFERROR(__xludf.DUMMYFUNCTION("GOOGLETRANSLATE(D299,$D$1,$F$1)"),"khó khăn")</f>
        <v>khó khăn</v>
      </c>
      <c r="G299" s="3" t="s">
        <v>590</v>
      </c>
    </row>
    <row r="300">
      <c r="A300" s="3">
        <v>5.0</v>
      </c>
      <c r="B300" s="3" t="s">
        <v>591</v>
      </c>
      <c r="C300" s="3" t="str">
        <f t="shared" si="1"/>
        <v>43 </v>
      </c>
      <c r="D300" s="3" t="str">
        <f t="shared" si="2"/>
        <v>get on</v>
      </c>
      <c r="E300" s="2" t="s">
        <v>8</v>
      </c>
      <c r="F300" s="3" t="str">
        <f>IFERROR(__xludf.DUMMYFUNCTION("GOOGLETRANSLATE(D300,$D$1,$F$1)"),"leo lên")</f>
        <v>leo lên</v>
      </c>
      <c r="G300" s="3" t="s">
        <v>592</v>
      </c>
    </row>
    <row r="301">
      <c r="A301" s="3">
        <v>5.0</v>
      </c>
      <c r="B301" s="3" t="s">
        <v>593</v>
      </c>
      <c r="C301" s="3" t="str">
        <f t="shared" si="1"/>
        <v>43 </v>
      </c>
      <c r="D301" s="3" t="str">
        <f t="shared" si="2"/>
        <v>get off</v>
      </c>
      <c r="E301" s="2" t="s">
        <v>8</v>
      </c>
      <c r="F301" s="3" t="str">
        <f>IFERROR(__xludf.DUMMYFUNCTION("GOOGLETRANSLATE(D301,$D$1,$F$1)"),"xuong xe")</f>
        <v>xuong xe</v>
      </c>
      <c r="G301" s="3" t="s">
        <v>594</v>
      </c>
    </row>
    <row r="302">
      <c r="A302" s="3">
        <v>5.0</v>
      </c>
      <c r="B302" s="3" t="s">
        <v>595</v>
      </c>
      <c r="C302" s="3" t="str">
        <f t="shared" si="1"/>
        <v>43 </v>
      </c>
      <c r="D302" s="3" t="str">
        <f t="shared" si="2"/>
        <v>journey</v>
      </c>
      <c r="E302" s="2" t="s">
        <v>8</v>
      </c>
      <c r="F302" s="3" t="str">
        <f>IFERROR(__xludf.DUMMYFUNCTION("GOOGLETRANSLATE(D302,$D$1,$F$1)"),"hành trình")</f>
        <v>hành trình</v>
      </c>
      <c r="G302" s="3" t="s">
        <v>596</v>
      </c>
    </row>
    <row r="303">
      <c r="A303" s="3">
        <v>5.0</v>
      </c>
      <c r="B303" s="3" t="s">
        <v>597</v>
      </c>
      <c r="C303" s="3" t="str">
        <f t="shared" si="1"/>
        <v>43 </v>
      </c>
      <c r="D303" s="3" t="str">
        <f t="shared" si="2"/>
        <v>Moscow</v>
      </c>
      <c r="E303" s="2" t="s">
        <v>8</v>
      </c>
      <c r="F303" s="3" t="str">
        <f>IFERROR(__xludf.DUMMYFUNCTION("GOOGLETRANSLATE(D303,$D$1,$F$1)"),"Moscow")</f>
        <v>Moscow</v>
      </c>
      <c r="G303" s="3" t="s">
        <v>598</v>
      </c>
    </row>
    <row r="304">
      <c r="A304" s="3">
        <v>5.0</v>
      </c>
      <c r="B304" s="3" t="s">
        <v>599</v>
      </c>
      <c r="C304" s="3" t="str">
        <f t="shared" si="1"/>
        <v>43 </v>
      </c>
      <c r="D304" s="3" t="str">
        <f t="shared" si="2"/>
        <v>station</v>
      </c>
      <c r="E304" s="2" t="s">
        <v>8</v>
      </c>
      <c r="F304" s="3" t="str">
        <f>IFERROR(__xludf.DUMMYFUNCTION("GOOGLETRANSLATE(D304,$D$1,$F$1)"),"ga tàu")</f>
        <v>ga tàu</v>
      </c>
      <c r="G304" s="3" t="s">
        <v>600</v>
      </c>
    </row>
    <row r="305">
      <c r="A305" s="3">
        <v>5.0</v>
      </c>
      <c r="B305" s="3" t="s">
        <v>601</v>
      </c>
      <c r="C305" s="3" t="str">
        <f t="shared" si="1"/>
        <v>43 </v>
      </c>
      <c r="D305" s="3" t="str">
        <f t="shared" si="2"/>
        <v>walk</v>
      </c>
      <c r="E305" s="2" t="s">
        <v>8</v>
      </c>
      <c r="F305" s="3" t="str">
        <f>IFERROR(__xludf.DUMMYFUNCTION("GOOGLETRANSLATE(D305,$D$1,$F$1)"),"đi bộ")</f>
        <v>đi bộ</v>
      </c>
      <c r="G305" s="3" t="s">
        <v>602</v>
      </c>
    </row>
    <row r="306">
      <c r="A306" s="3">
        <v>5.0</v>
      </c>
      <c r="B306" s="3" t="s">
        <v>603</v>
      </c>
      <c r="C306" s="3" t="str">
        <f t="shared" si="1"/>
        <v>44 </v>
      </c>
      <c r="D306" s="3" t="str">
        <f t="shared" si="2"/>
        <v>museum</v>
      </c>
      <c r="E306" s="2" t="s">
        <v>8</v>
      </c>
      <c r="F306" s="3" t="str">
        <f>IFERROR(__xludf.DUMMYFUNCTION("GOOGLETRANSLATE(D306,$D$1,$F$1)"),"viện bảo tàng")</f>
        <v>viện bảo tàng</v>
      </c>
      <c r="G306" s="3" t="s">
        <v>604</v>
      </c>
    </row>
    <row r="307">
      <c r="A307" s="3">
        <v>5.0</v>
      </c>
      <c r="B307" s="3" t="s">
        <v>605</v>
      </c>
      <c r="C307" s="3" t="str">
        <f t="shared" si="1"/>
        <v>44 </v>
      </c>
      <c r="D307" s="3" t="str">
        <f t="shared" si="2"/>
        <v>transport</v>
      </c>
      <c r="E307" s="2" t="s">
        <v>8</v>
      </c>
      <c r="F307" s="3" t="str">
        <f>IFERROR(__xludf.DUMMYFUNCTION("GOOGLETRANSLATE(D307,$D$1,$F$1)"),"vận chuyển")</f>
        <v>vận chuyển</v>
      </c>
      <c r="G307" s="3" t="s">
        <v>606</v>
      </c>
    </row>
    <row r="308">
      <c r="A308" s="3">
        <v>5.0</v>
      </c>
      <c r="B308" s="3" t="s">
        <v>607</v>
      </c>
      <c r="C308" s="3" t="str">
        <f t="shared" si="1"/>
        <v>44 </v>
      </c>
      <c r="D308" s="3" t="str">
        <f t="shared" si="2"/>
        <v>cost</v>
      </c>
      <c r="E308" s="2" t="s">
        <v>8</v>
      </c>
      <c r="F308" s="3" t="str">
        <f>IFERROR(__xludf.DUMMYFUNCTION("GOOGLETRANSLATE(D308,$D$1,$F$1)"),"Giá cả")</f>
        <v>Giá cả</v>
      </c>
      <c r="G308" s="3" t="s">
        <v>608</v>
      </c>
    </row>
    <row r="309">
      <c r="A309" s="3">
        <v>5.0</v>
      </c>
      <c r="B309" s="3" t="s">
        <v>609</v>
      </c>
      <c r="C309" s="3" t="str">
        <f t="shared" si="1"/>
        <v>44 </v>
      </c>
      <c r="D309" s="3" t="str">
        <f t="shared" si="2"/>
        <v>because of</v>
      </c>
      <c r="E309" s="2" t="s">
        <v>8</v>
      </c>
      <c r="F309" s="3" t="str">
        <f>IFERROR(__xludf.DUMMYFUNCTION("GOOGLETRANSLATE(D309,$D$1,$F$1)"),"bởi vì")</f>
        <v>bởi vì</v>
      </c>
      <c r="G309" s="3" t="s">
        <v>610</v>
      </c>
    </row>
    <row r="310">
      <c r="A310" s="3">
        <v>5.0</v>
      </c>
      <c r="B310" s="3" t="s">
        <v>611</v>
      </c>
      <c r="C310" s="3" t="str">
        <f t="shared" si="1"/>
        <v>44 </v>
      </c>
      <c r="D310" s="3" t="str">
        <f t="shared" si="2"/>
        <v>tip</v>
      </c>
      <c r="E310" s="2" t="s">
        <v>8</v>
      </c>
      <c r="F310" s="3" t="str">
        <f>IFERROR(__xludf.DUMMYFUNCTION("GOOGLETRANSLATE(D310,$D$1,$F$1)"),"tiền boa")</f>
        <v>tiền boa</v>
      </c>
      <c r="G310" s="3" t="s">
        <v>612</v>
      </c>
    </row>
    <row r="311">
      <c r="A311" s="3">
        <v>5.0</v>
      </c>
      <c r="B311" s="3" t="s">
        <v>613</v>
      </c>
      <c r="C311" s="3" t="str">
        <f t="shared" si="1"/>
        <v>44 </v>
      </c>
      <c r="D311" s="3" t="str">
        <f t="shared" si="2"/>
        <v>free</v>
      </c>
      <c r="E311" s="2" t="s">
        <v>8</v>
      </c>
      <c r="F311" s="3" t="str">
        <f>IFERROR(__xludf.DUMMYFUNCTION("GOOGLETRANSLATE(D311,$D$1,$F$1)"),"miễn phí")</f>
        <v>miễn phí</v>
      </c>
      <c r="G311" s="3" t="s">
        <v>614</v>
      </c>
    </row>
    <row r="312">
      <c r="A312" s="3">
        <v>5.0</v>
      </c>
      <c r="B312" s="3" t="s">
        <v>615</v>
      </c>
      <c r="C312" s="3" t="str">
        <f t="shared" si="1"/>
        <v>44 </v>
      </c>
      <c r="D312" s="3" t="str">
        <f t="shared" si="2"/>
        <v>through</v>
      </c>
      <c r="E312" s="2" t="s">
        <v>8</v>
      </c>
      <c r="F312" s="3" t="str">
        <f>IFERROR(__xludf.DUMMYFUNCTION("GOOGLETRANSLATE(D312,$D$1,$F$1)"),"xuyên qua")</f>
        <v>xuyên qua</v>
      </c>
      <c r="G312" s="3" t="s">
        <v>616</v>
      </c>
    </row>
    <row r="313">
      <c r="A313" s="3">
        <v>5.0</v>
      </c>
      <c r="B313" s="3" t="s">
        <v>617</v>
      </c>
      <c r="C313" s="3" t="str">
        <f t="shared" si="1"/>
        <v>44 </v>
      </c>
      <c r="D313" s="3" t="str">
        <f t="shared" si="2"/>
        <v>Natural History</v>
      </c>
      <c r="E313" s="2" t="s">
        <v>8</v>
      </c>
      <c r="F313" s="3" t="str">
        <f>IFERROR(__xludf.DUMMYFUNCTION("GOOGLETRANSLATE(D313,$D$1,$F$1)"),"Lịch sử tự nhiên")</f>
        <v>Lịch sử tự nhiên</v>
      </c>
      <c r="G313" s="3" t="s">
        <v>618</v>
      </c>
    </row>
    <row r="314">
      <c r="A314" s="3">
        <v>5.0</v>
      </c>
      <c r="B314" s="3" t="s">
        <v>619</v>
      </c>
      <c r="C314" s="3" t="str">
        <f t="shared" si="1"/>
        <v>44 </v>
      </c>
      <c r="D314" s="3" t="str">
        <f t="shared" si="2"/>
        <v>Air Train</v>
      </c>
      <c r="E314" s="2" t="s">
        <v>8</v>
      </c>
      <c r="F314" s="3" t="str">
        <f>IFERROR(__xludf.DUMMYFUNCTION("GOOGLETRANSLATE(D314,$D$1,$F$1)"),"Air Train")</f>
        <v>Air Train</v>
      </c>
      <c r="G314" s="3" t="s">
        <v>620</v>
      </c>
    </row>
    <row r="315">
      <c r="A315" s="3">
        <v>5.0</v>
      </c>
      <c r="B315" s="3" t="s">
        <v>621</v>
      </c>
      <c r="C315" s="3" t="str">
        <f t="shared" si="1"/>
        <v>44 </v>
      </c>
      <c r="D315" s="3" t="str">
        <f t="shared" si="2"/>
        <v>afternoon</v>
      </c>
      <c r="E315" s="2" t="s">
        <v>8</v>
      </c>
      <c r="F315" s="3" t="str">
        <f>IFERROR(__xludf.DUMMYFUNCTION("GOOGLETRANSLATE(D315,$D$1,$F$1)"),"buổi chiều")</f>
        <v>buổi chiều</v>
      </c>
      <c r="G315" s="3" t="s">
        <v>622</v>
      </c>
    </row>
    <row r="316">
      <c r="A316" s="3">
        <v>5.0</v>
      </c>
      <c r="B316" s="3" t="s">
        <v>623</v>
      </c>
      <c r="C316" s="3" t="str">
        <f t="shared" si="1"/>
        <v>44 </v>
      </c>
      <c r="D316" s="3" t="str">
        <f t="shared" si="2"/>
        <v>every</v>
      </c>
      <c r="E316" s="2" t="s">
        <v>8</v>
      </c>
      <c r="F316" s="3" t="str">
        <f>IFERROR(__xludf.DUMMYFUNCTION("GOOGLETRANSLATE(D316,$D$1,$F$1)"),"mỗi")</f>
        <v>mỗi</v>
      </c>
      <c r="G316" s="3" t="s">
        <v>624</v>
      </c>
    </row>
    <row r="317">
      <c r="A317" s="3">
        <v>5.0</v>
      </c>
      <c r="B317" s="3" t="s">
        <v>625</v>
      </c>
      <c r="C317" s="3" t="str">
        <f t="shared" si="1"/>
        <v>45 </v>
      </c>
      <c r="D317" s="3" t="str">
        <f t="shared" si="2"/>
        <v>it depends</v>
      </c>
      <c r="E317" s="2" t="s">
        <v>8</v>
      </c>
      <c r="F317" s="3" t="str">
        <f>IFERROR(__xludf.DUMMYFUNCTION("GOOGLETRANSLATE(D317,$D$1,$F$1)"),"nó phụ thuộc")</f>
        <v>nó phụ thuộc</v>
      </c>
      <c r="G317" s="3" t="s">
        <v>626</v>
      </c>
    </row>
    <row r="318">
      <c r="A318" s="3">
        <v>5.0</v>
      </c>
      <c r="B318" s="3" t="s">
        <v>627</v>
      </c>
      <c r="C318" s="3" t="str">
        <f t="shared" si="1"/>
        <v>45 </v>
      </c>
      <c r="D318" s="3" t="str">
        <f t="shared" si="2"/>
        <v>smoke</v>
      </c>
      <c r="E318" s="2" t="s">
        <v>8</v>
      </c>
      <c r="F318" s="3" t="str">
        <f>IFERROR(__xludf.DUMMYFUNCTION("GOOGLETRANSLATE(D318,$D$1,$F$1)"),"Khói")</f>
        <v>Khói</v>
      </c>
      <c r="G318" s="3" t="s">
        <v>628</v>
      </c>
    </row>
    <row r="319">
      <c r="A319" s="3">
        <v>5.0</v>
      </c>
      <c r="B319" s="3" t="s">
        <v>629</v>
      </c>
      <c r="C319" s="3" t="str">
        <f t="shared" si="1"/>
        <v>45 </v>
      </c>
      <c r="D319" s="3" t="str">
        <f t="shared" si="2"/>
        <v>easily</v>
      </c>
      <c r="E319" s="2" t="s">
        <v>8</v>
      </c>
      <c r="F319" s="3" t="str">
        <f>IFERROR(__xludf.DUMMYFUNCTION("GOOGLETRANSLATE(D319,$D$1,$F$1)"),"một cách dễ dàng")</f>
        <v>một cách dễ dàng</v>
      </c>
      <c r="G319" s="3" t="s">
        <v>630</v>
      </c>
    </row>
    <row r="320">
      <c r="A320" s="3">
        <v>5.0</v>
      </c>
      <c r="B320" s="3" t="s">
        <v>631</v>
      </c>
      <c r="C320" s="3" t="str">
        <f t="shared" si="1"/>
        <v>45 </v>
      </c>
      <c r="D320" s="3" t="str">
        <f t="shared" si="2"/>
        <v>safely</v>
      </c>
      <c r="E320" s="2" t="s">
        <v>8</v>
      </c>
      <c r="F320" s="3" t="str">
        <f>IFERROR(__xludf.DUMMYFUNCTION("GOOGLETRANSLATE(D320,$D$1,$F$1)"),"an toàn")</f>
        <v>an toàn</v>
      </c>
      <c r="G320" s="3" t="s">
        <v>632</v>
      </c>
    </row>
    <row r="321">
      <c r="A321" s="3">
        <v>5.0</v>
      </c>
      <c r="B321" s="3" t="s">
        <v>633</v>
      </c>
      <c r="C321" s="3" t="str">
        <f t="shared" si="1"/>
        <v>45 </v>
      </c>
      <c r="D321" s="3" t="str">
        <f t="shared" si="2"/>
        <v>midnight</v>
      </c>
      <c r="E321" s="2" t="s">
        <v>8</v>
      </c>
      <c r="F321" s="3" t="str">
        <f>IFERROR(__xludf.DUMMYFUNCTION("GOOGLETRANSLATE(D321,$D$1,$F$1)"),"nửa đêm")</f>
        <v>nửa đêm</v>
      </c>
      <c r="G321" s="3" t="s">
        <v>634</v>
      </c>
    </row>
    <row r="322">
      <c r="A322" s="3">
        <v>5.0</v>
      </c>
      <c r="B322" s="3" t="s">
        <v>635</v>
      </c>
      <c r="C322" s="3" t="str">
        <f t="shared" si="1"/>
        <v>45 </v>
      </c>
      <c r="D322" s="3" t="str">
        <f t="shared" si="2"/>
        <v>scheduled</v>
      </c>
      <c r="E322" s="2" t="s">
        <v>8</v>
      </c>
      <c r="F322" s="3" t="str">
        <f>IFERROR(__xludf.DUMMYFUNCTION("GOOGLETRANSLATE(D322,$D$1,$F$1)"),"lên kế hoạch")</f>
        <v>lên kế hoạch</v>
      </c>
      <c r="G322" s="3" t="s">
        <v>636</v>
      </c>
    </row>
    <row r="323">
      <c r="A323" s="3">
        <v>5.0</v>
      </c>
      <c r="B323" s="3" t="s">
        <v>637</v>
      </c>
      <c r="C323" s="3" t="str">
        <f t="shared" si="1"/>
        <v>45 </v>
      </c>
      <c r="D323" s="3" t="str">
        <f t="shared" si="2"/>
        <v>departure</v>
      </c>
      <c r="E323" s="2" t="s">
        <v>8</v>
      </c>
      <c r="F323" s="3" t="str">
        <f>IFERROR(__xludf.DUMMYFUNCTION("GOOGLETRANSLATE(D323,$D$1,$F$1)"),"khởi hành")</f>
        <v>khởi hành</v>
      </c>
      <c r="G323" s="3" t="s">
        <v>638</v>
      </c>
    </row>
    <row r="324">
      <c r="A324" s="3">
        <v>5.0</v>
      </c>
      <c r="B324" s="3" t="s">
        <v>639</v>
      </c>
      <c r="C324" s="3" t="str">
        <f t="shared" si="1"/>
        <v>45 </v>
      </c>
      <c r="D324" s="3" t="str">
        <f t="shared" si="2"/>
        <v>arrival</v>
      </c>
      <c r="E324" s="2" t="s">
        <v>8</v>
      </c>
      <c r="F324" s="3" t="str">
        <f>IFERROR(__xludf.DUMMYFUNCTION("GOOGLETRANSLATE(D324,$D$1,$F$1)"),"đến")</f>
        <v>đến</v>
      </c>
      <c r="G324" s="3" t="s">
        <v>640</v>
      </c>
    </row>
    <row r="325">
      <c r="A325" s="3">
        <v>5.0</v>
      </c>
      <c r="B325" s="3" t="s">
        <v>641</v>
      </c>
      <c r="C325" s="3" t="str">
        <f t="shared" si="1"/>
        <v>45 </v>
      </c>
      <c r="D325" s="3" t="str">
        <f t="shared" si="2"/>
        <v>transit</v>
      </c>
      <c r="E325" s="2" t="s">
        <v>8</v>
      </c>
      <c r="F325" s="3" t="str">
        <f>IFERROR(__xludf.DUMMYFUNCTION("GOOGLETRANSLATE(D325,$D$1,$F$1)"),"quá cảnh")</f>
        <v>quá cảnh</v>
      </c>
      <c r="G325" s="3" t="s">
        <v>642</v>
      </c>
    </row>
    <row r="326">
      <c r="A326" s="3">
        <v>5.0</v>
      </c>
      <c r="B326" s="3" t="s">
        <v>643</v>
      </c>
      <c r="C326" s="3" t="str">
        <f t="shared" si="1"/>
        <v>45 </v>
      </c>
      <c r="D326" s="3" t="str">
        <f t="shared" si="2"/>
        <v>delayed</v>
      </c>
      <c r="E326" s="2" t="s">
        <v>8</v>
      </c>
      <c r="F326" s="3" t="str">
        <f>IFERROR(__xludf.DUMMYFUNCTION("GOOGLETRANSLATE(D326,$D$1,$F$1)"),"bị hoãn")</f>
        <v>bị hoãn</v>
      </c>
      <c r="G326" s="3" t="s">
        <v>644</v>
      </c>
    </row>
    <row r="327">
      <c r="A327" s="3">
        <v>5.0</v>
      </c>
      <c r="B327" s="3" t="s">
        <v>645</v>
      </c>
      <c r="C327" s="3" t="str">
        <f t="shared" si="1"/>
        <v>45 </v>
      </c>
      <c r="D327" s="3" t="str">
        <f t="shared" si="2"/>
        <v>last call</v>
      </c>
      <c r="E327" s="2" t="s">
        <v>8</v>
      </c>
      <c r="F327" s="3" t="str">
        <f>IFERROR(__xludf.DUMMYFUNCTION("GOOGLETRANSLATE(D327,$D$1,$F$1)"),"cuộc gọi cuối")</f>
        <v>cuộc gọi cuối</v>
      </c>
      <c r="G327" s="3" t="s">
        <v>646</v>
      </c>
    </row>
    <row r="328">
      <c r="A328" s="3">
        <v>5.0</v>
      </c>
      <c r="B328" s="3" t="s">
        <v>647</v>
      </c>
      <c r="C328" s="3" t="str">
        <f t="shared" si="1"/>
        <v>45 </v>
      </c>
      <c r="D328" s="3" t="str">
        <f t="shared" si="2"/>
        <v>proceed</v>
      </c>
      <c r="E328" s="2" t="s">
        <v>8</v>
      </c>
      <c r="F328" s="3" t="str">
        <f>IFERROR(__xludf.DUMMYFUNCTION("GOOGLETRANSLATE(D328,$D$1,$F$1)"),"tiến hành")</f>
        <v>tiến hành</v>
      </c>
      <c r="G328" s="3" t="s">
        <v>648</v>
      </c>
    </row>
    <row r="329">
      <c r="A329" s="3">
        <v>5.0</v>
      </c>
      <c r="B329" s="3" t="s">
        <v>649</v>
      </c>
      <c r="C329" s="3" t="str">
        <f t="shared" si="1"/>
        <v>45 </v>
      </c>
      <c r="D329" s="3" t="str">
        <f t="shared" si="2"/>
        <v>late</v>
      </c>
      <c r="E329" s="2" t="s">
        <v>8</v>
      </c>
      <c r="F329" s="3" t="str">
        <f>IFERROR(__xludf.DUMMYFUNCTION("GOOGLETRANSLATE(D329,$D$1,$F$1)"),"trễ")</f>
        <v>trễ</v>
      </c>
      <c r="G329" s="3" t="s">
        <v>650</v>
      </c>
    </row>
    <row r="330">
      <c r="A330" s="3">
        <v>5.0</v>
      </c>
      <c r="B330" s="3" t="s">
        <v>651</v>
      </c>
      <c r="C330" s="3" t="str">
        <f t="shared" si="1"/>
        <v>45 </v>
      </c>
      <c r="D330" s="3" t="str">
        <f t="shared" si="2"/>
        <v>change</v>
      </c>
      <c r="E330" s="2" t="s">
        <v>8</v>
      </c>
      <c r="F330" s="3" t="str">
        <f>IFERROR(__xludf.DUMMYFUNCTION("GOOGLETRANSLATE(D330,$D$1,$F$1)"),"thay đổi")</f>
        <v>thay đổi</v>
      </c>
      <c r="G330" s="3" t="s">
        <v>652</v>
      </c>
    </row>
    <row r="331">
      <c r="A331" s="3">
        <v>5.0</v>
      </c>
      <c r="B331" s="3" t="s">
        <v>653</v>
      </c>
      <c r="C331" s="3" t="str">
        <f t="shared" si="1"/>
        <v>45 </v>
      </c>
      <c r="D331" s="3" t="str">
        <f t="shared" si="2"/>
        <v>final call</v>
      </c>
      <c r="E331" s="2" t="s">
        <v>8</v>
      </c>
      <c r="F331" s="3" t="str">
        <f>IFERROR(__xludf.DUMMYFUNCTION("GOOGLETRANSLATE(D331,$D$1,$F$1)"),"cuộc gọi cuôi cung")</f>
        <v>cuộc gọi cuôi cung</v>
      </c>
      <c r="G331" s="3" t="s">
        <v>654</v>
      </c>
    </row>
    <row r="332">
      <c r="A332" s="3">
        <v>5.0</v>
      </c>
      <c r="B332" s="3" t="s">
        <v>655</v>
      </c>
      <c r="C332" s="3" t="str">
        <f t="shared" si="1"/>
        <v>45 </v>
      </c>
      <c r="D332" s="3" t="str">
        <f t="shared" si="2"/>
        <v>show</v>
      </c>
      <c r="E332" s="2" t="s">
        <v>8</v>
      </c>
      <c r="F332" s="3" t="str">
        <f>IFERROR(__xludf.DUMMYFUNCTION("GOOGLETRANSLATE(D332,$D$1,$F$1)"),"chỉ")</f>
        <v>chỉ</v>
      </c>
      <c r="G332" s="3" t="s">
        <v>656</v>
      </c>
    </row>
    <row r="333">
      <c r="A333" s="3">
        <v>5.0</v>
      </c>
      <c r="B333" s="3" t="s">
        <v>657</v>
      </c>
      <c r="C333" s="3" t="str">
        <f t="shared" si="1"/>
        <v>45 </v>
      </c>
      <c r="D333" s="3" t="str">
        <f t="shared" si="2"/>
        <v>passport</v>
      </c>
      <c r="E333" s="2" t="s">
        <v>8</v>
      </c>
      <c r="F333" s="3" t="str">
        <f>IFERROR(__xludf.DUMMYFUNCTION("GOOGLETRANSLATE(D333,$D$1,$F$1)"),"hộ chiếu")</f>
        <v>hộ chiếu</v>
      </c>
      <c r="G333" s="3" t="s">
        <v>658</v>
      </c>
    </row>
    <row r="334">
      <c r="A334" s="3">
        <v>5.0</v>
      </c>
      <c r="B334" s="3" t="s">
        <v>659</v>
      </c>
      <c r="C334" s="3" t="str">
        <f t="shared" si="1"/>
        <v>45 </v>
      </c>
      <c r="D334" s="3" t="str">
        <f t="shared" si="2"/>
        <v>desk</v>
      </c>
      <c r="E334" s="2" t="s">
        <v>8</v>
      </c>
      <c r="F334" s="3" t="str">
        <f>IFERROR(__xludf.DUMMYFUNCTION("GOOGLETRANSLATE(D334,$D$1,$F$1)"),"bàn")</f>
        <v>bàn</v>
      </c>
      <c r="G334" s="3" t="s">
        <v>660</v>
      </c>
    </row>
    <row r="335">
      <c r="A335" s="3">
        <v>5.0</v>
      </c>
      <c r="B335" s="3" t="s">
        <v>661</v>
      </c>
      <c r="C335" s="3" t="str">
        <f t="shared" si="1"/>
        <v>46 </v>
      </c>
      <c r="D335" s="3" t="str">
        <f t="shared" si="2"/>
        <v>international</v>
      </c>
      <c r="E335" s="2" t="s">
        <v>8</v>
      </c>
      <c r="F335" s="3" t="str">
        <f>IFERROR(__xludf.DUMMYFUNCTION("GOOGLETRANSLATE(D335,$D$1,$F$1)"),"Quốc tế")</f>
        <v>Quốc tế</v>
      </c>
      <c r="G335" s="3" t="s">
        <v>662</v>
      </c>
    </row>
    <row r="336">
      <c r="A336" s="3">
        <v>5.0</v>
      </c>
      <c r="B336" s="3" t="s">
        <v>663</v>
      </c>
      <c r="C336" s="3" t="str">
        <f t="shared" si="1"/>
        <v>46 </v>
      </c>
      <c r="D336" s="3" t="str">
        <f t="shared" si="2"/>
        <v>spend</v>
      </c>
      <c r="E336" s="2" t="s">
        <v>8</v>
      </c>
      <c r="F336" s="3" t="str">
        <f>IFERROR(__xludf.DUMMYFUNCTION("GOOGLETRANSLATE(D336,$D$1,$F$1)"),"tiêu")</f>
        <v>tiêu</v>
      </c>
      <c r="G336" s="3" t="s">
        <v>664</v>
      </c>
    </row>
    <row r="337">
      <c r="A337" s="3">
        <v>5.0</v>
      </c>
      <c r="B337" s="3" t="s">
        <v>665</v>
      </c>
      <c r="C337" s="3" t="str">
        <f t="shared" si="1"/>
        <v>46 </v>
      </c>
      <c r="D337" s="3" t="str">
        <f t="shared" si="2"/>
        <v>United Arab Emirates</v>
      </c>
      <c r="E337" s="2" t="s">
        <v>8</v>
      </c>
      <c r="F337" s="3" t="str">
        <f>IFERROR(__xludf.DUMMYFUNCTION("GOOGLETRANSLATE(D337,$D$1,$F$1)"),"các Tiểu Vương Quốc Ả Rập Thống Nhất")</f>
        <v>các Tiểu Vương Quốc Ả Rập Thống Nhất</v>
      </c>
    </row>
    <row r="338">
      <c r="A338" s="3">
        <v>5.0</v>
      </c>
      <c r="B338" s="3" t="s">
        <v>666</v>
      </c>
      <c r="C338" s="3" t="str">
        <f t="shared" si="1"/>
        <v>46 </v>
      </c>
      <c r="D338" s="3" t="str">
        <f t="shared" si="2"/>
        <v>real</v>
      </c>
      <c r="E338" s="2" t="s">
        <v>8</v>
      </c>
      <c r="F338" s="3" t="str">
        <f>IFERROR(__xludf.DUMMYFUNCTION("GOOGLETRANSLATE(D338,$D$1,$F$1)"),"thực tế")</f>
        <v>thực tế</v>
      </c>
      <c r="G338" s="3" t="s">
        <v>667</v>
      </c>
    </row>
    <row r="339">
      <c r="A339" s="3">
        <v>5.0</v>
      </c>
      <c r="B339" s="3" t="s">
        <v>668</v>
      </c>
      <c r="C339" s="3" t="str">
        <f t="shared" si="1"/>
        <v>46 </v>
      </c>
      <c r="D339" s="3" t="str">
        <f t="shared" si="2"/>
        <v>busy</v>
      </c>
      <c r="E339" s="2" t="s">
        <v>8</v>
      </c>
      <c r="F339" s="3" t="str">
        <f>IFERROR(__xludf.DUMMYFUNCTION("GOOGLETRANSLATE(D339,$D$1,$F$1)"),"bận")</f>
        <v>bận</v>
      </c>
      <c r="G339" s="3" t="s">
        <v>669</v>
      </c>
    </row>
    <row r="340">
      <c r="A340" s="3">
        <v>5.0</v>
      </c>
      <c r="B340" s="3" t="s">
        <v>670</v>
      </c>
      <c r="C340" s="3" t="str">
        <f t="shared" si="1"/>
        <v>46 </v>
      </c>
      <c r="D340" s="3" t="str">
        <f t="shared" si="2"/>
        <v>carry</v>
      </c>
      <c r="E340" s="2" t="s">
        <v>8</v>
      </c>
      <c r="F340" s="3" t="str">
        <f>IFERROR(__xludf.DUMMYFUNCTION("GOOGLETRANSLATE(D340,$D$1,$F$1)"),"mang")</f>
        <v>mang</v>
      </c>
      <c r="G340" s="3" t="s">
        <v>671</v>
      </c>
    </row>
    <row r="341">
      <c r="A341" s="3">
        <v>5.0</v>
      </c>
      <c r="B341" s="3" t="s">
        <v>672</v>
      </c>
      <c r="C341" s="3" t="str">
        <f t="shared" si="1"/>
        <v>47 </v>
      </c>
      <c r="D341" s="3" t="str">
        <f t="shared" si="2"/>
        <v>object</v>
      </c>
      <c r="E341" s="2" t="s">
        <v>8</v>
      </c>
      <c r="F341" s="3" t="str">
        <f>IFERROR(__xludf.DUMMYFUNCTION("GOOGLETRANSLATE(D341,$D$1,$F$1)"),"vật")</f>
        <v>vật</v>
      </c>
      <c r="G341" s="3" t="s">
        <v>673</v>
      </c>
    </row>
    <row r="342">
      <c r="A342" s="3">
        <v>5.0</v>
      </c>
      <c r="B342" s="3" t="s">
        <v>674</v>
      </c>
      <c r="C342" s="3" t="str">
        <f t="shared" si="1"/>
        <v>47 </v>
      </c>
      <c r="D342" s="3" t="str">
        <f t="shared" si="2"/>
        <v>building</v>
      </c>
      <c r="E342" s="2" t="s">
        <v>8</v>
      </c>
      <c r="F342" s="3" t="str">
        <f>IFERROR(__xludf.DUMMYFUNCTION("GOOGLETRANSLATE(D342,$D$1,$F$1)"),"xây dựng")</f>
        <v>xây dựng</v>
      </c>
      <c r="G342" s="3" t="s">
        <v>675</v>
      </c>
    </row>
    <row r="343">
      <c r="A343" s="3">
        <v>5.0</v>
      </c>
      <c r="B343" s="3" t="s">
        <v>676</v>
      </c>
      <c r="C343" s="3" t="str">
        <f t="shared" si="1"/>
        <v>48 </v>
      </c>
      <c r="D343" s="3" t="str">
        <f t="shared" si="2"/>
        <v>far</v>
      </c>
      <c r="E343" s="2" t="s">
        <v>8</v>
      </c>
      <c r="F343" s="3" t="str">
        <f>IFERROR(__xludf.DUMMYFUNCTION("GOOGLETRANSLATE(D343,$D$1,$F$1)"),"xa")</f>
        <v>xa</v>
      </c>
      <c r="G343" s="3" t="s">
        <v>677</v>
      </c>
    </row>
    <row r="344">
      <c r="A344" s="3">
        <v>5.0</v>
      </c>
      <c r="B344" s="3" t="s">
        <v>678</v>
      </c>
      <c r="C344" s="3" t="str">
        <f t="shared" si="1"/>
        <v>48 </v>
      </c>
      <c r="D344" s="3" t="str">
        <f t="shared" si="2"/>
        <v>kilometre</v>
      </c>
      <c r="E344" s="2" t="s">
        <v>8</v>
      </c>
      <c r="F344" s="3" t="str">
        <f>IFERROR(__xludf.DUMMYFUNCTION("GOOGLETRANSLATE(D344,$D$1,$F$1)"),"km")</f>
        <v>km</v>
      </c>
      <c r="G344" s="3" t="s">
        <v>679</v>
      </c>
    </row>
    <row r="345">
      <c r="A345" s="3">
        <v>5.0</v>
      </c>
      <c r="B345" s="3" t="s">
        <v>680</v>
      </c>
      <c r="C345" s="3" t="str">
        <f t="shared" si="1"/>
        <v>48 </v>
      </c>
      <c r="D345" s="3" t="str">
        <f t="shared" si="2"/>
        <v>several</v>
      </c>
      <c r="E345" s="2" t="s">
        <v>8</v>
      </c>
      <c r="F345" s="3" t="str">
        <f>IFERROR(__xludf.DUMMYFUNCTION("GOOGLETRANSLATE(D345,$D$1,$F$1)"),"một số")</f>
        <v>một số</v>
      </c>
      <c r="G345" s="3" t="s">
        <v>681</v>
      </c>
    </row>
    <row r="346">
      <c r="A346" s="3">
        <v>5.0</v>
      </c>
      <c r="B346" s="3" t="s">
        <v>682</v>
      </c>
      <c r="C346" s="3" t="str">
        <f t="shared" si="1"/>
        <v>48 </v>
      </c>
      <c r="D346" s="3" t="str">
        <f t="shared" si="2"/>
        <v>nearly</v>
      </c>
      <c r="E346" s="2" t="s">
        <v>8</v>
      </c>
      <c r="F346" s="3" t="str">
        <f>IFERROR(__xludf.DUMMYFUNCTION("GOOGLETRANSLATE(D346,$D$1,$F$1)"),"Gần")</f>
        <v>Gần</v>
      </c>
      <c r="G346" s="3" t="s">
        <v>683</v>
      </c>
    </row>
    <row r="347">
      <c r="A347" s="3">
        <v>5.0</v>
      </c>
      <c r="B347" s="3" t="s">
        <v>684</v>
      </c>
      <c r="C347" s="3" t="str">
        <f t="shared" si="1"/>
        <v>48 </v>
      </c>
      <c r="D347" s="3" t="str">
        <f t="shared" si="2"/>
        <v>road</v>
      </c>
      <c r="E347" s="2" t="s">
        <v>8</v>
      </c>
      <c r="F347" s="3" t="str">
        <f>IFERROR(__xludf.DUMMYFUNCTION("GOOGLETRANSLATE(D347,$D$1,$F$1)"),"đường")</f>
        <v>đường</v>
      </c>
      <c r="G347" s="3" t="s">
        <v>685</v>
      </c>
    </row>
    <row r="348">
      <c r="A348" s="3">
        <v>5.0</v>
      </c>
      <c r="B348" s="3" t="s">
        <v>686</v>
      </c>
      <c r="C348" s="3" t="str">
        <f t="shared" si="1"/>
        <v>48 </v>
      </c>
      <c r="D348" s="3" t="str">
        <f t="shared" si="2"/>
        <v>poor</v>
      </c>
      <c r="E348" s="2" t="s">
        <v>8</v>
      </c>
      <c r="F348" s="3" t="str">
        <f>IFERROR(__xludf.DUMMYFUNCTION("GOOGLETRANSLATE(D348,$D$1,$F$1)"),"nghèo")</f>
        <v>nghèo</v>
      </c>
      <c r="G348" s="3" t="s">
        <v>687</v>
      </c>
    </row>
    <row r="349">
      <c r="A349" s="3">
        <v>5.0</v>
      </c>
      <c r="B349" s="3" t="s">
        <v>688</v>
      </c>
      <c r="C349" s="3" t="str">
        <f t="shared" si="1"/>
        <v>49 </v>
      </c>
      <c r="D349" s="3" t="str">
        <f t="shared" si="2"/>
        <v>platform</v>
      </c>
      <c r="E349" s="2" t="s">
        <v>8</v>
      </c>
      <c r="F349" s="3" t="str">
        <f>IFERROR(__xludf.DUMMYFUNCTION("GOOGLETRANSLATE(D349,$D$1,$F$1)"),"nền tảng")</f>
        <v>nền tảng</v>
      </c>
      <c r="G349" s="3" t="s">
        <v>689</v>
      </c>
    </row>
    <row r="350">
      <c r="A350" s="3">
        <v>5.0</v>
      </c>
      <c r="B350" s="3" t="s">
        <v>690</v>
      </c>
      <c r="C350" s="3" t="str">
        <f t="shared" si="1"/>
        <v>49 </v>
      </c>
      <c r="D350" s="3" t="str">
        <f t="shared" si="2"/>
        <v>return</v>
      </c>
      <c r="E350" s="2" t="s">
        <v>8</v>
      </c>
      <c r="F350" s="3" t="str">
        <f>IFERROR(__xludf.DUMMYFUNCTION("GOOGLETRANSLATE(D350,$D$1,$F$1)"),"trở về")</f>
        <v>trở về</v>
      </c>
      <c r="G350" s="3" t="s">
        <v>691</v>
      </c>
    </row>
    <row r="351">
      <c r="A351" s="3">
        <v>5.0</v>
      </c>
      <c r="B351" s="3" t="s">
        <v>692</v>
      </c>
      <c r="C351" s="3" t="str">
        <f t="shared" si="1"/>
        <v>49 </v>
      </c>
      <c r="D351" s="3" t="str">
        <f t="shared" si="2"/>
        <v>sign (v)</v>
      </c>
      <c r="E351" s="2" t="s">
        <v>8</v>
      </c>
      <c r="F351" s="3" t="str">
        <f>IFERROR(__xludf.DUMMYFUNCTION("GOOGLETRANSLATE(D351,$D$1,$F$1)"),"ký (v)")</f>
        <v>ký (v)</v>
      </c>
      <c r="G351" s="3" t="s">
        <v>693</v>
      </c>
    </row>
    <row r="352">
      <c r="A352" s="3">
        <v>5.0</v>
      </c>
      <c r="B352" s="3" t="s">
        <v>694</v>
      </c>
      <c r="C352" s="3" t="str">
        <f t="shared" si="1"/>
        <v>49 </v>
      </c>
      <c r="D352" s="3" t="str">
        <f t="shared" si="2"/>
        <v>ticket clerk</v>
      </c>
      <c r="E352" s="2" t="s">
        <v>8</v>
      </c>
      <c r="F352" s="3" t="str">
        <f>IFERROR(__xludf.DUMMYFUNCTION("GOOGLETRANSLATE(D352,$D$1,$F$1)"),"nhân viên bán vé")</f>
        <v>nhân viên bán vé</v>
      </c>
      <c r="G352" s="3" t="s">
        <v>695</v>
      </c>
    </row>
    <row r="353">
      <c r="A353" s="3">
        <v>5.0</v>
      </c>
      <c r="B353" s="3" t="s">
        <v>696</v>
      </c>
      <c r="C353" s="3" t="str">
        <f t="shared" si="1"/>
        <v>49 </v>
      </c>
      <c r="D353" s="3" t="str">
        <f t="shared" si="2"/>
        <v>south</v>
      </c>
      <c r="E353" s="2" t="s">
        <v>8</v>
      </c>
      <c r="F353" s="3" t="str">
        <f>IFERROR(__xludf.DUMMYFUNCTION("GOOGLETRANSLATE(D353,$D$1,$F$1)"),"miền Nam")</f>
        <v>miền Nam</v>
      </c>
      <c r="G353" s="3" t="s">
        <v>697</v>
      </c>
    </row>
    <row r="354">
      <c r="A354" s="3">
        <v>5.0</v>
      </c>
      <c r="B354" s="3" t="s">
        <v>698</v>
      </c>
      <c r="C354" s="3" t="str">
        <f t="shared" si="1"/>
        <v>49 </v>
      </c>
      <c r="D354" s="3" t="str">
        <f t="shared" si="2"/>
        <v>expensive</v>
      </c>
      <c r="E354" s="2" t="s">
        <v>8</v>
      </c>
      <c r="F354" s="3" t="str">
        <f>IFERROR(__xludf.DUMMYFUNCTION("GOOGLETRANSLATE(D354,$D$1,$F$1)"),"đắt")</f>
        <v>đắt</v>
      </c>
      <c r="G354" s="3" t="s">
        <v>699</v>
      </c>
    </row>
    <row r="355">
      <c r="A355" s="3">
        <v>5.0</v>
      </c>
      <c r="B355" s="3" t="s">
        <v>700</v>
      </c>
      <c r="C355" s="3" t="str">
        <f t="shared" si="1"/>
        <v>49 </v>
      </c>
      <c r="D355" s="3" t="str">
        <f t="shared" si="2"/>
        <v>public transport</v>
      </c>
      <c r="E355" s="2" t="s">
        <v>8</v>
      </c>
      <c r="F355" s="3" t="str">
        <f>IFERROR(__xludf.DUMMYFUNCTION("GOOGLETRANSLATE(D355,$D$1,$F$1)"),"phương tiện giao thông công cộng")</f>
        <v>phương tiện giao thông công cộng</v>
      </c>
      <c r="G355" s="3" t="s">
        <v>701</v>
      </c>
    </row>
    <row r="356">
      <c r="A356" s="3">
        <v>6.0</v>
      </c>
      <c r="B356" s="3" t="s">
        <v>702</v>
      </c>
      <c r="C356" s="3" t="str">
        <f t="shared" si="1"/>
        <v>52 </v>
      </c>
      <c r="D356" s="3" t="str">
        <f t="shared" si="2"/>
        <v>countable</v>
      </c>
      <c r="E356" s="2" t="s">
        <v>8</v>
      </c>
      <c r="F356" s="3" t="str">
        <f>IFERROR(__xludf.DUMMYFUNCTION("GOOGLETRANSLATE(D356,$D$1,$F$1)"),"đếm được")</f>
        <v>đếm được</v>
      </c>
    </row>
    <row r="357">
      <c r="A357" s="3">
        <v>6.0</v>
      </c>
      <c r="B357" s="3" t="s">
        <v>703</v>
      </c>
      <c r="C357" s="3" t="str">
        <f t="shared" si="1"/>
        <v>52 </v>
      </c>
      <c r="D357" s="3" t="str">
        <f t="shared" si="2"/>
        <v>uncountable</v>
      </c>
      <c r="E357" s="2" t="s">
        <v>8</v>
      </c>
      <c r="F357" s="3" t="str">
        <f>IFERROR(__xludf.DUMMYFUNCTION("GOOGLETRANSLATE(D357,$D$1,$F$1)"),"không đếm được")</f>
        <v>không đếm được</v>
      </c>
    </row>
    <row r="358">
      <c r="A358" s="3">
        <v>6.0</v>
      </c>
      <c r="B358" s="3" t="s">
        <v>704</v>
      </c>
      <c r="C358" s="3" t="str">
        <f t="shared" si="1"/>
        <v>52 </v>
      </c>
      <c r="D358" s="3" t="str">
        <f t="shared" si="2"/>
        <v>milk</v>
      </c>
      <c r="E358" s="2" t="s">
        <v>8</v>
      </c>
      <c r="F358" s="3" t="str">
        <f>IFERROR(__xludf.DUMMYFUNCTION("GOOGLETRANSLATE(D358,$D$1,$F$1)"),"Sữa")</f>
        <v>Sữa</v>
      </c>
      <c r="G358" s="3" t="s">
        <v>705</v>
      </c>
    </row>
    <row r="359">
      <c r="A359" s="3">
        <v>6.0</v>
      </c>
      <c r="B359" s="3" t="s">
        <v>706</v>
      </c>
      <c r="C359" s="3" t="str">
        <f t="shared" si="1"/>
        <v>52 </v>
      </c>
      <c r="D359" s="3" t="str">
        <f t="shared" si="2"/>
        <v>egg</v>
      </c>
      <c r="E359" s="2" t="s">
        <v>8</v>
      </c>
      <c r="F359" s="3" t="str">
        <f>IFERROR(__xludf.DUMMYFUNCTION("GOOGLETRANSLATE(D359,$D$1,$F$1)"),"trứng")</f>
        <v>trứng</v>
      </c>
      <c r="G359" s="3" t="s">
        <v>707</v>
      </c>
    </row>
    <row r="360">
      <c r="A360" s="3">
        <v>6.0</v>
      </c>
      <c r="B360" s="3" t="s">
        <v>708</v>
      </c>
      <c r="C360" s="3" t="str">
        <f t="shared" si="1"/>
        <v>52 </v>
      </c>
      <c r="D360" s="3" t="str">
        <f t="shared" si="2"/>
        <v>butter</v>
      </c>
      <c r="E360" s="2" t="s">
        <v>8</v>
      </c>
      <c r="F360" s="3" t="str">
        <f>IFERROR(__xludf.DUMMYFUNCTION("GOOGLETRANSLATE(D360,$D$1,$F$1)"),"bơ")</f>
        <v>bơ</v>
      </c>
      <c r="G360" s="3" t="s">
        <v>709</v>
      </c>
    </row>
    <row r="361">
      <c r="A361" s="3">
        <v>6.0</v>
      </c>
      <c r="B361" s="3" t="s">
        <v>710</v>
      </c>
      <c r="C361" s="3" t="str">
        <f t="shared" si="1"/>
        <v>52 </v>
      </c>
      <c r="D361" s="3" t="str">
        <f t="shared" si="2"/>
        <v>cereal</v>
      </c>
      <c r="E361" s="2" t="s">
        <v>8</v>
      </c>
      <c r="F361" s="3" t="str">
        <f>IFERROR(__xludf.DUMMYFUNCTION("GOOGLETRANSLATE(D361,$D$1,$F$1)"),"ngũ cốc")</f>
        <v>ngũ cốc</v>
      </c>
      <c r="G361" s="3" t="s">
        <v>711</v>
      </c>
    </row>
    <row r="362">
      <c r="A362" s="3">
        <v>6.0</v>
      </c>
      <c r="B362" s="3" t="s">
        <v>712</v>
      </c>
      <c r="C362" s="3" t="str">
        <f t="shared" si="1"/>
        <v>52 </v>
      </c>
      <c r="D362" s="3" t="str">
        <f t="shared" si="2"/>
        <v>orange</v>
      </c>
      <c r="E362" s="2" t="s">
        <v>8</v>
      </c>
      <c r="F362" s="3" t="str">
        <f>IFERROR(__xludf.DUMMYFUNCTION("GOOGLETRANSLATE(D362,$D$1,$F$1)"),"trái cam")</f>
        <v>trái cam</v>
      </c>
      <c r="G362" s="3" t="s">
        <v>713</v>
      </c>
    </row>
    <row r="363">
      <c r="A363" s="3">
        <v>6.0</v>
      </c>
      <c r="B363" s="3" t="s">
        <v>714</v>
      </c>
      <c r="C363" s="3" t="str">
        <f t="shared" si="1"/>
        <v>52 </v>
      </c>
      <c r="D363" s="3" t="str">
        <f t="shared" si="2"/>
        <v>jam</v>
      </c>
      <c r="E363" s="2" t="s">
        <v>8</v>
      </c>
      <c r="F363" s="3" t="str">
        <f>IFERROR(__xludf.DUMMYFUNCTION("GOOGLETRANSLATE(D363,$D$1,$F$1)"),"mứt")</f>
        <v>mứt</v>
      </c>
      <c r="G363" s="3" t="s">
        <v>715</v>
      </c>
    </row>
    <row r="364">
      <c r="A364" s="3">
        <v>6.0</v>
      </c>
      <c r="B364" s="3" t="s">
        <v>716</v>
      </c>
      <c r="C364" s="3" t="str">
        <f t="shared" si="1"/>
        <v>52 </v>
      </c>
      <c r="D364" s="3" t="str">
        <f t="shared" si="2"/>
        <v>apple</v>
      </c>
      <c r="E364" s="2" t="s">
        <v>8</v>
      </c>
      <c r="F364" s="3" t="str">
        <f>IFERROR(__xludf.DUMMYFUNCTION("GOOGLETRANSLATE(D364,$D$1,$F$1)"),"táo")</f>
        <v>táo</v>
      </c>
      <c r="G364" s="3" t="s">
        <v>717</v>
      </c>
    </row>
    <row r="365">
      <c r="A365" s="3">
        <v>6.0</v>
      </c>
      <c r="B365" s="3" t="s">
        <v>718</v>
      </c>
      <c r="C365" s="3" t="str">
        <f t="shared" si="1"/>
        <v>52 </v>
      </c>
      <c r="D365" s="3" t="str">
        <f t="shared" si="2"/>
        <v>toast</v>
      </c>
      <c r="E365" s="2" t="s">
        <v>8</v>
      </c>
      <c r="F365" s="3" t="str">
        <f>IFERROR(__xludf.DUMMYFUNCTION("GOOGLETRANSLATE(D365,$D$1,$F$1)"),"bánh mì nướng")</f>
        <v>bánh mì nướng</v>
      </c>
      <c r="G365" s="3" t="s">
        <v>719</v>
      </c>
    </row>
    <row r="366">
      <c r="A366" s="3">
        <v>6.0</v>
      </c>
      <c r="B366" s="3" t="s">
        <v>720</v>
      </c>
      <c r="C366" s="3" t="str">
        <f t="shared" si="1"/>
        <v>52 </v>
      </c>
      <c r="D366" s="3" t="str">
        <f t="shared" si="2"/>
        <v>bread roll</v>
      </c>
      <c r="E366" s="2" t="s">
        <v>8</v>
      </c>
      <c r="F366" s="3" t="str">
        <f>IFERROR(__xludf.DUMMYFUNCTION("GOOGLETRANSLATE(D366,$D$1,$F$1)"),"bánh mì cuộn")</f>
        <v>bánh mì cuộn</v>
      </c>
      <c r="G366" s="3" t="s">
        <v>721</v>
      </c>
    </row>
    <row r="367">
      <c r="A367" s="3">
        <v>6.0</v>
      </c>
      <c r="B367" s="3" t="s">
        <v>722</v>
      </c>
      <c r="C367" s="3" t="str">
        <f t="shared" si="1"/>
        <v>52 </v>
      </c>
      <c r="D367" s="3" t="str">
        <f t="shared" si="2"/>
        <v>sausage</v>
      </c>
      <c r="E367" s="2" t="s">
        <v>8</v>
      </c>
      <c r="F367" s="3" t="str">
        <f>IFERROR(__xludf.DUMMYFUNCTION("GOOGLETRANSLATE(D367,$D$1,$F$1)"),"Lạp xưởng")</f>
        <v>Lạp xưởng</v>
      </c>
      <c r="G367" s="3" t="s">
        <v>723</v>
      </c>
    </row>
    <row r="368">
      <c r="A368" s="3">
        <v>6.0</v>
      </c>
      <c r="B368" s="3" t="s">
        <v>724</v>
      </c>
      <c r="C368" s="3" t="str">
        <f t="shared" si="1"/>
        <v>52 </v>
      </c>
      <c r="D368" s="3" t="str">
        <f t="shared" si="2"/>
        <v>grape</v>
      </c>
      <c r="E368" s="2" t="s">
        <v>8</v>
      </c>
      <c r="F368" s="3" t="str">
        <f>IFERROR(__xludf.DUMMYFUNCTION("GOOGLETRANSLATE(D368,$D$1,$F$1)"),"giống nho")</f>
        <v>giống nho</v>
      </c>
      <c r="G368" s="3" t="s">
        <v>725</v>
      </c>
    </row>
    <row r="369">
      <c r="A369" s="3">
        <v>6.0</v>
      </c>
      <c r="B369" s="3" t="s">
        <v>726</v>
      </c>
      <c r="C369" s="3" t="str">
        <f t="shared" si="1"/>
        <v>52 </v>
      </c>
      <c r="D369" s="3" t="str">
        <f t="shared" si="2"/>
        <v>banana</v>
      </c>
      <c r="E369" s="2" t="s">
        <v>8</v>
      </c>
      <c r="F369" s="3" t="str">
        <f>IFERROR(__xludf.DUMMYFUNCTION("GOOGLETRANSLATE(D369,$D$1,$F$1)"),"trái chuối")</f>
        <v>trái chuối</v>
      </c>
      <c r="G369" s="3" t="s">
        <v>727</v>
      </c>
    </row>
    <row r="370">
      <c r="A370" s="3">
        <v>6.0</v>
      </c>
      <c r="B370" s="3" t="s">
        <v>728</v>
      </c>
      <c r="C370" s="3" t="str">
        <f t="shared" si="1"/>
        <v>52 </v>
      </c>
      <c r="D370" s="3" t="str">
        <f t="shared" si="2"/>
        <v>cheese</v>
      </c>
      <c r="E370" s="2" t="s">
        <v>8</v>
      </c>
      <c r="F370" s="3" t="str">
        <f>IFERROR(__xludf.DUMMYFUNCTION("GOOGLETRANSLATE(D370,$D$1,$F$1)"),"phô mai")</f>
        <v>phô mai</v>
      </c>
      <c r="G370" s="3" t="s">
        <v>729</v>
      </c>
    </row>
    <row r="371">
      <c r="A371" s="3">
        <v>6.0</v>
      </c>
      <c r="B371" s="3" t="s">
        <v>730</v>
      </c>
      <c r="C371" s="3" t="str">
        <f t="shared" si="1"/>
        <v>52 </v>
      </c>
      <c r="D371" s="3" t="str">
        <f t="shared" si="2"/>
        <v>yoghurt</v>
      </c>
      <c r="E371" s="2" t="s">
        <v>8</v>
      </c>
      <c r="F371" s="3" t="str">
        <f>IFERROR(__xludf.DUMMYFUNCTION("GOOGLETRANSLATE(D371,$D$1,$F$1)"),"sữa chua")</f>
        <v>sữa chua</v>
      </c>
      <c r="G371" s="3" t="s">
        <v>731</v>
      </c>
    </row>
    <row r="372">
      <c r="A372" s="3">
        <v>6.0</v>
      </c>
      <c r="B372" s="3" t="s">
        <v>732</v>
      </c>
      <c r="C372" s="3" t="str">
        <f t="shared" si="1"/>
        <v>52 </v>
      </c>
      <c r="D372" s="3" t="str">
        <f t="shared" si="2"/>
        <v>orange juice</v>
      </c>
      <c r="E372" s="2" t="s">
        <v>8</v>
      </c>
      <c r="F372" s="3" t="str">
        <f>IFERROR(__xludf.DUMMYFUNCTION("GOOGLETRANSLATE(D372,$D$1,$F$1)"),"nước cam")</f>
        <v>nước cam</v>
      </c>
      <c r="G372" s="3" t="s">
        <v>733</v>
      </c>
    </row>
    <row r="373">
      <c r="A373" s="3">
        <v>6.0</v>
      </c>
      <c r="B373" s="3" t="s">
        <v>734</v>
      </c>
      <c r="C373" s="3" t="str">
        <f t="shared" si="1"/>
        <v>52 </v>
      </c>
      <c r="D373" s="3" t="str">
        <f t="shared" si="2"/>
        <v>water</v>
      </c>
      <c r="E373" s="2" t="s">
        <v>8</v>
      </c>
      <c r="F373" s="3" t="str">
        <f>IFERROR(__xludf.DUMMYFUNCTION("GOOGLETRANSLATE(D373,$D$1,$F$1)"),"Nước")</f>
        <v>Nước</v>
      </c>
      <c r="G373" s="3" t="s">
        <v>735</v>
      </c>
    </row>
    <row r="374">
      <c r="A374" s="3">
        <v>6.0</v>
      </c>
      <c r="B374" s="3" t="s">
        <v>736</v>
      </c>
      <c r="C374" s="3" t="str">
        <f t="shared" si="1"/>
        <v>52 </v>
      </c>
      <c r="D374" s="3" t="str">
        <f t="shared" si="2"/>
        <v>tea</v>
      </c>
      <c r="E374" s="2" t="s">
        <v>8</v>
      </c>
      <c r="F374" s="3" t="str">
        <f>IFERROR(__xludf.DUMMYFUNCTION("GOOGLETRANSLATE(D374,$D$1,$F$1)"),"trà")</f>
        <v>trà</v>
      </c>
      <c r="G374" s="3" t="s">
        <v>737</v>
      </c>
    </row>
    <row r="375">
      <c r="A375" s="3">
        <v>6.0</v>
      </c>
      <c r="B375" s="3" t="s">
        <v>738</v>
      </c>
      <c r="C375" s="3" t="str">
        <f t="shared" si="1"/>
        <v>52 </v>
      </c>
      <c r="D375" s="3" t="str">
        <f t="shared" si="2"/>
        <v>fruit</v>
      </c>
      <c r="E375" s="2" t="s">
        <v>8</v>
      </c>
      <c r="F375" s="3" t="str">
        <f>IFERROR(__xludf.DUMMYFUNCTION("GOOGLETRANSLATE(D375,$D$1,$F$1)"),"trái cây")</f>
        <v>trái cây</v>
      </c>
      <c r="G375" s="3" t="s">
        <v>739</v>
      </c>
    </row>
    <row r="376">
      <c r="A376" s="3">
        <v>6.0</v>
      </c>
      <c r="B376" s="3" t="s">
        <v>740</v>
      </c>
      <c r="C376" s="3" t="str">
        <f t="shared" si="1"/>
        <v>52 </v>
      </c>
      <c r="D376" s="3" t="str">
        <f t="shared" si="2"/>
        <v>biscuit</v>
      </c>
      <c r="E376" s="2" t="s">
        <v>8</v>
      </c>
      <c r="F376" s="3" t="str">
        <f>IFERROR(__xludf.DUMMYFUNCTION("GOOGLETRANSLATE(D376,$D$1,$F$1)"),"bánh quy")</f>
        <v>bánh quy</v>
      </c>
      <c r="G376" s="3" t="s">
        <v>741</v>
      </c>
    </row>
    <row r="377">
      <c r="A377" s="3">
        <v>6.0</v>
      </c>
      <c r="B377" s="3" t="s">
        <v>742</v>
      </c>
      <c r="C377" s="3" t="str">
        <f t="shared" si="1"/>
        <v>53 </v>
      </c>
      <c r="D377" s="3" t="str">
        <f t="shared" si="2"/>
        <v>true</v>
      </c>
      <c r="E377" s="2" t="s">
        <v>8</v>
      </c>
      <c r="F377" s="3" t="str">
        <f>IFERROR(__xludf.DUMMYFUNCTION("GOOGLETRANSLATE(D377,$D$1,$F$1)"),"thật")</f>
        <v>thật</v>
      </c>
      <c r="G377" s="3" t="s">
        <v>743</v>
      </c>
    </row>
    <row r="378">
      <c r="A378" s="3">
        <v>6.0</v>
      </c>
      <c r="B378" s="3" t="s">
        <v>744</v>
      </c>
      <c r="C378" s="3" t="str">
        <f t="shared" si="1"/>
        <v>53 </v>
      </c>
      <c r="D378" s="3" t="str">
        <f t="shared" si="2"/>
        <v>some</v>
      </c>
      <c r="E378" s="2" t="s">
        <v>8</v>
      </c>
      <c r="F378" s="3" t="str">
        <f>IFERROR(__xludf.DUMMYFUNCTION("GOOGLETRANSLATE(D378,$D$1,$F$1)"),"một số")</f>
        <v>một số</v>
      </c>
      <c r="G378" s="3" t="s">
        <v>745</v>
      </c>
    </row>
    <row r="379">
      <c r="A379" s="3">
        <v>6.0</v>
      </c>
      <c r="B379" s="3" t="s">
        <v>746</v>
      </c>
      <c r="C379" s="3" t="str">
        <f t="shared" si="1"/>
        <v>53 </v>
      </c>
      <c r="D379" s="3" t="str">
        <f t="shared" si="2"/>
        <v>false</v>
      </c>
      <c r="E379" s="2" t="s">
        <v>8</v>
      </c>
      <c r="F379" s="3" t="str">
        <f>IFERROR(__xludf.DUMMYFUNCTION("GOOGLETRANSLATE(D379,$D$1,$F$1)"),"sai")</f>
        <v>sai</v>
      </c>
      <c r="G379" s="3" t="s">
        <v>747</v>
      </c>
    </row>
    <row r="380">
      <c r="A380" s="3">
        <v>6.0</v>
      </c>
      <c r="B380" s="3" t="s">
        <v>748</v>
      </c>
      <c r="C380" s="3" t="str">
        <f t="shared" si="1"/>
        <v>53 </v>
      </c>
      <c r="D380" s="3" t="str">
        <f t="shared" si="2"/>
        <v>picture</v>
      </c>
      <c r="E380" s="2" t="s">
        <v>8</v>
      </c>
      <c r="F380" s="3" t="str">
        <f>IFERROR(__xludf.DUMMYFUNCTION("GOOGLETRANSLATE(D380,$D$1,$F$1)"),"hình ảnh")</f>
        <v>hình ảnh</v>
      </c>
      <c r="G380" s="3" t="s">
        <v>749</v>
      </c>
    </row>
    <row r="381">
      <c r="A381" s="3">
        <v>6.0</v>
      </c>
      <c r="B381" s="3" t="s">
        <v>750</v>
      </c>
      <c r="C381" s="3" t="str">
        <f t="shared" si="1"/>
        <v>53 </v>
      </c>
      <c r="D381" s="3" t="str">
        <f t="shared" si="2"/>
        <v>wall</v>
      </c>
      <c r="E381" s="2" t="s">
        <v>8</v>
      </c>
      <c r="F381" s="3" t="str">
        <f>IFERROR(__xludf.DUMMYFUNCTION("GOOGLETRANSLATE(D381,$D$1,$F$1)"),"Tường")</f>
        <v>Tường</v>
      </c>
      <c r="G381" s="3" t="s">
        <v>751</v>
      </c>
    </row>
    <row r="382">
      <c r="A382" s="3">
        <v>6.0</v>
      </c>
      <c r="B382" s="3" t="s">
        <v>752</v>
      </c>
      <c r="C382" s="3" t="str">
        <f t="shared" si="1"/>
        <v>53 </v>
      </c>
      <c r="D382" s="3" t="str">
        <f t="shared" si="2"/>
        <v>bin</v>
      </c>
      <c r="E382" s="2" t="s">
        <v>8</v>
      </c>
      <c r="F382" s="3" t="str">
        <f>IFERROR(__xludf.DUMMYFUNCTION("GOOGLETRANSLATE(D382,$D$1,$F$1)"),"thùng rác")</f>
        <v>thùng rác</v>
      </c>
      <c r="G382" s="3" t="s">
        <v>753</v>
      </c>
    </row>
    <row r="383">
      <c r="A383" s="3">
        <v>6.0</v>
      </c>
      <c r="B383" s="3" t="s">
        <v>754</v>
      </c>
      <c r="C383" s="3" t="str">
        <f t="shared" si="1"/>
        <v>53 </v>
      </c>
      <c r="D383" s="3" t="str">
        <f t="shared" si="2"/>
        <v>plant</v>
      </c>
      <c r="E383" s="2" t="s">
        <v>8</v>
      </c>
      <c r="F383" s="3" t="str">
        <f>IFERROR(__xludf.DUMMYFUNCTION("GOOGLETRANSLATE(D383,$D$1,$F$1)"),"cây")</f>
        <v>cây</v>
      </c>
      <c r="G383" s="3" t="s">
        <v>755</v>
      </c>
    </row>
    <row r="384">
      <c r="A384" s="3">
        <v>6.0</v>
      </c>
      <c r="B384" s="3" t="s">
        <v>756</v>
      </c>
      <c r="C384" s="3" t="str">
        <f t="shared" si="1"/>
        <v>53 </v>
      </c>
      <c r="D384" s="3" t="str">
        <f t="shared" si="2"/>
        <v>coffee machine</v>
      </c>
      <c r="E384" s="2" t="s">
        <v>8</v>
      </c>
      <c r="F384" s="3" t="str">
        <f>IFERROR(__xludf.DUMMYFUNCTION("GOOGLETRANSLATE(D384,$D$1,$F$1)"),"máy pha cà phê")</f>
        <v>máy pha cà phê</v>
      </c>
      <c r="G384" s="3" t="s">
        <v>757</v>
      </c>
    </row>
    <row r="385">
      <c r="A385" s="3">
        <v>6.0</v>
      </c>
      <c r="B385" s="3" t="s">
        <v>758</v>
      </c>
      <c r="C385" s="3" t="str">
        <f t="shared" si="1"/>
        <v>53 </v>
      </c>
      <c r="D385" s="3" t="str">
        <f t="shared" si="2"/>
        <v>floor</v>
      </c>
      <c r="E385" s="2" t="s">
        <v>8</v>
      </c>
      <c r="F385" s="3" t="str">
        <f>IFERROR(__xludf.DUMMYFUNCTION("GOOGLETRANSLATE(D385,$D$1,$F$1)"),"sàn nhà")</f>
        <v>sàn nhà</v>
      </c>
      <c r="G385" s="3" t="s">
        <v>759</v>
      </c>
    </row>
    <row r="386">
      <c r="A386" s="3">
        <v>6.0</v>
      </c>
      <c r="B386" s="3" t="s">
        <v>760</v>
      </c>
      <c r="C386" s="3" t="str">
        <f t="shared" si="1"/>
        <v>53 </v>
      </c>
      <c r="D386" s="3" t="str">
        <f t="shared" si="2"/>
        <v>try</v>
      </c>
      <c r="E386" s="2" t="s">
        <v>8</v>
      </c>
      <c r="F386" s="3" t="str">
        <f>IFERROR(__xludf.DUMMYFUNCTION("GOOGLETRANSLATE(D386,$D$1,$F$1)"),"thử")</f>
        <v>thử</v>
      </c>
      <c r="G386" s="3" t="s">
        <v>761</v>
      </c>
    </row>
    <row r="387">
      <c r="A387" s="3">
        <v>6.0</v>
      </c>
      <c r="B387" s="3" t="s">
        <v>762</v>
      </c>
      <c r="C387" s="3" t="str">
        <f t="shared" si="1"/>
        <v>54 </v>
      </c>
      <c r="D387" s="3" t="str">
        <f t="shared" si="2"/>
        <v>carrot</v>
      </c>
      <c r="E387" s="2" t="s">
        <v>8</v>
      </c>
      <c r="F387" s="3" t="str">
        <f>IFERROR(__xludf.DUMMYFUNCTION("GOOGLETRANSLATE(D387,$D$1,$F$1)"),"cà rốt")</f>
        <v>cà rốt</v>
      </c>
      <c r="G387" s="3" t="s">
        <v>763</v>
      </c>
    </row>
    <row r="388">
      <c r="A388" s="3">
        <v>6.0</v>
      </c>
      <c r="B388" s="3" t="s">
        <v>764</v>
      </c>
      <c r="C388" s="3" t="str">
        <f t="shared" si="1"/>
        <v>54 </v>
      </c>
      <c r="D388" s="3" t="str">
        <f t="shared" si="2"/>
        <v>chocolate</v>
      </c>
      <c r="E388" s="2" t="s">
        <v>8</v>
      </c>
      <c r="F388" s="3" t="str">
        <f>IFERROR(__xludf.DUMMYFUNCTION("GOOGLETRANSLATE(D388,$D$1,$F$1)"),"sô cô la")</f>
        <v>sô cô la</v>
      </c>
      <c r="G388" s="3" t="s">
        <v>765</v>
      </c>
    </row>
    <row r="389">
      <c r="A389" s="3">
        <v>6.0</v>
      </c>
      <c r="B389" s="3" t="s">
        <v>766</v>
      </c>
      <c r="C389" s="3" t="str">
        <f t="shared" si="1"/>
        <v>54 </v>
      </c>
      <c r="D389" s="3" t="str">
        <f t="shared" si="2"/>
        <v>vegetable</v>
      </c>
      <c r="E389" s="2" t="s">
        <v>8</v>
      </c>
      <c r="F389" s="3" t="str">
        <f>IFERROR(__xludf.DUMMYFUNCTION("GOOGLETRANSLATE(D389,$D$1,$F$1)"),"rau")</f>
        <v>rau</v>
      </c>
      <c r="G389" s="3" t="s">
        <v>767</v>
      </c>
    </row>
    <row r="390">
      <c r="A390" s="3">
        <v>6.0</v>
      </c>
      <c r="B390" s="3" t="s">
        <v>768</v>
      </c>
      <c r="C390" s="3" t="str">
        <f t="shared" si="1"/>
        <v>54 </v>
      </c>
      <c r="D390" s="3" t="str">
        <f t="shared" si="2"/>
        <v>grilled</v>
      </c>
      <c r="E390" s="2" t="s">
        <v>8</v>
      </c>
      <c r="F390" s="3" t="str">
        <f>IFERROR(__xludf.DUMMYFUNCTION("GOOGLETRANSLATE(D390,$D$1,$F$1)"),"nướng")</f>
        <v>nướng</v>
      </c>
      <c r="G390" s="3" t="s">
        <v>769</v>
      </c>
    </row>
    <row r="391">
      <c r="A391" s="3">
        <v>6.0</v>
      </c>
      <c r="B391" s="3" t="s">
        <v>770</v>
      </c>
      <c r="C391" s="3" t="str">
        <f t="shared" si="1"/>
        <v>54 </v>
      </c>
      <c r="D391" s="3" t="str">
        <f t="shared" si="2"/>
        <v>fish</v>
      </c>
      <c r="E391" s="2" t="s">
        <v>8</v>
      </c>
      <c r="F391" s="3" t="str">
        <f>IFERROR(__xludf.DUMMYFUNCTION("GOOGLETRANSLATE(D391,$D$1,$F$1)"),"cá")</f>
        <v>cá</v>
      </c>
      <c r="G391" s="3" t="s">
        <v>771</v>
      </c>
    </row>
    <row r="392">
      <c r="A392" s="3">
        <v>6.0</v>
      </c>
      <c r="B392" s="3" t="s">
        <v>772</v>
      </c>
      <c r="C392" s="3" t="str">
        <f t="shared" si="1"/>
        <v>54 </v>
      </c>
      <c r="D392" s="3" t="str">
        <f t="shared" si="2"/>
        <v>lemon</v>
      </c>
      <c r="E392" s="2" t="s">
        <v>8</v>
      </c>
      <c r="F392" s="3" t="str">
        <f>IFERROR(__xludf.DUMMYFUNCTION("GOOGLETRANSLATE(D392,$D$1,$F$1)"),"Chanh")</f>
        <v>Chanh</v>
      </c>
      <c r="G392" s="3" t="s">
        <v>773</v>
      </c>
    </row>
    <row r="393">
      <c r="A393" s="3">
        <v>6.0</v>
      </c>
      <c r="B393" s="3" t="s">
        <v>774</v>
      </c>
      <c r="C393" s="3" t="str">
        <f t="shared" si="1"/>
        <v>54 </v>
      </c>
      <c r="D393" s="3" t="str">
        <f t="shared" si="2"/>
        <v>melon</v>
      </c>
      <c r="E393" s="2" t="s">
        <v>8</v>
      </c>
      <c r="F393" s="3" t="str">
        <f>IFERROR(__xludf.DUMMYFUNCTION("GOOGLETRANSLATE(D393,$D$1,$F$1)"),"dưa gang")</f>
        <v>dưa gang</v>
      </c>
      <c r="G393" s="3" t="s">
        <v>775</v>
      </c>
    </row>
    <row r="394">
      <c r="A394" s="3">
        <v>6.0</v>
      </c>
      <c r="B394" s="3" t="s">
        <v>776</v>
      </c>
      <c r="C394" s="3" t="str">
        <f t="shared" si="1"/>
        <v>54 </v>
      </c>
      <c r="D394" s="3" t="str">
        <f t="shared" si="2"/>
        <v>noodles</v>
      </c>
      <c r="E394" s="2" t="s">
        <v>8</v>
      </c>
      <c r="F394" s="3" t="str">
        <f>IFERROR(__xludf.DUMMYFUNCTION("GOOGLETRANSLATE(D394,$D$1,$F$1)"),"mì")</f>
        <v>mì</v>
      </c>
      <c r="G394" s="3" t="s">
        <v>777</v>
      </c>
    </row>
    <row r="395">
      <c r="A395" s="3">
        <v>6.0</v>
      </c>
      <c r="B395" s="3" t="s">
        <v>778</v>
      </c>
      <c r="C395" s="3" t="str">
        <f t="shared" si="1"/>
        <v>54 </v>
      </c>
      <c r="D395" s="3" t="str">
        <f t="shared" si="2"/>
        <v>nut</v>
      </c>
      <c r="E395" s="2" t="s">
        <v>8</v>
      </c>
      <c r="F395" s="3" t="str">
        <f>IFERROR(__xludf.DUMMYFUNCTION("GOOGLETRANSLATE(D395,$D$1,$F$1)"),"hạt")</f>
        <v>hạt</v>
      </c>
      <c r="G395" s="3" t="s">
        <v>779</v>
      </c>
    </row>
    <row r="396">
      <c r="A396" s="3">
        <v>6.0</v>
      </c>
      <c r="B396" s="3" t="s">
        <v>780</v>
      </c>
      <c r="C396" s="3" t="str">
        <f t="shared" si="1"/>
        <v>54 </v>
      </c>
      <c r="D396" s="3" t="str">
        <f t="shared" si="2"/>
        <v>pasta</v>
      </c>
      <c r="E396" s="2" t="s">
        <v>8</v>
      </c>
      <c r="F396" s="3" t="str">
        <f>IFERROR(__xludf.DUMMYFUNCTION("GOOGLETRANSLATE(D396,$D$1,$F$1)"),"mỳ ống")</f>
        <v>mỳ ống</v>
      </c>
      <c r="G396" s="3" t="s">
        <v>781</v>
      </c>
    </row>
    <row r="397">
      <c r="A397" s="3">
        <v>6.0</v>
      </c>
      <c r="B397" s="3" t="s">
        <v>782</v>
      </c>
      <c r="C397" s="3" t="str">
        <f t="shared" si="1"/>
        <v>54 </v>
      </c>
      <c r="D397" s="3" t="str">
        <f t="shared" si="2"/>
        <v>rice</v>
      </c>
      <c r="E397" s="2" t="s">
        <v>8</v>
      </c>
      <c r="F397" s="3" t="str">
        <f>IFERROR(__xludf.DUMMYFUNCTION("GOOGLETRANSLATE(D397,$D$1,$F$1)"),"cơm")</f>
        <v>cơm</v>
      </c>
      <c r="G397" s="3" t="s">
        <v>783</v>
      </c>
    </row>
    <row r="398">
      <c r="A398" s="3">
        <v>6.0</v>
      </c>
      <c r="B398" s="3" t="s">
        <v>784</v>
      </c>
      <c r="C398" s="3" t="str">
        <f t="shared" si="1"/>
        <v>54 </v>
      </c>
      <c r="D398" s="3" t="str">
        <f t="shared" si="2"/>
        <v>vitamin</v>
      </c>
      <c r="E398" s="2" t="s">
        <v>8</v>
      </c>
      <c r="F398" s="3" t="str">
        <f>IFERROR(__xludf.DUMMYFUNCTION("GOOGLETRANSLATE(D398,$D$1,$F$1)"),"vitamin")</f>
        <v>vitamin</v>
      </c>
      <c r="G398" s="3" t="s">
        <v>785</v>
      </c>
    </row>
    <row r="399">
      <c r="A399" s="3">
        <v>6.0</v>
      </c>
      <c r="B399" s="3" t="s">
        <v>786</v>
      </c>
      <c r="C399" s="3" t="str">
        <f t="shared" si="1"/>
        <v>54 </v>
      </c>
      <c r="D399" s="3" t="str">
        <f t="shared" si="2"/>
        <v>mineral</v>
      </c>
      <c r="E399" s="2" t="s">
        <v>8</v>
      </c>
      <c r="F399" s="3" t="str">
        <f>IFERROR(__xludf.DUMMYFUNCTION("GOOGLETRANSLATE(D399,$D$1,$F$1)"),"khoáng sản")</f>
        <v>khoáng sản</v>
      </c>
      <c r="G399" s="3" t="s">
        <v>787</v>
      </c>
    </row>
    <row r="400">
      <c r="A400" s="3">
        <v>6.0</v>
      </c>
      <c r="B400" s="3" t="s">
        <v>788</v>
      </c>
      <c r="C400" s="3" t="str">
        <f t="shared" si="1"/>
        <v>54 </v>
      </c>
      <c r="D400" s="3" t="str">
        <f t="shared" si="2"/>
        <v>protein</v>
      </c>
      <c r="E400" s="2" t="s">
        <v>8</v>
      </c>
      <c r="F400" s="3" t="str">
        <f>IFERROR(__xludf.DUMMYFUNCTION("GOOGLETRANSLATE(D400,$D$1,$F$1)"),"chất đạm")</f>
        <v>chất đạm</v>
      </c>
      <c r="G400" s="3" t="s">
        <v>789</v>
      </c>
    </row>
    <row r="401">
      <c r="A401" s="3">
        <v>6.0</v>
      </c>
      <c r="B401" s="3" t="s">
        <v>790</v>
      </c>
      <c r="C401" s="3" t="str">
        <f t="shared" si="1"/>
        <v>54 </v>
      </c>
      <c r="D401" s="3" t="str">
        <f t="shared" si="2"/>
        <v>calories</v>
      </c>
      <c r="E401" s="2" t="s">
        <v>8</v>
      </c>
      <c r="F401" s="3" t="str">
        <f>IFERROR(__xludf.DUMMYFUNCTION("GOOGLETRANSLATE(D401,$D$1,$F$1)"),"calo")</f>
        <v>calo</v>
      </c>
      <c r="G401" s="3" t="s">
        <v>791</v>
      </c>
    </row>
    <row r="402">
      <c r="A402" s="3">
        <v>6.0</v>
      </c>
      <c r="B402" s="3" t="s">
        <v>792</v>
      </c>
      <c r="C402" s="3" t="str">
        <f t="shared" si="1"/>
        <v>54 </v>
      </c>
      <c r="D402" s="3" t="str">
        <f t="shared" si="2"/>
        <v>healthy</v>
      </c>
      <c r="E402" s="2" t="s">
        <v>8</v>
      </c>
      <c r="F402" s="3" t="str">
        <f>IFERROR(__xludf.DUMMYFUNCTION("GOOGLETRANSLATE(D402,$D$1,$F$1)"),"khỏe mạnh")</f>
        <v>khỏe mạnh</v>
      </c>
      <c r="G402" s="3" t="s">
        <v>793</v>
      </c>
    </row>
    <row r="403">
      <c r="A403" s="3">
        <v>6.0</v>
      </c>
      <c r="B403" s="3" t="s">
        <v>794</v>
      </c>
      <c r="C403" s="3" t="str">
        <f t="shared" si="1"/>
        <v>54 </v>
      </c>
      <c r="D403" s="3" t="str">
        <f t="shared" si="2"/>
        <v>unhealthy</v>
      </c>
      <c r="E403" s="2" t="s">
        <v>8</v>
      </c>
      <c r="F403" s="3" t="str">
        <f>IFERROR(__xludf.DUMMYFUNCTION("GOOGLETRANSLATE(D403,$D$1,$F$1)"),"không khỏe mạnh")</f>
        <v>không khỏe mạnh</v>
      </c>
      <c r="G403" s="3" t="s">
        <v>795</v>
      </c>
    </row>
    <row r="404">
      <c r="A404" s="3">
        <v>6.0</v>
      </c>
      <c r="B404" s="3" t="s">
        <v>796</v>
      </c>
      <c r="C404" s="3" t="str">
        <f t="shared" si="1"/>
        <v>54 </v>
      </c>
      <c r="D404" s="3" t="str">
        <f t="shared" si="2"/>
        <v>vegetarian</v>
      </c>
      <c r="E404" s="2" t="s">
        <v>8</v>
      </c>
      <c r="F404" s="3" t="str">
        <f>IFERROR(__xludf.DUMMYFUNCTION("GOOGLETRANSLATE(D404,$D$1,$F$1)"),"ăn chay")</f>
        <v>ăn chay</v>
      </c>
      <c r="G404" s="3" t="s">
        <v>797</v>
      </c>
    </row>
    <row r="405">
      <c r="A405" s="3">
        <v>6.0</v>
      </c>
      <c r="B405" s="3" t="s">
        <v>798</v>
      </c>
      <c r="C405" s="3" t="str">
        <f t="shared" si="1"/>
        <v>54 </v>
      </c>
      <c r="D405" s="3" t="str">
        <f t="shared" si="2"/>
        <v>dark</v>
      </c>
      <c r="E405" s="2" t="s">
        <v>8</v>
      </c>
      <c r="F405" s="3" t="str">
        <f>IFERROR(__xludf.DUMMYFUNCTION("GOOGLETRANSLATE(D405,$D$1,$F$1)"),"tối")</f>
        <v>tối</v>
      </c>
      <c r="G405" s="3" t="s">
        <v>799</v>
      </c>
    </row>
    <row r="406">
      <c r="A406" s="3">
        <v>6.0</v>
      </c>
      <c r="B406" s="3" t="s">
        <v>800</v>
      </c>
      <c r="C406" s="3" t="str">
        <f t="shared" si="1"/>
        <v>54 </v>
      </c>
      <c r="D406" s="3" t="str">
        <f t="shared" si="2"/>
        <v>fact</v>
      </c>
      <c r="E406" s="2" t="s">
        <v>8</v>
      </c>
      <c r="F406" s="3" t="str">
        <f>IFERROR(__xludf.DUMMYFUNCTION("GOOGLETRANSLATE(D406,$D$1,$F$1)"),"thực tế")</f>
        <v>thực tế</v>
      </c>
      <c r="G406" s="3" t="s">
        <v>801</v>
      </c>
    </row>
    <row r="407">
      <c r="A407" s="3">
        <v>6.0</v>
      </c>
      <c r="B407" s="3" t="s">
        <v>802</v>
      </c>
      <c r="C407" s="3" t="str">
        <f t="shared" si="1"/>
        <v>54 </v>
      </c>
      <c r="D407" s="3" t="str">
        <f t="shared" si="2"/>
        <v>myth</v>
      </c>
      <c r="E407" s="2" t="s">
        <v>8</v>
      </c>
      <c r="F407" s="3" t="str">
        <f>IFERROR(__xludf.DUMMYFUNCTION("GOOGLETRANSLATE(D407,$D$1,$F$1)"),"chuyện thần thoại")</f>
        <v>chuyện thần thoại</v>
      </c>
      <c r="G407" s="3" t="s">
        <v>803</v>
      </c>
    </row>
    <row r="408">
      <c r="A408" s="3">
        <v>6.0</v>
      </c>
      <c r="B408" s="3" t="s">
        <v>804</v>
      </c>
      <c r="C408" s="3" t="str">
        <f t="shared" si="1"/>
        <v>54 </v>
      </c>
      <c r="D408" s="3" t="str">
        <f t="shared" si="2"/>
        <v>natural</v>
      </c>
      <c r="E408" s="2" t="s">
        <v>8</v>
      </c>
      <c r="F408" s="3" t="str">
        <f>IFERROR(__xludf.DUMMYFUNCTION("GOOGLETRANSLATE(D408,$D$1,$F$1)"),"tự nhiên")</f>
        <v>tự nhiên</v>
      </c>
      <c r="G408" s="3" t="s">
        <v>805</v>
      </c>
    </row>
    <row r="409">
      <c r="A409" s="3">
        <v>6.0</v>
      </c>
      <c r="B409" s="3" t="s">
        <v>806</v>
      </c>
      <c r="C409" s="3" t="str">
        <f t="shared" si="1"/>
        <v>54 </v>
      </c>
      <c r="D409" s="3" t="str">
        <f t="shared" si="2"/>
        <v>fruit juice</v>
      </c>
      <c r="E409" s="2" t="s">
        <v>8</v>
      </c>
      <c r="F409" s="3" t="str">
        <f>IFERROR(__xludf.DUMMYFUNCTION("GOOGLETRANSLATE(D409,$D$1,$F$1)"),"Nước hoa quả")</f>
        <v>Nước hoa quả</v>
      </c>
      <c r="G409" s="3" t="s">
        <v>807</v>
      </c>
    </row>
    <row r="410">
      <c r="A410" s="3">
        <v>6.0</v>
      </c>
      <c r="B410" s="3" t="s">
        <v>808</v>
      </c>
      <c r="C410" s="3" t="str">
        <f t="shared" si="1"/>
        <v>54 </v>
      </c>
      <c r="D410" s="3" t="str">
        <f t="shared" si="2"/>
        <v>teeth</v>
      </c>
      <c r="E410" s="2" t="s">
        <v>8</v>
      </c>
      <c r="F410" s="3" t="str">
        <f>IFERROR(__xludf.DUMMYFUNCTION("GOOGLETRANSLATE(D410,$D$1,$F$1)"),"hàm răng")</f>
        <v>hàm răng</v>
      </c>
      <c r="G410" s="3" t="s">
        <v>245</v>
      </c>
    </row>
    <row r="411">
      <c r="A411" s="3">
        <v>6.0</v>
      </c>
      <c r="B411" s="3" t="s">
        <v>809</v>
      </c>
      <c r="C411" s="3" t="str">
        <f t="shared" si="1"/>
        <v>54 </v>
      </c>
      <c r="D411" s="3" t="str">
        <f t="shared" si="2"/>
        <v>between</v>
      </c>
      <c r="E411" s="2" t="s">
        <v>8</v>
      </c>
      <c r="F411" s="3" t="str">
        <f>IFERROR(__xludf.DUMMYFUNCTION("GOOGLETRANSLATE(D411,$D$1,$F$1)"),"giữa")</f>
        <v>giữa</v>
      </c>
      <c r="G411" s="3" t="s">
        <v>810</v>
      </c>
    </row>
    <row r="412">
      <c r="A412" s="3">
        <v>6.0</v>
      </c>
      <c r="B412" s="3" t="s">
        <v>811</v>
      </c>
      <c r="C412" s="3" t="str">
        <f t="shared" si="1"/>
        <v>54 </v>
      </c>
      <c r="D412" s="3" t="str">
        <f t="shared" si="2"/>
        <v>instead</v>
      </c>
      <c r="E412" s="2" t="s">
        <v>8</v>
      </c>
      <c r="F412" s="3" t="str">
        <f>IFERROR(__xludf.DUMMYFUNCTION("GOOGLETRANSLATE(D412,$D$1,$F$1)"),"thay thế")</f>
        <v>thay thế</v>
      </c>
      <c r="G412" s="3" t="s">
        <v>812</v>
      </c>
    </row>
    <row r="413">
      <c r="A413" s="3">
        <v>6.0</v>
      </c>
      <c r="B413" s="3" t="s">
        <v>813</v>
      </c>
      <c r="C413" s="3" t="str">
        <f t="shared" si="1"/>
        <v>54 </v>
      </c>
      <c r="D413" s="3" t="str">
        <f t="shared" si="2"/>
        <v>up to</v>
      </c>
      <c r="E413" s="2" t="s">
        <v>8</v>
      </c>
      <c r="F413" s="3" t="str">
        <f>IFERROR(__xludf.DUMMYFUNCTION("GOOGLETRANSLATE(D413,$D$1,$F$1)"),"lên đến")</f>
        <v>lên đến</v>
      </c>
      <c r="G413" s="3" t="s">
        <v>814</v>
      </c>
    </row>
    <row r="414">
      <c r="A414" s="3">
        <v>6.0</v>
      </c>
      <c r="B414" s="3" t="s">
        <v>815</v>
      </c>
      <c r="C414" s="3" t="str">
        <f t="shared" si="1"/>
        <v>54 </v>
      </c>
      <c r="D414" s="3" t="str">
        <f t="shared" si="2"/>
        <v>feel</v>
      </c>
      <c r="E414" s="2" t="s">
        <v>8</v>
      </c>
      <c r="F414" s="3" t="str">
        <f>IFERROR(__xludf.DUMMYFUNCTION("GOOGLETRANSLATE(D414,$D$1,$F$1)"),"cảm thấy")</f>
        <v>cảm thấy</v>
      </c>
      <c r="G414" s="3" t="s">
        <v>816</v>
      </c>
    </row>
    <row r="415">
      <c r="A415" s="3">
        <v>6.0</v>
      </c>
      <c r="B415" s="3" t="s">
        <v>817</v>
      </c>
      <c r="C415" s="3" t="str">
        <f t="shared" si="1"/>
        <v>54 </v>
      </c>
      <c r="D415" s="3" t="str">
        <f t="shared" si="2"/>
        <v>hungry</v>
      </c>
      <c r="E415" s="2" t="s">
        <v>8</v>
      </c>
      <c r="F415" s="3" t="str">
        <f>IFERROR(__xludf.DUMMYFUNCTION("GOOGLETRANSLATE(D415,$D$1,$F$1)"),"đói bụng")</f>
        <v>đói bụng</v>
      </c>
      <c r="G415" s="3" t="s">
        <v>818</v>
      </c>
    </row>
    <row r="416">
      <c r="A416" s="3">
        <v>6.0</v>
      </c>
      <c r="B416" s="3" t="s">
        <v>819</v>
      </c>
      <c r="C416" s="3" t="str">
        <f t="shared" si="1"/>
        <v>54 </v>
      </c>
      <c r="D416" s="3" t="str">
        <f t="shared" si="2"/>
        <v>sugary</v>
      </c>
      <c r="E416" s="2" t="s">
        <v>8</v>
      </c>
      <c r="F416" s="3" t="str">
        <f>IFERROR(__xludf.DUMMYFUNCTION("GOOGLETRANSLATE(D416,$D$1,$F$1)"),"có vị ngọt")</f>
        <v>có vị ngọt</v>
      </c>
      <c r="G416" s="3" t="s">
        <v>820</v>
      </c>
    </row>
    <row r="417">
      <c r="A417" s="3">
        <v>6.0</v>
      </c>
      <c r="B417" s="3" t="s">
        <v>821</v>
      </c>
      <c r="C417" s="3" t="str">
        <f t="shared" si="1"/>
        <v>54 </v>
      </c>
      <c r="D417" s="3" t="str">
        <f t="shared" si="2"/>
        <v>tired</v>
      </c>
      <c r="E417" s="2" t="s">
        <v>8</v>
      </c>
      <c r="F417" s="3" t="str">
        <f>IFERROR(__xludf.DUMMYFUNCTION("GOOGLETRANSLATE(D417,$D$1,$F$1)"),"mệt mỏi")</f>
        <v>mệt mỏi</v>
      </c>
      <c r="G417" s="3" t="s">
        <v>822</v>
      </c>
    </row>
    <row r="418">
      <c r="A418" s="3">
        <v>6.0</v>
      </c>
      <c r="B418" s="3" t="s">
        <v>823</v>
      </c>
      <c r="C418" s="3" t="str">
        <f t="shared" si="1"/>
        <v>54 </v>
      </c>
      <c r="D418" s="3" t="str">
        <f t="shared" si="2"/>
        <v>cup</v>
      </c>
      <c r="E418" s="2" t="s">
        <v>8</v>
      </c>
      <c r="F418" s="3" t="str">
        <f>IFERROR(__xludf.DUMMYFUNCTION("GOOGLETRANSLATE(D418,$D$1,$F$1)"),"tách")</f>
        <v>tách</v>
      </c>
      <c r="G418" s="3" t="s">
        <v>824</v>
      </c>
    </row>
    <row r="419">
      <c r="A419" s="3">
        <v>6.0</v>
      </c>
      <c r="B419" s="3" t="s">
        <v>825</v>
      </c>
      <c r="C419" s="3" t="str">
        <f t="shared" si="1"/>
        <v>54 </v>
      </c>
      <c r="D419" s="3" t="str">
        <f t="shared" si="2"/>
        <v>generally</v>
      </c>
      <c r="E419" s="2" t="s">
        <v>8</v>
      </c>
      <c r="F419" s="3" t="str">
        <f>IFERROR(__xludf.DUMMYFUNCTION("GOOGLETRANSLATE(D419,$D$1,$F$1)"),"nói chung là")</f>
        <v>nói chung là</v>
      </c>
      <c r="G419" s="3" t="s">
        <v>826</v>
      </c>
    </row>
    <row r="420">
      <c r="A420" s="3">
        <v>6.0</v>
      </c>
      <c r="B420" s="3" t="s">
        <v>827</v>
      </c>
      <c r="C420" s="3" t="str">
        <f t="shared" si="1"/>
        <v>54 </v>
      </c>
      <c r="D420" s="3" t="str">
        <f t="shared" si="2"/>
        <v>put</v>
      </c>
      <c r="E420" s="2" t="s">
        <v>8</v>
      </c>
      <c r="F420" s="3" t="str">
        <f>IFERROR(__xludf.DUMMYFUNCTION("GOOGLETRANSLATE(D420,$D$1,$F$1)"),"đặt")</f>
        <v>đặt</v>
      </c>
      <c r="G420" s="3" t="s">
        <v>828</v>
      </c>
    </row>
    <row r="421">
      <c r="A421" s="3">
        <v>6.0</v>
      </c>
      <c r="B421" s="3" t="s">
        <v>829</v>
      </c>
      <c r="C421" s="3" t="str">
        <f t="shared" si="1"/>
        <v>54 </v>
      </c>
      <c r="D421" s="3" t="str">
        <f t="shared" si="2"/>
        <v>especially</v>
      </c>
      <c r="E421" s="2" t="s">
        <v>8</v>
      </c>
      <c r="F421" s="3" t="str">
        <f>IFERROR(__xludf.DUMMYFUNCTION("GOOGLETRANSLATE(D421,$D$1,$F$1)"),"đặc biệt")</f>
        <v>đặc biệt</v>
      </c>
      <c r="G421" s="3" t="s">
        <v>830</v>
      </c>
    </row>
    <row r="422">
      <c r="A422" s="3">
        <v>6.0</v>
      </c>
      <c r="B422" s="3" t="s">
        <v>831</v>
      </c>
      <c r="C422" s="3" t="str">
        <f t="shared" si="1"/>
        <v>54 </v>
      </c>
      <c r="D422" s="3" t="str">
        <f t="shared" si="2"/>
        <v>dish</v>
      </c>
      <c r="E422" s="2" t="s">
        <v>8</v>
      </c>
      <c r="F422" s="3" t="str">
        <f>IFERROR(__xludf.DUMMYFUNCTION("GOOGLETRANSLATE(D422,$D$1,$F$1)"),"món ăn")</f>
        <v>món ăn</v>
      </c>
      <c r="G422" s="3" t="s">
        <v>832</v>
      </c>
    </row>
    <row r="423">
      <c r="A423" s="3">
        <v>6.0</v>
      </c>
      <c r="B423" s="3" t="s">
        <v>833</v>
      </c>
      <c r="C423" s="3" t="str">
        <f t="shared" si="1"/>
        <v>54 </v>
      </c>
      <c r="D423" s="3" t="str">
        <f t="shared" si="2"/>
        <v>contain</v>
      </c>
      <c r="E423" s="2" t="s">
        <v>8</v>
      </c>
      <c r="F423" s="3" t="str">
        <f>IFERROR(__xludf.DUMMYFUNCTION("GOOGLETRANSLATE(D423,$D$1,$F$1)"),"Lưu trữ")</f>
        <v>Lưu trữ</v>
      </c>
      <c r="G423" s="3" t="s">
        <v>834</v>
      </c>
    </row>
    <row r="424">
      <c r="A424" s="3">
        <v>6.0</v>
      </c>
      <c r="B424" s="3" t="s">
        <v>835</v>
      </c>
      <c r="C424" s="3" t="str">
        <f t="shared" si="1"/>
        <v>54 </v>
      </c>
      <c r="D424" s="3" t="str">
        <f t="shared" si="2"/>
        <v>oil</v>
      </c>
      <c r="E424" s="2" t="s">
        <v>8</v>
      </c>
      <c r="F424" s="3" t="str">
        <f>IFERROR(__xludf.DUMMYFUNCTION("GOOGLETRANSLATE(D424,$D$1,$F$1)"),"dầu")</f>
        <v>dầu</v>
      </c>
      <c r="G424" s="3" t="s">
        <v>836</v>
      </c>
    </row>
    <row r="425">
      <c r="A425" s="3">
        <v>6.0</v>
      </c>
      <c r="B425" s="3" t="s">
        <v>837</v>
      </c>
      <c r="C425" s="3" t="str">
        <f t="shared" si="1"/>
        <v>54 </v>
      </c>
      <c r="D425" s="3" t="str">
        <f t="shared" si="2"/>
        <v>fattening</v>
      </c>
      <c r="E425" s="2" t="s">
        <v>8</v>
      </c>
      <c r="F425" s="3" t="str">
        <f>IFERROR(__xludf.DUMMYFUNCTION("GOOGLETRANSLATE(D425,$D$1,$F$1)"),"làm thành tốt")</f>
        <v>làm thành tốt</v>
      </c>
      <c r="G425" s="3" t="s">
        <v>838</v>
      </c>
    </row>
    <row r="426">
      <c r="A426" s="3">
        <v>6.0</v>
      </c>
      <c r="B426" s="3" t="s">
        <v>839</v>
      </c>
      <c r="C426" s="3" t="str">
        <f t="shared" si="1"/>
        <v>54 </v>
      </c>
      <c r="D426" s="3" t="str">
        <f t="shared" si="2"/>
        <v>portion</v>
      </c>
      <c r="E426" s="2" t="s">
        <v>8</v>
      </c>
      <c r="F426" s="3" t="str">
        <f>IFERROR(__xludf.DUMMYFUNCTION("GOOGLETRANSLATE(D426,$D$1,$F$1)"),"phần")</f>
        <v>phần</v>
      </c>
      <c r="G426" s="3" t="s">
        <v>840</v>
      </c>
    </row>
    <row r="427">
      <c r="A427" s="3">
        <v>6.0</v>
      </c>
      <c r="B427" s="3" t="s">
        <v>841</v>
      </c>
      <c r="C427" s="3" t="str">
        <f t="shared" si="1"/>
        <v>54 </v>
      </c>
      <c r="D427" s="3" t="str">
        <f t="shared" si="2"/>
        <v>need</v>
      </c>
      <c r="E427" s="2" t="s">
        <v>8</v>
      </c>
      <c r="F427" s="3" t="str">
        <f>IFERROR(__xludf.DUMMYFUNCTION("GOOGLETRANSLATE(D427,$D$1,$F$1)"),"nhu cầu")</f>
        <v>nhu cầu</v>
      </c>
      <c r="G427" s="3" t="s">
        <v>842</v>
      </c>
    </row>
    <row r="428">
      <c r="A428" s="3">
        <v>6.0</v>
      </c>
      <c r="B428" s="3" t="s">
        <v>843</v>
      </c>
      <c r="C428" s="3" t="str">
        <f t="shared" si="1"/>
        <v>54 </v>
      </c>
      <c r="D428" s="3" t="str">
        <f t="shared" si="2"/>
        <v>diet</v>
      </c>
      <c r="E428" s="2" t="s">
        <v>8</v>
      </c>
      <c r="F428" s="3" t="str">
        <f>IFERROR(__xludf.DUMMYFUNCTION("GOOGLETRANSLATE(D428,$D$1,$F$1)"),"chế độ ăn")</f>
        <v>chế độ ăn</v>
      </c>
      <c r="G428" s="3" t="s">
        <v>844</v>
      </c>
    </row>
    <row r="429">
      <c r="A429" s="3">
        <v>6.0</v>
      </c>
      <c r="B429" s="3" t="s">
        <v>845</v>
      </c>
      <c r="C429" s="3" t="str">
        <f t="shared" si="1"/>
        <v>54 </v>
      </c>
      <c r="D429" s="3" t="str">
        <f t="shared" si="2"/>
        <v>for example</v>
      </c>
      <c r="E429" s="2" t="s">
        <v>8</v>
      </c>
      <c r="F429" s="3" t="str">
        <f>IFERROR(__xludf.DUMMYFUNCTION("GOOGLETRANSLATE(D429,$D$1,$F$1)"),"ví dụ")</f>
        <v>ví dụ</v>
      </c>
      <c r="G429" s="3" t="s">
        <v>846</v>
      </c>
    </row>
    <row r="430">
      <c r="A430" s="3">
        <v>6.0</v>
      </c>
      <c r="B430" s="3" t="s">
        <v>847</v>
      </c>
      <c r="C430" s="3" t="str">
        <f t="shared" si="1"/>
        <v>54 </v>
      </c>
      <c r="D430" s="3" t="str">
        <f t="shared" si="2"/>
        <v>balanced</v>
      </c>
      <c r="E430" s="2" t="s">
        <v>8</v>
      </c>
      <c r="F430" s="3" t="str">
        <f>IFERROR(__xludf.DUMMYFUNCTION("GOOGLETRANSLATE(D430,$D$1,$F$1)"),"cân")</f>
        <v>cân</v>
      </c>
      <c r="G430" s="3" t="s">
        <v>848</v>
      </c>
    </row>
    <row r="431">
      <c r="A431" s="3">
        <v>6.0</v>
      </c>
      <c r="B431" s="3" t="s">
        <v>849</v>
      </c>
      <c r="C431" s="3" t="str">
        <f t="shared" si="1"/>
        <v>54 </v>
      </c>
      <c r="D431" s="3" t="str">
        <f t="shared" si="2"/>
        <v>particularly</v>
      </c>
      <c r="E431" s="2" t="s">
        <v>8</v>
      </c>
      <c r="F431" s="3" t="str">
        <f>IFERROR(__xludf.DUMMYFUNCTION("GOOGLETRANSLATE(D431,$D$1,$F$1)"),"đặc biệt")</f>
        <v>đặc biệt</v>
      </c>
      <c r="G431" s="3" t="s">
        <v>850</v>
      </c>
    </row>
    <row r="432">
      <c r="A432" s="3">
        <v>6.0</v>
      </c>
      <c r="B432" s="3" t="s">
        <v>851</v>
      </c>
      <c r="C432" s="3" t="str">
        <f t="shared" si="1"/>
        <v>55 </v>
      </c>
      <c r="D432" s="3" t="str">
        <f t="shared" si="2"/>
        <v>list</v>
      </c>
      <c r="E432" s="2" t="s">
        <v>8</v>
      </c>
      <c r="F432" s="3" t="str">
        <f>IFERROR(__xludf.DUMMYFUNCTION("GOOGLETRANSLATE(D432,$D$1,$F$1)"),"danh sách")</f>
        <v>danh sách</v>
      </c>
      <c r="G432" s="3" t="s">
        <v>852</v>
      </c>
    </row>
    <row r="433">
      <c r="A433" s="3">
        <v>6.0</v>
      </c>
      <c r="B433" s="3" t="s">
        <v>853</v>
      </c>
      <c r="C433" s="3" t="str">
        <f t="shared" si="1"/>
        <v>56 </v>
      </c>
      <c r="D433" s="3" t="str">
        <f t="shared" si="2"/>
        <v>blood</v>
      </c>
      <c r="E433" s="2" t="s">
        <v>8</v>
      </c>
      <c r="F433" s="3" t="str">
        <f>IFERROR(__xludf.DUMMYFUNCTION("GOOGLETRANSLATE(D433,$D$1,$F$1)"),"máu")</f>
        <v>máu</v>
      </c>
      <c r="G433" s="3" t="s">
        <v>854</v>
      </c>
    </row>
    <row r="434">
      <c r="A434" s="3">
        <v>6.0</v>
      </c>
      <c r="B434" s="3" t="s">
        <v>855</v>
      </c>
      <c r="C434" s="3" t="str">
        <f t="shared" si="1"/>
        <v>56 </v>
      </c>
      <c r="D434" s="3" t="str">
        <f t="shared" si="2"/>
        <v>human body</v>
      </c>
      <c r="E434" s="2" t="s">
        <v>8</v>
      </c>
      <c r="F434" s="3" t="str">
        <f>IFERROR(__xludf.DUMMYFUNCTION("GOOGLETRANSLATE(D434,$D$1,$F$1)"),"cơ thể con người")</f>
        <v>cơ thể con người</v>
      </c>
      <c r="G434" s="3" t="s">
        <v>856</v>
      </c>
    </row>
    <row r="435">
      <c r="A435" s="3">
        <v>6.0</v>
      </c>
      <c r="B435" s="3" t="s">
        <v>857</v>
      </c>
      <c r="C435" s="3" t="str">
        <f t="shared" si="1"/>
        <v>56 </v>
      </c>
      <c r="D435" s="3" t="str">
        <f t="shared" si="2"/>
        <v>desert</v>
      </c>
      <c r="E435" s="2" t="s">
        <v>8</v>
      </c>
      <c r="F435" s="3" t="str">
        <f>IFERROR(__xludf.DUMMYFUNCTION("GOOGLETRANSLATE(D435,$D$1,$F$1)"),"Sa mạc")</f>
        <v>Sa mạc</v>
      </c>
      <c r="G435" s="3" t="s">
        <v>858</v>
      </c>
    </row>
    <row r="436">
      <c r="A436" s="3">
        <v>6.0</v>
      </c>
      <c r="B436" s="3" t="s">
        <v>859</v>
      </c>
      <c r="C436" s="3" t="str">
        <f t="shared" si="1"/>
        <v>56 </v>
      </c>
      <c r="D436" s="3" t="str">
        <f t="shared" si="2"/>
        <v>mile</v>
      </c>
      <c r="E436" s="2" t="s">
        <v>8</v>
      </c>
      <c r="F436" s="3" t="str">
        <f>IFERROR(__xludf.DUMMYFUNCTION("GOOGLETRANSLATE(D436,$D$1,$F$1)"),"dặm")</f>
        <v>dặm</v>
      </c>
      <c r="G436" s="3" t="s">
        <v>860</v>
      </c>
    </row>
    <row r="437">
      <c r="A437" s="3">
        <v>6.0</v>
      </c>
      <c r="B437" s="3" t="s">
        <v>861</v>
      </c>
      <c r="C437" s="3" t="str">
        <f t="shared" si="1"/>
        <v>56 </v>
      </c>
      <c r="D437" s="3" t="str">
        <f t="shared" si="2"/>
        <v>cigarette</v>
      </c>
      <c r="E437" s="2" t="s">
        <v>8</v>
      </c>
      <c r="F437" s="3" t="str">
        <f>IFERROR(__xludf.DUMMYFUNCTION("GOOGLETRANSLATE(D437,$D$1,$F$1)"),"thuốc lá")</f>
        <v>thuốc lá</v>
      </c>
      <c r="G437" s="3" t="s">
        <v>862</v>
      </c>
    </row>
    <row r="438">
      <c r="A438" s="3">
        <v>6.0</v>
      </c>
      <c r="B438" s="3" t="s">
        <v>863</v>
      </c>
      <c r="C438" s="3" t="str">
        <f t="shared" si="1"/>
        <v>56 </v>
      </c>
      <c r="D438" s="3" t="str">
        <f t="shared" si="2"/>
        <v>smoke (v)</v>
      </c>
      <c r="E438" s="2" t="s">
        <v>8</v>
      </c>
      <c r="F438" s="3" t="str">
        <f>IFERROR(__xludf.DUMMYFUNCTION("GOOGLETRANSLATE(D438,$D$1,$F$1)"),"hút thuốc (v)")</f>
        <v>hút thuốc (v)</v>
      </c>
      <c r="G438" s="3" t="s">
        <v>864</v>
      </c>
    </row>
    <row r="439">
      <c r="A439" s="3">
        <v>6.0</v>
      </c>
      <c r="B439" s="3" t="s">
        <v>865</v>
      </c>
      <c r="C439" s="3" t="str">
        <f t="shared" si="1"/>
        <v>56 </v>
      </c>
      <c r="D439" s="3" t="str">
        <f t="shared" si="2"/>
        <v>sleep</v>
      </c>
      <c r="E439" s="2" t="s">
        <v>8</v>
      </c>
      <c r="F439" s="3" t="str">
        <f>IFERROR(__xludf.DUMMYFUNCTION("GOOGLETRANSLATE(D439,$D$1,$F$1)"),"ngủ")</f>
        <v>ngủ</v>
      </c>
      <c r="G439" s="3" t="s">
        <v>19</v>
      </c>
    </row>
    <row r="440">
      <c r="A440" s="3">
        <v>6.0</v>
      </c>
      <c r="B440" s="3" t="s">
        <v>866</v>
      </c>
      <c r="C440" s="3" t="str">
        <f t="shared" si="1"/>
        <v>56 </v>
      </c>
      <c r="D440" s="3" t="str">
        <f t="shared" si="2"/>
        <v>gym</v>
      </c>
      <c r="E440" s="2" t="s">
        <v>8</v>
      </c>
      <c r="F440" s="3" t="str">
        <f>IFERROR(__xludf.DUMMYFUNCTION("GOOGLETRANSLATE(D440,$D$1,$F$1)"),"phòng thể dục")</f>
        <v>phòng thể dục</v>
      </c>
      <c r="G440" s="3" t="s">
        <v>867</v>
      </c>
    </row>
    <row r="441">
      <c r="A441" s="3">
        <v>6.0</v>
      </c>
      <c r="B441" s="3" t="s">
        <v>868</v>
      </c>
      <c r="C441" s="3" t="str">
        <f t="shared" si="1"/>
        <v>57 </v>
      </c>
      <c r="D441" s="3" t="str">
        <f t="shared" si="2"/>
        <v>soup</v>
      </c>
      <c r="E441" s="2" t="s">
        <v>8</v>
      </c>
      <c r="F441" s="3" t="str">
        <f>IFERROR(__xludf.DUMMYFUNCTION("GOOGLETRANSLATE(D441,$D$1,$F$1)"),"Súp")</f>
        <v>Súp</v>
      </c>
      <c r="G441" s="3" t="s">
        <v>869</v>
      </c>
    </row>
    <row r="442">
      <c r="A442" s="3">
        <v>6.0</v>
      </c>
      <c r="B442" s="3" t="s">
        <v>870</v>
      </c>
      <c r="C442" s="3" t="str">
        <f t="shared" si="1"/>
        <v>57 </v>
      </c>
      <c r="D442" s="3" t="str">
        <f t="shared" si="2"/>
        <v>prawn</v>
      </c>
      <c r="E442" s="2" t="s">
        <v>8</v>
      </c>
      <c r="F442" s="3" t="str">
        <f>IFERROR(__xludf.DUMMYFUNCTION("GOOGLETRANSLATE(D442,$D$1,$F$1)"),"tôm")</f>
        <v>tôm</v>
      </c>
      <c r="G442" s="3" t="s">
        <v>871</v>
      </c>
    </row>
    <row r="443">
      <c r="A443" s="3">
        <v>6.0</v>
      </c>
      <c r="B443" s="3" t="s">
        <v>872</v>
      </c>
      <c r="C443" s="3" t="str">
        <f t="shared" si="1"/>
        <v>57 </v>
      </c>
      <c r="D443" s="3" t="str">
        <f t="shared" si="2"/>
        <v>chicken</v>
      </c>
      <c r="E443" s="2" t="s">
        <v>8</v>
      </c>
      <c r="F443" s="3" t="str">
        <f>IFERROR(__xludf.DUMMYFUNCTION("GOOGLETRANSLATE(D443,$D$1,$F$1)"),"thịt gà")</f>
        <v>thịt gà</v>
      </c>
      <c r="G443" s="3" t="s">
        <v>873</v>
      </c>
    </row>
    <row r="444">
      <c r="A444" s="3">
        <v>6.0</v>
      </c>
      <c r="B444" s="3" t="s">
        <v>874</v>
      </c>
      <c r="C444" s="3" t="str">
        <f t="shared" si="1"/>
        <v>57 </v>
      </c>
      <c r="D444" s="3" t="str">
        <f t="shared" si="2"/>
        <v>plate</v>
      </c>
      <c r="E444" s="2" t="s">
        <v>8</v>
      </c>
      <c r="F444" s="3" t="str">
        <f>IFERROR(__xludf.DUMMYFUNCTION("GOOGLETRANSLATE(D444,$D$1,$F$1)"),"đĩa")</f>
        <v>đĩa</v>
      </c>
      <c r="G444" s="3" t="s">
        <v>875</v>
      </c>
    </row>
    <row r="445">
      <c r="A445" s="3">
        <v>6.0</v>
      </c>
      <c r="B445" s="3" t="s">
        <v>876</v>
      </c>
      <c r="C445" s="3" t="str">
        <f t="shared" si="1"/>
        <v>57 </v>
      </c>
      <c r="D445" s="3" t="str">
        <f t="shared" si="2"/>
        <v>knife</v>
      </c>
      <c r="E445" s="2" t="s">
        <v>8</v>
      </c>
      <c r="F445" s="3" t="str">
        <f>IFERROR(__xludf.DUMMYFUNCTION("GOOGLETRANSLATE(D445,$D$1,$F$1)"),"dao")</f>
        <v>dao</v>
      </c>
      <c r="G445" s="3" t="s">
        <v>877</v>
      </c>
    </row>
    <row r="446">
      <c r="A446" s="3">
        <v>6.0</v>
      </c>
      <c r="B446" s="3" t="s">
        <v>878</v>
      </c>
      <c r="C446" s="3" t="str">
        <f t="shared" si="1"/>
        <v>57 </v>
      </c>
      <c r="D446" s="3" t="str">
        <f t="shared" si="2"/>
        <v>fork</v>
      </c>
      <c r="E446" s="2" t="s">
        <v>8</v>
      </c>
      <c r="F446" s="3" t="str">
        <f>IFERROR(__xludf.DUMMYFUNCTION("GOOGLETRANSLATE(D446,$D$1,$F$1)"),"cái nĩa")</f>
        <v>cái nĩa</v>
      </c>
      <c r="G446" s="3" t="s">
        <v>879</v>
      </c>
    </row>
    <row r="447">
      <c r="A447" s="3">
        <v>6.0</v>
      </c>
      <c r="B447" s="3" t="s">
        <v>880</v>
      </c>
      <c r="C447" s="3" t="str">
        <f t="shared" si="1"/>
        <v>57 </v>
      </c>
      <c r="D447" s="3" t="str">
        <f t="shared" si="2"/>
        <v>sunglasses</v>
      </c>
      <c r="E447" s="2" t="s">
        <v>8</v>
      </c>
      <c r="F447" s="3" t="str">
        <f>IFERROR(__xludf.DUMMYFUNCTION("GOOGLETRANSLATE(D447,$D$1,$F$1)"),"kính râm")</f>
        <v>kính râm</v>
      </c>
      <c r="G447" s="3" t="s">
        <v>881</v>
      </c>
    </row>
    <row r="448">
      <c r="A448" s="3">
        <v>6.0</v>
      </c>
      <c r="B448" s="3" t="s">
        <v>882</v>
      </c>
      <c r="C448" s="3" t="str">
        <f t="shared" si="1"/>
        <v>57 </v>
      </c>
      <c r="D448" s="3" t="str">
        <f t="shared" si="2"/>
        <v>hat</v>
      </c>
      <c r="E448" s="2" t="s">
        <v>8</v>
      </c>
      <c r="F448" s="3" t="str">
        <f>IFERROR(__xludf.DUMMYFUNCTION("GOOGLETRANSLATE(D448,$D$1,$F$1)"),"mũ")</f>
        <v>mũ</v>
      </c>
      <c r="G448" s="3" t="s">
        <v>883</v>
      </c>
    </row>
    <row r="449">
      <c r="A449" s="3">
        <v>6.0</v>
      </c>
      <c r="B449" s="3" t="s">
        <v>884</v>
      </c>
      <c r="C449" s="3" t="str">
        <f t="shared" si="1"/>
        <v>57 </v>
      </c>
      <c r="D449" s="3" t="str">
        <f t="shared" si="2"/>
        <v>dress</v>
      </c>
      <c r="E449" s="2" t="s">
        <v>8</v>
      </c>
      <c r="F449" s="3" t="str">
        <f>IFERROR(__xludf.DUMMYFUNCTION("GOOGLETRANSLATE(D449,$D$1,$F$1)"),"trang phục")</f>
        <v>trang phục</v>
      </c>
      <c r="G449" s="3" t="s">
        <v>885</v>
      </c>
    </row>
    <row r="450">
      <c r="A450" s="3">
        <v>6.0</v>
      </c>
      <c r="B450" s="3" t="s">
        <v>886</v>
      </c>
      <c r="C450" s="3" t="str">
        <f t="shared" si="1"/>
        <v>57 </v>
      </c>
      <c r="D450" s="3" t="str">
        <f t="shared" si="2"/>
        <v>feather</v>
      </c>
      <c r="E450" s="2" t="s">
        <v>8</v>
      </c>
      <c r="F450" s="3" t="str">
        <f>IFERROR(__xludf.DUMMYFUNCTION("GOOGLETRANSLATE(D450,$D$1,$F$1)"),"lông vũ")</f>
        <v>lông vũ</v>
      </c>
      <c r="G450" s="3" t="s">
        <v>887</v>
      </c>
    </row>
    <row r="451">
      <c r="A451" s="3">
        <v>6.0</v>
      </c>
      <c r="B451" s="3" t="s">
        <v>888</v>
      </c>
      <c r="C451" s="3" t="str">
        <f t="shared" si="1"/>
        <v>57 </v>
      </c>
      <c r="D451" s="3" t="str">
        <f t="shared" si="2"/>
        <v>balloon</v>
      </c>
      <c r="E451" s="2" t="s">
        <v>8</v>
      </c>
      <c r="F451" s="3" t="str">
        <f>IFERROR(__xludf.DUMMYFUNCTION("GOOGLETRANSLATE(D451,$D$1,$F$1)"),"quả bóng bay")</f>
        <v>quả bóng bay</v>
      </c>
      <c r="G451" s="3" t="s">
        <v>889</v>
      </c>
    </row>
    <row r="452">
      <c r="A452" s="3">
        <v>6.0</v>
      </c>
      <c r="B452" s="3" t="s">
        <v>890</v>
      </c>
      <c r="C452" s="3" t="str">
        <f t="shared" si="1"/>
        <v>57 </v>
      </c>
      <c r="D452" s="3" t="str">
        <f t="shared" si="2"/>
        <v>drum</v>
      </c>
      <c r="E452" s="2" t="s">
        <v>8</v>
      </c>
      <c r="F452" s="3" t="str">
        <f>IFERROR(__xludf.DUMMYFUNCTION("GOOGLETRANSLATE(D452,$D$1,$F$1)"),"trống")</f>
        <v>trống</v>
      </c>
      <c r="G452" s="3" t="s">
        <v>891</v>
      </c>
    </row>
    <row r="453">
      <c r="A453" s="3">
        <v>6.0</v>
      </c>
      <c r="B453" s="3" t="s">
        <v>892</v>
      </c>
      <c r="C453" s="3" t="str">
        <f t="shared" si="1"/>
        <v>57 </v>
      </c>
      <c r="D453" s="3" t="str">
        <f t="shared" si="2"/>
        <v>difference</v>
      </c>
      <c r="E453" s="2" t="s">
        <v>8</v>
      </c>
      <c r="F453" s="3" t="str">
        <f>IFERROR(__xludf.DUMMYFUNCTION("GOOGLETRANSLATE(D453,$D$1,$F$1)"),"Sự khác biệt")</f>
        <v>Sự khác biệt</v>
      </c>
      <c r="G453" s="3" t="s">
        <v>893</v>
      </c>
    </row>
    <row r="454">
      <c r="A454" s="3">
        <v>6.0</v>
      </c>
      <c r="B454" s="3" t="s">
        <v>894</v>
      </c>
      <c r="C454" s="3" t="str">
        <f t="shared" si="1"/>
        <v>57 </v>
      </c>
      <c r="D454" s="3" t="str">
        <f t="shared" si="2"/>
        <v>describe</v>
      </c>
      <c r="E454" s="2" t="s">
        <v>8</v>
      </c>
      <c r="F454" s="3" t="str">
        <f>IFERROR(__xludf.DUMMYFUNCTION("GOOGLETRANSLATE(D454,$D$1,$F$1)"),"diễn tả")</f>
        <v>diễn tả</v>
      </c>
      <c r="G454" s="3" t="s">
        <v>895</v>
      </c>
    </row>
    <row r="455">
      <c r="A455" s="3">
        <v>6.0</v>
      </c>
      <c r="B455" s="3" t="s">
        <v>896</v>
      </c>
      <c r="C455" s="3" t="str">
        <f t="shared" si="1"/>
        <v>57 </v>
      </c>
      <c r="D455" s="3" t="str">
        <f t="shared" si="2"/>
        <v>middle</v>
      </c>
      <c r="E455" s="2" t="s">
        <v>8</v>
      </c>
      <c r="F455" s="3" t="str">
        <f>IFERROR(__xludf.DUMMYFUNCTION("GOOGLETRANSLATE(D455,$D$1,$F$1)"),"ở giữa")</f>
        <v>ở giữa</v>
      </c>
      <c r="G455" s="3" t="s">
        <v>897</v>
      </c>
    </row>
    <row r="456">
      <c r="A456" s="3">
        <v>6.0</v>
      </c>
      <c r="B456" s="3" t="s">
        <v>898</v>
      </c>
      <c r="C456" s="3" t="str">
        <f t="shared" si="1"/>
        <v>57 </v>
      </c>
      <c r="D456" s="3" t="str">
        <f t="shared" si="2"/>
        <v>cap</v>
      </c>
      <c r="E456" s="2" t="s">
        <v>8</v>
      </c>
      <c r="F456" s="3" t="str">
        <f>IFERROR(__xludf.DUMMYFUNCTION("GOOGLETRANSLATE(D456,$D$1,$F$1)"),"mũ lưỡi trai")</f>
        <v>mũ lưỡi trai</v>
      </c>
      <c r="G456" s="3" t="s">
        <v>899</v>
      </c>
    </row>
    <row r="457">
      <c r="A457" s="3">
        <v>6.0</v>
      </c>
      <c r="B457" s="3" t="s">
        <v>900</v>
      </c>
      <c r="C457" s="3" t="str">
        <f t="shared" si="1"/>
        <v>57 </v>
      </c>
      <c r="D457" s="3" t="str">
        <f t="shared" si="2"/>
        <v>dress (n)</v>
      </c>
      <c r="E457" s="2" t="s">
        <v>8</v>
      </c>
      <c r="F457" s="3" t="str">
        <f>IFERROR(__xludf.DUMMYFUNCTION("GOOGLETRANSLATE(D457,$D$1,$F$1)"),"váy (n)")</f>
        <v>váy (n)</v>
      </c>
      <c r="G457" s="3" t="s">
        <v>901</v>
      </c>
    </row>
    <row r="458">
      <c r="A458" s="3">
        <v>6.0</v>
      </c>
      <c r="B458" s="3" t="s">
        <v>902</v>
      </c>
      <c r="C458" s="3" t="str">
        <f t="shared" si="1"/>
        <v>58 </v>
      </c>
      <c r="D458" s="3" t="str">
        <f t="shared" si="2"/>
        <v>burger</v>
      </c>
      <c r="E458" s="2" t="s">
        <v>8</v>
      </c>
      <c r="F458" s="3" t="str">
        <f>IFERROR(__xludf.DUMMYFUNCTION("GOOGLETRANSLATE(D458,$D$1,$F$1)"),"bánh burger")</f>
        <v>bánh burger</v>
      </c>
      <c r="G458" s="3" t="s">
        <v>903</v>
      </c>
    </row>
    <row r="459">
      <c r="A459" s="3">
        <v>6.0</v>
      </c>
      <c r="B459" s="3" t="s">
        <v>904</v>
      </c>
      <c r="C459" s="3" t="str">
        <f t="shared" si="1"/>
        <v>58 </v>
      </c>
      <c r="D459" s="3" t="str">
        <f t="shared" si="2"/>
        <v>mayonnaise</v>
      </c>
      <c r="E459" s="2" t="s">
        <v>8</v>
      </c>
      <c r="F459" s="3" t="str">
        <f>IFERROR(__xludf.DUMMYFUNCTION("GOOGLETRANSLATE(D459,$D$1,$F$1)"),"mayonaise")</f>
        <v>mayonaise</v>
      </c>
      <c r="G459" s="3" t="s">
        <v>905</v>
      </c>
    </row>
    <row r="460">
      <c r="A460" s="3">
        <v>6.0</v>
      </c>
      <c r="B460" s="3" t="s">
        <v>906</v>
      </c>
      <c r="C460" s="3" t="str">
        <f t="shared" si="1"/>
        <v>58 </v>
      </c>
      <c r="D460" s="3" t="str">
        <f t="shared" si="2"/>
        <v>order (v)</v>
      </c>
      <c r="E460" s="2" t="s">
        <v>8</v>
      </c>
      <c r="F460" s="3" t="str">
        <f>IFERROR(__xludf.DUMMYFUNCTION("GOOGLETRANSLATE(D460,$D$1,$F$1)"),"trật tự (v)")</f>
        <v>trật tự (v)</v>
      </c>
      <c r="G460" s="3" t="s">
        <v>907</v>
      </c>
    </row>
    <row r="461">
      <c r="A461" s="3">
        <v>6.0</v>
      </c>
      <c r="B461" s="3" t="s">
        <v>908</v>
      </c>
      <c r="C461" s="3" t="str">
        <f t="shared" si="1"/>
        <v>58 </v>
      </c>
      <c r="D461" s="3" t="str">
        <f t="shared" si="2"/>
        <v>eat in</v>
      </c>
      <c r="E461" s="2" t="s">
        <v>8</v>
      </c>
      <c r="F461" s="3" t="str">
        <f>IFERROR(__xludf.DUMMYFUNCTION("GOOGLETRANSLATE(D461,$D$1,$F$1)"),"ăn ở")</f>
        <v>ăn ở</v>
      </c>
      <c r="G461" s="3" t="s">
        <v>909</v>
      </c>
    </row>
    <row r="462">
      <c r="A462" s="3">
        <v>6.0</v>
      </c>
      <c r="B462" s="3" t="s">
        <v>910</v>
      </c>
      <c r="C462" s="3" t="str">
        <f t="shared" si="1"/>
        <v>58 </v>
      </c>
      <c r="D462" s="3" t="str">
        <f t="shared" si="2"/>
        <v>altogether</v>
      </c>
      <c r="E462" s="2" t="s">
        <v>8</v>
      </c>
      <c r="F462" s="3" t="str">
        <f>IFERROR(__xludf.DUMMYFUNCTION("GOOGLETRANSLATE(D462,$D$1,$F$1)"),"hoàn toàn")</f>
        <v>hoàn toàn</v>
      </c>
      <c r="G462" s="3" t="s">
        <v>911</v>
      </c>
    </row>
    <row r="463">
      <c r="A463" s="3">
        <v>6.0</v>
      </c>
      <c r="B463" s="3" t="s">
        <v>912</v>
      </c>
      <c r="C463" s="3" t="str">
        <f t="shared" si="1"/>
        <v>59 </v>
      </c>
      <c r="D463" s="3" t="str">
        <f t="shared" si="2"/>
        <v>grow</v>
      </c>
      <c r="E463" s="2" t="s">
        <v>8</v>
      </c>
      <c r="F463" s="3" t="str">
        <f>IFERROR(__xludf.DUMMYFUNCTION("GOOGLETRANSLATE(D463,$D$1,$F$1)"),"lớn lên")</f>
        <v>lớn lên</v>
      </c>
      <c r="G463" s="3" t="s">
        <v>913</v>
      </c>
    </row>
    <row r="464">
      <c r="A464" s="3">
        <v>6.0</v>
      </c>
      <c r="B464" s="3" t="s">
        <v>914</v>
      </c>
      <c r="C464" s="3" t="str">
        <f t="shared" si="1"/>
        <v>59 </v>
      </c>
      <c r="D464" s="3" t="str">
        <f t="shared" si="2"/>
        <v>bunch</v>
      </c>
      <c r="E464" s="2" t="s">
        <v>8</v>
      </c>
      <c r="F464" s="3" t="str">
        <f>IFERROR(__xludf.DUMMYFUNCTION("GOOGLETRANSLATE(D464,$D$1,$F$1)"),"xăn lên")</f>
        <v>xăn lên</v>
      </c>
      <c r="G464" s="3" t="s">
        <v>915</v>
      </c>
    </row>
    <row r="465">
      <c r="A465" s="3">
        <v>6.0</v>
      </c>
      <c r="B465" s="3" t="s">
        <v>916</v>
      </c>
      <c r="C465" s="3" t="str">
        <f t="shared" si="1"/>
        <v>59 </v>
      </c>
      <c r="D465" s="3" t="str">
        <f t="shared" si="2"/>
        <v>used to</v>
      </c>
      <c r="E465" s="2" t="s">
        <v>8</v>
      </c>
      <c r="F465" s="3" t="str">
        <f>IFERROR(__xludf.DUMMYFUNCTION("GOOGLETRANSLATE(D465,$D$1,$F$1)"),"đã từng")</f>
        <v>đã từng</v>
      </c>
      <c r="G465" s="3" t="s">
        <v>917</v>
      </c>
    </row>
    <row r="466">
      <c r="A466" s="3">
        <v>6.0</v>
      </c>
      <c r="B466" s="3" t="s">
        <v>918</v>
      </c>
      <c r="C466" s="3" t="str">
        <f t="shared" si="1"/>
        <v>59 </v>
      </c>
      <c r="D466" s="3" t="str">
        <f t="shared" si="2"/>
        <v>mixture</v>
      </c>
      <c r="E466" s="2" t="s">
        <v>8</v>
      </c>
      <c r="F466" s="3" t="str">
        <f>IFERROR(__xludf.DUMMYFUNCTION("GOOGLETRANSLATE(D466,$D$1,$F$1)"),"hỗn hợp")</f>
        <v>hỗn hợp</v>
      </c>
      <c r="G466" s="3" t="s">
        <v>919</v>
      </c>
    </row>
    <row r="467">
      <c r="A467" s="3">
        <v>6.0</v>
      </c>
      <c r="B467" s="3" t="s">
        <v>920</v>
      </c>
      <c r="C467" s="3" t="str">
        <f t="shared" si="1"/>
        <v>59 </v>
      </c>
      <c r="D467" s="3" t="str">
        <f t="shared" si="2"/>
        <v>wheat</v>
      </c>
      <c r="E467" s="2" t="s">
        <v>8</v>
      </c>
      <c r="F467" s="3" t="str">
        <f>IFERROR(__xludf.DUMMYFUNCTION("GOOGLETRANSLATE(D467,$D$1,$F$1)"),"lúa mì")</f>
        <v>lúa mì</v>
      </c>
      <c r="G467" s="3" t="s">
        <v>921</v>
      </c>
    </row>
    <row r="468">
      <c r="A468" s="3">
        <v>6.0</v>
      </c>
      <c r="B468" s="3" t="s">
        <v>922</v>
      </c>
      <c r="C468" s="3" t="str">
        <f t="shared" si="1"/>
        <v>59 </v>
      </c>
      <c r="D468" s="3" t="str">
        <f t="shared" si="2"/>
        <v>mix</v>
      </c>
      <c r="E468" s="2" t="s">
        <v>8</v>
      </c>
      <c r="F468" s="3" t="str">
        <f>IFERROR(__xludf.DUMMYFUNCTION("GOOGLETRANSLATE(D468,$D$1,$F$1)"),"pha trộn")</f>
        <v>pha trộn</v>
      </c>
      <c r="G468" s="3" t="s">
        <v>923</v>
      </c>
    </row>
    <row r="469">
      <c r="A469" s="3">
        <v>6.0</v>
      </c>
      <c r="B469" s="3" t="s">
        <v>924</v>
      </c>
      <c r="C469" s="3" t="str">
        <f t="shared" si="1"/>
        <v>59 </v>
      </c>
      <c r="D469" s="3" t="str">
        <f t="shared" si="2"/>
        <v>traffic jam</v>
      </c>
      <c r="E469" s="2" t="s">
        <v>8</v>
      </c>
      <c r="F469" s="3" t="str">
        <f>IFERROR(__xludf.DUMMYFUNCTION("GOOGLETRANSLATE(D469,$D$1,$F$1)"),"giao thông tắc nghẽn")</f>
        <v>giao thông tắc nghẽn</v>
      </c>
      <c r="G469" s="3" t="s">
        <v>925</v>
      </c>
    </row>
    <row r="470">
      <c r="A470" s="3">
        <v>6.0</v>
      </c>
      <c r="B470" s="3" t="s">
        <v>926</v>
      </c>
      <c r="C470" s="3" t="str">
        <f t="shared" si="1"/>
        <v>59 </v>
      </c>
      <c r="D470" s="3" t="str">
        <f t="shared" si="2"/>
        <v>match (n)</v>
      </c>
      <c r="E470" s="2" t="s">
        <v>8</v>
      </c>
      <c r="F470" s="3" t="str">
        <f>IFERROR(__xludf.DUMMYFUNCTION("GOOGLETRANSLATE(D470,$D$1,$F$1)"),"trận đấu (n)")</f>
        <v>trận đấu (n)</v>
      </c>
      <c r="G470" s="3" t="s">
        <v>927</v>
      </c>
    </row>
    <row r="471">
      <c r="A471" s="3">
        <v>6.0</v>
      </c>
      <c r="B471" s="3" t="s">
        <v>928</v>
      </c>
      <c r="C471" s="3" t="str">
        <f t="shared" si="1"/>
        <v>59 </v>
      </c>
      <c r="D471" s="3" t="str">
        <f t="shared" si="2"/>
        <v>glass</v>
      </c>
      <c r="E471" s="2" t="s">
        <v>8</v>
      </c>
      <c r="F471" s="3" t="str">
        <f>IFERROR(__xludf.DUMMYFUNCTION("GOOGLETRANSLATE(D471,$D$1,$F$1)"),"cốc thủy tinh")</f>
        <v>cốc thủy tinh</v>
      </c>
      <c r="G471" s="3" t="s">
        <v>929</v>
      </c>
    </row>
    <row r="472">
      <c r="A472" s="3">
        <v>6.0</v>
      </c>
      <c r="B472" s="3" t="s">
        <v>930</v>
      </c>
      <c r="C472" s="3" t="str">
        <f t="shared" si="1"/>
        <v>59 </v>
      </c>
      <c r="D472" s="3" t="str">
        <f t="shared" si="2"/>
        <v>information desk</v>
      </c>
      <c r="E472" s="2" t="s">
        <v>8</v>
      </c>
      <c r="F472" s="3" t="str">
        <f>IFERROR(__xludf.DUMMYFUNCTION("GOOGLETRANSLATE(D472,$D$1,$F$1)"),"Quầy thông tin")</f>
        <v>Quầy thông tin</v>
      </c>
      <c r="G472" s="3" t="s">
        <v>931</v>
      </c>
    </row>
    <row r="473">
      <c r="A473" s="3">
        <v>7.0</v>
      </c>
      <c r="B473" s="3" t="s">
        <v>932</v>
      </c>
      <c r="C473" s="3" t="str">
        <f t="shared" si="1"/>
        <v>60 </v>
      </c>
      <c r="D473" s="3" t="str">
        <f t="shared" si="2"/>
        <v>scientist</v>
      </c>
      <c r="E473" s="2" t="s">
        <v>8</v>
      </c>
      <c r="F473" s="3" t="str">
        <f>IFERROR(__xludf.DUMMYFUNCTION("GOOGLETRANSLATE(D473,$D$1,$F$1)"),"nhà khoa học")</f>
        <v>nhà khoa học</v>
      </c>
      <c r="G473" s="3" t="s">
        <v>933</v>
      </c>
    </row>
    <row r="474">
      <c r="A474" s="3">
        <v>7.0</v>
      </c>
      <c r="B474" s="3" t="s">
        <v>934</v>
      </c>
      <c r="C474" s="3" t="str">
        <f t="shared" si="1"/>
        <v>60 </v>
      </c>
      <c r="D474" s="3" t="str">
        <f t="shared" si="2"/>
        <v>political leader</v>
      </c>
      <c r="E474" s="2" t="s">
        <v>8</v>
      </c>
      <c r="F474" s="3" t="str">
        <f>IFERROR(__xludf.DUMMYFUNCTION("GOOGLETRANSLATE(D474,$D$1,$F$1)"),"lãnh đạo chính trị")</f>
        <v>lãnh đạo chính trị</v>
      </c>
      <c r="G474" s="3" t="s">
        <v>935</v>
      </c>
    </row>
    <row r="475">
      <c r="A475" s="3">
        <v>7.0</v>
      </c>
      <c r="B475" s="3" t="s">
        <v>936</v>
      </c>
      <c r="C475" s="3" t="str">
        <f t="shared" si="1"/>
        <v>60 </v>
      </c>
      <c r="D475" s="3" t="str">
        <f t="shared" si="2"/>
        <v>artist</v>
      </c>
      <c r="E475" s="2" t="s">
        <v>8</v>
      </c>
      <c r="F475" s="3" t="str">
        <f>IFERROR(__xludf.DUMMYFUNCTION("GOOGLETRANSLATE(D475,$D$1,$F$1)"),"họa sĩ")</f>
        <v>họa sĩ</v>
      </c>
      <c r="G475" s="3" t="s">
        <v>937</v>
      </c>
    </row>
    <row r="476">
      <c r="A476" s="3">
        <v>7.0</v>
      </c>
      <c r="B476" s="3" t="s">
        <v>938</v>
      </c>
      <c r="C476" s="3" t="str">
        <f t="shared" si="1"/>
        <v>60 </v>
      </c>
      <c r="D476" s="3" t="str">
        <f t="shared" si="2"/>
        <v>comedian</v>
      </c>
      <c r="E476" s="2" t="s">
        <v>8</v>
      </c>
      <c r="F476" s="3" t="str">
        <f>IFERROR(__xludf.DUMMYFUNCTION("GOOGLETRANSLATE(D476,$D$1,$F$1)"),"diễn viên hài")</f>
        <v>diễn viên hài</v>
      </c>
      <c r="G476" s="3" t="s">
        <v>939</v>
      </c>
    </row>
    <row r="477">
      <c r="A477" s="3">
        <v>7.0</v>
      </c>
      <c r="B477" s="3" t="s">
        <v>940</v>
      </c>
      <c r="C477" s="3" t="str">
        <f t="shared" si="1"/>
        <v>60 </v>
      </c>
      <c r="D477" s="3" t="str">
        <f t="shared" si="2"/>
        <v>writer</v>
      </c>
      <c r="E477" s="2" t="s">
        <v>8</v>
      </c>
      <c r="F477" s="3" t="str">
        <f>IFERROR(__xludf.DUMMYFUNCTION("GOOGLETRANSLATE(D477,$D$1,$F$1)"),"nhà văn")</f>
        <v>nhà văn</v>
      </c>
      <c r="G477" s="3" t="s">
        <v>941</v>
      </c>
    </row>
    <row r="478">
      <c r="A478" s="3">
        <v>7.0</v>
      </c>
      <c r="B478" s="3" t="s">
        <v>942</v>
      </c>
      <c r="C478" s="3" t="str">
        <f t="shared" si="1"/>
        <v>60 </v>
      </c>
      <c r="D478" s="3" t="str">
        <f t="shared" si="2"/>
        <v>composer</v>
      </c>
      <c r="E478" s="2" t="s">
        <v>8</v>
      </c>
      <c r="F478" s="3" t="str">
        <f>IFERROR(__xludf.DUMMYFUNCTION("GOOGLETRANSLATE(D478,$D$1,$F$1)"),"người soạn nhạc")</f>
        <v>người soạn nhạc</v>
      </c>
      <c r="G478" s="3" t="s">
        <v>943</v>
      </c>
    </row>
    <row r="479">
      <c r="A479" s="3">
        <v>7.0</v>
      </c>
      <c r="B479" s="3" t="s">
        <v>944</v>
      </c>
      <c r="C479" s="3" t="str">
        <f t="shared" si="1"/>
        <v>60 </v>
      </c>
      <c r="D479" s="3" t="str">
        <f t="shared" si="2"/>
        <v>born</v>
      </c>
      <c r="E479" s="2" t="s">
        <v>8</v>
      </c>
      <c r="F479" s="3" t="str">
        <f>IFERROR(__xludf.DUMMYFUNCTION("GOOGLETRANSLATE(D479,$D$1,$F$1)"),"sinh ra")</f>
        <v>sinh ra</v>
      </c>
      <c r="G479" s="3" t="s">
        <v>945</v>
      </c>
    </row>
    <row r="480">
      <c r="A480" s="3">
        <v>7.0</v>
      </c>
      <c r="B480" s="3" t="s">
        <v>946</v>
      </c>
      <c r="C480" s="3" t="str">
        <f t="shared" si="1"/>
        <v>60 </v>
      </c>
      <c r="D480" s="3" t="str">
        <f t="shared" si="2"/>
        <v>deaf</v>
      </c>
      <c r="E480" s="2" t="s">
        <v>8</v>
      </c>
      <c r="F480" s="3" t="str">
        <f>IFERROR(__xludf.DUMMYFUNCTION("GOOGLETRANSLATE(D480,$D$1,$F$1)"),"điếc")</f>
        <v>điếc</v>
      </c>
      <c r="G480" s="3" t="s">
        <v>947</v>
      </c>
    </row>
    <row r="481">
      <c r="A481" s="3">
        <v>7.0</v>
      </c>
      <c r="B481" s="3" t="s">
        <v>948</v>
      </c>
      <c r="C481" s="3" t="str">
        <f t="shared" si="1"/>
        <v>60 </v>
      </c>
      <c r="D481" s="3" t="str">
        <f t="shared" si="2"/>
        <v>president</v>
      </c>
      <c r="E481" s="2" t="s">
        <v>8</v>
      </c>
      <c r="F481" s="3" t="str">
        <f>IFERROR(__xludf.DUMMYFUNCTION("GOOGLETRANSLATE(D481,$D$1,$F$1)"),"chủ tịch")</f>
        <v>chủ tịch</v>
      </c>
      <c r="G481" s="3" t="s">
        <v>949</v>
      </c>
    </row>
    <row r="482">
      <c r="A482" s="3">
        <v>7.0</v>
      </c>
      <c r="B482" s="3" t="s">
        <v>950</v>
      </c>
      <c r="C482" s="3" t="str">
        <f t="shared" si="1"/>
        <v>60 </v>
      </c>
      <c r="D482" s="3" t="str">
        <f t="shared" si="2"/>
        <v>United States</v>
      </c>
      <c r="E482" s="2" t="s">
        <v>8</v>
      </c>
      <c r="F482" s="3" t="str">
        <f>IFERROR(__xludf.DUMMYFUNCTION("GOOGLETRANSLATE(D482,$D$1,$F$1)"),"Hoa Kỳ")</f>
        <v>Hoa Kỳ</v>
      </c>
      <c r="G482" s="3" t="s">
        <v>951</v>
      </c>
    </row>
    <row r="483">
      <c r="A483" s="3">
        <v>7.0</v>
      </c>
      <c r="B483" s="3" t="s">
        <v>952</v>
      </c>
      <c r="C483" s="3" t="str">
        <f t="shared" si="1"/>
        <v>60 </v>
      </c>
      <c r="D483" s="3" t="str">
        <f t="shared" si="2"/>
        <v>originally</v>
      </c>
      <c r="E483" s="2" t="s">
        <v>8</v>
      </c>
      <c r="F483" s="3" t="str">
        <f>IFERROR(__xludf.DUMMYFUNCTION("GOOGLETRANSLATE(D483,$D$1,$F$1)"),"ban đầu")</f>
        <v>ban đầu</v>
      </c>
      <c r="G483" s="3" t="s">
        <v>43</v>
      </c>
    </row>
    <row r="484">
      <c r="A484" s="3">
        <v>7.0</v>
      </c>
      <c r="B484" s="3" t="s">
        <v>953</v>
      </c>
      <c r="C484" s="3" t="str">
        <f t="shared" si="1"/>
        <v>61 </v>
      </c>
      <c r="D484" s="3" t="str">
        <f t="shared" si="2"/>
        <v>blind</v>
      </c>
      <c r="E484" s="2" t="s">
        <v>8</v>
      </c>
      <c r="F484" s="3" t="str">
        <f>IFERROR(__xludf.DUMMYFUNCTION("GOOGLETRANSLATE(D484,$D$1,$F$1)"),"mù")</f>
        <v>mù</v>
      </c>
      <c r="G484" s="3" t="s">
        <v>954</v>
      </c>
    </row>
    <row r="485">
      <c r="A485" s="3">
        <v>7.0</v>
      </c>
      <c r="B485" s="3" t="s">
        <v>955</v>
      </c>
      <c r="C485" s="3" t="str">
        <f t="shared" si="1"/>
        <v>61 </v>
      </c>
      <c r="D485" s="3" t="str">
        <f t="shared" si="2"/>
        <v>communist</v>
      </c>
      <c r="E485" s="2" t="s">
        <v>8</v>
      </c>
      <c r="F485" s="3" t="str">
        <f>IFERROR(__xludf.DUMMYFUNCTION("GOOGLETRANSLATE(D485,$D$1,$F$1)"),"cộng sản")</f>
        <v>cộng sản</v>
      </c>
      <c r="G485" s="3" t="s">
        <v>956</v>
      </c>
    </row>
    <row r="486">
      <c r="A486" s="3">
        <v>7.0</v>
      </c>
      <c r="B486" s="3" t="s">
        <v>957</v>
      </c>
      <c r="C486" s="3" t="str">
        <f t="shared" si="1"/>
        <v>61 </v>
      </c>
      <c r="D486" s="3" t="str">
        <f t="shared" si="2"/>
        <v>leader</v>
      </c>
      <c r="E486" s="2" t="s">
        <v>8</v>
      </c>
      <c r="F486" s="3" t="str">
        <f>IFERROR(__xludf.DUMMYFUNCTION("GOOGLETRANSLATE(D486,$D$1,$F$1)"),"lãnh đạo")</f>
        <v>lãnh đạo</v>
      </c>
      <c r="G486" s="3" t="s">
        <v>958</v>
      </c>
    </row>
    <row r="487">
      <c r="A487" s="3">
        <v>7.0</v>
      </c>
      <c r="B487" s="3" t="s">
        <v>959</v>
      </c>
      <c r="C487" s="3" t="str">
        <f t="shared" si="1"/>
        <v>61 </v>
      </c>
      <c r="D487" s="3" t="str">
        <f t="shared" si="2"/>
        <v>ballet dancer</v>
      </c>
      <c r="E487" s="2" t="s">
        <v>8</v>
      </c>
      <c r="F487" s="3" t="str">
        <f>IFERROR(__xludf.DUMMYFUNCTION("GOOGLETRANSLATE(D487,$D$1,$F$1)"),"vủ công ballet")</f>
        <v>vủ công ballet</v>
      </c>
      <c r="G487" s="3" t="s">
        <v>960</v>
      </c>
    </row>
    <row r="488">
      <c r="A488" s="3">
        <v>7.0</v>
      </c>
      <c r="B488" s="3" t="s">
        <v>961</v>
      </c>
      <c r="C488" s="3" t="str">
        <f t="shared" si="1"/>
        <v>61 </v>
      </c>
      <c r="D488" s="3" t="str">
        <f t="shared" si="2"/>
        <v>mathematician</v>
      </c>
      <c r="E488" s="2" t="s">
        <v>8</v>
      </c>
      <c r="F488" s="3" t="str">
        <f>IFERROR(__xludf.DUMMYFUNCTION("GOOGLETRANSLATE(D488,$D$1,$F$1)"),"nhà toán học")</f>
        <v>nhà toán học</v>
      </c>
      <c r="G488" s="3" t="s">
        <v>962</v>
      </c>
    </row>
    <row r="489">
      <c r="A489" s="3">
        <v>7.0</v>
      </c>
      <c r="B489" s="3" t="s">
        <v>963</v>
      </c>
      <c r="C489" s="3" t="str">
        <f t="shared" si="1"/>
        <v>61 </v>
      </c>
      <c r="D489" s="3" t="str">
        <f t="shared" si="2"/>
        <v>opera singer</v>
      </c>
      <c r="E489" s="2" t="s">
        <v>8</v>
      </c>
      <c r="F489" s="3" t="str">
        <f>IFERROR(__xludf.DUMMYFUNCTION("GOOGLETRANSLATE(D489,$D$1,$F$1)"),"ca sĩ opera")</f>
        <v>ca sĩ opera</v>
      </c>
      <c r="G489" s="3" t="s">
        <v>964</v>
      </c>
    </row>
    <row r="490">
      <c r="A490" s="3">
        <v>7.0</v>
      </c>
      <c r="B490" s="3" t="s">
        <v>965</v>
      </c>
      <c r="C490" s="3" t="str">
        <f t="shared" si="1"/>
        <v>61 </v>
      </c>
      <c r="D490" s="3" t="str">
        <f t="shared" si="2"/>
        <v>at home</v>
      </c>
      <c r="E490" s="2" t="s">
        <v>8</v>
      </c>
      <c r="F490" s="3" t="str">
        <f>IFERROR(__xludf.DUMMYFUNCTION("GOOGLETRANSLATE(D490,$D$1,$F$1)"),"ở nhà")</f>
        <v>ở nhà</v>
      </c>
      <c r="G490" s="3" t="s">
        <v>966</v>
      </c>
    </row>
    <row r="491">
      <c r="A491" s="3">
        <v>7.0</v>
      </c>
      <c r="B491" s="3" t="s">
        <v>967</v>
      </c>
      <c r="C491" s="3" t="str">
        <f t="shared" si="1"/>
        <v>61 </v>
      </c>
      <c r="D491" s="3" t="str">
        <f t="shared" si="2"/>
        <v>frightened</v>
      </c>
      <c r="E491" s="2" t="s">
        <v>8</v>
      </c>
      <c r="F491" s="3" t="str">
        <f>IFERROR(__xludf.DUMMYFUNCTION("GOOGLETRANSLATE(D491,$D$1,$F$1)"),"sợ hãi")</f>
        <v>sợ hãi</v>
      </c>
      <c r="G491" s="3" t="s">
        <v>968</v>
      </c>
    </row>
    <row r="492">
      <c r="A492" s="3">
        <v>7.0</v>
      </c>
      <c r="B492" s="3" t="s">
        <v>969</v>
      </c>
      <c r="C492" s="3" t="str">
        <f t="shared" si="1"/>
        <v>61 </v>
      </c>
      <c r="D492" s="3" t="str">
        <f t="shared" si="2"/>
        <v>popular</v>
      </c>
      <c r="E492" s="2" t="s">
        <v>8</v>
      </c>
      <c r="F492" s="3" t="str">
        <f>IFERROR(__xludf.DUMMYFUNCTION("GOOGLETRANSLATE(D492,$D$1,$F$1)"),"phổ biến")</f>
        <v>phổ biến</v>
      </c>
      <c r="G492" s="3" t="s">
        <v>970</v>
      </c>
    </row>
    <row r="493">
      <c r="A493" s="3">
        <v>7.0</v>
      </c>
      <c r="B493" s="3" t="s">
        <v>971</v>
      </c>
      <c r="C493" s="3" t="str">
        <f t="shared" si="1"/>
        <v>61 </v>
      </c>
      <c r="D493" s="3" t="str">
        <f t="shared" si="2"/>
        <v>emperor</v>
      </c>
      <c r="E493" s="2" t="s">
        <v>8</v>
      </c>
      <c r="F493" s="3" t="str">
        <f>IFERROR(__xludf.DUMMYFUNCTION("GOOGLETRANSLATE(D493,$D$1,$F$1)"),"Hoàng đế")</f>
        <v>Hoàng đế</v>
      </c>
      <c r="G493" s="3" t="s">
        <v>972</v>
      </c>
    </row>
    <row r="494">
      <c r="A494" s="3">
        <v>7.0</v>
      </c>
      <c r="B494" s="3" t="s">
        <v>973</v>
      </c>
      <c r="C494" s="3" t="str">
        <f t="shared" si="1"/>
        <v>61 </v>
      </c>
      <c r="D494" s="3" t="str">
        <f t="shared" si="2"/>
        <v>revolution</v>
      </c>
      <c r="E494" s="2" t="s">
        <v>8</v>
      </c>
      <c r="F494" s="3" t="str">
        <f>IFERROR(__xludf.DUMMYFUNCTION("GOOGLETRANSLATE(D494,$D$1,$F$1)"),"Cuộc cách mạng")</f>
        <v>Cuộc cách mạng</v>
      </c>
      <c r="G494" s="3" t="s">
        <v>974</v>
      </c>
    </row>
    <row r="495">
      <c r="A495" s="3">
        <v>7.0</v>
      </c>
      <c r="B495" s="3" t="s">
        <v>975</v>
      </c>
      <c r="C495" s="3" t="str">
        <f t="shared" si="1"/>
        <v>61 </v>
      </c>
      <c r="D495" s="3" t="str">
        <f t="shared" si="2"/>
        <v>landing (n)</v>
      </c>
      <c r="E495" s="2" t="s">
        <v>8</v>
      </c>
      <c r="F495" s="3" t="str">
        <f>IFERROR(__xludf.DUMMYFUNCTION("GOOGLETRANSLATE(D495,$D$1,$F$1)"),"hạ cánh (n)")</f>
        <v>hạ cánh (n)</v>
      </c>
      <c r="G495" s="3" t="s">
        <v>976</v>
      </c>
    </row>
    <row r="496">
      <c r="A496" s="3">
        <v>7.0</v>
      </c>
      <c r="B496" s="3" t="s">
        <v>977</v>
      </c>
      <c r="C496" s="3" t="str">
        <f t="shared" si="1"/>
        <v>61 </v>
      </c>
      <c r="D496" s="3" t="str">
        <f t="shared" si="2"/>
        <v>moon</v>
      </c>
      <c r="E496" s="2" t="s">
        <v>8</v>
      </c>
      <c r="F496" s="3" t="str">
        <f>IFERROR(__xludf.DUMMYFUNCTION("GOOGLETRANSLATE(D496,$D$1,$F$1)"),"mặt trăng")</f>
        <v>mặt trăng</v>
      </c>
      <c r="G496" s="3" t="s">
        <v>978</v>
      </c>
    </row>
    <row r="497">
      <c r="A497" s="3">
        <v>7.0</v>
      </c>
      <c r="B497" s="3" t="s">
        <v>979</v>
      </c>
      <c r="C497" s="3" t="str">
        <f t="shared" si="1"/>
        <v>61 </v>
      </c>
      <c r="D497" s="3" t="str">
        <f t="shared" si="2"/>
        <v>war</v>
      </c>
      <c r="E497" s="2" t="s">
        <v>8</v>
      </c>
      <c r="F497" s="3" t="str">
        <f>IFERROR(__xludf.DUMMYFUNCTION("GOOGLETRANSLATE(D497,$D$1,$F$1)"),"chiến tranh")</f>
        <v>chiến tranh</v>
      </c>
      <c r="G497" s="3" t="s">
        <v>980</v>
      </c>
    </row>
    <row r="498">
      <c r="A498" s="3">
        <v>7.0</v>
      </c>
      <c r="B498" s="3" t="s">
        <v>981</v>
      </c>
      <c r="C498" s="3" t="str">
        <f t="shared" si="1"/>
        <v>61 </v>
      </c>
      <c r="D498" s="3" t="str">
        <f t="shared" si="2"/>
        <v>hit single</v>
      </c>
      <c r="E498" s="2" t="s">
        <v>8</v>
      </c>
      <c r="F498" s="3" t="str">
        <f>IFERROR(__xludf.DUMMYFUNCTION("GOOGLETRANSLATE(D498,$D$1,$F$1)"),"hit single")</f>
        <v>hit single</v>
      </c>
      <c r="G498" s="3" t="s">
        <v>982</v>
      </c>
    </row>
    <row r="499">
      <c r="A499" s="3">
        <v>7.0</v>
      </c>
      <c r="B499" s="3" t="s">
        <v>983</v>
      </c>
      <c r="C499" s="3" t="str">
        <f t="shared" si="1"/>
        <v>62 </v>
      </c>
      <c r="D499" s="3" t="str">
        <f t="shared" si="2"/>
        <v>surprising</v>
      </c>
      <c r="E499" s="2" t="s">
        <v>8</v>
      </c>
      <c r="F499" s="3" t="str">
        <f>IFERROR(__xludf.DUMMYFUNCTION("GOOGLETRANSLATE(D499,$D$1,$F$1)"),"thật ngạc nhiên")</f>
        <v>thật ngạc nhiên</v>
      </c>
      <c r="G499" s="3" t="s">
        <v>984</v>
      </c>
    </row>
    <row r="500">
      <c r="A500" s="3">
        <v>7.0</v>
      </c>
      <c r="B500" s="3" t="s">
        <v>985</v>
      </c>
      <c r="C500" s="3" t="str">
        <f t="shared" si="1"/>
        <v>62 </v>
      </c>
      <c r="D500" s="3" t="str">
        <f t="shared" si="2"/>
        <v>become</v>
      </c>
      <c r="E500" s="2" t="s">
        <v>8</v>
      </c>
      <c r="F500" s="3" t="str">
        <f>IFERROR(__xludf.DUMMYFUNCTION("GOOGLETRANSLATE(D500,$D$1,$F$1)"),"trở nên")</f>
        <v>trở nên</v>
      </c>
      <c r="G500" s="3" t="s">
        <v>986</v>
      </c>
    </row>
    <row r="501">
      <c r="A501" s="3">
        <v>7.0</v>
      </c>
      <c r="B501" s="3" t="s">
        <v>987</v>
      </c>
      <c r="C501" s="3" t="str">
        <f t="shared" si="1"/>
        <v>62 </v>
      </c>
      <c r="D501" s="3" t="str">
        <f t="shared" si="2"/>
        <v>be interested in</v>
      </c>
      <c r="E501" s="2" t="s">
        <v>8</v>
      </c>
      <c r="F501" s="3" t="str">
        <f>IFERROR(__xludf.DUMMYFUNCTION("GOOGLETRANSLATE(D501,$D$1,$F$1)"),"hứng thú với")</f>
        <v>hứng thú với</v>
      </c>
      <c r="G501" s="3" t="s">
        <v>988</v>
      </c>
    </row>
    <row r="502">
      <c r="A502" s="3">
        <v>7.0</v>
      </c>
      <c r="B502" s="3" t="s">
        <v>989</v>
      </c>
      <c r="C502" s="3" t="str">
        <f t="shared" si="1"/>
        <v>62 </v>
      </c>
      <c r="D502" s="3" t="str">
        <f t="shared" si="2"/>
        <v>graduate(v)</v>
      </c>
      <c r="E502" s="2" t="s">
        <v>8</v>
      </c>
      <c r="F502" s="3" t="str">
        <f>IFERROR(__xludf.DUMMYFUNCTION("GOOGLETRANSLATE(D502,$D$1,$F$1)"),"sau đại học (v)")</f>
        <v>sau đại học (v)</v>
      </c>
      <c r="G502" s="3" t="s">
        <v>990</v>
      </c>
    </row>
    <row r="503">
      <c r="A503" s="3">
        <v>7.0</v>
      </c>
      <c r="B503" s="3" t="s">
        <v>991</v>
      </c>
      <c r="C503" s="3" t="str">
        <f t="shared" si="1"/>
        <v>62 </v>
      </c>
      <c r="D503" s="3" t="str">
        <f t="shared" si="2"/>
        <v>network</v>
      </c>
      <c r="E503" s="2" t="s">
        <v>8</v>
      </c>
      <c r="F503" s="3" t="str">
        <f>IFERROR(__xludf.DUMMYFUNCTION("GOOGLETRANSLATE(D503,$D$1,$F$1)"),"mạng")</f>
        <v>mạng</v>
      </c>
      <c r="G503" s="3" t="s">
        <v>992</v>
      </c>
    </row>
    <row r="504">
      <c r="A504" s="3">
        <v>7.0</v>
      </c>
      <c r="B504" s="3" t="s">
        <v>993</v>
      </c>
      <c r="C504" s="3" t="str">
        <f t="shared" si="1"/>
        <v>62 </v>
      </c>
      <c r="D504" s="3" t="str">
        <f t="shared" si="2"/>
        <v>decide</v>
      </c>
      <c r="E504" s="2" t="s">
        <v>8</v>
      </c>
      <c r="F504" s="3" t="str">
        <f>IFERROR(__xludf.DUMMYFUNCTION("GOOGLETRANSLATE(D504,$D$1,$F$1)"),"quyết định")</f>
        <v>quyết định</v>
      </c>
      <c r="G504" s="3" t="s">
        <v>994</v>
      </c>
    </row>
    <row r="505">
      <c r="A505" s="3">
        <v>7.0</v>
      </c>
      <c r="B505" s="3" t="s">
        <v>995</v>
      </c>
      <c r="C505" s="3" t="str">
        <f t="shared" si="1"/>
        <v>62 </v>
      </c>
      <c r="D505" s="3" t="str">
        <f t="shared" si="2"/>
        <v>be linked</v>
      </c>
      <c r="E505" s="2" t="s">
        <v>8</v>
      </c>
      <c r="F505" s="3" t="str">
        <f>IFERROR(__xludf.DUMMYFUNCTION("GOOGLETRANSLATE(D505,$D$1,$F$1)"),"được liên kết")</f>
        <v>được liên kết</v>
      </c>
      <c r="G505" s="3" t="s">
        <v>996</v>
      </c>
    </row>
    <row r="506">
      <c r="A506" s="3">
        <v>7.0</v>
      </c>
      <c r="B506" s="3" t="s">
        <v>997</v>
      </c>
      <c r="C506" s="3" t="str">
        <f t="shared" si="1"/>
        <v>62 </v>
      </c>
      <c r="D506" s="3" t="str">
        <f t="shared" si="2"/>
        <v>invent</v>
      </c>
      <c r="E506" s="2" t="s">
        <v>8</v>
      </c>
      <c r="F506" s="3" t="str">
        <f>IFERROR(__xludf.DUMMYFUNCTION("GOOGLETRANSLATE(D506,$D$1,$F$1)"),"phát minh")</f>
        <v>phát minh</v>
      </c>
      <c r="G506" s="3" t="s">
        <v>998</v>
      </c>
    </row>
    <row r="507">
      <c r="A507" s="3">
        <v>7.0</v>
      </c>
      <c r="B507" s="3" t="s">
        <v>999</v>
      </c>
      <c r="C507" s="3" t="str">
        <f t="shared" si="1"/>
        <v>62 </v>
      </c>
      <c r="D507" s="3" t="str">
        <f t="shared" si="2"/>
        <v>leave</v>
      </c>
      <c r="E507" s="2" t="s">
        <v>8</v>
      </c>
      <c r="F507" s="3" t="str">
        <f>IFERROR(__xludf.DUMMYFUNCTION("GOOGLETRANSLATE(D507,$D$1,$F$1)"),"rời khỏi")</f>
        <v>rời khỏi</v>
      </c>
      <c r="G507" s="3" t="s">
        <v>1000</v>
      </c>
    </row>
    <row r="508">
      <c r="A508" s="3">
        <v>7.0</v>
      </c>
      <c r="B508" s="3" t="s">
        <v>1001</v>
      </c>
      <c r="C508" s="3" t="str">
        <f t="shared" si="1"/>
        <v>62 </v>
      </c>
      <c r="D508" s="3" t="str">
        <f t="shared" si="2"/>
        <v>look</v>
      </c>
      <c r="E508" s="2" t="s">
        <v>8</v>
      </c>
      <c r="F508" s="3" t="str">
        <f>IFERROR(__xludf.DUMMYFUNCTION("GOOGLETRANSLATE(D508,$D$1,$F$1)"),"nhìn")</f>
        <v>nhìn</v>
      </c>
      <c r="G508" s="3" t="s">
        <v>1002</v>
      </c>
    </row>
    <row r="509">
      <c r="A509" s="3">
        <v>7.0</v>
      </c>
      <c r="B509" s="3" t="s">
        <v>1003</v>
      </c>
      <c r="C509" s="3" t="str">
        <f t="shared" si="1"/>
        <v>62 </v>
      </c>
      <c r="D509" s="3" t="str">
        <f t="shared" si="2"/>
        <v>hair</v>
      </c>
      <c r="E509" s="2" t="s">
        <v>8</v>
      </c>
      <c r="F509" s="3" t="str">
        <f>IFERROR(__xludf.DUMMYFUNCTION("GOOGLETRANSLATE(D509,$D$1,$F$1)"),"tóc")</f>
        <v>tóc</v>
      </c>
      <c r="G509" s="3" t="s">
        <v>1004</v>
      </c>
    </row>
    <row r="510">
      <c r="A510" s="3">
        <v>7.0</v>
      </c>
      <c r="B510" s="3" t="s">
        <v>1005</v>
      </c>
      <c r="C510" s="3" t="str">
        <f t="shared" si="1"/>
        <v>62 </v>
      </c>
      <c r="D510" s="3" t="str">
        <f t="shared" si="2"/>
        <v>idea</v>
      </c>
      <c r="E510" s="2" t="s">
        <v>8</v>
      </c>
      <c r="F510" s="3" t="str">
        <f>IFERROR(__xludf.DUMMYFUNCTION("GOOGLETRANSLATE(D510,$D$1,$F$1)"),"ý tưởng")</f>
        <v>ý tưởng</v>
      </c>
      <c r="G510" s="3" t="s">
        <v>1006</v>
      </c>
    </row>
    <row r="511">
      <c r="A511" s="3">
        <v>7.0</v>
      </c>
      <c r="B511" s="3" t="s">
        <v>1007</v>
      </c>
      <c r="C511" s="3" t="str">
        <f t="shared" si="1"/>
        <v>62 </v>
      </c>
      <c r="D511" s="3" t="str">
        <f t="shared" si="2"/>
        <v>world wide</v>
      </c>
      <c r="E511" s="2" t="s">
        <v>8</v>
      </c>
      <c r="F511" s="3" t="str">
        <f>IFERROR(__xludf.DUMMYFUNCTION("GOOGLETRANSLATE(D511,$D$1,$F$1)"),"trên toàn thế giới")</f>
        <v>trên toàn thế giới</v>
      </c>
      <c r="G511" s="3" t="s">
        <v>1008</v>
      </c>
    </row>
    <row r="512">
      <c r="A512" s="3">
        <v>7.0</v>
      </c>
      <c r="B512" s="3" t="s">
        <v>1009</v>
      </c>
      <c r="C512" s="3" t="str">
        <f t="shared" si="1"/>
        <v>62 </v>
      </c>
      <c r="D512" s="3" t="str">
        <f t="shared" si="2"/>
        <v>physics</v>
      </c>
      <c r="E512" s="2" t="s">
        <v>8</v>
      </c>
      <c r="F512" s="3" t="str">
        <f>IFERROR(__xludf.DUMMYFUNCTION("GOOGLETRANSLATE(D512,$D$1,$F$1)"),"vật lý")</f>
        <v>vật lý</v>
      </c>
      <c r="G512" s="3" t="s">
        <v>1010</v>
      </c>
    </row>
    <row r="513">
      <c r="A513" s="3">
        <v>7.0</v>
      </c>
      <c r="B513" s="3" t="s">
        <v>1011</v>
      </c>
      <c r="C513" s="3" t="str">
        <f t="shared" si="1"/>
        <v>62 </v>
      </c>
      <c r="D513" s="3" t="str">
        <f t="shared" si="2"/>
        <v>Switzerland</v>
      </c>
      <c r="E513" s="2" t="s">
        <v>8</v>
      </c>
      <c r="F513" s="3" t="str">
        <f>IFERROR(__xludf.DUMMYFUNCTION("GOOGLETRANSLATE(D513,$D$1,$F$1)"),"Thụy sĩ")</f>
        <v>Thụy sĩ</v>
      </c>
      <c r="G513" s="3" t="s">
        <v>1012</v>
      </c>
    </row>
    <row r="514">
      <c r="A514" s="3">
        <v>7.0</v>
      </c>
      <c r="B514" s="3" t="s">
        <v>1013</v>
      </c>
      <c r="C514" s="3" t="str">
        <f t="shared" si="1"/>
        <v>62 </v>
      </c>
      <c r="D514" s="3" t="str">
        <f t="shared" si="2"/>
        <v>information network</v>
      </c>
      <c r="E514" s="2" t="s">
        <v>8</v>
      </c>
      <c r="F514" s="3" t="str">
        <f>IFERROR(__xludf.DUMMYFUNCTION("GOOGLETRANSLATE(D514,$D$1,$F$1)"),"mạng thông tin")</f>
        <v>mạng thông tin</v>
      </c>
      <c r="G514" s="3" t="s">
        <v>1014</v>
      </c>
    </row>
    <row r="515">
      <c r="A515" s="3">
        <v>7.0</v>
      </c>
      <c r="B515" s="3" t="s">
        <v>1015</v>
      </c>
      <c r="C515" s="3" t="str">
        <f t="shared" si="1"/>
        <v>62 </v>
      </c>
      <c r="D515" s="3" t="str">
        <f t="shared" si="2"/>
        <v>call (v)</v>
      </c>
      <c r="E515" s="2" t="s">
        <v>8</v>
      </c>
      <c r="F515" s="3" t="str">
        <f>IFERROR(__xludf.DUMMYFUNCTION("GOOGLETRANSLATE(D515,$D$1,$F$1)"),"gọi số (v)")</f>
        <v>gọi số (v)</v>
      </c>
      <c r="G515" s="3" t="s">
        <v>1016</v>
      </c>
    </row>
    <row r="516">
      <c r="A516" s="3">
        <v>7.0</v>
      </c>
      <c r="B516" s="3" t="s">
        <v>1017</v>
      </c>
      <c r="C516" s="3" t="str">
        <f t="shared" si="1"/>
        <v>62 </v>
      </c>
      <c r="D516" s="3" t="str">
        <f t="shared" si="2"/>
        <v>article</v>
      </c>
      <c r="E516" s="2" t="s">
        <v>8</v>
      </c>
      <c r="F516" s="3" t="str">
        <f>IFERROR(__xludf.DUMMYFUNCTION("GOOGLETRANSLATE(D516,$D$1,$F$1)"),"bài báo")</f>
        <v>bài báo</v>
      </c>
      <c r="G516" s="3" t="s">
        <v>1018</v>
      </c>
    </row>
    <row r="517">
      <c r="A517" s="3">
        <v>7.0</v>
      </c>
      <c r="B517" s="3" t="s">
        <v>1019</v>
      </c>
      <c r="C517" s="3" t="str">
        <f t="shared" si="1"/>
        <v>62 </v>
      </c>
      <c r="D517" s="3" t="str">
        <f t="shared" si="2"/>
        <v>universe</v>
      </c>
      <c r="E517" s="2" t="s">
        <v>8</v>
      </c>
      <c r="F517" s="3" t="str">
        <f>IFERROR(__xludf.DUMMYFUNCTION("GOOGLETRANSLATE(D517,$D$1,$F$1)"),"vũ trụ")</f>
        <v>vũ trụ</v>
      </c>
      <c r="G517" s="3" t="s">
        <v>1020</v>
      </c>
    </row>
    <row r="518">
      <c r="A518" s="3">
        <v>7.0</v>
      </c>
      <c r="B518" s="3" t="s">
        <v>1021</v>
      </c>
      <c r="C518" s="3" t="str">
        <f t="shared" si="1"/>
        <v>62 </v>
      </c>
      <c r="D518" s="3" t="str">
        <f t="shared" si="2"/>
        <v>everyone</v>
      </c>
      <c r="E518" s="2" t="s">
        <v>8</v>
      </c>
      <c r="F518" s="3" t="str">
        <f>IFERROR(__xludf.DUMMYFUNCTION("GOOGLETRANSLATE(D518,$D$1,$F$1)"),"tất cả mọi người")</f>
        <v>tất cả mọi người</v>
      </c>
      <c r="G518" s="3" t="s">
        <v>1022</v>
      </c>
    </row>
    <row r="519">
      <c r="A519" s="3">
        <v>7.0</v>
      </c>
      <c r="B519" s="3" t="s">
        <v>1023</v>
      </c>
      <c r="C519" s="3" t="str">
        <f t="shared" si="1"/>
        <v>62 </v>
      </c>
      <c r="D519" s="3" t="str">
        <f t="shared" si="2"/>
        <v>exchange</v>
      </c>
      <c r="E519" s="2" t="s">
        <v>8</v>
      </c>
      <c r="F519" s="3" t="str">
        <f>IFERROR(__xludf.DUMMYFUNCTION("GOOGLETRANSLATE(D519,$D$1,$F$1)"),"đổi")</f>
        <v>đổi</v>
      </c>
      <c r="G519" s="3" t="s">
        <v>1024</v>
      </c>
    </row>
    <row r="520">
      <c r="A520" s="3">
        <v>7.0</v>
      </c>
      <c r="B520" s="3" t="s">
        <v>1025</v>
      </c>
      <c r="C520" s="3" t="str">
        <f t="shared" si="1"/>
        <v>62 </v>
      </c>
      <c r="D520" s="3" t="str">
        <f t="shared" si="2"/>
        <v>personal details</v>
      </c>
      <c r="E520" s="2" t="s">
        <v>8</v>
      </c>
      <c r="F520" s="3" t="str">
        <f>IFERROR(__xludf.DUMMYFUNCTION("GOOGLETRANSLATE(D520,$D$1,$F$1)"),"thông tin cá nhân")</f>
        <v>thông tin cá nhân</v>
      </c>
      <c r="G520" s="3" t="s">
        <v>1026</v>
      </c>
    </row>
    <row r="521">
      <c r="A521" s="3">
        <v>7.0</v>
      </c>
      <c r="B521" s="3" t="s">
        <v>1027</v>
      </c>
      <c r="C521" s="3" t="str">
        <f t="shared" si="1"/>
        <v>63 </v>
      </c>
      <c r="D521" s="3" t="str">
        <f t="shared" si="2"/>
        <v>arrive</v>
      </c>
      <c r="E521" s="2" t="s">
        <v>8</v>
      </c>
      <c r="F521" s="3" t="str">
        <f>IFERROR(__xludf.DUMMYFUNCTION("GOOGLETRANSLATE(D521,$D$1,$F$1)"),"đến")</f>
        <v>đến</v>
      </c>
      <c r="G521" s="3" t="s">
        <v>1028</v>
      </c>
    </row>
    <row r="522">
      <c r="A522" s="3">
        <v>7.0</v>
      </c>
      <c r="B522" s="3" t="s">
        <v>1029</v>
      </c>
      <c r="C522" s="3" t="str">
        <f t="shared" si="1"/>
        <v>63 </v>
      </c>
      <c r="D522" s="3" t="str">
        <f t="shared" si="2"/>
        <v>begin</v>
      </c>
      <c r="E522" s="2" t="s">
        <v>8</v>
      </c>
      <c r="F522" s="3" t="str">
        <f>IFERROR(__xludf.DUMMYFUNCTION("GOOGLETRANSLATE(D522,$D$1,$F$1)"),"bắt đầu")</f>
        <v>bắt đầu</v>
      </c>
      <c r="G522" s="3" t="s">
        <v>1030</v>
      </c>
    </row>
    <row r="523">
      <c r="A523" s="3">
        <v>7.0</v>
      </c>
      <c r="B523" s="3" t="s">
        <v>1031</v>
      </c>
      <c r="C523" s="3" t="str">
        <f t="shared" si="1"/>
        <v>63 </v>
      </c>
      <c r="D523" s="3" t="str">
        <f t="shared" si="2"/>
        <v>believe</v>
      </c>
      <c r="E523" s="2" t="s">
        <v>8</v>
      </c>
      <c r="F523" s="3" t="str">
        <f>IFERROR(__xludf.DUMMYFUNCTION("GOOGLETRANSLATE(D523,$D$1,$F$1)"),"tin")</f>
        <v>tin</v>
      </c>
      <c r="G523" s="3" t="s">
        <v>1032</v>
      </c>
    </row>
    <row r="524">
      <c r="A524" s="3">
        <v>7.0</v>
      </c>
      <c r="B524" s="3" t="s">
        <v>1033</v>
      </c>
      <c r="C524" s="3" t="str">
        <f t="shared" si="1"/>
        <v>63 </v>
      </c>
      <c r="D524" s="3" t="str">
        <f t="shared" si="2"/>
        <v>can</v>
      </c>
      <c r="E524" s="2" t="s">
        <v>8</v>
      </c>
      <c r="F524" s="3" t="str">
        <f>IFERROR(__xludf.DUMMYFUNCTION("GOOGLETRANSLATE(D524,$D$1,$F$1)"),"có thể")</f>
        <v>có thể</v>
      </c>
      <c r="G524" s="3" t="s">
        <v>1034</v>
      </c>
    </row>
    <row r="525">
      <c r="A525" s="3">
        <v>7.0</v>
      </c>
      <c r="B525" s="3" t="s">
        <v>1035</v>
      </c>
      <c r="C525" s="3" t="str">
        <f t="shared" si="1"/>
        <v>63 </v>
      </c>
      <c r="D525" s="3" t="str">
        <f t="shared" si="2"/>
        <v>take</v>
      </c>
      <c r="E525" s="2" t="s">
        <v>8</v>
      </c>
      <c r="F525" s="3" t="str">
        <f>IFERROR(__xludf.DUMMYFUNCTION("GOOGLETRANSLATE(D525,$D$1,$F$1)"),"lấy")</f>
        <v>lấy</v>
      </c>
      <c r="G525" s="3" t="s">
        <v>1036</v>
      </c>
    </row>
    <row r="526">
      <c r="A526" s="3">
        <v>7.0</v>
      </c>
      <c r="B526" s="3" t="s">
        <v>1037</v>
      </c>
      <c r="C526" s="3" t="str">
        <f t="shared" si="1"/>
        <v>63 </v>
      </c>
      <c r="D526" s="3" t="str">
        <f t="shared" si="2"/>
        <v>share</v>
      </c>
      <c r="E526" s="2" t="s">
        <v>8</v>
      </c>
      <c r="F526" s="3" t="str">
        <f>IFERROR(__xludf.DUMMYFUNCTION("GOOGLETRANSLATE(D526,$D$1,$F$1)"),"chia sẻ")</f>
        <v>chia sẻ</v>
      </c>
      <c r="G526" s="3" t="s">
        <v>1038</v>
      </c>
    </row>
    <row r="527">
      <c r="A527" s="3">
        <v>7.0</v>
      </c>
      <c r="B527" s="3" t="s">
        <v>1039</v>
      </c>
      <c r="C527" s="3" t="str">
        <f t="shared" si="1"/>
        <v>63 </v>
      </c>
      <c r="D527" s="3" t="str">
        <f t="shared" si="2"/>
        <v>die</v>
      </c>
      <c r="E527" s="2" t="s">
        <v>8</v>
      </c>
      <c r="F527" s="3" t="str">
        <f>IFERROR(__xludf.DUMMYFUNCTION("GOOGLETRANSLATE(D527,$D$1,$F$1)"),"chết")</f>
        <v>chết</v>
      </c>
      <c r="G527" s="3" t="s">
        <v>1040</v>
      </c>
    </row>
    <row r="528">
      <c r="A528" s="3">
        <v>7.0</v>
      </c>
      <c r="B528" s="3" t="s">
        <v>1041</v>
      </c>
      <c r="C528" s="3" t="str">
        <f t="shared" si="1"/>
        <v>63 </v>
      </c>
      <c r="D528" s="3" t="str">
        <f t="shared" si="2"/>
        <v>steal</v>
      </c>
      <c r="E528" s="2" t="s">
        <v>8</v>
      </c>
      <c r="F528" s="3" t="str">
        <f>IFERROR(__xludf.DUMMYFUNCTION("GOOGLETRANSLATE(D528,$D$1,$F$1)"),"lấy trộm")</f>
        <v>lấy trộm</v>
      </c>
      <c r="G528" s="3" t="s">
        <v>1042</v>
      </c>
    </row>
    <row r="529">
      <c r="A529" s="3">
        <v>7.0</v>
      </c>
      <c r="B529" s="3" t="s">
        <v>1043</v>
      </c>
      <c r="C529" s="3" t="str">
        <f t="shared" si="1"/>
        <v>63 </v>
      </c>
      <c r="D529" s="3" t="str">
        <f t="shared" si="2"/>
        <v>want</v>
      </c>
      <c r="E529" s="2" t="s">
        <v>8</v>
      </c>
      <c r="F529" s="3" t="str">
        <f>IFERROR(__xludf.DUMMYFUNCTION("GOOGLETRANSLATE(D529,$D$1,$F$1)"),"muốn")</f>
        <v>muốn</v>
      </c>
      <c r="G529" s="3" t="s">
        <v>1044</v>
      </c>
    </row>
    <row r="530">
      <c r="A530" s="3">
        <v>7.0</v>
      </c>
      <c r="B530" s="3" t="s">
        <v>1045</v>
      </c>
      <c r="C530" s="3" t="str">
        <f t="shared" si="1"/>
        <v>63 </v>
      </c>
      <c r="D530" s="3" t="str">
        <f t="shared" si="2"/>
        <v>win</v>
      </c>
      <c r="E530" s="2" t="s">
        <v>8</v>
      </c>
      <c r="F530" s="3" t="str">
        <f>IFERROR(__xludf.DUMMYFUNCTION("GOOGLETRANSLATE(D530,$D$1,$F$1)"),"thắng lợi")</f>
        <v>thắng lợi</v>
      </c>
      <c r="G530" s="3" t="s">
        <v>1046</v>
      </c>
    </row>
    <row r="531">
      <c r="A531" s="3">
        <v>7.0</v>
      </c>
      <c r="B531" s="3" t="s">
        <v>1047</v>
      </c>
      <c r="C531" s="3" t="str">
        <f t="shared" si="1"/>
        <v>63 </v>
      </c>
      <c r="D531" s="3" t="str">
        <f t="shared" si="2"/>
        <v>Scotsman</v>
      </c>
      <c r="E531" s="2" t="s">
        <v>8</v>
      </c>
      <c r="F531" s="3" t="str">
        <f>IFERROR(__xludf.DUMMYFUNCTION("GOOGLETRANSLATE(D531,$D$1,$F$1)"),"người Scotland")</f>
        <v>người Scotland</v>
      </c>
      <c r="G531" s="3" t="s">
        <v>1048</v>
      </c>
    </row>
    <row r="532">
      <c r="A532" s="3">
        <v>7.0</v>
      </c>
      <c r="B532" s="3" t="s">
        <v>1049</v>
      </c>
      <c r="C532" s="3" t="str">
        <f t="shared" si="1"/>
        <v>63 </v>
      </c>
      <c r="D532" s="3" t="str">
        <f t="shared" si="2"/>
        <v>inventor</v>
      </c>
      <c r="E532" s="2" t="s">
        <v>8</v>
      </c>
      <c r="F532" s="3" t="str">
        <f>IFERROR(__xludf.DUMMYFUNCTION("GOOGLETRANSLATE(D532,$D$1,$F$1)"),"người phát minh")</f>
        <v>người phát minh</v>
      </c>
      <c r="G532" s="3" t="s">
        <v>1050</v>
      </c>
    </row>
    <row r="533">
      <c r="A533" s="3">
        <v>7.0</v>
      </c>
      <c r="B533" s="3" t="s">
        <v>1051</v>
      </c>
      <c r="C533" s="3" t="str">
        <f t="shared" si="1"/>
        <v>63 </v>
      </c>
      <c r="D533" s="3" t="str">
        <f t="shared" si="2"/>
        <v>invention</v>
      </c>
      <c r="E533" s="2" t="s">
        <v>8</v>
      </c>
      <c r="F533" s="3" t="str">
        <f>IFERROR(__xludf.DUMMYFUNCTION("GOOGLETRANSLATE(D533,$D$1,$F$1)"),"sự phát minh")</f>
        <v>sự phát minh</v>
      </c>
      <c r="G533" s="3" t="s">
        <v>1052</v>
      </c>
    </row>
    <row r="534">
      <c r="A534" s="3">
        <v>7.0</v>
      </c>
      <c r="B534" s="3" t="s">
        <v>1053</v>
      </c>
      <c r="C534" s="3" t="str">
        <f t="shared" si="1"/>
        <v>63 </v>
      </c>
      <c r="D534" s="3" t="str">
        <f t="shared" si="2"/>
        <v>Patent Office</v>
      </c>
      <c r="E534" s="2" t="s">
        <v>8</v>
      </c>
      <c r="F534" s="3" t="str">
        <f>IFERROR(__xludf.DUMMYFUNCTION("GOOGLETRANSLATE(D534,$D$1,$F$1)"),"Đặc quyền về việc chế tạo")</f>
        <v>Đặc quyền về việc chế tạo</v>
      </c>
      <c r="G534" s="3" t="s">
        <v>1054</v>
      </c>
    </row>
    <row r="535">
      <c r="A535" s="3">
        <v>7.0</v>
      </c>
      <c r="B535" s="3" t="s">
        <v>1055</v>
      </c>
      <c r="C535" s="3" t="str">
        <f t="shared" si="1"/>
        <v>63 </v>
      </c>
      <c r="D535" s="3" t="str">
        <f t="shared" si="2"/>
        <v>father in-law</v>
      </c>
      <c r="E535" s="2" t="s">
        <v>8</v>
      </c>
      <c r="F535" s="3" t="str">
        <f>IFERROR(__xludf.DUMMYFUNCTION("GOOGLETRANSLATE(D535,$D$1,$F$1)"),"bố chồng hoặc bố vợ")</f>
        <v>bố chồng hoặc bố vợ</v>
      </c>
      <c r="G535" s="3" t="s">
        <v>1056</v>
      </c>
    </row>
    <row r="536">
      <c r="A536" s="3">
        <v>7.0</v>
      </c>
      <c r="B536" s="3" t="s">
        <v>1057</v>
      </c>
      <c r="C536" s="3" t="str">
        <f t="shared" si="1"/>
        <v>63 </v>
      </c>
      <c r="D536" s="3" t="str">
        <f t="shared" si="2"/>
        <v>toy</v>
      </c>
      <c r="E536" s="2" t="s">
        <v>8</v>
      </c>
      <c r="F536" s="3" t="str">
        <f>IFERROR(__xludf.DUMMYFUNCTION("GOOGLETRANSLATE(D536,$D$1,$F$1)"),"đồ chơi")</f>
        <v>đồ chơi</v>
      </c>
      <c r="G536" s="3" t="s">
        <v>1058</v>
      </c>
    </row>
    <row r="537">
      <c r="A537" s="3">
        <v>7.0</v>
      </c>
      <c r="B537" s="3" t="s">
        <v>1059</v>
      </c>
      <c r="C537" s="3" t="str">
        <f t="shared" si="1"/>
        <v>63 </v>
      </c>
      <c r="D537" s="3" t="str">
        <f t="shared" si="2"/>
        <v>congress</v>
      </c>
      <c r="E537" s="2" t="s">
        <v>8</v>
      </c>
      <c r="F537" s="3" t="str">
        <f>IFERROR(__xludf.DUMMYFUNCTION("GOOGLETRANSLATE(D537,$D$1,$F$1)"),"Hội nghị")</f>
        <v>Hội nghị</v>
      </c>
      <c r="G537" s="3" t="s">
        <v>1060</v>
      </c>
    </row>
    <row r="538">
      <c r="A538" s="3">
        <v>7.0</v>
      </c>
      <c r="B538" s="3" t="s">
        <v>1061</v>
      </c>
      <c r="C538" s="3" t="str">
        <f t="shared" si="1"/>
        <v>63 </v>
      </c>
      <c r="D538" s="3" t="str">
        <f t="shared" si="2"/>
        <v>Croatian</v>
      </c>
      <c r="E538" s="2" t="s">
        <v>8</v>
      </c>
      <c r="F538" s="3" t="str">
        <f>IFERROR(__xludf.DUMMYFUNCTION("GOOGLETRANSLATE(D538,$D$1,$F$1)"),"Croatia")</f>
        <v>Croatia</v>
      </c>
      <c r="G538" s="3" t="s">
        <v>1062</v>
      </c>
    </row>
    <row r="539">
      <c r="A539" s="3">
        <v>7.0</v>
      </c>
      <c r="B539" s="3" t="s">
        <v>1063</v>
      </c>
      <c r="C539" s="3" t="str">
        <f t="shared" si="1"/>
        <v>63 </v>
      </c>
      <c r="D539" s="3" t="str">
        <f t="shared" si="2"/>
        <v>sell</v>
      </c>
      <c r="E539" s="2" t="s">
        <v>8</v>
      </c>
      <c r="F539" s="3" t="str">
        <f>IFERROR(__xludf.DUMMYFUNCTION("GOOGLETRANSLATE(D539,$D$1,$F$1)"),"bán")</f>
        <v>bán</v>
      </c>
      <c r="G539" s="3" t="s">
        <v>1064</v>
      </c>
    </row>
    <row r="540">
      <c r="A540" s="3">
        <v>7.0</v>
      </c>
      <c r="B540" s="3" t="s">
        <v>1065</v>
      </c>
      <c r="C540" s="3" t="str">
        <f t="shared" si="1"/>
        <v>63 </v>
      </c>
      <c r="D540" s="3" t="str">
        <f t="shared" si="2"/>
        <v>Nobel Prize</v>
      </c>
      <c r="E540" s="2" t="s">
        <v>8</v>
      </c>
      <c r="F540" s="3" t="str">
        <f>IFERROR(__xludf.DUMMYFUNCTION("GOOGLETRANSLATE(D540,$D$1,$F$1)"),"giải thưởng Nobel")</f>
        <v>giải thưởng Nobel</v>
      </c>
      <c r="G540" s="3" t="s">
        <v>1066</v>
      </c>
    </row>
    <row r="541">
      <c r="A541" s="3">
        <v>7.0</v>
      </c>
      <c r="B541" s="3" t="s">
        <v>1067</v>
      </c>
      <c r="C541" s="3" t="str">
        <f t="shared" si="1"/>
        <v>64 </v>
      </c>
      <c r="D541" s="3" t="str">
        <f t="shared" si="2"/>
        <v>story</v>
      </c>
      <c r="E541" s="2" t="s">
        <v>8</v>
      </c>
      <c r="F541" s="3" t="str">
        <f>IFERROR(__xludf.DUMMYFUNCTION("GOOGLETRANSLATE(D541,$D$1,$F$1)"),"câu chuyện")</f>
        <v>câu chuyện</v>
      </c>
      <c r="G541" s="3" t="s">
        <v>1068</v>
      </c>
    </row>
    <row r="542">
      <c r="A542" s="3">
        <v>7.0</v>
      </c>
      <c r="B542" s="3" t="s">
        <v>1069</v>
      </c>
      <c r="C542" s="3" t="str">
        <f t="shared" si="1"/>
        <v>64 </v>
      </c>
      <c r="D542" s="3" t="str">
        <f t="shared" si="2"/>
        <v>period</v>
      </c>
      <c r="E542" s="2" t="s">
        <v>8</v>
      </c>
      <c r="F542" s="3" t="str">
        <f>IFERROR(__xludf.DUMMYFUNCTION("GOOGLETRANSLATE(D542,$D$1,$F$1)"),"giai đoạn = Stage")</f>
        <v>giai đoạn = Stage</v>
      </c>
      <c r="G542" s="3" t="s">
        <v>1070</v>
      </c>
    </row>
    <row r="543">
      <c r="A543" s="3">
        <v>7.0</v>
      </c>
      <c r="B543" s="3" t="s">
        <v>1071</v>
      </c>
      <c r="C543" s="3" t="str">
        <f t="shared" si="1"/>
        <v>64 </v>
      </c>
      <c r="D543" s="3" t="str">
        <f t="shared" si="2"/>
        <v>meet</v>
      </c>
      <c r="E543" s="2" t="s">
        <v>8</v>
      </c>
      <c r="F543" s="3" t="str">
        <f>IFERROR(__xludf.DUMMYFUNCTION("GOOGLETRANSLATE(D543,$D$1,$F$1)"),"gặp")</f>
        <v>gặp</v>
      </c>
      <c r="G543" s="3" t="s">
        <v>1072</v>
      </c>
    </row>
    <row r="544">
      <c r="A544" s="3">
        <v>7.0</v>
      </c>
      <c r="B544" s="3" t="s">
        <v>1073</v>
      </c>
      <c r="C544" s="3" t="str">
        <f t="shared" si="1"/>
        <v>64 </v>
      </c>
      <c r="D544" s="3" t="str">
        <f t="shared" si="2"/>
        <v>servant</v>
      </c>
      <c r="E544" s="2" t="s">
        <v>8</v>
      </c>
      <c r="F544" s="3" t="str">
        <f>IFERROR(__xludf.DUMMYFUNCTION("GOOGLETRANSLATE(D544,$D$1,$F$1)"),"người hầu")</f>
        <v>người hầu</v>
      </c>
      <c r="G544" s="3" t="s">
        <v>1074</v>
      </c>
    </row>
    <row r="545">
      <c r="A545" s="3">
        <v>7.0</v>
      </c>
      <c r="B545" s="3" t="s">
        <v>1075</v>
      </c>
      <c r="C545" s="3" t="str">
        <f t="shared" si="1"/>
        <v>64 </v>
      </c>
      <c r="D545" s="3" t="str">
        <f t="shared" si="2"/>
        <v>during</v>
      </c>
      <c r="E545" s="2" t="s">
        <v>8</v>
      </c>
      <c r="F545" s="3" t="str">
        <f>IFERROR(__xludf.DUMMYFUNCTION("GOOGLETRANSLATE(D545,$D$1,$F$1)"),"suốt trong")</f>
        <v>suốt trong</v>
      </c>
      <c r="G545" s="3" t="s">
        <v>139</v>
      </c>
    </row>
    <row r="546">
      <c r="A546" s="3">
        <v>7.0</v>
      </c>
      <c r="B546" s="3" t="s">
        <v>1076</v>
      </c>
      <c r="C546" s="3" t="str">
        <f t="shared" si="1"/>
        <v>64 </v>
      </c>
      <c r="D546" s="3" t="str">
        <f t="shared" si="2"/>
        <v>First World War</v>
      </c>
      <c r="E546" s="2" t="s">
        <v>8</v>
      </c>
      <c r="F546" s="3" t="str">
        <f>IFERROR(__xludf.DUMMYFUNCTION("GOOGLETRANSLATE(D546,$D$1,$F$1)"),"Chiến tranh thế giới thứ nhất")</f>
        <v>Chiến tranh thế giới thứ nhất</v>
      </c>
      <c r="G546" s="3" t="s">
        <v>1077</v>
      </c>
    </row>
    <row r="547">
      <c r="A547" s="3">
        <v>7.0</v>
      </c>
      <c r="B547" s="3" t="s">
        <v>1078</v>
      </c>
      <c r="C547" s="3" t="str">
        <f t="shared" si="1"/>
        <v>64 </v>
      </c>
      <c r="D547" s="3" t="str">
        <f t="shared" si="2"/>
        <v>take sb. for a walk</v>
      </c>
      <c r="E547" s="2" t="s">
        <v>8</v>
      </c>
      <c r="F547" s="3" t="str">
        <f>IFERROR(__xludf.DUMMYFUNCTION("GOOGLETRANSLATE(D547,$D$1,$F$1)"),"mất sb. dạo")</f>
        <v>mất sb. dạo</v>
      </c>
      <c r="G547" s="3" t="s">
        <v>1079</v>
      </c>
    </row>
    <row r="548">
      <c r="A548" s="3">
        <v>7.0</v>
      </c>
      <c r="B548" s="3" t="s">
        <v>1080</v>
      </c>
      <c r="C548" s="3" t="str">
        <f t="shared" si="1"/>
        <v>64 </v>
      </c>
      <c r="D548" s="3" t="str">
        <f t="shared" si="2"/>
        <v>find</v>
      </c>
      <c r="E548" s="2" t="s">
        <v>8</v>
      </c>
      <c r="F548" s="3" t="str">
        <f>IFERROR(__xludf.DUMMYFUNCTION("GOOGLETRANSLATE(D548,$D$1,$F$1)"),"tìm thấy")</f>
        <v>tìm thấy</v>
      </c>
      <c r="G548" s="3" t="s">
        <v>1081</v>
      </c>
    </row>
    <row r="549">
      <c r="A549" s="3">
        <v>7.0</v>
      </c>
      <c r="B549" s="3" t="s">
        <v>1082</v>
      </c>
      <c r="C549" s="3" t="str">
        <f t="shared" si="1"/>
        <v>64 </v>
      </c>
      <c r="D549" s="3" t="str">
        <f t="shared" si="2"/>
        <v>community</v>
      </c>
      <c r="E549" s="2" t="s">
        <v>8</v>
      </c>
      <c r="F549" s="3" t="str">
        <f>IFERROR(__xludf.DUMMYFUNCTION("GOOGLETRANSLATE(D549,$D$1,$F$1)"),"cộng đồng")</f>
        <v>cộng đồng</v>
      </c>
      <c r="G549" s="3" t="s">
        <v>1083</v>
      </c>
    </row>
    <row r="550">
      <c r="A550" s="3">
        <v>7.0</v>
      </c>
      <c r="B550" s="3" t="s">
        <v>1084</v>
      </c>
      <c r="C550" s="3" t="str">
        <f t="shared" si="1"/>
        <v>64 </v>
      </c>
      <c r="D550" s="3" t="str">
        <f t="shared" si="2"/>
        <v>get married</v>
      </c>
      <c r="E550" s="2" t="s">
        <v>8</v>
      </c>
      <c r="F550" s="3" t="str">
        <f>IFERROR(__xludf.DUMMYFUNCTION("GOOGLETRANSLATE(D550,$D$1,$F$1)"),"kết hôn")</f>
        <v>kết hôn</v>
      </c>
      <c r="G550" s="3" t="s">
        <v>1085</v>
      </c>
    </row>
    <row r="551">
      <c r="A551" s="3">
        <v>7.0</v>
      </c>
      <c r="B551" s="3" t="s">
        <v>1086</v>
      </c>
      <c r="C551" s="3" t="str">
        <f t="shared" si="1"/>
        <v>64 </v>
      </c>
      <c r="D551" s="3" t="str">
        <f t="shared" si="2"/>
        <v>third</v>
      </c>
      <c r="E551" s="2" t="s">
        <v>8</v>
      </c>
      <c r="F551" s="3" t="str">
        <f>IFERROR(__xludf.DUMMYFUNCTION("GOOGLETRANSLATE(D551,$D$1,$F$1)"),"ngày thứ ba")</f>
        <v>ngày thứ ba</v>
      </c>
      <c r="G551" s="3" t="s">
        <v>1087</v>
      </c>
    </row>
    <row r="552">
      <c r="A552" s="3">
        <v>7.0</v>
      </c>
      <c r="B552" s="3" t="s">
        <v>1088</v>
      </c>
      <c r="C552" s="3" t="str">
        <f t="shared" si="1"/>
        <v>64 </v>
      </c>
      <c r="D552" s="3" t="str">
        <f t="shared" si="2"/>
        <v>second</v>
      </c>
      <c r="E552" s="2" t="s">
        <v>8</v>
      </c>
      <c r="F552" s="3" t="str">
        <f>IFERROR(__xludf.DUMMYFUNCTION("GOOGLETRANSLATE(D552,$D$1,$F$1)"),"thứ hai")</f>
        <v>thứ hai</v>
      </c>
      <c r="G552" s="3" t="s">
        <v>1089</v>
      </c>
    </row>
    <row r="553">
      <c r="A553" s="3">
        <v>7.0</v>
      </c>
      <c r="B553" s="3" t="s">
        <v>1090</v>
      </c>
      <c r="C553" s="3" t="str">
        <f t="shared" si="1"/>
        <v>64 </v>
      </c>
      <c r="D553" s="3" t="str">
        <f t="shared" si="2"/>
        <v>twelfth</v>
      </c>
      <c r="E553" s="2" t="s">
        <v>8</v>
      </c>
      <c r="F553" s="3" t="str">
        <f>IFERROR(__xludf.DUMMYFUNCTION("GOOGLETRANSLATE(D553,$D$1,$F$1)"),"thứ mười hai")</f>
        <v>thứ mười hai</v>
      </c>
      <c r="G553" s="3" t="s">
        <v>1091</v>
      </c>
    </row>
    <row r="554">
      <c r="A554" s="3">
        <v>7.0</v>
      </c>
      <c r="B554" s="3" t="s">
        <v>1092</v>
      </c>
      <c r="C554" s="3" t="str">
        <f t="shared" si="1"/>
        <v>64 </v>
      </c>
      <c r="D554" s="3" t="str">
        <f t="shared" si="2"/>
        <v>first</v>
      </c>
      <c r="E554" s="2" t="s">
        <v>8</v>
      </c>
      <c r="F554" s="3" t="str">
        <f>IFERROR(__xludf.DUMMYFUNCTION("GOOGLETRANSLATE(D554,$D$1,$F$1)"),"Đầu tiên")</f>
        <v>Đầu tiên</v>
      </c>
      <c r="G554" s="3" t="s">
        <v>1093</v>
      </c>
    </row>
    <row r="555">
      <c r="A555" s="3">
        <v>7.0</v>
      </c>
      <c r="B555" s="3" t="s">
        <v>1094</v>
      </c>
      <c r="C555" s="3" t="str">
        <f t="shared" si="1"/>
        <v>64 </v>
      </c>
      <c r="D555" s="3" t="str">
        <f t="shared" si="2"/>
        <v>fifth</v>
      </c>
      <c r="E555" s="2" t="s">
        <v>8</v>
      </c>
      <c r="F555" s="3" t="str">
        <f>IFERROR(__xludf.DUMMYFUNCTION("GOOGLETRANSLATE(D555,$D$1,$F$1)"),"thứ năm")</f>
        <v>thứ năm</v>
      </c>
      <c r="G555" s="3" t="s">
        <v>1095</v>
      </c>
    </row>
    <row r="556">
      <c r="A556" s="3">
        <v>7.0</v>
      </c>
      <c r="B556" s="3" t="s">
        <v>1096</v>
      </c>
      <c r="C556" s="3" t="str">
        <f t="shared" si="1"/>
        <v>64 </v>
      </c>
      <c r="D556" s="3" t="str">
        <f t="shared" si="2"/>
        <v>tenth</v>
      </c>
      <c r="E556" s="2" t="s">
        <v>8</v>
      </c>
      <c r="F556" s="3" t="str">
        <f>IFERROR(__xludf.DUMMYFUNCTION("GOOGLETRANSLATE(D556,$D$1,$F$1)"),"thứ mười")</f>
        <v>thứ mười</v>
      </c>
      <c r="G556" s="3" t="s">
        <v>1097</v>
      </c>
    </row>
    <row r="557">
      <c r="A557" s="3">
        <v>7.0</v>
      </c>
      <c r="B557" s="3" t="s">
        <v>1098</v>
      </c>
      <c r="C557" s="3" t="str">
        <f t="shared" si="1"/>
        <v>64 </v>
      </c>
      <c r="D557" s="3" t="str">
        <f t="shared" si="2"/>
        <v>seventh</v>
      </c>
      <c r="E557" s="2" t="s">
        <v>8</v>
      </c>
      <c r="F557" s="3" t="str">
        <f>IFERROR(__xludf.DUMMYFUNCTION("GOOGLETRANSLATE(D557,$D$1,$F$1)"),"thứ bảy")</f>
        <v>thứ bảy</v>
      </c>
      <c r="G557" s="3" t="s">
        <v>1099</v>
      </c>
    </row>
    <row r="558">
      <c r="A558" s="3">
        <v>7.0</v>
      </c>
      <c r="B558" s="3" t="s">
        <v>1100</v>
      </c>
      <c r="C558" s="3" t="str">
        <f t="shared" si="1"/>
        <v>65 </v>
      </c>
      <c r="D558" s="3" t="str">
        <f t="shared" si="2"/>
        <v>last</v>
      </c>
      <c r="E558" s="2" t="s">
        <v>8</v>
      </c>
      <c r="F558" s="3" t="str">
        <f>IFERROR(__xludf.DUMMYFUNCTION("GOOGLETRANSLATE(D558,$D$1,$F$1)"),"Cuối cùng")</f>
        <v>Cuối cùng</v>
      </c>
      <c r="G558" s="3" t="s">
        <v>1101</v>
      </c>
    </row>
    <row r="559">
      <c r="A559" s="3">
        <v>7.0</v>
      </c>
      <c r="B559" s="3" t="s">
        <v>1102</v>
      </c>
      <c r="C559" s="3" t="str">
        <f t="shared" si="1"/>
        <v>65 </v>
      </c>
      <c r="D559" s="3" t="str">
        <f t="shared" si="2"/>
        <v>ago</v>
      </c>
      <c r="E559" s="2" t="s">
        <v>8</v>
      </c>
      <c r="F559" s="3" t="str">
        <f>IFERROR(__xludf.DUMMYFUNCTION("GOOGLETRANSLATE(D559,$D$1,$F$1)"),"cách đây")</f>
        <v>cách đây</v>
      </c>
      <c r="G559" s="3" t="s">
        <v>1103</v>
      </c>
    </row>
    <row r="560">
      <c r="A560" s="3">
        <v>7.0</v>
      </c>
      <c r="B560" s="3" t="s">
        <v>1104</v>
      </c>
      <c r="C560" s="3" t="str">
        <f t="shared" si="1"/>
        <v>65 </v>
      </c>
      <c r="D560" s="3" t="str">
        <f t="shared" si="2"/>
        <v>clothes</v>
      </c>
      <c r="E560" s="2" t="s">
        <v>8</v>
      </c>
      <c r="F560" s="3" t="str">
        <f>IFERROR(__xludf.DUMMYFUNCTION("GOOGLETRANSLATE(D560,$D$1,$F$1)"),"quần áo")</f>
        <v>quần áo</v>
      </c>
      <c r="G560" s="3" t="s">
        <v>1105</v>
      </c>
    </row>
    <row r="561">
      <c r="A561" s="3">
        <v>7.0</v>
      </c>
      <c r="B561" s="3" t="s">
        <v>1106</v>
      </c>
      <c r="C561" s="3" t="str">
        <f t="shared" si="1"/>
        <v>65 </v>
      </c>
      <c r="D561" s="3" t="str">
        <f t="shared" si="2"/>
        <v>outside</v>
      </c>
      <c r="E561" s="2" t="s">
        <v>8</v>
      </c>
      <c r="F561" s="3" t="str">
        <f>IFERROR(__xludf.DUMMYFUNCTION("GOOGLETRANSLATE(D561,$D$1,$F$1)"),"ở ngoài")</f>
        <v>ở ngoài</v>
      </c>
      <c r="G561" s="3" t="s">
        <v>1107</v>
      </c>
    </row>
    <row r="562">
      <c r="A562" s="3">
        <v>7.0</v>
      </c>
      <c r="B562" s="3" t="s">
        <v>1108</v>
      </c>
      <c r="C562" s="3" t="str">
        <f t="shared" si="1"/>
        <v>65 </v>
      </c>
      <c r="D562" s="3" t="str">
        <f t="shared" si="2"/>
        <v>hairdresser</v>
      </c>
      <c r="E562" s="2" t="s">
        <v>8</v>
      </c>
      <c r="F562" s="3" t="str">
        <f>IFERROR(__xludf.DUMMYFUNCTION("GOOGLETRANSLATE(D562,$D$1,$F$1)"),"thợ cắt tóc")</f>
        <v>thợ cắt tóc</v>
      </c>
      <c r="G562" s="3" t="s">
        <v>1109</v>
      </c>
    </row>
    <row r="563">
      <c r="A563" s="3">
        <v>7.0</v>
      </c>
      <c r="B563" s="3" t="s">
        <v>1110</v>
      </c>
      <c r="C563" s="3" t="str">
        <f t="shared" si="1"/>
        <v>65 </v>
      </c>
      <c r="D563" s="3" t="str">
        <f t="shared" si="2"/>
        <v>sea</v>
      </c>
      <c r="E563" s="2" t="s">
        <v>8</v>
      </c>
      <c r="F563" s="3" t="str">
        <f>IFERROR(__xludf.DUMMYFUNCTION("GOOGLETRANSLATE(D563,$D$1,$F$1)"),"biển")</f>
        <v>biển</v>
      </c>
      <c r="G563" s="3" t="s">
        <v>1111</v>
      </c>
    </row>
    <row r="564">
      <c r="A564" s="3">
        <v>7.0</v>
      </c>
      <c r="B564" s="3" t="s">
        <v>1112</v>
      </c>
      <c r="C564" s="3" t="str">
        <f t="shared" si="1"/>
        <v>65 </v>
      </c>
      <c r="D564" s="3" t="str">
        <f t="shared" si="2"/>
        <v>lake</v>
      </c>
      <c r="E564" s="2" t="s">
        <v>8</v>
      </c>
      <c r="F564" s="3" t="str">
        <f>IFERROR(__xludf.DUMMYFUNCTION("GOOGLETRANSLATE(D564,$D$1,$F$1)"),"hồ")</f>
        <v>hồ</v>
      </c>
      <c r="G564" s="3" t="s">
        <v>1113</v>
      </c>
    </row>
    <row r="565">
      <c r="A565" s="3">
        <v>7.0</v>
      </c>
      <c r="B565" s="3" t="s">
        <v>1114</v>
      </c>
      <c r="C565" s="3" t="str">
        <f t="shared" si="1"/>
        <v>65 </v>
      </c>
      <c r="D565" s="3" t="str">
        <f t="shared" si="2"/>
        <v>over</v>
      </c>
      <c r="E565" s="2" t="s">
        <v>8</v>
      </c>
      <c r="F565" s="3" t="str">
        <f>IFERROR(__xludf.DUMMYFUNCTION("GOOGLETRANSLATE(D565,$D$1,$F$1)"),"kết thúc")</f>
        <v>kết thúc</v>
      </c>
      <c r="G565" s="3" t="s">
        <v>1115</v>
      </c>
    </row>
    <row r="566">
      <c r="A566" s="3">
        <v>7.0</v>
      </c>
      <c r="B566" s="3" t="s">
        <v>1116</v>
      </c>
      <c r="C566" s="3" t="str">
        <f t="shared" si="1"/>
        <v>65 </v>
      </c>
      <c r="D566" s="3" t="str">
        <f t="shared" si="2"/>
        <v>dentist</v>
      </c>
      <c r="E566" s="2" t="s">
        <v>8</v>
      </c>
      <c r="F566" s="3" t="str">
        <f>IFERROR(__xludf.DUMMYFUNCTION("GOOGLETRANSLATE(D566,$D$1,$F$1)"),"bác sĩ nha khoa")</f>
        <v>bác sĩ nha khoa</v>
      </c>
      <c r="G566" s="3" t="s">
        <v>1117</v>
      </c>
    </row>
    <row r="567">
      <c r="A567" s="3">
        <v>7.0</v>
      </c>
      <c r="B567" s="3" t="s">
        <v>1118</v>
      </c>
      <c r="C567" s="3" t="str">
        <f t="shared" si="1"/>
        <v>65 </v>
      </c>
      <c r="D567" s="3" t="str">
        <f t="shared" si="2"/>
        <v>go on holiday</v>
      </c>
      <c r="E567" s="2" t="s">
        <v>8</v>
      </c>
      <c r="F567" s="3" t="str">
        <f>IFERROR(__xludf.DUMMYFUNCTION("GOOGLETRANSLATE(D567,$D$1,$F$1)"),"đi nghỉ")</f>
        <v>đi nghỉ</v>
      </c>
      <c r="G567" s="3" t="s">
        <v>1119</v>
      </c>
    </row>
    <row r="568">
      <c r="A568" s="3">
        <v>7.0</v>
      </c>
      <c r="B568" s="3" t="s">
        <v>1120</v>
      </c>
      <c r="C568" s="3" t="str">
        <f t="shared" si="1"/>
        <v>66 </v>
      </c>
      <c r="D568" s="3" t="str">
        <f t="shared" si="2"/>
        <v>receptionist</v>
      </c>
      <c r="E568" s="2" t="s">
        <v>8</v>
      </c>
      <c r="F568" s="3" t="str">
        <f>IFERROR(__xludf.DUMMYFUNCTION("GOOGLETRANSLATE(D568,$D$1,$F$1)"),"lễ tân")</f>
        <v>lễ tân</v>
      </c>
      <c r="G568" s="3" t="s">
        <v>1121</v>
      </c>
    </row>
    <row r="569">
      <c r="A569" s="3">
        <v>7.0</v>
      </c>
      <c r="B569" s="3" t="s">
        <v>1122</v>
      </c>
      <c r="C569" s="3" t="str">
        <f t="shared" si="1"/>
        <v>67 </v>
      </c>
      <c r="D569" s="3" t="str">
        <f t="shared" si="2"/>
        <v>hate</v>
      </c>
      <c r="E569" s="2" t="s">
        <v>8</v>
      </c>
      <c r="F569" s="3" t="str">
        <f>IFERROR(__xludf.DUMMYFUNCTION("GOOGLETRANSLATE(D569,$D$1,$F$1)"),"ghét")</f>
        <v>ghét</v>
      </c>
      <c r="G569" s="3" t="s">
        <v>1123</v>
      </c>
    </row>
    <row r="570">
      <c r="A570" s="3">
        <v>7.0</v>
      </c>
      <c r="B570" s="3" t="s">
        <v>1124</v>
      </c>
      <c r="C570" s="3" t="str">
        <f t="shared" si="1"/>
        <v>67 </v>
      </c>
      <c r="D570" s="3" t="str">
        <f t="shared" si="2"/>
        <v>photograph</v>
      </c>
      <c r="E570" s="2" t="s">
        <v>8</v>
      </c>
      <c r="F570" s="3" t="str">
        <f>IFERROR(__xludf.DUMMYFUNCTION("GOOGLETRANSLATE(D570,$D$1,$F$1)"),"ảnh chụp")</f>
        <v>ảnh chụp</v>
      </c>
      <c r="G570" s="3" t="s">
        <v>1125</v>
      </c>
    </row>
    <row r="571">
      <c r="A571" s="3">
        <v>8.0</v>
      </c>
      <c r="B571" s="3" t="s">
        <v>1126</v>
      </c>
      <c r="C571" s="3" t="str">
        <f t="shared" si="1"/>
        <v>68 </v>
      </c>
      <c r="D571" s="3" t="str">
        <f t="shared" si="2"/>
        <v>cartoon</v>
      </c>
      <c r="E571" s="2" t="s">
        <v>8</v>
      </c>
      <c r="F571" s="3" t="str">
        <f>IFERROR(__xludf.DUMMYFUNCTION("GOOGLETRANSLATE(D571,$D$1,$F$1)"),"hoạt hình")</f>
        <v>hoạt hình</v>
      </c>
      <c r="G571" s="3" t="s">
        <v>1127</v>
      </c>
    </row>
    <row r="572">
      <c r="A572" s="3">
        <v>8.0</v>
      </c>
      <c r="B572" s="3" t="s">
        <v>1128</v>
      </c>
      <c r="C572" s="3" t="str">
        <f t="shared" si="1"/>
        <v>68 </v>
      </c>
      <c r="D572" s="3" t="str">
        <f t="shared" si="2"/>
        <v>love story</v>
      </c>
      <c r="E572" s="2" t="s">
        <v>8</v>
      </c>
      <c r="F572" s="3" t="str">
        <f>IFERROR(__xludf.DUMMYFUNCTION("GOOGLETRANSLATE(D572,$D$1,$F$1)"),"chuyện tình")</f>
        <v>chuyện tình</v>
      </c>
      <c r="G572" s="3" t="s">
        <v>1129</v>
      </c>
    </row>
    <row r="573">
      <c r="A573" s="3">
        <v>8.0</v>
      </c>
      <c r="B573" s="3" t="s">
        <v>1130</v>
      </c>
      <c r="C573" s="3" t="str">
        <f t="shared" si="1"/>
        <v>68 </v>
      </c>
      <c r="D573" s="3" t="str">
        <f t="shared" si="2"/>
        <v>comedy</v>
      </c>
      <c r="E573" s="2" t="s">
        <v>8</v>
      </c>
      <c r="F573" s="3" t="str">
        <f>IFERROR(__xludf.DUMMYFUNCTION("GOOGLETRANSLATE(D573,$D$1,$F$1)"),"phim hài")</f>
        <v>phim hài</v>
      </c>
      <c r="G573" s="3" t="s">
        <v>1131</v>
      </c>
    </row>
    <row r="574">
      <c r="A574" s="3">
        <v>8.0</v>
      </c>
      <c r="B574" s="3" t="s">
        <v>1132</v>
      </c>
      <c r="C574" s="3" t="str">
        <f t="shared" si="1"/>
        <v>68 </v>
      </c>
      <c r="D574" s="3" t="str">
        <f t="shared" si="2"/>
        <v>horror</v>
      </c>
      <c r="E574" s="2" t="s">
        <v>8</v>
      </c>
      <c r="F574" s="3" t="str">
        <f>IFERROR(__xludf.DUMMYFUNCTION("GOOGLETRANSLATE(D574,$D$1,$F$1)"),"kinh dị")</f>
        <v>kinh dị</v>
      </c>
      <c r="G574" s="3" t="s">
        <v>1133</v>
      </c>
    </row>
    <row r="575">
      <c r="A575" s="3">
        <v>8.0</v>
      </c>
      <c r="B575" s="3" t="s">
        <v>1134</v>
      </c>
      <c r="C575" s="3" t="str">
        <f t="shared" si="1"/>
        <v>68 </v>
      </c>
      <c r="D575" s="3" t="str">
        <f t="shared" si="2"/>
        <v>historical</v>
      </c>
      <c r="E575" s="2" t="s">
        <v>8</v>
      </c>
      <c r="F575" s="3" t="str">
        <f>IFERROR(__xludf.DUMMYFUNCTION("GOOGLETRANSLATE(D575,$D$1,$F$1)"),"lịch sử")</f>
        <v>lịch sử</v>
      </c>
      <c r="G575" s="3" t="s">
        <v>1135</v>
      </c>
    </row>
    <row r="576">
      <c r="A576" s="3">
        <v>8.0</v>
      </c>
      <c r="B576" s="3" t="s">
        <v>1136</v>
      </c>
      <c r="C576" s="3" t="str">
        <f t="shared" si="1"/>
        <v>68 </v>
      </c>
      <c r="D576" s="3" t="str">
        <f t="shared" si="2"/>
        <v>sad</v>
      </c>
      <c r="E576" s="2" t="s">
        <v>8</v>
      </c>
      <c r="F576" s="3" t="str">
        <f>IFERROR(__xludf.DUMMYFUNCTION("GOOGLETRANSLATE(D576,$D$1,$F$1)"),"buồn")</f>
        <v>buồn</v>
      </c>
      <c r="G576" s="3" t="s">
        <v>1137</v>
      </c>
    </row>
    <row r="577">
      <c r="A577" s="3">
        <v>8.0</v>
      </c>
      <c r="B577" s="3" t="s">
        <v>1138</v>
      </c>
      <c r="C577" s="3" t="str">
        <f t="shared" si="1"/>
        <v>68 </v>
      </c>
      <c r="D577" s="3" t="str">
        <f t="shared" si="2"/>
        <v>frightening</v>
      </c>
      <c r="E577" s="2" t="s">
        <v>8</v>
      </c>
      <c r="F577" s="3" t="str">
        <f>IFERROR(__xludf.DUMMYFUNCTION("GOOGLETRANSLATE(D577,$D$1,$F$1)"),"khủng khiếp")</f>
        <v>khủng khiếp</v>
      </c>
      <c r="G577" s="3" t="s">
        <v>1139</v>
      </c>
    </row>
    <row r="578">
      <c r="A578" s="3">
        <v>8.0</v>
      </c>
      <c r="B578" s="3" t="s">
        <v>1140</v>
      </c>
      <c r="C578" s="3" t="str">
        <f t="shared" si="1"/>
        <v>68 </v>
      </c>
      <c r="D578" s="3" t="str">
        <f t="shared" si="2"/>
        <v>exciting</v>
      </c>
      <c r="E578" s="2" t="s">
        <v>8</v>
      </c>
      <c r="F578" s="3" t="str">
        <f>IFERROR(__xludf.DUMMYFUNCTION("GOOGLETRANSLATE(D578,$D$1,$F$1)"),"thú vị")</f>
        <v>thú vị</v>
      </c>
      <c r="G578" s="3" t="s">
        <v>1141</v>
      </c>
    </row>
    <row r="579">
      <c r="A579" s="3">
        <v>8.0</v>
      </c>
      <c r="B579" s="3" t="s">
        <v>1142</v>
      </c>
      <c r="C579" s="3" t="str">
        <f t="shared" si="1"/>
        <v>68 </v>
      </c>
      <c r="D579" s="3" t="str">
        <f t="shared" si="2"/>
        <v>violent</v>
      </c>
      <c r="E579" s="2" t="s">
        <v>8</v>
      </c>
      <c r="F579" s="3" t="str">
        <f>IFERROR(__xludf.DUMMYFUNCTION("GOOGLETRANSLATE(D579,$D$1,$F$1)"),"hung bạo")</f>
        <v>hung bạo</v>
      </c>
      <c r="G579" s="3" t="s">
        <v>1143</v>
      </c>
    </row>
    <row r="580">
      <c r="A580" s="3">
        <v>8.0</v>
      </c>
      <c r="B580" s="3" t="s">
        <v>1144</v>
      </c>
      <c r="C580" s="3" t="str">
        <f t="shared" si="1"/>
        <v>68 </v>
      </c>
      <c r="D580" s="3" t="str">
        <f t="shared" si="2"/>
        <v>interesting</v>
      </c>
      <c r="E580" s="2" t="s">
        <v>8</v>
      </c>
      <c r="F580" s="3" t="str">
        <f>IFERROR(__xludf.DUMMYFUNCTION("GOOGLETRANSLATE(D580,$D$1,$F$1)"),"hấp dẫn")</f>
        <v>hấp dẫn</v>
      </c>
      <c r="G580" s="3" t="s">
        <v>1145</v>
      </c>
    </row>
    <row r="581">
      <c r="A581" s="3">
        <v>8.0</v>
      </c>
      <c r="B581" s="3" t="s">
        <v>1146</v>
      </c>
      <c r="C581" s="3" t="str">
        <f t="shared" si="1"/>
        <v>68 </v>
      </c>
      <c r="D581" s="3" t="str">
        <f t="shared" si="2"/>
        <v>romantic</v>
      </c>
      <c r="E581" s="2" t="s">
        <v>8</v>
      </c>
      <c r="F581" s="3" t="str">
        <f>IFERROR(__xludf.DUMMYFUNCTION("GOOGLETRANSLATE(D581,$D$1,$F$1)"),"lãng mạn")</f>
        <v>lãng mạn</v>
      </c>
      <c r="G581" s="3" t="s">
        <v>1147</v>
      </c>
    </row>
    <row r="582">
      <c r="A582" s="3">
        <v>8.0</v>
      </c>
      <c r="B582" s="3" t="s">
        <v>1148</v>
      </c>
      <c r="C582" s="3" t="str">
        <f t="shared" si="1"/>
        <v>68 </v>
      </c>
      <c r="D582" s="3" t="str">
        <f t="shared" si="2"/>
        <v>boring</v>
      </c>
      <c r="E582" s="2" t="s">
        <v>8</v>
      </c>
      <c r="F582" s="3" t="str">
        <f>IFERROR(__xludf.DUMMYFUNCTION("GOOGLETRANSLATE(D582,$D$1,$F$1)"),"nhàm chán")</f>
        <v>nhàm chán</v>
      </c>
      <c r="G582" s="3" t="s">
        <v>1149</v>
      </c>
    </row>
    <row r="583">
      <c r="A583" s="3">
        <v>8.0</v>
      </c>
      <c r="B583" s="3" t="s">
        <v>1150</v>
      </c>
      <c r="C583" s="3" t="str">
        <f t="shared" si="1"/>
        <v>68 </v>
      </c>
      <c r="D583" s="3" t="str">
        <f t="shared" si="2"/>
        <v>silly</v>
      </c>
      <c r="E583" s="2" t="s">
        <v>8</v>
      </c>
      <c r="F583" s="3" t="str">
        <f>IFERROR(__xludf.DUMMYFUNCTION("GOOGLETRANSLATE(D583,$D$1,$F$1)"),"ngớ ngẩn")</f>
        <v>ngớ ngẩn</v>
      </c>
      <c r="G583" s="3" t="s">
        <v>1151</v>
      </c>
    </row>
    <row r="584">
      <c r="A584" s="3">
        <v>8.0</v>
      </c>
      <c r="B584" s="3" t="s">
        <v>1152</v>
      </c>
      <c r="C584" s="3" t="str">
        <f t="shared" si="1"/>
        <v>68 </v>
      </c>
      <c r="D584" s="3" t="str">
        <f t="shared" si="2"/>
        <v>earn</v>
      </c>
      <c r="E584" s="2" t="s">
        <v>8</v>
      </c>
      <c r="F584" s="3" t="str">
        <f>IFERROR(__xludf.DUMMYFUNCTION("GOOGLETRANSLATE(D584,$D$1,$F$1)"),"kiếm")</f>
        <v>kiếm</v>
      </c>
      <c r="G584" s="3" t="s">
        <v>1153</v>
      </c>
    </row>
    <row r="585">
      <c r="A585" s="3">
        <v>8.0</v>
      </c>
      <c r="B585" s="3" t="s">
        <v>1154</v>
      </c>
      <c r="C585" s="3" t="str">
        <f t="shared" si="1"/>
        <v>68 </v>
      </c>
      <c r="D585" s="3" t="str">
        <f t="shared" si="2"/>
        <v>average</v>
      </c>
      <c r="E585" s="2" t="s">
        <v>8</v>
      </c>
      <c r="F585" s="3" t="str">
        <f>IFERROR(__xludf.DUMMYFUNCTION("GOOGLETRANSLATE(D585,$D$1,$F$1)"),"Trung bình cộng")</f>
        <v>Trung bình cộng</v>
      </c>
      <c r="G585" s="3" t="s">
        <v>1155</v>
      </c>
    </row>
    <row r="586">
      <c r="A586" s="3">
        <v>8.0</v>
      </c>
      <c r="B586" s="3" t="s">
        <v>1156</v>
      </c>
      <c r="C586" s="3" t="str">
        <f t="shared" si="1"/>
        <v>68 </v>
      </c>
      <c r="D586" s="3" t="str">
        <f t="shared" si="2"/>
        <v>Lebanese</v>
      </c>
      <c r="E586" s="2" t="s">
        <v>8</v>
      </c>
      <c r="F586" s="3" t="str">
        <f>IFERROR(__xludf.DUMMYFUNCTION("GOOGLETRANSLATE(D586,$D$1,$F$1)"),"người Lebanon")</f>
        <v>người Lebanon</v>
      </c>
      <c r="G586" s="3" t="s">
        <v>1157</v>
      </c>
    </row>
    <row r="587">
      <c r="A587" s="3">
        <v>8.0</v>
      </c>
      <c r="B587" s="3" t="s">
        <v>1158</v>
      </c>
      <c r="C587" s="3" t="str">
        <f t="shared" si="1"/>
        <v>68 </v>
      </c>
      <c r="D587" s="3" t="str">
        <f t="shared" si="2"/>
        <v>appear</v>
      </c>
      <c r="E587" s="2" t="s">
        <v>8</v>
      </c>
      <c r="F587" s="3" t="str">
        <f>IFERROR(__xludf.DUMMYFUNCTION("GOOGLETRANSLATE(D587,$D$1,$F$1)"),"xuất hiện")</f>
        <v>xuất hiện</v>
      </c>
      <c r="G587" s="3" t="s">
        <v>1159</v>
      </c>
    </row>
    <row r="588">
      <c r="A588" s="3">
        <v>8.0</v>
      </c>
      <c r="B588" s="3" t="s">
        <v>1160</v>
      </c>
      <c r="C588" s="3" t="str">
        <f t="shared" si="1"/>
        <v>68 </v>
      </c>
      <c r="D588" s="3" t="str">
        <f t="shared" si="2"/>
        <v>full-length</v>
      </c>
      <c r="E588" s="2" t="s">
        <v>8</v>
      </c>
      <c r="F588" s="3" t="str">
        <f>IFERROR(__xludf.DUMMYFUNCTION("GOOGLETRANSLATE(D588,$D$1,$F$1)"),"full-length")</f>
        <v>full-length</v>
      </c>
      <c r="G588" s="3" t="s">
        <v>1161</v>
      </c>
    </row>
    <row r="589">
      <c r="A589" s="3">
        <v>8.0</v>
      </c>
      <c r="B589" s="3" t="s">
        <v>1162</v>
      </c>
      <c r="C589" s="3" t="str">
        <f t="shared" si="1"/>
        <v>69 </v>
      </c>
      <c r="D589" s="3" t="str">
        <f t="shared" si="2"/>
        <v>starring</v>
      </c>
      <c r="E589" s="2" t="s">
        <v>8</v>
      </c>
      <c r="F589" s="3" t="str">
        <f>IFERROR(__xludf.DUMMYFUNCTION("GOOGLETRANSLATE(D589,$D$1,$F$1)"),"diễn viên")</f>
        <v>diễn viên</v>
      </c>
      <c r="G589" s="3" t="s">
        <v>1163</v>
      </c>
    </row>
    <row r="590">
      <c r="A590" s="3">
        <v>8.0</v>
      </c>
      <c r="B590" s="3" t="s">
        <v>1164</v>
      </c>
      <c r="C590" s="3" t="str">
        <f t="shared" si="1"/>
        <v>69 </v>
      </c>
      <c r="D590" s="3" t="str">
        <f t="shared" si="2"/>
        <v>successful</v>
      </c>
      <c r="E590" s="2" t="s">
        <v>8</v>
      </c>
      <c r="F590" s="3" t="str">
        <f>IFERROR(__xludf.DUMMYFUNCTION("GOOGLETRANSLATE(D590,$D$1,$F$1)"),"thành công")</f>
        <v>thành công</v>
      </c>
      <c r="G590" s="3" t="s">
        <v>1165</v>
      </c>
    </row>
    <row r="591">
      <c r="A591" s="3">
        <v>8.0</v>
      </c>
      <c r="B591" s="3" t="s">
        <v>1166</v>
      </c>
      <c r="C591" s="3" t="str">
        <f t="shared" si="1"/>
        <v>69 </v>
      </c>
      <c r="D591" s="3" t="str">
        <f t="shared" si="2"/>
        <v>top-paid</v>
      </c>
      <c r="E591" s="2" t="s">
        <v>8</v>
      </c>
      <c r="F591" s="3" t="str">
        <f>IFERROR(__xludf.DUMMYFUNCTION("GOOGLETRANSLATE(D591,$D$1,$F$1)"),"đầu trả")</f>
        <v>đầu trả</v>
      </c>
      <c r="G591" s="3" t="s">
        <v>1167</v>
      </c>
    </row>
    <row r="592">
      <c r="A592" s="3">
        <v>8.0</v>
      </c>
      <c r="B592" s="3" t="s">
        <v>1168</v>
      </c>
      <c r="C592" s="3" t="str">
        <f t="shared" si="1"/>
        <v>69 </v>
      </c>
      <c r="D592" s="3" t="str">
        <f t="shared" si="2"/>
        <v>probably</v>
      </c>
      <c r="E592" s="2" t="s">
        <v>8</v>
      </c>
      <c r="F592" s="3" t="str">
        <f>IFERROR(__xludf.DUMMYFUNCTION("GOOGLETRANSLATE(D592,$D$1,$F$1)"),"có lẽ")</f>
        <v>có lẽ</v>
      </c>
      <c r="G592" s="3" t="s">
        <v>1169</v>
      </c>
    </row>
    <row r="593">
      <c r="A593" s="3">
        <v>8.0</v>
      </c>
      <c r="B593" s="3" t="s">
        <v>1170</v>
      </c>
      <c r="C593" s="3" t="str">
        <f t="shared" si="1"/>
        <v>69 </v>
      </c>
      <c r="D593" s="3" t="str">
        <f t="shared" si="2"/>
        <v>best paid</v>
      </c>
      <c r="E593" s="2" t="s">
        <v>8</v>
      </c>
      <c r="F593" s="3" t="str">
        <f>IFERROR(__xludf.DUMMYFUNCTION("GOOGLETRANSLATE(D593,$D$1,$F$1)"),"tốt nhất trả")</f>
        <v>tốt nhất trả</v>
      </c>
      <c r="G593" s="3" t="s">
        <v>1171</v>
      </c>
    </row>
    <row r="594">
      <c r="A594" s="3">
        <v>8.0</v>
      </c>
      <c r="B594" s="3" t="s">
        <v>1172</v>
      </c>
      <c r="C594" s="3" t="str">
        <f t="shared" si="1"/>
        <v>69 </v>
      </c>
      <c r="D594" s="3" t="str">
        <f t="shared" si="2"/>
        <v>favourite</v>
      </c>
      <c r="E594" s="2" t="s">
        <v>8</v>
      </c>
      <c r="F594" s="3" t="str">
        <f>IFERROR(__xludf.DUMMYFUNCTION("GOOGLETRANSLATE(D594,$D$1,$F$1)"),"yêu thích")</f>
        <v>yêu thích</v>
      </c>
      <c r="G594" s="3" t="s">
        <v>1173</v>
      </c>
    </row>
    <row r="595">
      <c r="A595" s="3">
        <v>8.0</v>
      </c>
      <c r="B595" s="3" t="s">
        <v>1174</v>
      </c>
      <c r="C595" s="3" t="str">
        <f t="shared" si="1"/>
        <v>69 </v>
      </c>
      <c r="D595" s="3" t="str">
        <f t="shared" si="2"/>
        <v>silent movie</v>
      </c>
      <c r="E595" s="2" t="s">
        <v>8</v>
      </c>
      <c r="F595" s="3" t="str">
        <f>IFERROR(__xludf.DUMMYFUNCTION("GOOGLETRANSLATE(D595,$D$1,$F$1)"),"phim câm")</f>
        <v>phim câm</v>
      </c>
      <c r="G595" s="3" t="s">
        <v>1175</v>
      </c>
    </row>
    <row r="596">
      <c r="A596" s="3">
        <v>8.0</v>
      </c>
      <c r="B596" s="3" t="s">
        <v>1176</v>
      </c>
      <c r="C596" s="3" t="str">
        <f t="shared" si="1"/>
        <v>69 </v>
      </c>
      <c r="D596" s="3" t="str">
        <f t="shared" si="2"/>
        <v>act (v)</v>
      </c>
      <c r="E596" s="2" t="s">
        <v>8</v>
      </c>
      <c r="F596" s="3" t="str">
        <f>IFERROR(__xludf.DUMMYFUNCTION("GOOGLETRANSLATE(D596,$D$1,$F$1)"),"hành động (v)")</f>
        <v>hành động (v)</v>
      </c>
      <c r="G596" s="3" t="s">
        <v>1177</v>
      </c>
    </row>
    <row r="597">
      <c r="A597" s="3">
        <v>8.0</v>
      </c>
      <c r="B597" s="3" t="s">
        <v>1178</v>
      </c>
      <c r="C597" s="3" t="str">
        <f t="shared" si="1"/>
        <v>69 </v>
      </c>
      <c r="D597" s="3" t="str">
        <f t="shared" si="2"/>
        <v>India</v>
      </c>
      <c r="E597" s="2" t="s">
        <v>8</v>
      </c>
      <c r="F597" s="3" t="str">
        <f>IFERROR(__xludf.DUMMYFUNCTION("GOOGLETRANSLATE(D597,$D$1,$F$1)"),"Ấn Độ")</f>
        <v>Ấn Độ</v>
      </c>
      <c r="G597" s="3" t="s">
        <v>1179</v>
      </c>
    </row>
    <row r="598">
      <c r="A598" s="3">
        <v>8.0</v>
      </c>
      <c r="B598" s="3" t="s">
        <v>1180</v>
      </c>
      <c r="C598" s="3" t="str">
        <f t="shared" si="1"/>
        <v>70 </v>
      </c>
      <c r="D598" s="3" t="str">
        <f t="shared" si="2"/>
        <v>create</v>
      </c>
      <c r="E598" s="2" t="s">
        <v>8</v>
      </c>
      <c r="F598" s="3" t="str">
        <f>IFERROR(__xludf.DUMMYFUNCTION("GOOGLETRANSLATE(D598,$D$1,$F$1)"),"tạo nên")</f>
        <v>tạo nên</v>
      </c>
      <c r="G598" s="3" t="s">
        <v>1181</v>
      </c>
    </row>
    <row r="599">
      <c r="A599" s="3">
        <v>8.0</v>
      </c>
      <c r="B599" s="3" t="s">
        <v>1182</v>
      </c>
      <c r="C599" s="3" t="str">
        <f t="shared" si="1"/>
        <v>70 </v>
      </c>
      <c r="D599" s="3" t="str">
        <f t="shared" si="2"/>
        <v>follow</v>
      </c>
      <c r="E599" s="2" t="s">
        <v>8</v>
      </c>
      <c r="F599" s="3" t="str">
        <f>IFERROR(__xludf.DUMMYFUNCTION("GOOGLETRANSLATE(D599,$D$1,$F$1)"),"theo")</f>
        <v>theo</v>
      </c>
      <c r="G599" s="3" t="s">
        <v>1183</v>
      </c>
    </row>
    <row r="600">
      <c r="A600" s="3">
        <v>8.0</v>
      </c>
      <c r="B600" s="3" t="s">
        <v>1184</v>
      </c>
      <c r="C600" s="3" t="str">
        <f t="shared" si="1"/>
        <v>70 </v>
      </c>
      <c r="D600" s="3" t="str">
        <f t="shared" si="2"/>
        <v>fall in love</v>
      </c>
      <c r="E600" s="2" t="s">
        <v>8</v>
      </c>
      <c r="F600" s="3" t="str">
        <f>IFERROR(__xludf.DUMMYFUNCTION("GOOGLETRANSLATE(D600,$D$1,$F$1)"),"phải lòng ai đó")</f>
        <v>phải lòng ai đó</v>
      </c>
      <c r="G600" s="3" t="s">
        <v>1185</v>
      </c>
    </row>
    <row r="601">
      <c r="A601" s="3">
        <v>8.0</v>
      </c>
      <c r="B601" s="3" t="s">
        <v>1186</v>
      </c>
      <c r="C601" s="3" t="str">
        <f t="shared" si="1"/>
        <v>70 </v>
      </c>
      <c r="D601" s="3" t="str">
        <f t="shared" si="2"/>
        <v>vampire</v>
      </c>
      <c r="E601" s="2" t="s">
        <v>8</v>
      </c>
      <c r="F601" s="3" t="str">
        <f>IFERROR(__xludf.DUMMYFUNCTION("GOOGLETRANSLATE(D601,$D$1,$F$1)"),"ma cà rồng")</f>
        <v>ma cà rồng</v>
      </c>
      <c r="G601" s="3" t="s">
        <v>1187</v>
      </c>
    </row>
    <row r="602">
      <c r="A602" s="3">
        <v>8.0</v>
      </c>
      <c r="B602" s="3" t="s">
        <v>1188</v>
      </c>
      <c r="C602" s="3" t="str">
        <f t="shared" si="1"/>
        <v>70 </v>
      </c>
      <c r="D602" s="3" t="str">
        <f t="shared" si="2"/>
        <v>castle</v>
      </c>
      <c r="E602" s="2" t="s">
        <v>8</v>
      </c>
      <c r="F602" s="3" t="str">
        <f>IFERROR(__xludf.DUMMYFUNCTION("GOOGLETRANSLATE(D602,$D$1,$F$1)"),"Lâu đài")</f>
        <v>Lâu đài</v>
      </c>
      <c r="G602" s="3" t="s">
        <v>1189</v>
      </c>
    </row>
    <row r="603">
      <c r="A603" s="3">
        <v>8.0</v>
      </c>
      <c r="B603" s="3" t="s">
        <v>1190</v>
      </c>
      <c r="C603" s="3" t="str">
        <f t="shared" si="1"/>
        <v>70 </v>
      </c>
      <c r="D603" s="3" t="str">
        <f t="shared" si="2"/>
        <v>hole</v>
      </c>
      <c r="E603" s="2" t="s">
        <v>8</v>
      </c>
      <c r="F603" s="3" t="str">
        <f>IFERROR(__xludf.DUMMYFUNCTION("GOOGLETRANSLATE(D603,$D$1,$F$1)"),"hố")</f>
        <v>hố</v>
      </c>
      <c r="G603" s="3" t="s">
        <v>1191</v>
      </c>
    </row>
    <row r="604">
      <c r="A604" s="3">
        <v>8.0</v>
      </c>
      <c r="B604" s="3" t="s">
        <v>1192</v>
      </c>
      <c r="C604" s="3" t="str">
        <f t="shared" si="1"/>
        <v>70 </v>
      </c>
      <c r="D604" s="3" t="str">
        <f t="shared" si="2"/>
        <v>adventure</v>
      </c>
      <c r="E604" s="2" t="s">
        <v>8</v>
      </c>
      <c r="F604" s="3" t="str">
        <f>IFERROR(__xludf.DUMMYFUNCTION("GOOGLETRANSLATE(D604,$D$1,$F$1)"),"cuộc phiêu lưu")</f>
        <v>cuộc phiêu lưu</v>
      </c>
      <c r="G604" s="3" t="s">
        <v>1193</v>
      </c>
    </row>
    <row r="605">
      <c r="A605" s="3">
        <v>8.0</v>
      </c>
      <c r="B605" s="3" t="s">
        <v>1194</v>
      </c>
      <c r="C605" s="3" t="str">
        <f t="shared" si="1"/>
        <v>70 </v>
      </c>
      <c r="D605" s="3" t="str">
        <f t="shared" si="2"/>
        <v>forest</v>
      </c>
      <c r="E605" s="2" t="s">
        <v>8</v>
      </c>
      <c r="F605" s="3" t="str">
        <f>IFERROR(__xludf.DUMMYFUNCTION("GOOGLETRANSLATE(D605,$D$1,$F$1)"),"rừng")</f>
        <v>rừng</v>
      </c>
      <c r="G605" s="3" t="s">
        <v>1195</v>
      </c>
    </row>
    <row r="606">
      <c r="A606" s="3">
        <v>8.0</v>
      </c>
      <c r="B606" s="3" t="s">
        <v>1196</v>
      </c>
      <c r="C606" s="3" t="str">
        <f t="shared" si="1"/>
        <v>70 </v>
      </c>
      <c r="D606" s="3" t="str">
        <f t="shared" si="2"/>
        <v>monster</v>
      </c>
      <c r="E606" s="2" t="s">
        <v>8</v>
      </c>
      <c r="F606" s="3" t="str">
        <f>IFERROR(__xludf.DUMMYFUNCTION("GOOGLETRANSLATE(D606,$D$1,$F$1)"),"quái vật")</f>
        <v>quái vật</v>
      </c>
      <c r="G606" s="3" t="s">
        <v>1197</v>
      </c>
    </row>
    <row r="607">
      <c r="A607" s="3">
        <v>8.0</v>
      </c>
      <c r="B607" s="3" t="s">
        <v>1198</v>
      </c>
      <c r="C607" s="3" t="str">
        <f t="shared" si="1"/>
        <v>70 </v>
      </c>
      <c r="D607" s="3" t="str">
        <f t="shared" si="2"/>
        <v>handsome</v>
      </c>
      <c r="E607" s="2" t="s">
        <v>8</v>
      </c>
      <c r="F607" s="3" t="str">
        <f>IFERROR(__xludf.DUMMYFUNCTION("GOOGLETRANSLATE(D607,$D$1,$F$1)"),"đẹp")</f>
        <v>đẹp</v>
      </c>
      <c r="G607" s="3" t="s">
        <v>1199</v>
      </c>
    </row>
    <row r="608">
      <c r="A608" s="3">
        <v>8.0</v>
      </c>
      <c r="B608" s="3" t="s">
        <v>1200</v>
      </c>
      <c r="C608" s="3" t="str">
        <f t="shared" si="1"/>
        <v>70 </v>
      </c>
      <c r="D608" s="3" t="str">
        <f t="shared" si="2"/>
        <v>pleased</v>
      </c>
      <c r="E608" s="2" t="s">
        <v>8</v>
      </c>
      <c r="F608" s="3" t="str">
        <f>IFERROR(__xludf.DUMMYFUNCTION("GOOGLETRANSLATE(D608,$D$1,$F$1)"),"vừa lòng")</f>
        <v>vừa lòng</v>
      </c>
      <c r="G608" s="3" t="s">
        <v>1201</v>
      </c>
    </row>
    <row r="609">
      <c r="A609" s="3">
        <v>8.0</v>
      </c>
      <c r="B609" s="3" t="s">
        <v>1202</v>
      </c>
      <c r="C609" s="3" t="str">
        <f t="shared" si="1"/>
        <v>71 </v>
      </c>
      <c r="D609" s="3" t="str">
        <f t="shared" si="2"/>
        <v>rabbit</v>
      </c>
      <c r="E609" s="2" t="s">
        <v>8</v>
      </c>
      <c r="F609" s="3" t="str">
        <f>IFERROR(__xludf.DUMMYFUNCTION("GOOGLETRANSLATE(D609,$D$1,$F$1)"),"Con thỏ")</f>
        <v>Con thỏ</v>
      </c>
      <c r="G609" s="3" t="s">
        <v>1203</v>
      </c>
    </row>
    <row r="610">
      <c r="A610" s="3">
        <v>8.0</v>
      </c>
      <c r="B610" s="3" t="s">
        <v>1204</v>
      </c>
      <c r="C610" s="3" t="str">
        <f t="shared" si="1"/>
        <v>71 </v>
      </c>
      <c r="D610" s="3" t="str">
        <f t="shared" si="2"/>
        <v>ugly</v>
      </c>
      <c r="E610" s="2" t="s">
        <v>8</v>
      </c>
      <c r="F610" s="3" t="str">
        <f>IFERROR(__xludf.DUMMYFUNCTION("GOOGLETRANSLATE(D610,$D$1,$F$1)"),"xấu xí")</f>
        <v>xấu xí</v>
      </c>
      <c r="G610" s="3" t="s">
        <v>1205</v>
      </c>
    </row>
    <row r="611">
      <c r="A611" s="3">
        <v>8.0</v>
      </c>
      <c r="B611" s="3" t="s">
        <v>1206</v>
      </c>
      <c r="C611" s="3" t="str">
        <f t="shared" si="1"/>
        <v>71 </v>
      </c>
      <c r="D611" s="3" t="str">
        <f t="shared" si="2"/>
        <v>angry</v>
      </c>
      <c r="E611" s="2" t="s">
        <v>8</v>
      </c>
      <c r="F611" s="3" t="str">
        <f>IFERROR(__xludf.DUMMYFUNCTION("GOOGLETRANSLATE(D611,$D$1,$F$1)"),"bực bội")</f>
        <v>bực bội</v>
      </c>
      <c r="G611" s="3" t="s">
        <v>1207</v>
      </c>
    </row>
    <row r="612">
      <c r="A612" s="3">
        <v>8.0</v>
      </c>
      <c r="B612" s="3" t="s">
        <v>1208</v>
      </c>
      <c r="C612" s="3" t="str">
        <f t="shared" si="1"/>
        <v>71 </v>
      </c>
      <c r="D612" s="3" t="str">
        <f t="shared" si="2"/>
        <v>kill</v>
      </c>
      <c r="E612" s="2" t="s">
        <v>8</v>
      </c>
      <c r="F612" s="3" t="str">
        <f>IFERROR(__xludf.DUMMYFUNCTION("GOOGLETRANSLATE(D612,$D$1,$F$1)"),"giết chết")</f>
        <v>giết chết</v>
      </c>
      <c r="G612" s="3" t="s">
        <v>1209</v>
      </c>
    </row>
    <row r="613">
      <c r="A613" s="3">
        <v>8.0</v>
      </c>
      <c r="B613" s="3" t="s">
        <v>1210</v>
      </c>
      <c r="C613" s="3" t="str">
        <f t="shared" si="1"/>
        <v>71 </v>
      </c>
      <c r="D613" s="3" t="str">
        <f t="shared" si="2"/>
        <v>wear</v>
      </c>
      <c r="E613" s="2" t="s">
        <v>8</v>
      </c>
      <c r="F613" s="3" t="str">
        <f>IFERROR(__xludf.DUMMYFUNCTION("GOOGLETRANSLATE(D613,$D$1,$F$1)"),"mặc")</f>
        <v>mặc</v>
      </c>
      <c r="G613" s="3" t="s">
        <v>1211</v>
      </c>
    </row>
    <row r="614">
      <c r="A614" s="3">
        <v>8.0</v>
      </c>
      <c r="B614" s="3" t="s">
        <v>1212</v>
      </c>
      <c r="C614" s="3" t="str">
        <f t="shared" si="1"/>
        <v>71 </v>
      </c>
      <c r="D614" s="3" t="str">
        <f t="shared" si="2"/>
        <v>ride</v>
      </c>
      <c r="E614" s="2" t="s">
        <v>8</v>
      </c>
      <c r="F614" s="3" t="str">
        <f>IFERROR(__xludf.DUMMYFUNCTION("GOOGLETRANSLATE(D614,$D$1,$F$1)"),"dap xe")</f>
        <v>dap xe</v>
      </c>
      <c r="G614" s="3" t="s">
        <v>1213</v>
      </c>
    </row>
    <row r="615">
      <c r="A615" s="3">
        <v>8.0</v>
      </c>
      <c r="B615" s="3" t="s">
        <v>1214</v>
      </c>
      <c r="C615" s="3" t="str">
        <f t="shared" si="1"/>
        <v>71 </v>
      </c>
      <c r="D615" s="3" t="str">
        <f t="shared" si="2"/>
        <v>rollerblades</v>
      </c>
      <c r="E615" s="2" t="s">
        <v>8</v>
      </c>
      <c r="F615" s="3" t="str">
        <f>IFERROR(__xludf.DUMMYFUNCTION("GOOGLETRANSLATE(D615,$D$1,$F$1)"),"Rollerblades")</f>
        <v>Rollerblades</v>
      </c>
      <c r="G615" s="3" t="s">
        <v>1215</v>
      </c>
    </row>
    <row r="616">
      <c r="A616" s="3">
        <v>8.0</v>
      </c>
      <c r="B616" s="3" t="s">
        <v>1216</v>
      </c>
      <c r="C616" s="3" t="str">
        <f t="shared" si="1"/>
        <v>71 </v>
      </c>
      <c r="D616" s="3" t="str">
        <f t="shared" si="2"/>
        <v>rent (v)</v>
      </c>
      <c r="E616" s="2" t="s">
        <v>8</v>
      </c>
      <c r="F616" s="3" t="str">
        <f>IFERROR(__xludf.DUMMYFUNCTION("GOOGLETRANSLATE(D616,$D$1,$F$1)"),"thuê (v)")</f>
        <v>thuê (v)</v>
      </c>
      <c r="G616" s="3" t="s">
        <v>1217</v>
      </c>
    </row>
    <row r="617">
      <c r="A617" s="3">
        <v>8.0</v>
      </c>
      <c r="B617" s="3" t="s">
        <v>1218</v>
      </c>
      <c r="C617" s="3" t="str">
        <f t="shared" si="1"/>
        <v>71 </v>
      </c>
      <c r="D617" s="3" t="str">
        <f t="shared" si="2"/>
        <v>news</v>
      </c>
      <c r="E617" s="2" t="s">
        <v>8</v>
      </c>
      <c r="F617" s="3" t="str">
        <f>IFERROR(__xludf.DUMMYFUNCTION("GOOGLETRANSLATE(D617,$D$1,$F$1)"),"Tin tức")</f>
        <v>Tin tức</v>
      </c>
      <c r="G617" s="3" t="s">
        <v>1219</v>
      </c>
    </row>
    <row r="618">
      <c r="A618" s="3">
        <v>8.0</v>
      </c>
      <c r="B618" s="3" t="s">
        <v>1220</v>
      </c>
      <c r="C618" s="3" t="str">
        <f t="shared" si="1"/>
        <v>72 </v>
      </c>
      <c r="D618" s="3" t="str">
        <f t="shared" si="2"/>
        <v>author</v>
      </c>
      <c r="E618" s="2" t="s">
        <v>8</v>
      </c>
      <c r="F618" s="3" t="str">
        <f>IFERROR(__xludf.DUMMYFUNCTION("GOOGLETRANSLATE(D618,$D$1,$F$1)"),"tác giả")</f>
        <v>tác giả</v>
      </c>
      <c r="G618" s="3" t="s">
        <v>1221</v>
      </c>
    </row>
    <row r="619">
      <c r="A619" s="3">
        <v>8.0</v>
      </c>
      <c r="B619" s="3" t="s">
        <v>1222</v>
      </c>
      <c r="C619" s="3" t="str">
        <f t="shared" si="1"/>
        <v>72 </v>
      </c>
      <c r="D619" s="3" t="str">
        <f t="shared" si="2"/>
        <v>behind</v>
      </c>
      <c r="E619" s="2" t="s">
        <v>8</v>
      </c>
      <c r="F619" s="3" t="str">
        <f>IFERROR(__xludf.DUMMYFUNCTION("GOOGLETRANSLATE(D619,$D$1,$F$1)"),"phía sau")</f>
        <v>phía sau</v>
      </c>
      <c r="G619" s="3" t="s">
        <v>1223</v>
      </c>
    </row>
    <row r="620">
      <c r="A620" s="3">
        <v>8.0</v>
      </c>
      <c r="B620" s="3" t="s">
        <v>1224</v>
      </c>
      <c r="C620" s="3" t="str">
        <f t="shared" si="1"/>
        <v>72 </v>
      </c>
      <c r="D620" s="3" t="str">
        <f t="shared" si="2"/>
        <v>legend</v>
      </c>
      <c r="E620" s="2" t="s">
        <v>8</v>
      </c>
      <c r="F620" s="3" t="str">
        <f>IFERROR(__xludf.DUMMYFUNCTION("GOOGLETRANSLATE(D620,$D$1,$F$1)"),"huyền thoại")</f>
        <v>huyền thoại</v>
      </c>
      <c r="G620" s="3" t="s">
        <v>1225</v>
      </c>
    </row>
    <row r="621">
      <c r="A621" s="3">
        <v>8.0</v>
      </c>
      <c r="B621" s="3" t="s">
        <v>1226</v>
      </c>
      <c r="C621" s="3" t="str">
        <f t="shared" si="1"/>
        <v>72 </v>
      </c>
      <c r="D621" s="3" t="str">
        <f t="shared" si="2"/>
        <v>if so</v>
      </c>
      <c r="E621" s="2" t="s">
        <v>8</v>
      </c>
      <c r="F621" s="3" t="str">
        <f>IFERROR(__xludf.DUMMYFUNCTION("GOOGLETRANSLATE(D621,$D$1,$F$1)"),"nếu vậy")</f>
        <v>nếu vậy</v>
      </c>
      <c r="G621" s="3" t="s">
        <v>1227</v>
      </c>
    </row>
    <row r="622">
      <c r="A622" s="3">
        <v>8.0</v>
      </c>
      <c r="B622" s="3" t="s">
        <v>1228</v>
      </c>
      <c r="C622" s="3" t="str">
        <f t="shared" si="1"/>
        <v>72 </v>
      </c>
      <c r="D622" s="3" t="str">
        <f t="shared" si="2"/>
        <v>fantasy story</v>
      </c>
      <c r="E622" s="2" t="s">
        <v>8</v>
      </c>
      <c r="F622" s="3" t="str">
        <f>IFERROR(__xludf.DUMMYFUNCTION("GOOGLETRANSLATE(D622,$D$1,$F$1)"),"câu chuyện tưởng tượng")</f>
        <v>câu chuyện tưởng tượng</v>
      </c>
      <c r="G622" s="3" t="s">
        <v>1229</v>
      </c>
    </row>
    <row r="623">
      <c r="A623" s="3">
        <v>8.0</v>
      </c>
      <c r="B623" s="3" t="s">
        <v>1230</v>
      </c>
      <c r="C623" s="3" t="str">
        <f t="shared" si="1"/>
        <v>72 </v>
      </c>
      <c r="D623" s="3" t="str">
        <f t="shared" si="2"/>
        <v>Lord</v>
      </c>
      <c r="E623" s="2" t="s">
        <v>8</v>
      </c>
      <c r="F623" s="3" t="str">
        <f>IFERROR(__xludf.DUMMYFUNCTION("GOOGLETRANSLATE(D623,$D$1,$F$1)"),"Chúa tể")</f>
        <v>Chúa tể</v>
      </c>
      <c r="G623" s="3" t="s">
        <v>1231</v>
      </c>
    </row>
    <row r="624">
      <c r="A624" s="3">
        <v>8.0</v>
      </c>
      <c r="B624" s="3" t="s">
        <v>1232</v>
      </c>
      <c r="C624" s="3" t="str">
        <f t="shared" si="1"/>
        <v>72 </v>
      </c>
      <c r="D624" s="3" t="str">
        <f t="shared" si="2"/>
        <v>based on</v>
      </c>
      <c r="E624" s="2" t="s">
        <v>8</v>
      </c>
      <c r="F624" s="3" t="str">
        <f>IFERROR(__xludf.DUMMYFUNCTION("GOOGLETRANSLATE(D624,$D$1,$F$1)"),"dựa trên")</f>
        <v>dựa trên</v>
      </c>
      <c r="G624" s="3" t="s">
        <v>1233</v>
      </c>
    </row>
    <row r="625">
      <c r="A625" s="3">
        <v>8.0</v>
      </c>
      <c r="B625" s="3" t="s">
        <v>1234</v>
      </c>
      <c r="C625" s="3" t="str">
        <f t="shared" si="1"/>
        <v>72 </v>
      </c>
      <c r="D625" s="3" t="str">
        <f t="shared" si="2"/>
        <v>novel</v>
      </c>
      <c r="E625" s="2" t="s">
        <v>8</v>
      </c>
      <c r="F625" s="3" t="str">
        <f>IFERROR(__xludf.DUMMYFUNCTION("GOOGLETRANSLATE(D625,$D$1,$F$1)"),"cuốn tiểu thuyết")</f>
        <v>cuốn tiểu thuyết</v>
      </c>
      <c r="G625" s="3" t="s">
        <v>1235</v>
      </c>
    </row>
    <row r="626">
      <c r="A626" s="3">
        <v>8.0</v>
      </c>
      <c r="B626" s="3" t="s">
        <v>1236</v>
      </c>
      <c r="C626" s="3" t="str">
        <f t="shared" si="1"/>
        <v>72 </v>
      </c>
      <c r="D626" s="3" t="str">
        <f t="shared" si="2"/>
        <v>director</v>
      </c>
      <c r="E626" s="2" t="s">
        <v>8</v>
      </c>
      <c r="F626" s="3" t="str">
        <f>IFERROR(__xludf.DUMMYFUNCTION("GOOGLETRANSLATE(D626,$D$1,$F$1)"),"giám đốc")</f>
        <v>giám đốc</v>
      </c>
      <c r="G626" s="3" t="s">
        <v>1237</v>
      </c>
    </row>
    <row r="627">
      <c r="A627" s="3">
        <v>8.0</v>
      </c>
      <c r="B627" s="3" t="s">
        <v>1238</v>
      </c>
      <c r="C627" s="3" t="str">
        <f t="shared" si="1"/>
        <v>72 </v>
      </c>
      <c r="D627" s="3" t="str">
        <f t="shared" si="2"/>
        <v>New Zealand</v>
      </c>
      <c r="E627" s="2" t="s">
        <v>8</v>
      </c>
      <c r="F627" s="3" t="str">
        <f>IFERROR(__xludf.DUMMYFUNCTION("GOOGLETRANSLATE(D627,$D$1,$F$1)"),"New Zealand")</f>
        <v>New Zealand</v>
      </c>
      <c r="G627" s="3" t="s">
        <v>1239</v>
      </c>
    </row>
    <row r="628">
      <c r="A628" s="3">
        <v>8.0</v>
      </c>
      <c r="B628" s="3" t="s">
        <v>1240</v>
      </c>
      <c r="C628" s="3" t="str">
        <f t="shared" si="1"/>
        <v>72 </v>
      </c>
      <c r="D628" s="3" t="str">
        <f t="shared" si="2"/>
        <v>fans</v>
      </c>
      <c r="E628" s="2" t="s">
        <v>8</v>
      </c>
      <c r="F628" s="3" t="str">
        <f>IFERROR(__xludf.DUMMYFUNCTION("GOOGLETRANSLATE(D628,$D$1,$F$1)"),"fan")</f>
        <v>fan</v>
      </c>
      <c r="G628" s="3" t="s">
        <v>1241</v>
      </c>
    </row>
    <row r="629">
      <c r="A629" s="3">
        <v>8.0</v>
      </c>
      <c r="B629" s="3" t="s">
        <v>1242</v>
      </c>
      <c r="C629" s="3" t="str">
        <f t="shared" si="1"/>
        <v>72 </v>
      </c>
      <c r="D629" s="3" t="str">
        <f t="shared" si="2"/>
        <v>queue (v)</v>
      </c>
      <c r="E629" s="2" t="s">
        <v>8</v>
      </c>
      <c r="F629" s="3" t="str">
        <f>IFERROR(__xludf.DUMMYFUNCTION("GOOGLETRANSLATE(D629,$D$1,$F$1)"),"hàng đợi (v)")</f>
        <v>hàng đợi (v)</v>
      </c>
      <c r="G629" s="3" t="s">
        <v>1243</v>
      </c>
    </row>
    <row r="630">
      <c r="A630" s="3">
        <v>8.0</v>
      </c>
      <c r="B630" s="3" t="s">
        <v>1244</v>
      </c>
      <c r="C630" s="3" t="str">
        <f t="shared" si="1"/>
        <v>72 </v>
      </c>
      <c r="D630" s="3" t="str">
        <f t="shared" si="2"/>
        <v>ticket</v>
      </c>
      <c r="E630" s="2" t="s">
        <v>8</v>
      </c>
      <c r="F630" s="3" t="str">
        <f>IFERROR(__xludf.DUMMYFUNCTION("GOOGLETRANSLATE(D630,$D$1,$F$1)"),"vé")</f>
        <v>vé</v>
      </c>
      <c r="G630" s="3" t="s">
        <v>1245</v>
      </c>
    </row>
    <row r="631">
      <c r="A631" s="3">
        <v>8.0</v>
      </c>
      <c r="B631" s="3" t="s">
        <v>1246</v>
      </c>
      <c r="C631" s="3" t="str">
        <f t="shared" si="1"/>
        <v>72 </v>
      </c>
      <c r="D631" s="3" t="str">
        <f t="shared" si="2"/>
        <v>enormous</v>
      </c>
      <c r="E631" s="2" t="s">
        <v>8</v>
      </c>
      <c r="F631" s="3" t="str">
        <f>IFERROR(__xludf.DUMMYFUNCTION("GOOGLETRANSLATE(D631,$D$1,$F$1)"),"khổng lồ")</f>
        <v>khổng lồ</v>
      </c>
      <c r="G631" s="3" t="s">
        <v>1247</v>
      </c>
    </row>
    <row r="632">
      <c r="A632" s="3">
        <v>8.0</v>
      </c>
      <c r="B632" s="3" t="s">
        <v>1248</v>
      </c>
      <c r="C632" s="3" t="str">
        <f t="shared" si="1"/>
        <v>72 </v>
      </c>
      <c r="D632" s="3" t="str">
        <f t="shared" si="2"/>
        <v>return (n)</v>
      </c>
      <c r="E632" s="2" t="s">
        <v>8</v>
      </c>
      <c r="F632" s="3" t="str">
        <f>IFERROR(__xludf.DUMMYFUNCTION("GOOGLETRANSLATE(D632,$D$1,$F$1)"),"return (n)")</f>
        <v>return (n)</v>
      </c>
      <c r="G632" s="3" t="s">
        <v>1249</v>
      </c>
    </row>
    <row r="633">
      <c r="A633" s="3">
        <v>8.0</v>
      </c>
      <c r="B633" s="3" t="s">
        <v>1250</v>
      </c>
      <c r="C633" s="3" t="str">
        <f t="shared" si="1"/>
        <v>72 </v>
      </c>
      <c r="D633" s="3" t="str">
        <f t="shared" si="2"/>
        <v>king</v>
      </c>
      <c r="E633" s="2" t="s">
        <v>8</v>
      </c>
      <c r="F633" s="3" t="str">
        <f>IFERROR(__xludf.DUMMYFUNCTION("GOOGLETRANSLATE(D633,$D$1,$F$1)"),"nhà vua")</f>
        <v>nhà vua</v>
      </c>
      <c r="G633" s="3" t="s">
        <v>1251</v>
      </c>
    </row>
    <row r="634">
      <c r="A634" s="3">
        <v>8.0</v>
      </c>
      <c r="B634" s="3" t="s">
        <v>1252</v>
      </c>
      <c r="C634" s="3" t="str">
        <f t="shared" si="1"/>
        <v>72 </v>
      </c>
      <c r="D634" s="3" t="str">
        <f t="shared" si="2"/>
        <v>Middle Earth</v>
      </c>
      <c r="E634" s="2" t="s">
        <v>8</v>
      </c>
      <c r="F634" s="3" t="str">
        <f>IFERROR(__xludf.DUMMYFUNCTION("GOOGLETRANSLATE(D634,$D$1,$F$1)"),"Middle Earth")</f>
        <v>Middle Earth</v>
      </c>
      <c r="G634" s="3" t="s">
        <v>1253</v>
      </c>
    </row>
    <row r="635">
      <c r="A635" s="3">
        <v>8.0</v>
      </c>
      <c r="B635" s="3" t="s">
        <v>1254</v>
      </c>
      <c r="C635" s="3" t="str">
        <f t="shared" si="1"/>
        <v>72 </v>
      </c>
      <c r="D635" s="3" t="str">
        <f t="shared" si="2"/>
        <v>childhood</v>
      </c>
      <c r="E635" s="2" t="s">
        <v>8</v>
      </c>
      <c r="F635" s="3" t="str">
        <f>IFERROR(__xludf.DUMMYFUNCTION("GOOGLETRANSLATE(D635,$D$1,$F$1)"),"thời thơ ấu")</f>
        <v>thời thơ ấu</v>
      </c>
      <c r="G635" s="3" t="s">
        <v>1255</v>
      </c>
    </row>
    <row r="636">
      <c r="A636" s="3">
        <v>8.0</v>
      </c>
      <c r="B636" s="3" t="s">
        <v>1256</v>
      </c>
      <c r="C636" s="3" t="str">
        <f t="shared" si="1"/>
        <v>72 </v>
      </c>
      <c r="D636" s="3" t="str">
        <f t="shared" si="2"/>
        <v>ancient</v>
      </c>
      <c r="E636" s="2" t="s">
        <v>8</v>
      </c>
      <c r="F636" s="3" t="str">
        <f>IFERROR(__xludf.DUMMYFUNCTION("GOOGLETRANSLATE(D636,$D$1,$F$1)"),"cổ xưa")</f>
        <v>cổ xưa</v>
      </c>
      <c r="G636" s="3" t="s">
        <v>1257</v>
      </c>
    </row>
    <row r="637">
      <c r="A637" s="3">
        <v>8.0</v>
      </c>
      <c r="B637" s="3" t="s">
        <v>1258</v>
      </c>
      <c r="C637" s="3" t="str">
        <f t="shared" si="1"/>
        <v>72 </v>
      </c>
      <c r="D637" s="3" t="str">
        <f t="shared" si="2"/>
        <v>professor</v>
      </c>
      <c r="E637" s="2" t="s">
        <v>8</v>
      </c>
      <c r="F637" s="3" t="str">
        <f>IFERROR(__xludf.DUMMYFUNCTION("GOOGLETRANSLATE(D637,$D$1,$F$1)"),"Giáo sư")</f>
        <v>Giáo sư</v>
      </c>
      <c r="G637" s="3" t="s">
        <v>1259</v>
      </c>
    </row>
    <row r="638">
      <c r="A638" s="3">
        <v>8.0</v>
      </c>
      <c r="B638" s="3" t="s">
        <v>1260</v>
      </c>
      <c r="C638" s="3" t="str">
        <f t="shared" si="1"/>
        <v>72 </v>
      </c>
      <c r="D638" s="3" t="str">
        <f t="shared" si="2"/>
        <v>great-grandson</v>
      </c>
      <c r="E638" s="2" t="s">
        <v>8</v>
      </c>
      <c r="F638" s="3" t="str">
        <f>IFERROR(__xludf.DUMMYFUNCTION("GOOGLETRANSLATE(D638,$D$1,$F$1)"),"cháu chắt trai")</f>
        <v>cháu chắt trai</v>
      </c>
      <c r="G638" s="3" t="s">
        <v>1261</v>
      </c>
    </row>
    <row r="639">
      <c r="A639" s="3">
        <v>8.0</v>
      </c>
      <c r="B639" s="3" t="s">
        <v>1262</v>
      </c>
      <c r="C639" s="3" t="str">
        <f t="shared" si="1"/>
        <v>73 </v>
      </c>
      <c r="D639" s="3" t="str">
        <f t="shared" si="2"/>
        <v>money</v>
      </c>
      <c r="E639" s="2" t="s">
        <v>8</v>
      </c>
      <c r="F639" s="3" t="str">
        <f>IFERROR(__xludf.DUMMYFUNCTION("GOOGLETRANSLATE(D639,$D$1,$F$1)"),"tiền bạc")</f>
        <v>tiền bạc</v>
      </c>
      <c r="G639" s="3" t="s">
        <v>1263</v>
      </c>
    </row>
    <row r="640">
      <c r="A640" s="3">
        <v>8.0</v>
      </c>
      <c r="B640" s="3" t="s">
        <v>1264</v>
      </c>
      <c r="C640" s="3" t="str">
        <f t="shared" si="1"/>
        <v>73 </v>
      </c>
      <c r="D640" s="3" t="str">
        <f t="shared" si="2"/>
        <v>abroad</v>
      </c>
      <c r="E640" s="2" t="s">
        <v>8</v>
      </c>
      <c r="F640" s="3" t="str">
        <f>IFERROR(__xludf.DUMMYFUNCTION("GOOGLETRANSLATE(D640,$D$1,$F$1)"),"ở nước ngoài")</f>
        <v>ở nước ngoài</v>
      </c>
      <c r="G640" s="3" t="s">
        <v>1265</v>
      </c>
    </row>
    <row r="641">
      <c r="A641" s="3">
        <v>8.0</v>
      </c>
      <c r="B641" s="3" t="s">
        <v>1266</v>
      </c>
      <c r="C641" s="3" t="str">
        <f t="shared" si="1"/>
        <v>73 </v>
      </c>
      <c r="D641" s="3" t="str">
        <f t="shared" si="2"/>
        <v>fashionable</v>
      </c>
      <c r="E641" s="2" t="s">
        <v>8</v>
      </c>
      <c r="F641" s="3" t="str">
        <f>IFERROR(__xludf.DUMMYFUNCTION("GOOGLETRANSLATE(D641,$D$1,$F$1)"),"hợp thời trang")</f>
        <v>hợp thời trang</v>
      </c>
      <c r="G641" s="3" t="s">
        <v>1267</v>
      </c>
    </row>
    <row r="642">
      <c r="A642" s="3">
        <v>8.0</v>
      </c>
      <c r="B642" s="3" t="s">
        <v>1268</v>
      </c>
      <c r="C642" s="3" t="str">
        <f t="shared" si="1"/>
        <v>73 </v>
      </c>
      <c r="D642" s="3" t="str">
        <f t="shared" si="2"/>
        <v>musical instrument</v>
      </c>
      <c r="E642" s="2" t="s">
        <v>8</v>
      </c>
      <c r="F642" s="3" t="str">
        <f>IFERROR(__xludf.DUMMYFUNCTION("GOOGLETRANSLATE(D642,$D$1,$F$1)"),"nhạc cụ")</f>
        <v>nhạc cụ</v>
      </c>
      <c r="G642" s="3" t="s">
        <v>1269</v>
      </c>
    </row>
    <row r="643">
      <c r="A643" s="3">
        <v>8.0</v>
      </c>
      <c r="B643" s="3" t="s">
        <v>1270</v>
      </c>
      <c r="C643" s="3" t="str">
        <f t="shared" si="1"/>
        <v>73 </v>
      </c>
      <c r="D643" s="3" t="str">
        <f t="shared" si="2"/>
        <v>remember</v>
      </c>
      <c r="E643" s="2" t="s">
        <v>8</v>
      </c>
      <c r="F643" s="3" t="str">
        <f>IFERROR(__xludf.DUMMYFUNCTION("GOOGLETRANSLATE(D643,$D$1,$F$1)"),"nhớ lại")</f>
        <v>nhớ lại</v>
      </c>
      <c r="G643" s="3" t="s">
        <v>1271</v>
      </c>
    </row>
    <row r="644">
      <c r="A644" s="3">
        <v>8.0</v>
      </c>
      <c r="B644" s="3" t="s">
        <v>1272</v>
      </c>
      <c r="C644" s="3" t="str">
        <f t="shared" si="1"/>
        <v>73 </v>
      </c>
      <c r="D644" s="3" t="str">
        <f t="shared" si="2"/>
        <v>old town</v>
      </c>
      <c r="E644" s="2" t="s">
        <v>8</v>
      </c>
      <c r="F644" s="3" t="str">
        <f>IFERROR(__xludf.DUMMYFUNCTION("GOOGLETRANSLATE(D644,$D$1,$F$1)"),"phố cổ")</f>
        <v>phố cổ</v>
      </c>
      <c r="G644" s="3" t="s">
        <v>1273</v>
      </c>
    </row>
    <row r="645">
      <c r="A645" s="3">
        <v>8.0</v>
      </c>
      <c r="B645" s="3" t="s">
        <v>1274</v>
      </c>
      <c r="C645" s="3" t="str">
        <f t="shared" si="1"/>
        <v>73 </v>
      </c>
      <c r="D645" s="3" t="str">
        <f t="shared" si="2"/>
        <v>club</v>
      </c>
      <c r="E645" s="2" t="s">
        <v>8</v>
      </c>
      <c r="F645" s="3" t="str">
        <f>IFERROR(__xludf.DUMMYFUNCTION("GOOGLETRANSLATE(D645,$D$1,$F$1)"),"câu lạc bộ")</f>
        <v>câu lạc bộ</v>
      </c>
      <c r="G645" s="3" t="s">
        <v>1275</v>
      </c>
    </row>
    <row r="646">
      <c r="A646" s="3">
        <v>8.0</v>
      </c>
      <c r="B646" s="3" t="s">
        <v>1276</v>
      </c>
      <c r="C646" s="3" t="str">
        <f t="shared" si="1"/>
        <v>73 </v>
      </c>
      <c r="D646" s="3" t="str">
        <f t="shared" si="2"/>
        <v>tell</v>
      </c>
      <c r="E646" s="2" t="s">
        <v>8</v>
      </c>
      <c r="F646" s="3" t="str">
        <f>IFERROR(__xludf.DUMMYFUNCTION("GOOGLETRANSLATE(D646,$D$1,$F$1)"),"nói")</f>
        <v>nói</v>
      </c>
      <c r="G646" s="3" t="s">
        <v>1277</v>
      </c>
    </row>
    <row r="647">
      <c r="A647" s="3">
        <v>8.0</v>
      </c>
      <c r="B647" s="3" t="s">
        <v>1278</v>
      </c>
      <c r="C647" s="3" t="str">
        <f t="shared" si="1"/>
        <v>73 </v>
      </c>
      <c r="D647" s="3" t="str">
        <f t="shared" si="2"/>
        <v>Prague</v>
      </c>
      <c r="E647" s="2" t="s">
        <v>8</v>
      </c>
      <c r="F647" s="3" t="str">
        <f>IFERROR(__xludf.DUMMYFUNCTION("GOOGLETRANSLATE(D647,$D$1,$F$1)"),"Prague")</f>
        <v>Prague</v>
      </c>
      <c r="G647" s="3" t="s">
        <v>1279</v>
      </c>
    </row>
    <row r="648">
      <c r="A648" s="3">
        <v>8.0</v>
      </c>
      <c r="B648" s="3" t="s">
        <v>1280</v>
      </c>
      <c r="C648" s="3" t="str">
        <f t="shared" si="1"/>
        <v>73 </v>
      </c>
      <c r="D648" s="3" t="str">
        <f t="shared" si="2"/>
        <v>early</v>
      </c>
      <c r="E648" s="2" t="s">
        <v>8</v>
      </c>
      <c r="F648" s="3" t="str">
        <f>IFERROR(__xludf.DUMMYFUNCTION("GOOGLETRANSLATE(D648,$D$1,$F$1)"),"sớm")</f>
        <v>sớm</v>
      </c>
      <c r="G648" s="3" t="s">
        <v>1281</v>
      </c>
    </row>
    <row r="649">
      <c r="A649" s="3">
        <v>8.0</v>
      </c>
      <c r="B649" s="3" t="s">
        <v>1282</v>
      </c>
      <c r="C649" s="3" t="str">
        <f t="shared" si="1"/>
        <v>74 </v>
      </c>
      <c r="D649" s="3" t="str">
        <f t="shared" si="2"/>
        <v>kind</v>
      </c>
      <c r="E649" s="2" t="s">
        <v>8</v>
      </c>
      <c r="F649" s="3" t="str">
        <f>IFERROR(__xludf.DUMMYFUNCTION("GOOGLETRANSLATE(D649,$D$1,$F$1)"),"Tốt bụng")</f>
        <v>Tốt bụng</v>
      </c>
      <c r="G649" s="3" t="s">
        <v>1283</v>
      </c>
    </row>
    <row r="650">
      <c r="A650" s="3">
        <v>8.0</v>
      </c>
      <c r="B650" s="3" t="s">
        <v>1284</v>
      </c>
      <c r="C650" s="3" t="str">
        <f t="shared" si="1"/>
        <v>74 </v>
      </c>
      <c r="D650" s="3" t="str">
        <f t="shared" si="2"/>
        <v>play (n)</v>
      </c>
      <c r="E650" s="2" t="s">
        <v>8</v>
      </c>
      <c r="F650" s="3" t="str">
        <f>IFERROR(__xludf.DUMMYFUNCTION("GOOGLETRANSLATE(D650,$D$1,$F$1)"),"chơi (n)")</f>
        <v>chơi (n)</v>
      </c>
      <c r="G650" s="3" t="s">
        <v>1285</v>
      </c>
    </row>
    <row r="651">
      <c r="A651" s="3">
        <v>8.0</v>
      </c>
      <c r="B651" s="3" t="s">
        <v>1286</v>
      </c>
      <c r="C651" s="3" t="str">
        <f t="shared" si="1"/>
        <v>75 </v>
      </c>
      <c r="D651" s="3" t="str">
        <f t="shared" si="2"/>
        <v>opera</v>
      </c>
      <c r="E651" s="2" t="s">
        <v>8</v>
      </c>
      <c r="F651" s="3" t="str">
        <f>IFERROR(__xludf.DUMMYFUNCTION("GOOGLETRANSLATE(D651,$D$1,$F$1)"),"nhạc kịch")</f>
        <v>nhạc kịch</v>
      </c>
      <c r="G651" s="3" t="s">
        <v>1287</v>
      </c>
    </row>
    <row r="652">
      <c r="A652" s="3">
        <v>8.0</v>
      </c>
      <c r="B652" s="3" t="s">
        <v>1288</v>
      </c>
      <c r="C652" s="3" t="str">
        <f t="shared" si="1"/>
        <v>75 </v>
      </c>
      <c r="D652" s="3" t="str">
        <f t="shared" si="2"/>
        <v>brilliant</v>
      </c>
      <c r="E652" s="2" t="s">
        <v>8</v>
      </c>
      <c r="F652" s="3" t="str">
        <f>IFERROR(__xludf.DUMMYFUNCTION("GOOGLETRANSLATE(D652,$D$1,$F$1)"),"xuất sắc")</f>
        <v>xuất sắc</v>
      </c>
      <c r="G652" s="3" t="s">
        <v>1289</v>
      </c>
    </row>
    <row r="653">
      <c r="A653" s="3">
        <v>8.0</v>
      </c>
      <c r="B653" s="3" t="s">
        <v>1290</v>
      </c>
      <c r="C653" s="3" t="str">
        <f t="shared" si="1"/>
        <v>76 </v>
      </c>
      <c r="D653" s="3" t="str">
        <f t="shared" si="2"/>
        <v>what´s on ?</v>
      </c>
      <c r="E653" s="2" t="s">
        <v>8</v>
      </c>
      <c r="F653" s="3" t="str">
        <f>IFERROR(__xludf.DUMMYFUNCTION("GOOGLETRANSLATE(D653,$D$1,$F$1)"),"cái gì vậy ?")</f>
        <v>cái gì vậy ?</v>
      </c>
      <c r="G653" s="3" t="s">
        <v>1291</v>
      </c>
    </row>
    <row r="654">
      <c r="A654" s="3">
        <v>8.0</v>
      </c>
      <c r="B654" s="3" t="s">
        <v>1292</v>
      </c>
      <c r="C654" s="3" t="str">
        <f t="shared" si="1"/>
        <v>76 </v>
      </c>
      <c r="D654" s="3" t="str">
        <f t="shared" si="2"/>
        <v>perfect</v>
      </c>
      <c r="E654" s="2" t="s">
        <v>8</v>
      </c>
      <c r="F654" s="3" t="str">
        <f>IFERROR(__xludf.DUMMYFUNCTION("GOOGLETRANSLATE(D654,$D$1,$F$1)"),"hoàn hảo")</f>
        <v>hoàn hảo</v>
      </c>
      <c r="G654" s="3" t="s">
        <v>1293</v>
      </c>
    </row>
    <row r="655">
      <c r="A655" s="3">
        <v>8.0</v>
      </c>
      <c r="B655" s="3" t="s">
        <v>1294</v>
      </c>
      <c r="C655" s="3" t="str">
        <f t="shared" si="1"/>
        <v>76 </v>
      </c>
      <c r="D655" s="3" t="str">
        <f t="shared" si="2"/>
        <v>either...or</v>
      </c>
      <c r="E655" s="2" t="s">
        <v>8</v>
      </c>
      <c r="F655" s="3" t="str">
        <f>IFERROR(__xludf.DUMMYFUNCTION("GOOGLETRANSLATE(D655,$D$1,$F$1)"),"hoặc ... hoặc")</f>
        <v>hoặc ... hoặc</v>
      </c>
      <c r="G655" s="3" t="s">
        <v>1295</v>
      </c>
    </row>
    <row r="656">
      <c r="A656" s="3">
        <v>8.0</v>
      </c>
      <c r="B656" s="3" t="s">
        <v>1296</v>
      </c>
      <c r="C656" s="3" t="str">
        <f t="shared" si="1"/>
        <v>76 </v>
      </c>
      <c r="D656" s="3" t="str">
        <f t="shared" si="2"/>
        <v>that sort of thing</v>
      </c>
      <c r="E656" s="2" t="s">
        <v>8</v>
      </c>
      <c r="F656" s="3" t="str">
        <f>IFERROR(__xludf.DUMMYFUNCTION("GOOGLETRANSLATE(D656,$D$1,$F$1)"),"đó đại loại như vậy")</f>
        <v>đó đại loại như vậy</v>
      </c>
      <c r="G656" s="3" t="s">
        <v>1297</v>
      </c>
    </row>
    <row r="657">
      <c r="A657" s="3">
        <v>8.0</v>
      </c>
      <c r="B657" s="3" t="s">
        <v>1298</v>
      </c>
      <c r="C657" s="3" t="str">
        <f t="shared" si="1"/>
        <v>76 </v>
      </c>
      <c r="D657" s="3" t="str">
        <f t="shared" si="2"/>
        <v>how about</v>
      </c>
      <c r="E657" s="2" t="s">
        <v>8</v>
      </c>
      <c r="F657" s="3" t="str">
        <f>IFERROR(__xludf.DUMMYFUNCTION("GOOGLETRANSLATE(D657,$D$1,$F$1)"),"làm thế nào về")</f>
        <v>làm thế nào về</v>
      </c>
      <c r="G657" s="3" t="s">
        <v>1299</v>
      </c>
    </row>
    <row r="658">
      <c r="A658" s="3">
        <v>8.0</v>
      </c>
      <c r="B658" s="3" t="s">
        <v>1300</v>
      </c>
      <c r="C658" s="3" t="str">
        <f t="shared" si="1"/>
        <v>77 </v>
      </c>
      <c r="D658" s="3" t="str">
        <f t="shared" si="2"/>
        <v>Damascus</v>
      </c>
      <c r="E658" s="2" t="s">
        <v>8</v>
      </c>
      <c r="F658" s="3" t="str">
        <f>IFERROR(__xludf.DUMMYFUNCTION("GOOGLETRANSLATE(D658,$D$1,$F$1)"),"Damascus")</f>
        <v>Damascus</v>
      </c>
      <c r="G658" s="3" t="s">
        <v>1301</v>
      </c>
    </row>
    <row r="659">
      <c r="A659" s="3">
        <v>8.0</v>
      </c>
      <c r="B659" s="3" t="s">
        <v>1302</v>
      </c>
      <c r="C659" s="3" t="str">
        <f t="shared" si="1"/>
        <v>77 </v>
      </c>
      <c r="D659" s="3" t="str">
        <f t="shared" si="2"/>
        <v>Cairo</v>
      </c>
      <c r="E659" s="2" t="s">
        <v>8</v>
      </c>
      <c r="F659" s="3" t="str">
        <f>IFERROR(__xludf.DUMMYFUNCTION("GOOGLETRANSLATE(D659,$D$1,$F$1)"),"Cairo")</f>
        <v>Cairo</v>
      </c>
      <c r="G659" s="3" t="s">
        <v>1303</v>
      </c>
    </row>
    <row r="660">
      <c r="A660" s="3">
        <v>8.0</v>
      </c>
      <c r="B660" s="3" t="s">
        <v>1304</v>
      </c>
      <c r="C660" s="3" t="str">
        <f t="shared" si="1"/>
        <v>77 </v>
      </c>
      <c r="D660" s="3" t="str">
        <f t="shared" si="2"/>
        <v>climb</v>
      </c>
      <c r="E660" s="2" t="s">
        <v>8</v>
      </c>
      <c r="F660" s="3" t="str">
        <f>IFERROR(__xludf.DUMMYFUNCTION("GOOGLETRANSLATE(D660,$D$1,$F$1)"),"leo")</f>
        <v>leo</v>
      </c>
      <c r="G660" s="3" t="s">
        <v>1305</v>
      </c>
    </row>
    <row r="661">
      <c r="A661" s="3">
        <v>8.0</v>
      </c>
      <c r="B661" s="3" t="s">
        <v>1306</v>
      </c>
      <c r="C661" s="3" t="str">
        <f t="shared" si="1"/>
        <v>77 </v>
      </c>
      <c r="D661" s="3" t="str">
        <f t="shared" si="2"/>
        <v>Eiffel Tower</v>
      </c>
      <c r="E661" s="2" t="s">
        <v>8</v>
      </c>
      <c r="F661" s="3" t="str">
        <f>IFERROR(__xludf.DUMMYFUNCTION("GOOGLETRANSLATE(D661,$D$1,$F$1)"),"tháp Eiffel")</f>
        <v>tháp Eiffel</v>
      </c>
      <c r="G661" s="3" t="s">
        <v>1307</v>
      </c>
    </row>
    <row r="662">
      <c r="A662" s="3">
        <v>9.0</v>
      </c>
      <c r="B662" s="3" t="s">
        <v>1308</v>
      </c>
      <c r="C662" s="3" t="str">
        <f t="shared" si="1"/>
        <v>78 </v>
      </c>
      <c r="D662" s="3" t="str">
        <f t="shared" si="2"/>
        <v>buy</v>
      </c>
      <c r="E662" s="2" t="s">
        <v>8</v>
      </c>
      <c r="F662" s="3" t="str">
        <f>IFERROR(__xludf.DUMMYFUNCTION("GOOGLETRANSLATE(D662,$D$1,$F$1)"),"mua")</f>
        <v>mua</v>
      </c>
      <c r="G662" s="3" t="s">
        <v>1309</v>
      </c>
    </row>
    <row r="663">
      <c r="A663" s="3">
        <v>9.0</v>
      </c>
      <c r="B663" s="3" t="s">
        <v>1310</v>
      </c>
      <c r="C663" s="3" t="str">
        <f t="shared" si="1"/>
        <v>78 </v>
      </c>
      <c r="D663" s="3" t="str">
        <f t="shared" si="2"/>
        <v>small</v>
      </c>
      <c r="E663" s="2" t="s">
        <v>8</v>
      </c>
      <c r="F663" s="3" t="str">
        <f>IFERROR(__xludf.DUMMYFUNCTION("GOOGLETRANSLATE(D663,$D$1,$F$1)"),"nhỏ")</f>
        <v>nhỏ</v>
      </c>
      <c r="G663" s="3" t="s">
        <v>1311</v>
      </c>
    </row>
    <row r="664">
      <c r="A664" s="3">
        <v>9.0</v>
      </c>
      <c r="B664" s="3" t="s">
        <v>1312</v>
      </c>
      <c r="C664" s="3" t="str">
        <f t="shared" si="1"/>
        <v>78 </v>
      </c>
      <c r="D664" s="3" t="str">
        <f t="shared" si="2"/>
        <v>cheap</v>
      </c>
      <c r="E664" s="2" t="s">
        <v>8</v>
      </c>
      <c r="F664" s="3" t="str">
        <f>IFERROR(__xludf.DUMMYFUNCTION("GOOGLETRANSLATE(D664,$D$1,$F$1)"),"rẻ")</f>
        <v>rẻ</v>
      </c>
      <c r="G664" s="3" t="s">
        <v>1313</v>
      </c>
    </row>
    <row r="665">
      <c r="A665" s="3">
        <v>9.0</v>
      </c>
      <c r="B665" s="3" t="s">
        <v>1314</v>
      </c>
      <c r="C665" s="3" t="str">
        <f t="shared" si="1"/>
        <v>78 </v>
      </c>
      <c r="D665" s="3" t="str">
        <f t="shared" si="2"/>
        <v>uncomfortable</v>
      </c>
      <c r="E665" s="2" t="s">
        <v>8</v>
      </c>
      <c r="F665" s="3" t="str">
        <f>IFERROR(__xludf.DUMMYFUNCTION("GOOGLETRANSLATE(D665,$D$1,$F$1)"),"khó chịu")</f>
        <v>khó chịu</v>
      </c>
      <c r="G665" s="3" t="s">
        <v>1315</v>
      </c>
    </row>
    <row r="666">
      <c r="A666" s="3">
        <v>9.0</v>
      </c>
      <c r="B666" s="3" t="s">
        <v>1316</v>
      </c>
      <c r="C666" s="3" t="str">
        <f t="shared" si="1"/>
        <v>78 </v>
      </c>
      <c r="D666" s="3" t="str">
        <f t="shared" si="2"/>
        <v>new</v>
      </c>
      <c r="E666" s="2" t="s">
        <v>8</v>
      </c>
      <c r="F666" s="3" t="str">
        <f>IFERROR(__xludf.DUMMYFUNCTION("GOOGLETRANSLATE(D666,$D$1,$F$1)"),"Mới")</f>
        <v>Mới</v>
      </c>
      <c r="G666" s="3" t="s">
        <v>1317</v>
      </c>
    </row>
    <row r="667">
      <c r="A667" s="3">
        <v>9.0</v>
      </c>
      <c r="B667" s="3" t="s">
        <v>1318</v>
      </c>
      <c r="C667" s="3" t="str">
        <f t="shared" si="1"/>
        <v>78 </v>
      </c>
      <c r="D667" s="3" t="str">
        <f t="shared" si="2"/>
        <v>slow</v>
      </c>
      <c r="E667" s="2" t="s">
        <v>8</v>
      </c>
      <c r="F667" s="3" t="str">
        <f>IFERROR(__xludf.DUMMYFUNCTION("GOOGLETRANSLATE(D667,$D$1,$F$1)"),"chậm")</f>
        <v>chậm</v>
      </c>
      <c r="G667" s="3" t="s">
        <v>1319</v>
      </c>
    </row>
    <row r="668">
      <c r="A668" s="3">
        <v>9.0</v>
      </c>
      <c r="B668" s="3" t="s">
        <v>1320</v>
      </c>
      <c r="C668" s="3" t="str">
        <f t="shared" si="1"/>
        <v>78 </v>
      </c>
      <c r="D668" s="3" t="str">
        <f t="shared" si="2"/>
        <v>attractive</v>
      </c>
      <c r="E668" s="2" t="s">
        <v>8</v>
      </c>
      <c r="F668" s="3" t="str">
        <f>IFERROR(__xludf.DUMMYFUNCTION("GOOGLETRANSLATE(D668,$D$1,$F$1)"),"hấp dẫn")</f>
        <v>hấp dẫn</v>
      </c>
      <c r="G668" s="3" t="s">
        <v>1321</v>
      </c>
    </row>
    <row r="669">
      <c r="A669" s="3">
        <v>9.0</v>
      </c>
      <c r="B669" s="3" t="s">
        <v>1322</v>
      </c>
      <c r="C669" s="3" t="str">
        <f t="shared" si="1"/>
        <v>78 </v>
      </c>
      <c r="D669" s="3" t="str">
        <f t="shared" si="2"/>
        <v>older</v>
      </c>
      <c r="E669" s="2" t="s">
        <v>8</v>
      </c>
      <c r="F669" s="3" t="str">
        <f>IFERROR(__xludf.DUMMYFUNCTION("GOOGLETRANSLATE(D669,$D$1,$F$1)"),"lớn hơn")</f>
        <v>lớn hơn</v>
      </c>
      <c r="G669" s="3" t="s">
        <v>1323</v>
      </c>
    </row>
    <row r="670">
      <c r="A670" s="3">
        <v>9.0</v>
      </c>
      <c r="B670" s="3" t="s">
        <v>1324</v>
      </c>
      <c r="C670" s="3" t="str">
        <f t="shared" si="1"/>
        <v>78 </v>
      </c>
      <c r="D670" s="3" t="str">
        <f t="shared" si="2"/>
        <v>bigger</v>
      </c>
      <c r="E670" s="2" t="s">
        <v>8</v>
      </c>
      <c r="F670" s="3" t="str">
        <f>IFERROR(__xludf.DUMMYFUNCTION("GOOGLETRANSLATE(D670,$D$1,$F$1)"),"to hơn")</f>
        <v>to hơn</v>
      </c>
      <c r="G670" s="3" t="s">
        <v>1325</v>
      </c>
    </row>
    <row r="671">
      <c r="A671" s="3">
        <v>9.0</v>
      </c>
      <c r="B671" s="3" t="s">
        <v>1326</v>
      </c>
      <c r="C671" s="3" t="str">
        <f t="shared" si="1"/>
        <v>78 </v>
      </c>
      <c r="D671" s="3" t="str">
        <f t="shared" si="2"/>
        <v>more expensive</v>
      </c>
      <c r="E671" s="2" t="s">
        <v>8</v>
      </c>
      <c r="F671" s="3" t="str">
        <f>IFERROR(__xludf.DUMMYFUNCTION("GOOGLETRANSLATE(D671,$D$1,$F$1)"),"đắt hơn")</f>
        <v>đắt hơn</v>
      </c>
      <c r="G671" s="3" t="s">
        <v>1327</v>
      </c>
    </row>
    <row r="672">
      <c r="A672" s="3">
        <v>9.0</v>
      </c>
      <c r="B672" s="3" t="s">
        <v>1328</v>
      </c>
      <c r="C672" s="3" t="str">
        <f t="shared" si="1"/>
        <v>78 </v>
      </c>
      <c r="D672" s="3" t="str">
        <f t="shared" si="2"/>
        <v>easier</v>
      </c>
      <c r="E672" s="2" t="s">
        <v>8</v>
      </c>
      <c r="F672" s="3" t="str">
        <f>IFERROR(__xludf.DUMMYFUNCTION("GOOGLETRANSLATE(D672,$D$1,$F$1)"),"dễ dàng hơn")</f>
        <v>dễ dàng hơn</v>
      </c>
      <c r="G672" s="3" t="s">
        <v>1329</v>
      </c>
    </row>
    <row r="673">
      <c r="A673" s="3">
        <v>9.0</v>
      </c>
      <c r="B673" s="3" t="s">
        <v>1330</v>
      </c>
      <c r="C673" s="3" t="str">
        <f t="shared" si="1"/>
        <v>78 </v>
      </c>
      <c r="D673" s="3" t="str">
        <f t="shared" si="2"/>
        <v>park (v)</v>
      </c>
      <c r="E673" s="2" t="s">
        <v>8</v>
      </c>
      <c r="F673" s="3" t="str">
        <f>IFERROR(__xludf.DUMMYFUNCTION("GOOGLETRANSLATE(D673,$D$1,$F$1)"),"công viên (v)")</f>
        <v>công viên (v)</v>
      </c>
      <c r="G673" s="3" t="s">
        <v>1331</v>
      </c>
    </row>
    <row r="674">
      <c r="A674" s="3">
        <v>9.0</v>
      </c>
      <c r="B674" s="3" t="s">
        <v>1332</v>
      </c>
      <c r="C674" s="3" t="str">
        <f t="shared" si="1"/>
        <v>78 </v>
      </c>
      <c r="D674" s="3" t="str">
        <f t="shared" si="2"/>
        <v>better</v>
      </c>
      <c r="E674" s="2" t="s">
        <v>8</v>
      </c>
      <c r="F674" s="3" t="str">
        <f>IFERROR(__xludf.DUMMYFUNCTION("GOOGLETRANSLATE(D674,$D$1,$F$1)"),"tốt hơn")</f>
        <v>tốt hơn</v>
      </c>
      <c r="G674" s="3" t="s">
        <v>1333</v>
      </c>
    </row>
    <row r="675">
      <c r="A675" s="3">
        <v>9.0</v>
      </c>
      <c r="B675" s="3" t="s">
        <v>1334</v>
      </c>
      <c r="C675" s="3" t="str">
        <f t="shared" si="1"/>
        <v>79 </v>
      </c>
      <c r="D675" s="3" t="str">
        <f t="shared" si="2"/>
        <v>in good condition</v>
      </c>
      <c r="E675" s="2" t="s">
        <v>8</v>
      </c>
      <c r="F675" s="3" t="str">
        <f>IFERROR(__xludf.DUMMYFUNCTION("GOOGLETRANSLATE(D675,$D$1,$F$1)"),"trong điều kiện tốt")</f>
        <v>trong điều kiện tốt</v>
      </c>
      <c r="G675" s="3" t="s">
        <v>1335</v>
      </c>
    </row>
    <row r="676">
      <c r="A676" s="3">
        <v>9.0</v>
      </c>
      <c r="B676" s="3" t="s">
        <v>1336</v>
      </c>
      <c r="C676" s="3" t="str">
        <f t="shared" si="1"/>
        <v>79 </v>
      </c>
      <c r="D676" s="3" t="str">
        <f t="shared" si="2"/>
        <v>in bad condition</v>
      </c>
      <c r="E676" s="2" t="s">
        <v>8</v>
      </c>
      <c r="F676" s="3" t="str">
        <f>IFERROR(__xludf.DUMMYFUNCTION("GOOGLETRANSLATE(D676,$D$1,$F$1)"),"trong điều kiện xấu")</f>
        <v>trong điều kiện xấu</v>
      </c>
      <c r="G676" s="3" t="s">
        <v>1337</v>
      </c>
    </row>
    <row r="677">
      <c r="A677" s="3">
        <v>9.0</v>
      </c>
      <c r="B677" s="3" t="s">
        <v>1338</v>
      </c>
      <c r="C677" s="3" t="str">
        <f t="shared" si="1"/>
        <v>79 </v>
      </c>
      <c r="D677" s="3" t="str">
        <f t="shared" si="2"/>
        <v>smart</v>
      </c>
      <c r="E677" s="2" t="s">
        <v>8</v>
      </c>
      <c r="F677" s="3" t="str">
        <f>IFERROR(__xludf.DUMMYFUNCTION("GOOGLETRANSLATE(D677,$D$1,$F$1)"),"thông minh")</f>
        <v>thông minh</v>
      </c>
      <c r="G677" s="3" t="s">
        <v>1339</v>
      </c>
    </row>
    <row r="678">
      <c r="A678" s="3">
        <v>9.0</v>
      </c>
      <c r="B678" s="3" t="s">
        <v>1340</v>
      </c>
      <c r="C678" s="3" t="str">
        <f t="shared" si="1"/>
        <v>79 </v>
      </c>
      <c r="D678" s="3" t="str">
        <f t="shared" si="2"/>
        <v>sweet</v>
      </c>
      <c r="E678" s="2" t="s">
        <v>8</v>
      </c>
      <c r="F678" s="3" t="str">
        <f>IFERROR(__xludf.DUMMYFUNCTION("GOOGLETRANSLATE(D678,$D$1,$F$1)"),"ngọt")</f>
        <v>ngọt</v>
      </c>
      <c r="G678" s="3" t="s">
        <v>1341</v>
      </c>
    </row>
    <row r="679">
      <c r="A679" s="3">
        <v>9.0</v>
      </c>
      <c r="B679" s="3" t="s">
        <v>1342</v>
      </c>
      <c r="C679" s="3" t="str">
        <f t="shared" si="1"/>
        <v>79 </v>
      </c>
      <c r="D679" s="3" t="str">
        <f t="shared" si="2"/>
        <v>easy to ride</v>
      </c>
      <c r="E679" s="2" t="s">
        <v>8</v>
      </c>
      <c r="F679" s="3" t="str">
        <f>IFERROR(__xludf.DUMMYFUNCTION("GOOGLETRANSLATE(D679,$D$1,$F$1)"),"dễ dàng để đi xe")</f>
        <v>dễ dàng để đi xe</v>
      </c>
      <c r="G679" s="3" t="s">
        <v>1343</v>
      </c>
    </row>
    <row r="680">
      <c r="A680" s="3">
        <v>9.0</v>
      </c>
      <c r="B680" s="3" t="s">
        <v>1344</v>
      </c>
      <c r="C680" s="3" t="str">
        <f t="shared" si="1"/>
        <v>80 </v>
      </c>
      <c r="D680" s="3" t="str">
        <f t="shared" si="2"/>
        <v>diamond</v>
      </c>
      <c r="E680" s="2" t="s">
        <v>8</v>
      </c>
      <c r="F680" s="3" t="str">
        <f>IFERROR(__xludf.DUMMYFUNCTION("GOOGLETRANSLATE(D680,$D$1,$F$1)"),"kim cương")</f>
        <v>kim cương</v>
      </c>
      <c r="G680" s="3" t="s">
        <v>1345</v>
      </c>
    </row>
    <row r="681">
      <c r="A681" s="3">
        <v>9.0</v>
      </c>
      <c r="B681" s="3" t="s">
        <v>1346</v>
      </c>
      <c r="C681" s="3" t="str">
        <f t="shared" si="1"/>
        <v>80 </v>
      </c>
      <c r="D681" s="3" t="str">
        <f t="shared" si="2"/>
        <v>department store</v>
      </c>
      <c r="E681" s="2" t="s">
        <v>8</v>
      </c>
      <c r="F681" s="3" t="str">
        <f>IFERROR(__xludf.DUMMYFUNCTION("GOOGLETRANSLATE(D681,$D$1,$F$1)"),"cửa hàng bách hóa")</f>
        <v>cửa hàng bách hóa</v>
      </c>
      <c r="G681" s="3" t="s">
        <v>1347</v>
      </c>
    </row>
    <row r="682">
      <c r="A682" s="3">
        <v>9.0</v>
      </c>
      <c r="B682" s="3" t="s">
        <v>1348</v>
      </c>
      <c r="C682" s="3" t="str">
        <f t="shared" si="1"/>
        <v>80 </v>
      </c>
      <c r="D682" s="3" t="str">
        <f t="shared" si="2"/>
        <v>item</v>
      </c>
      <c r="E682" s="2" t="s">
        <v>8</v>
      </c>
      <c r="F682" s="3" t="str">
        <f>IFERROR(__xludf.DUMMYFUNCTION("GOOGLETRANSLATE(D682,$D$1,$F$1)"),"mục")</f>
        <v>mục</v>
      </c>
      <c r="G682" s="3" t="s">
        <v>1349</v>
      </c>
    </row>
    <row r="683">
      <c r="A683" s="3">
        <v>9.0</v>
      </c>
      <c r="B683" s="3" t="s">
        <v>1350</v>
      </c>
      <c r="C683" s="3" t="str">
        <f t="shared" si="1"/>
        <v>80 </v>
      </c>
      <c r="D683" s="3" t="str">
        <f t="shared" si="2"/>
        <v>for sale</v>
      </c>
      <c r="E683" s="2" t="s">
        <v>8</v>
      </c>
      <c r="F683" s="3" t="str">
        <f>IFERROR(__xludf.DUMMYFUNCTION("GOOGLETRANSLATE(D683,$D$1,$F$1)"),"rao bán")</f>
        <v>rao bán</v>
      </c>
      <c r="G683" s="3" t="s">
        <v>1351</v>
      </c>
    </row>
    <row r="684">
      <c r="A684" s="3">
        <v>9.0</v>
      </c>
      <c r="B684" s="3" t="s">
        <v>1352</v>
      </c>
      <c r="C684" s="3" t="str">
        <f t="shared" si="1"/>
        <v>80 </v>
      </c>
      <c r="D684" s="3" t="str">
        <f t="shared" si="2"/>
        <v>tall</v>
      </c>
      <c r="E684" s="2" t="s">
        <v>8</v>
      </c>
      <c r="F684" s="3" t="str">
        <f>IFERROR(__xludf.DUMMYFUNCTION("GOOGLETRANSLATE(D684,$D$1,$F$1)"),"cao")</f>
        <v>cao</v>
      </c>
      <c r="G684" s="3" t="s">
        <v>1353</v>
      </c>
    </row>
    <row r="685">
      <c r="A685" s="3">
        <v>9.0</v>
      </c>
      <c r="B685" s="3" t="s">
        <v>1354</v>
      </c>
      <c r="C685" s="3" t="str">
        <f t="shared" si="1"/>
        <v>80 </v>
      </c>
      <c r="D685" s="3" t="str">
        <f t="shared" si="2"/>
        <v>Sultan</v>
      </c>
      <c r="E685" s="2" t="s">
        <v>8</v>
      </c>
      <c r="F685" s="3" t="str">
        <f>IFERROR(__xludf.DUMMYFUNCTION("GOOGLETRANSLATE(D685,$D$1,$F$1)"),"hoàng đế thổ nhĩ kỳ")</f>
        <v>hoàng đế thổ nhĩ kỳ</v>
      </c>
      <c r="G685" s="3" t="s">
        <v>1355</v>
      </c>
    </row>
    <row r="686">
      <c r="A686" s="3">
        <v>9.0</v>
      </c>
      <c r="B686" s="3" t="s">
        <v>1356</v>
      </c>
      <c r="C686" s="3" t="str">
        <f t="shared" si="1"/>
        <v>80 </v>
      </c>
      <c r="D686" s="3" t="str">
        <f t="shared" si="2"/>
        <v>head</v>
      </c>
      <c r="E686" s="2" t="s">
        <v>8</v>
      </c>
      <c r="F686" s="3" t="str">
        <f>IFERROR(__xludf.DUMMYFUNCTION("GOOGLETRANSLATE(D686,$D$1,$F$1)"),"cái đầu")</f>
        <v>cái đầu</v>
      </c>
      <c r="G686" s="3" t="s">
        <v>1357</v>
      </c>
    </row>
    <row r="687">
      <c r="A687" s="3">
        <v>9.0</v>
      </c>
      <c r="B687" s="3" t="s">
        <v>1358</v>
      </c>
      <c r="C687" s="3" t="str">
        <f t="shared" si="1"/>
        <v>80 </v>
      </c>
      <c r="D687" s="3" t="str">
        <f t="shared" si="2"/>
        <v>century</v>
      </c>
      <c r="E687" s="2" t="s">
        <v>8</v>
      </c>
      <c r="F687" s="3" t="str">
        <f>IFERROR(__xludf.DUMMYFUNCTION("GOOGLETRANSLATE(D687,$D$1,$F$1)"),"thế kỷ")</f>
        <v>thế kỷ</v>
      </c>
      <c r="G687" s="3" t="s">
        <v>1359</v>
      </c>
    </row>
    <row r="688">
      <c r="A688" s="3">
        <v>9.0</v>
      </c>
      <c r="B688" s="3" t="s">
        <v>1360</v>
      </c>
      <c r="C688" s="3" t="str">
        <f t="shared" si="1"/>
        <v>80 </v>
      </c>
      <c r="D688" s="3" t="str">
        <f t="shared" si="2"/>
        <v>high</v>
      </c>
      <c r="E688" s="2" t="s">
        <v>8</v>
      </c>
      <c r="F688" s="3" t="str">
        <f>IFERROR(__xludf.DUMMYFUNCTION("GOOGLETRANSLATE(D688,$D$1,$F$1)"),"cao")</f>
        <v>cao</v>
      </c>
      <c r="G688" s="3" t="s">
        <v>1361</v>
      </c>
    </row>
    <row r="689">
      <c r="A689" s="3">
        <v>9.0</v>
      </c>
      <c r="B689" s="3" t="s">
        <v>1362</v>
      </c>
      <c r="C689" s="3" t="str">
        <f t="shared" si="1"/>
        <v>80 </v>
      </c>
      <c r="D689" s="3" t="str">
        <f t="shared" si="2"/>
        <v>common</v>
      </c>
      <c r="E689" s="2" t="s">
        <v>8</v>
      </c>
      <c r="F689" s="3" t="str">
        <f>IFERROR(__xludf.DUMMYFUNCTION("GOOGLETRANSLATE(D689,$D$1,$F$1)"),"chung")</f>
        <v>chung</v>
      </c>
      <c r="G689" s="3" t="s">
        <v>1363</v>
      </c>
    </row>
    <row r="690">
      <c r="A690" s="3">
        <v>9.0</v>
      </c>
      <c r="B690" s="3" t="s">
        <v>1364</v>
      </c>
      <c r="C690" s="3" t="str">
        <f t="shared" si="1"/>
        <v>80 </v>
      </c>
      <c r="D690" s="3" t="str">
        <f t="shared" si="2"/>
        <v>carpet</v>
      </c>
      <c r="E690" s="2" t="s">
        <v>8</v>
      </c>
      <c r="F690" s="3" t="str">
        <f>IFERROR(__xludf.DUMMYFUNCTION("GOOGLETRANSLATE(D690,$D$1,$F$1)"),"thảm")</f>
        <v>thảm</v>
      </c>
      <c r="G690" s="3" t="s">
        <v>1365</v>
      </c>
    </row>
    <row r="691">
      <c r="A691" s="3">
        <v>9.0</v>
      </c>
      <c r="B691" s="3" t="s">
        <v>1366</v>
      </c>
      <c r="C691" s="3" t="str">
        <f t="shared" si="1"/>
        <v>80 </v>
      </c>
      <c r="D691" s="3" t="str">
        <f t="shared" si="2"/>
        <v>rug</v>
      </c>
      <c r="E691" s="2" t="s">
        <v>8</v>
      </c>
      <c r="F691" s="3" t="str">
        <f>IFERROR(__xludf.DUMMYFUNCTION("GOOGLETRANSLATE(D691,$D$1,$F$1)"),"tấm thảm")</f>
        <v>tấm thảm</v>
      </c>
      <c r="G691" s="3" t="s">
        <v>1367</v>
      </c>
    </row>
    <row r="692">
      <c r="A692" s="3">
        <v>9.0</v>
      </c>
      <c r="B692" s="3" t="s">
        <v>1368</v>
      </c>
      <c r="C692" s="3" t="str">
        <f t="shared" si="1"/>
        <v>80 </v>
      </c>
      <c r="D692" s="3" t="str">
        <f t="shared" si="2"/>
        <v>flower</v>
      </c>
      <c r="E692" s="2" t="s">
        <v>8</v>
      </c>
      <c r="F692" s="3" t="str">
        <f>IFERROR(__xludf.DUMMYFUNCTION("GOOGLETRANSLATE(D692,$D$1,$F$1)"),"bông hoa")</f>
        <v>bông hoa</v>
      </c>
      <c r="G692" s="3" t="s">
        <v>1369</v>
      </c>
    </row>
    <row r="693">
      <c r="A693" s="3">
        <v>9.0</v>
      </c>
      <c r="B693" s="3" t="s">
        <v>1370</v>
      </c>
      <c r="C693" s="3" t="str">
        <f t="shared" si="1"/>
        <v>80 </v>
      </c>
      <c r="D693" s="3" t="str">
        <f t="shared" si="2"/>
        <v>gift</v>
      </c>
      <c r="E693" s="2" t="s">
        <v>8</v>
      </c>
      <c r="F693" s="3" t="str">
        <f>IFERROR(__xludf.DUMMYFUNCTION("GOOGLETRANSLATE(D693,$D$1,$F$1)"),"quà tặng")</f>
        <v>quà tặng</v>
      </c>
      <c r="G693" s="3" t="s">
        <v>1371</v>
      </c>
    </row>
    <row r="694">
      <c r="A694" s="3">
        <v>9.0</v>
      </c>
      <c r="B694" s="3" t="s">
        <v>1372</v>
      </c>
      <c r="C694" s="3" t="str">
        <f t="shared" si="1"/>
        <v>80 </v>
      </c>
      <c r="D694" s="3" t="str">
        <f t="shared" si="2"/>
        <v>bird</v>
      </c>
      <c r="E694" s="2" t="s">
        <v>8</v>
      </c>
      <c r="F694" s="3" t="str">
        <f>IFERROR(__xludf.DUMMYFUNCTION("GOOGLETRANSLATE(D694,$D$1,$F$1)"),"chim")</f>
        <v>chim</v>
      </c>
      <c r="G694" s="3" t="s">
        <v>1373</v>
      </c>
    </row>
    <row r="695">
      <c r="A695" s="3">
        <v>9.0</v>
      </c>
      <c r="B695" s="3" t="s">
        <v>1374</v>
      </c>
      <c r="C695" s="3" t="str">
        <f t="shared" si="1"/>
        <v>80 </v>
      </c>
      <c r="D695" s="3" t="str">
        <f t="shared" si="2"/>
        <v>herb</v>
      </c>
      <c r="E695" s="2" t="s">
        <v>8</v>
      </c>
      <c r="F695" s="3" t="str">
        <f>IFERROR(__xludf.DUMMYFUNCTION("GOOGLETRANSLATE(D695,$D$1,$F$1)"),"thảo mộc")</f>
        <v>thảo mộc</v>
      </c>
      <c r="G695" s="3" t="s">
        <v>1375</v>
      </c>
    </row>
    <row r="696">
      <c r="A696" s="3">
        <v>9.0</v>
      </c>
      <c r="B696" s="3" t="s">
        <v>1376</v>
      </c>
      <c r="C696" s="3" t="str">
        <f t="shared" si="1"/>
        <v>80 </v>
      </c>
      <c r="D696" s="3" t="str">
        <f t="shared" si="2"/>
        <v>decoration</v>
      </c>
      <c r="E696" s="2" t="s">
        <v>8</v>
      </c>
      <c r="F696" s="3" t="str">
        <f>IFERROR(__xludf.DUMMYFUNCTION("GOOGLETRANSLATE(D696,$D$1,$F$1)"),"trang trí")</f>
        <v>trang trí</v>
      </c>
      <c r="G696" s="3" t="s">
        <v>1377</v>
      </c>
    </row>
    <row r="697">
      <c r="A697" s="3">
        <v>9.0</v>
      </c>
      <c r="B697" s="3" t="s">
        <v>1378</v>
      </c>
      <c r="C697" s="3" t="str">
        <f t="shared" si="1"/>
        <v>80 </v>
      </c>
      <c r="D697" s="3" t="str">
        <f t="shared" si="2"/>
        <v>medicine</v>
      </c>
      <c r="E697" s="2" t="s">
        <v>8</v>
      </c>
      <c r="F697" s="3" t="str">
        <f>IFERROR(__xludf.DUMMYFUNCTION("GOOGLETRANSLATE(D697,$D$1,$F$1)"),"thuốc")</f>
        <v>thuốc</v>
      </c>
      <c r="G697" s="3" t="s">
        <v>1379</v>
      </c>
    </row>
    <row r="698">
      <c r="A698" s="3">
        <v>9.0</v>
      </c>
      <c r="B698" s="3" t="s">
        <v>1380</v>
      </c>
      <c r="C698" s="3" t="str">
        <f t="shared" si="1"/>
        <v>81 </v>
      </c>
      <c r="D698" s="3" t="str">
        <f t="shared" si="2"/>
        <v>nowadays</v>
      </c>
      <c r="E698" s="2" t="s">
        <v>8</v>
      </c>
      <c r="F698" s="3" t="str">
        <f>IFERROR(__xludf.DUMMYFUNCTION("GOOGLETRANSLATE(D698,$D$1,$F$1)"),"ngày nay")</f>
        <v>ngày nay</v>
      </c>
      <c r="G698" s="3" t="s">
        <v>1381</v>
      </c>
    </row>
    <row r="699">
      <c r="A699" s="3">
        <v>9.0</v>
      </c>
      <c r="B699" s="3" t="s">
        <v>1382</v>
      </c>
      <c r="C699" s="3" t="str">
        <f t="shared" si="1"/>
        <v>81 </v>
      </c>
      <c r="D699" s="3" t="str">
        <f t="shared" si="2"/>
        <v>shop</v>
      </c>
      <c r="E699" s="2" t="s">
        <v>8</v>
      </c>
      <c r="F699" s="3" t="str">
        <f>IFERROR(__xludf.DUMMYFUNCTION("GOOGLETRANSLATE(D699,$D$1,$F$1)"),"cửa tiệm")</f>
        <v>cửa tiệm</v>
      </c>
      <c r="G699" s="3" t="s">
        <v>1383</v>
      </c>
    </row>
    <row r="700">
      <c r="A700" s="3">
        <v>9.0</v>
      </c>
      <c r="B700" s="3" t="s">
        <v>1384</v>
      </c>
      <c r="C700" s="3" t="str">
        <f t="shared" si="1"/>
        <v>81 </v>
      </c>
      <c r="D700" s="3" t="str">
        <f t="shared" si="2"/>
        <v>traditional</v>
      </c>
      <c r="E700" s="2" t="s">
        <v>8</v>
      </c>
      <c r="F700" s="3" t="str">
        <f>IFERROR(__xludf.DUMMYFUNCTION("GOOGLETRANSLATE(D700,$D$1,$F$1)"),"truyên thông")</f>
        <v>truyên thông</v>
      </c>
      <c r="G700" s="3" t="s">
        <v>1385</v>
      </c>
    </row>
    <row r="701">
      <c r="A701" s="3">
        <v>9.0</v>
      </c>
      <c r="B701" s="3" t="s">
        <v>1386</v>
      </c>
      <c r="C701" s="3" t="str">
        <f t="shared" si="1"/>
        <v>81 </v>
      </c>
      <c r="D701" s="3" t="str">
        <f t="shared" si="2"/>
        <v>street market</v>
      </c>
      <c r="E701" s="2" t="s">
        <v>8</v>
      </c>
      <c r="F701" s="3" t="str">
        <f>IFERROR(__xludf.DUMMYFUNCTION("GOOGLETRANSLATE(D701,$D$1,$F$1)"),"thị trường đường phố")</f>
        <v>thị trường đường phố</v>
      </c>
      <c r="G701" s="3" t="s">
        <v>1387</v>
      </c>
    </row>
    <row r="702">
      <c r="A702" s="3">
        <v>9.0</v>
      </c>
      <c r="B702" s="3" t="s">
        <v>1388</v>
      </c>
      <c r="C702" s="3" t="str">
        <f t="shared" si="1"/>
        <v>81 </v>
      </c>
      <c r="D702" s="3" t="str">
        <f t="shared" si="2"/>
        <v>roof</v>
      </c>
      <c r="E702" s="2" t="s">
        <v>8</v>
      </c>
      <c r="F702" s="3" t="str">
        <f>IFERROR(__xludf.DUMMYFUNCTION("GOOGLETRANSLATE(D702,$D$1,$F$1)"),"mái nhà")</f>
        <v>mái nhà</v>
      </c>
      <c r="G702" s="3" t="s">
        <v>1389</v>
      </c>
    </row>
    <row r="703">
      <c r="A703" s="3">
        <v>9.0</v>
      </c>
      <c r="B703" s="3" t="s">
        <v>1390</v>
      </c>
      <c r="C703" s="3" t="str">
        <f t="shared" si="1"/>
        <v>81 </v>
      </c>
      <c r="D703" s="3" t="str">
        <f t="shared" si="2"/>
        <v>floating market</v>
      </c>
      <c r="E703" s="2" t="s">
        <v>8</v>
      </c>
      <c r="F703" s="3" t="str">
        <f>IFERROR(__xludf.DUMMYFUNCTION("GOOGLETRANSLATE(D703,$D$1,$F$1)"),"Chợ nổi")</f>
        <v>Chợ nổi</v>
      </c>
      <c r="G703" s="3" t="s">
        <v>1391</v>
      </c>
    </row>
    <row r="704">
      <c r="A704" s="3">
        <v>9.0</v>
      </c>
      <c r="B704" s="3" t="s">
        <v>1392</v>
      </c>
      <c r="C704" s="3" t="str">
        <f t="shared" si="1"/>
        <v>81 </v>
      </c>
      <c r="D704" s="3" t="str">
        <f t="shared" si="2"/>
        <v>Asia</v>
      </c>
      <c r="E704" s="2" t="s">
        <v>8</v>
      </c>
      <c r="F704" s="3" t="str">
        <f>IFERROR(__xludf.DUMMYFUNCTION("GOOGLETRANSLATE(D704,$D$1,$F$1)"),"Châu Á")</f>
        <v>Châu Á</v>
      </c>
      <c r="G704" s="3" t="s">
        <v>1393</v>
      </c>
    </row>
    <row r="705">
      <c r="A705" s="3">
        <v>9.0</v>
      </c>
      <c r="B705" s="3" t="s">
        <v>1394</v>
      </c>
      <c r="C705" s="3" t="str">
        <f t="shared" si="1"/>
        <v>81 </v>
      </c>
      <c r="D705" s="3" t="str">
        <f t="shared" si="2"/>
        <v>tropical fruit</v>
      </c>
      <c r="E705" s="2" t="s">
        <v>8</v>
      </c>
      <c r="F705" s="3" t="str">
        <f>IFERROR(__xludf.DUMMYFUNCTION("GOOGLETRANSLATE(D705,$D$1,$F$1)"),"trái cây nhiệt đới")</f>
        <v>trái cây nhiệt đới</v>
      </c>
      <c r="G705" s="3" t="s">
        <v>1395</v>
      </c>
    </row>
    <row r="706">
      <c r="A706" s="3">
        <v>9.0</v>
      </c>
      <c r="B706" s="3" t="s">
        <v>1396</v>
      </c>
      <c r="C706" s="3" t="str">
        <f t="shared" si="1"/>
        <v>81 </v>
      </c>
      <c r="D706" s="3" t="str">
        <f t="shared" si="2"/>
        <v>part</v>
      </c>
      <c r="E706" s="2" t="s">
        <v>8</v>
      </c>
      <c r="F706" s="3" t="str">
        <f>IFERROR(__xludf.DUMMYFUNCTION("GOOGLETRANSLATE(D706,$D$1,$F$1)"),"phần")</f>
        <v>phần</v>
      </c>
      <c r="G706" s="3" t="s">
        <v>1397</v>
      </c>
    </row>
    <row r="707">
      <c r="A707" s="3">
        <v>9.0</v>
      </c>
      <c r="B707" s="3" t="s">
        <v>1398</v>
      </c>
      <c r="C707" s="3" t="str">
        <f t="shared" si="1"/>
        <v>81 </v>
      </c>
      <c r="D707" s="3" t="str">
        <f t="shared" si="2"/>
        <v>square</v>
      </c>
      <c r="E707" s="2" t="s">
        <v>8</v>
      </c>
      <c r="F707" s="3" t="str">
        <f>IFERROR(__xludf.DUMMYFUNCTION("GOOGLETRANSLATE(D707,$D$1,$F$1)"),"Quảng trường")</f>
        <v>Quảng trường</v>
      </c>
      <c r="G707" s="3" t="s">
        <v>1399</v>
      </c>
    </row>
    <row r="708">
      <c r="A708" s="3">
        <v>9.0</v>
      </c>
      <c r="B708" s="3" t="s">
        <v>1400</v>
      </c>
      <c r="C708" s="3" t="str">
        <f t="shared" si="1"/>
        <v>81 </v>
      </c>
      <c r="D708" s="3" t="str">
        <f t="shared" si="2"/>
        <v>colourful</v>
      </c>
      <c r="E708" s="2" t="s">
        <v>8</v>
      </c>
      <c r="F708" s="3" t="str">
        <f>IFERROR(__xludf.DUMMYFUNCTION("GOOGLETRANSLATE(D708,$D$1,$F$1)"),"Đầy màu sắc")</f>
        <v>Đầy màu sắc</v>
      </c>
      <c r="G708" s="3" t="s">
        <v>1401</v>
      </c>
    </row>
    <row r="709">
      <c r="A709" s="3">
        <v>9.0</v>
      </c>
      <c r="B709" s="3" t="s">
        <v>1402</v>
      </c>
      <c r="C709" s="3" t="str">
        <f t="shared" si="1"/>
        <v>81 </v>
      </c>
      <c r="D709" s="3" t="str">
        <f t="shared" si="2"/>
        <v>midday</v>
      </c>
      <c r="E709" s="2" t="s">
        <v>8</v>
      </c>
      <c r="F709" s="3" t="str">
        <f>IFERROR(__xludf.DUMMYFUNCTION("GOOGLETRANSLATE(D709,$D$1,$F$1)"),"giữa trưa")</f>
        <v>giữa trưa</v>
      </c>
      <c r="G709" s="3" t="s">
        <v>1403</v>
      </c>
    </row>
    <row r="710">
      <c r="A710" s="3">
        <v>9.0</v>
      </c>
      <c r="B710" s="3" t="s">
        <v>1404</v>
      </c>
      <c r="C710" s="3" t="str">
        <f t="shared" si="1"/>
        <v>81 </v>
      </c>
      <c r="D710" s="3" t="str">
        <f t="shared" si="2"/>
        <v>lively</v>
      </c>
      <c r="E710" s="2" t="s">
        <v>8</v>
      </c>
      <c r="F710" s="3" t="str">
        <f>IFERROR(__xludf.DUMMYFUNCTION("GOOGLETRANSLATE(D710,$D$1,$F$1)"),"sống")</f>
        <v>sống</v>
      </c>
      <c r="G710" s="3" t="s">
        <v>1405</v>
      </c>
    </row>
    <row r="711">
      <c r="A711" s="3">
        <v>9.0</v>
      </c>
      <c r="B711" s="3" t="s">
        <v>1406</v>
      </c>
      <c r="C711" s="3" t="str">
        <f t="shared" si="1"/>
        <v>81 </v>
      </c>
      <c r="D711" s="3" t="str">
        <f t="shared" si="2"/>
        <v>Christmas market</v>
      </c>
      <c r="E711" s="2" t="s">
        <v>8</v>
      </c>
      <c r="F711" s="3" t="str">
        <f>IFERROR(__xludf.DUMMYFUNCTION("GOOGLETRANSLATE(D711,$D$1,$F$1)"),"chợ Giáng sinh")</f>
        <v>chợ Giáng sinh</v>
      </c>
      <c r="G711" s="3" t="s">
        <v>1407</v>
      </c>
    </row>
    <row r="712">
      <c r="A712" s="3">
        <v>9.0</v>
      </c>
      <c r="B712" s="3" t="s">
        <v>1408</v>
      </c>
      <c r="C712" s="3" t="str">
        <f t="shared" si="1"/>
        <v>81 </v>
      </c>
      <c r="D712" s="3" t="str">
        <f t="shared" si="2"/>
        <v>hand-made</v>
      </c>
      <c r="E712" s="2" t="s">
        <v>8</v>
      </c>
      <c r="F712" s="3" t="str">
        <f>IFERROR(__xludf.DUMMYFUNCTION("GOOGLETRANSLATE(D712,$D$1,$F$1)"),"làm bằng tay")</f>
        <v>làm bằng tay</v>
      </c>
      <c r="G712" s="3" t="s">
        <v>1409</v>
      </c>
    </row>
    <row r="713">
      <c r="A713" s="3">
        <v>9.0</v>
      </c>
      <c r="B713" s="3" t="s">
        <v>1410</v>
      </c>
      <c r="C713" s="3" t="str">
        <f t="shared" si="1"/>
        <v>81 </v>
      </c>
      <c r="D713" s="3" t="str">
        <f t="shared" si="2"/>
        <v>atmosphere</v>
      </c>
      <c r="E713" s="2" t="s">
        <v>8</v>
      </c>
      <c r="F713" s="3" t="str">
        <f>IFERROR(__xludf.DUMMYFUNCTION("GOOGLETRANSLATE(D713,$D$1,$F$1)"),"không khí")</f>
        <v>không khí</v>
      </c>
      <c r="G713" s="3" t="s">
        <v>1411</v>
      </c>
    </row>
    <row r="714">
      <c r="A714" s="3">
        <v>9.0</v>
      </c>
      <c r="B714" s="3" t="s">
        <v>1412</v>
      </c>
      <c r="C714" s="3" t="str">
        <f t="shared" si="1"/>
        <v>81 </v>
      </c>
      <c r="D714" s="3" t="str">
        <f t="shared" si="2"/>
        <v>help</v>
      </c>
      <c r="E714" s="2" t="s">
        <v>8</v>
      </c>
      <c r="F714" s="3" t="str">
        <f>IFERROR(__xludf.DUMMYFUNCTION("GOOGLETRANSLATE(D714,$D$1,$F$1)"),"Cứu giúp")</f>
        <v>Cứu giúp</v>
      </c>
      <c r="G714" s="3" t="s">
        <v>1413</v>
      </c>
    </row>
    <row r="715">
      <c r="A715" s="3">
        <v>9.0</v>
      </c>
      <c r="B715" s="3" t="s">
        <v>1414</v>
      </c>
      <c r="C715" s="3" t="str">
        <f t="shared" si="1"/>
        <v>82 </v>
      </c>
      <c r="D715" s="3" t="str">
        <f t="shared" si="2"/>
        <v>clothes shop</v>
      </c>
      <c r="E715" s="2" t="s">
        <v>8</v>
      </c>
      <c r="F715" s="3" t="str">
        <f>IFERROR(__xludf.DUMMYFUNCTION("GOOGLETRANSLATE(D715,$D$1,$F$1)"),"quần áo cửa hàng")</f>
        <v>quần áo cửa hàng</v>
      </c>
      <c r="G715" s="3" t="s">
        <v>1415</v>
      </c>
    </row>
    <row r="716">
      <c r="A716" s="3">
        <v>9.0</v>
      </c>
      <c r="B716" s="3" t="s">
        <v>1416</v>
      </c>
      <c r="C716" s="3" t="str">
        <f t="shared" si="1"/>
        <v>82 </v>
      </c>
      <c r="D716" s="3" t="str">
        <f t="shared" si="2"/>
        <v>pharmacy</v>
      </c>
      <c r="E716" s="2" t="s">
        <v>8</v>
      </c>
      <c r="F716" s="3" t="str">
        <f>IFERROR(__xludf.DUMMYFUNCTION("GOOGLETRANSLATE(D716,$D$1,$F$1)"),"tiệm thuốc")</f>
        <v>tiệm thuốc</v>
      </c>
      <c r="G716" s="3" t="s">
        <v>1417</v>
      </c>
    </row>
    <row r="717">
      <c r="A717" s="3">
        <v>9.0</v>
      </c>
      <c r="B717" s="3" t="s">
        <v>1418</v>
      </c>
      <c r="C717" s="3" t="str">
        <f t="shared" si="1"/>
        <v>82 </v>
      </c>
      <c r="D717" s="3" t="str">
        <f t="shared" si="2"/>
        <v>dry-cleaner´s</v>
      </c>
      <c r="E717" s="2" t="s">
        <v>8</v>
      </c>
      <c r="F717" s="3" t="str">
        <f>IFERROR(__xludf.DUMMYFUNCTION("GOOGLETRANSLATE(D717,$D$1,$F$1)"),"khô cleaner's")</f>
        <v>khô cleaner's</v>
      </c>
      <c r="G717" s="3" t="s">
        <v>1419</v>
      </c>
    </row>
    <row r="718">
      <c r="A718" s="3">
        <v>9.0</v>
      </c>
      <c r="B718" s="3" t="s">
        <v>1420</v>
      </c>
      <c r="C718" s="3" t="str">
        <f t="shared" si="1"/>
        <v>82 </v>
      </c>
      <c r="D718" s="3" t="str">
        <f t="shared" si="2"/>
        <v>butcher</v>
      </c>
      <c r="E718" s="2" t="s">
        <v>8</v>
      </c>
      <c r="F718" s="3" t="str">
        <f>IFERROR(__xludf.DUMMYFUNCTION("GOOGLETRANSLATE(D718,$D$1,$F$1)"),"người bán thịt")</f>
        <v>người bán thịt</v>
      </c>
      <c r="G718" s="3" t="s">
        <v>1421</v>
      </c>
    </row>
    <row r="719">
      <c r="A719" s="3">
        <v>9.0</v>
      </c>
      <c r="B719" s="3" t="s">
        <v>1422</v>
      </c>
      <c r="C719" s="3" t="str">
        <f t="shared" si="1"/>
        <v>82 </v>
      </c>
      <c r="D719" s="3" t="str">
        <f t="shared" si="2"/>
        <v>post office</v>
      </c>
      <c r="E719" s="2" t="s">
        <v>8</v>
      </c>
      <c r="F719" s="3" t="str">
        <f>IFERROR(__xludf.DUMMYFUNCTION("GOOGLETRANSLATE(D719,$D$1,$F$1)"),"Bưu điện")</f>
        <v>Bưu điện</v>
      </c>
      <c r="G719" s="3" t="s">
        <v>1423</v>
      </c>
    </row>
    <row r="720">
      <c r="A720" s="3">
        <v>9.0</v>
      </c>
      <c r="B720" s="3" t="s">
        <v>1424</v>
      </c>
      <c r="C720" s="3" t="str">
        <f t="shared" si="1"/>
        <v>82 </v>
      </c>
      <c r="D720" s="3" t="str">
        <f t="shared" si="2"/>
        <v>bakery</v>
      </c>
      <c r="E720" s="2" t="s">
        <v>8</v>
      </c>
      <c r="F720" s="3" t="str">
        <f>IFERROR(__xludf.DUMMYFUNCTION("GOOGLETRANSLATE(D720,$D$1,$F$1)"),"cửa hàng bánh mì")</f>
        <v>cửa hàng bánh mì</v>
      </c>
      <c r="G720" s="3" t="s">
        <v>1425</v>
      </c>
    </row>
    <row r="721">
      <c r="A721" s="3">
        <v>9.0</v>
      </c>
      <c r="B721" s="3" t="s">
        <v>1426</v>
      </c>
      <c r="C721" s="3" t="str">
        <f t="shared" si="1"/>
        <v>82 </v>
      </c>
      <c r="D721" s="3" t="str">
        <f t="shared" si="2"/>
        <v>local shop</v>
      </c>
      <c r="E721" s="2" t="s">
        <v>8</v>
      </c>
      <c r="F721" s="3" t="str">
        <f>IFERROR(__xludf.DUMMYFUNCTION("GOOGLETRANSLATE(D721,$D$1,$F$1)"),"cửa hàng địa phương")</f>
        <v>cửa hàng địa phương</v>
      </c>
      <c r="G721" s="3" t="s">
        <v>1427</v>
      </c>
    </row>
    <row r="722">
      <c r="A722" s="3">
        <v>9.0</v>
      </c>
      <c r="B722" s="3" t="s">
        <v>1428</v>
      </c>
      <c r="C722" s="3" t="str">
        <f t="shared" si="1"/>
        <v>82 </v>
      </c>
      <c r="D722" s="3" t="str">
        <f t="shared" si="2"/>
        <v>gift shop</v>
      </c>
      <c r="E722" s="2" t="s">
        <v>8</v>
      </c>
      <c r="F722" s="3" t="str">
        <f>IFERROR(__xludf.DUMMYFUNCTION("GOOGLETRANSLATE(D722,$D$1,$F$1)"),"cửa hàng quà tặng")</f>
        <v>cửa hàng quà tặng</v>
      </c>
      <c r="G722" s="3" t="s">
        <v>1429</v>
      </c>
    </row>
    <row r="723">
      <c r="A723" s="3">
        <v>9.0</v>
      </c>
      <c r="B723" s="3" t="s">
        <v>1430</v>
      </c>
      <c r="C723" s="3" t="str">
        <f t="shared" si="1"/>
        <v>82 </v>
      </c>
      <c r="D723" s="3" t="str">
        <f t="shared" si="2"/>
        <v>dirty</v>
      </c>
      <c r="E723" s="2" t="s">
        <v>8</v>
      </c>
      <c r="F723" s="3" t="str">
        <f>IFERROR(__xludf.DUMMYFUNCTION("GOOGLETRANSLATE(D723,$D$1,$F$1)"),"dơ bẩn")</f>
        <v>dơ bẩn</v>
      </c>
      <c r="G723" s="3" t="s">
        <v>1431</v>
      </c>
    </row>
    <row r="724">
      <c r="A724" s="3">
        <v>9.0</v>
      </c>
      <c r="B724" s="3" t="s">
        <v>1432</v>
      </c>
      <c r="C724" s="3" t="str">
        <f t="shared" si="1"/>
        <v>82 </v>
      </c>
      <c r="D724" s="3" t="str">
        <f t="shared" si="2"/>
        <v>haircut</v>
      </c>
      <c r="E724" s="2" t="s">
        <v>8</v>
      </c>
      <c r="F724" s="3" t="str">
        <f>IFERROR(__xludf.DUMMYFUNCTION("GOOGLETRANSLATE(D724,$D$1,$F$1)"),"cắt tóc")</f>
        <v>cắt tóc</v>
      </c>
      <c r="G724" s="3" t="s">
        <v>1433</v>
      </c>
    </row>
    <row r="725">
      <c r="A725" s="3">
        <v>9.0</v>
      </c>
      <c r="B725" s="3" t="s">
        <v>1434</v>
      </c>
      <c r="C725" s="3" t="str">
        <f t="shared" si="1"/>
        <v>82 </v>
      </c>
      <c r="D725" s="3" t="str">
        <f t="shared" si="2"/>
        <v>present(n)</v>
      </c>
      <c r="E725" s="2" t="s">
        <v>8</v>
      </c>
      <c r="F725" s="3" t="str">
        <f>IFERROR(__xludf.DUMMYFUNCTION("GOOGLETRANSLATE(D725,$D$1,$F$1)"),"hiện tại (n)")</f>
        <v>hiện tại (n)</v>
      </c>
      <c r="G725" s="3" t="s">
        <v>1435</v>
      </c>
    </row>
    <row r="726">
      <c r="A726" s="3">
        <v>9.0</v>
      </c>
      <c r="B726" s="3" t="s">
        <v>1436</v>
      </c>
      <c r="C726" s="3" t="str">
        <f t="shared" si="1"/>
        <v>82 </v>
      </c>
      <c r="D726" s="3" t="str">
        <f t="shared" si="2"/>
        <v>post</v>
      </c>
      <c r="E726" s="2" t="s">
        <v>8</v>
      </c>
      <c r="F726" s="3" t="str">
        <f>IFERROR(__xludf.DUMMYFUNCTION("GOOGLETRANSLATE(D726,$D$1,$F$1)"),"bài đăng")</f>
        <v>bài đăng</v>
      </c>
      <c r="G726" s="3" t="s">
        <v>1437</v>
      </c>
    </row>
    <row r="727">
      <c r="A727" s="3">
        <v>9.0</v>
      </c>
      <c r="B727" s="3" t="s">
        <v>1438</v>
      </c>
      <c r="C727" s="3" t="str">
        <f t="shared" si="1"/>
        <v>82 </v>
      </c>
      <c r="D727" s="3" t="str">
        <f t="shared" si="2"/>
        <v>toothpaste</v>
      </c>
      <c r="E727" s="2" t="s">
        <v>8</v>
      </c>
      <c r="F727" s="3" t="str">
        <f>IFERROR(__xludf.DUMMYFUNCTION("GOOGLETRANSLATE(D727,$D$1,$F$1)"),"kem đánh răng")</f>
        <v>kem đánh răng</v>
      </c>
      <c r="G727" s="3" t="s">
        <v>1439</v>
      </c>
    </row>
    <row r="728">
      <c r="A728" s="3">
        <v>9.0</v>
      </c>
      <c r="B728" s="3" t="s">
        <v>1440</v>
      </c>
      <c r="C728" s="3" t="str">
        <f t="shared" si="1"/>
        <v>82 </v>
      </c>
      <c r="D728" s="3" t="str">
        <f t="shared" si="2"/>
        <v>store directory</v>
      </c>
      <c r="E728" s="2" t="s">
        <v>8</v>
      </c>
      <c r="F728" s="3" t="str">
        <f>IFERROR(__xludf.DUMMYFUNCTION("GOOGLETRANSLATE(D728,$D$1,$F$1)"),"thư mục lưu trữ")</f>
        <v>thư mục lưu trữ</v>
      </c>
      <c r="G728" s="3" t="s">
        <v>1441</v>
      </c>
    </row>
    <row r="729">
      <c r="A729" s="3">
        <v>9.0</v>
      </c>
      <c r="B729" s="3" t="s">
        <v>1442</v>
      </c>
      <c r="C729" s="3" t="str">
        <f t="shared" si="1"/>
        <v>82 </v>
      </c>
      <c r="D729" s="3" t="str">
        <f t="shared" si="2"/>
        <v>basement</v>
      </c>
      <c r="E729" s="2" t="s">
        <v>8</v>
      </c>
      <c r="F729" s="3" t="str">
        <f>IFERROR(__xludf.DUMMYFUNCTION("GOOGLETRANSLATE(D729,$D$1,$F$1)"),"tầng hầm")</f>
        <v>tầng hầm</v>
      </c>
      <c r="G729" s="3" t="s">
        <v>1443</v>
      </c>
    </row>
    <row r="730">
      <c r="A730" s="3">
        <v>9.0</v>
      </c>
      <c r="B730" s="3" t="s">
        <v>1444</v>
      </c>
      <c r="C730" s="3" t="str">
        <f t="shared" si="1"/>
        <v>82 </v>
      </c>
      <c r="D730" s="3" t="str">
        <f t="shared" si="2"/>
        <v>food hall</v>
      </c>
      <c r="E730" s="2" t="s">
        <v>8</v>
      </c>
      <c r="F730" s="3" t="str">
        <f>IFERROR(__xludf.DUMMYFUNCTION("GOOGLETRANSLATE(D730,$D$1,$F$1)"),"phòng ăn")</f>
        <v>phòng ăn</v>
      </c>
      <c r="G730" s="3" t="s">
        <v>1445</v>
      </c>
    </row>
    <row r="731">
      <c r="A731" s="3">
        <v>9.0</v>
      </c>
      <c r="B731" s="3" t="s">
        <v>1446</v>
      </c>
      <c r="C731" s="3" t="str">
        <f t="shared" si="1"/>
        <v>82 </v>
      </c>
      <c r="D731" s="3" t="str">
        <f t="shared" si="2"/>
        <v>cook and kitchenware</v>
      </c>
      <c r="E731" s="2" t="s">
        <v>8</v>
      </c>
      <c r="F731" s="3" t="str">
        <f>IFERROR(__xludf.DUMMYFUNCTION("GOOGLETRANSLATE(D731,$D$1,$F$1)"),"đầu bếp và đồ dùng nhà bếp")</f>
        <v>đầu bếp và đồ dùng nhà bếp</v>
      </c>
      <c r="G731" s="3" t="s">
        <v>1447</v>
      </c>
    </row>
    <row r="732">
      <c r="A732" s="3">
        <v>9.0</v>
      </c>
      <c r="B732" s="3" t="s">
        <v>1448</v>
      </c>
      <c r="C732" s="3" t="str">
        <f t="shared" si="1"/>
        <v>82 </v>
      </c>
      <c r="D732" s="3" t="str">
        <f t="shared" si="2"/>
        <v>luggage</v>
      </c>
      <c r="E732" s="2" t="s">
        <v>8</v>
      </c>
      <c r="F732" s="3" t="str">
        <f>IFERROR(__xludf.DUMMYFUNCTION("GOOGLETRANSLATE(D732,$D$1,$F$1)"),"Hành lý")</f>
        <v>Hành lý</v>
      </c>
      <c r="G732" s="3" t="s">
        <v>1449</v>
      </c>
    </row>
    <row r="733">
      <c r="A733" s="3">
        <v>9.0</v>
      </c>
      <c r="B733" s="3" t="s">
        <v>1450</v>
      </c>
      <c r="C733" s="3" t="str">
        <f t="shared" si="1"/>
        <v>82 </v>
      </c>
      <c r="D733" s="3" t="str">
        <f t="shared" si="2"/>
        <v>ground floor</v>
      </c>
      <c r="E733" s="2" t="s">
        <v>8</v>
      </c>
      <c r="F733" s="3" t="str">
        <f>IFERROR(__xludf.DUMMYFUNCTION("GOOGLETRANSLATE(D733,$D$1,$F$1)"),"mặt đất")</f>
        <v>mặt đất</v>
      </c>
      <c r="G733" s="3" t="s">
        <v>1451</v>
      </c>
    </row>
    <row r="734">
      <c r="A734" s="3">
        <v>9.0</v>
      </c>
      <c r="B734" s="3" t="s">
        <v>1452</v>
      </c>
      <c r="C734" s="3" t="str">
        <f t="shared" si="1"/>
        <v>82 </v>
      </c>
      <c r="D734" s="3" t="str">
        <f t="shared" si="2"/>
        <v>perfumery</v>
      </c>
      <c r="E734" s="2" t="s">
        <v>8</v>
      </c>
      <c r="F734" s="3" t="str">
        <f>IFERROR(__xludf.DUMMYFUNCTION("GOOGLETRANSLATE(D734,$D$1,$F$1)"),"nước hoa")</f>
        <v>nước hoa</v>
      </c>
      <c r="G734" s="3" t="s">
        <v>1453</v>
      </c>
    </row>
    <row r="735">
      <c r="A735" s="3">
        <v>9.0</v>
      </c>
      <c r="B735" s="3" t="s">
        <v>1454</v>
      </c>
      <c r="C735" s="3" t="str">
        <f t="shared" si="1"/>
        <v>82 </v>
      </c>
      <c r="D735" s="3" t="str">
        <f t="shared" si="2"/>
        <v>cosmetic</v>
      </c>
      <c r="E735" s="2" t="s">
        <v>8</v>
      </c>
      <c r="F735" s="3" t="str">
        <f>IFERROR(__xludf.DUMMYFUNCTION("GOOGLETRANSLATE(D735,$D$1,$F$1)"),"mỹ phẩm")</f>
        <v>mỹ phẩm</v>
      </c>
      <c r="G735" s="3" t="s">
        <v>1455</v>
      </c>
    </row>
    <row r="736">
      <c r="A736" s="3">
        <v>9.0</v>
      </c>
      <c r="B736" s="3" t="s">
        <v>1456</v>
      </c>
      <c r="C736" s="3" t="str">
        <f t="shared" si="1"/>
        <v>82 </v>
      </c>
      <c r="D736" s="3" t="str">
        <f t="shared" si="2"/>
        <v>handbag</v>
      </c>
      <c r="E736" s="2" t="s">
        <v>8</v>
      </c>
      <c r="F736" s="3" t="str">
        <f>IFERROR(__xludf.DUMMYFUNCTION("GOOGLETRANSLATE(D736,$D$1,$F$1)"),"túi xách tay")</f>
        <v>túi xách tay</v>
      </c>
      <c r="G736" s="3" t="s">
        <v>1457</v>
      </c>
    </row>
    <row r="737">
      <c r="A737" s="3">
        <v>9.0</v>
      </c>
      <c r="B737" s="3" t="s">
        <v>1458</v>
      </c>
      <c r="C737" s="3" t="str">
        <f t="shared" si="1"/>
        <v>82 </v>
      </c>
      <c r="D737" s="3" t="str">
        <f t="shared" si="2"/>
        <v>stationery</v>
      </c>
      <c r="E737" s="2" t="s">
        <v>8</v>
      </c>
      <c r="F737" s="3" t="str">
        <f>IFERROR(__xludf.DUMMYFUNCTION("GOOGLETRANSLATE(D737,$D$1,$F$1)"),"văn phòng phẩm")</f>
        <v>văn phòng phẩm</v>
      </c>
      <c r="G737" s="3" t="s">
        <v>1459</v>
      </c>
    </row>
    <row r="738">
      <c r="A738" s="3">
        <v>9.0</v>
      </c>
      <c r="B738" s="3" t="s">
        <v>1460</v>
      </c>
      <c r="C738" s="3" t="str">
        <f t="shared" si="1"/>
        <v>82 </v>
      </c>
      <c r="D738" s="3" t="str">
        <f t="shared" si="2"/>
        <v>shoes</v>
      </c>
      <c r="E738" s="2" t="s">
        <v>8</v>
      </c>
      <c r="F738" s="3" t="str">
        <f>IFERROR(__xludf.DUMMYFUNCTION("GOOGLETRANSLATE(D738,$D$1,$F$1)"),"đôi giày")</f>
        <v>đôi giày</v>
      </c>
      <c r="G738" s="3" t="s">
        <v>500</v>
      </c>
    </row>
    <row r="739">
      <c r="A739" s="3">
        <v>9.0</v>
      </c>
      <c r="B739" s="3" t="s">
        <v>1461</v>
      </c>
      <c r="C739" s="3" t="str">
        <f t="shared" si="1"/>
        <v>82 </v>
      </c>
      <c r="D739" s="3" t="str">
        <f t="shared" si="2"/>
        <v>jewellery</v>
      </c>
      <c r="E739" s="2" t="s">
        <v>8</v>
      </c>
      <c r="F739" s="3" t="str">
        <f>IFERROR(__xludf.DUMMYFUNCTION("GOOGLETRANSLATE(D739,$D$1,$F$1)"),"đồ kim hoàn")</f>
        <v>đồ kim hoàn</v>
      </c>
      <c r="G739" s="3" t="s">
        <v>1462</v>
      </c>
    </row>
    <row r="740">
      <c r="A740" s="3">
        <v>9.0</v>
      </c>
      <c r="B740" s="3" t="s">
        <v>1463</v>
      </c>
      <c r="C740" s="3" t="str">
        <f t="shared" si="1"/>
        <v>82 </v>
      </c>
      <c r="D740" s="3" t="str">
        <f t="shared" si="2"/>
        <v>gaming</v>
      </c>
      <c r="E740" s="2" t="s">
        <v>8</v>
      </c>
      <c r="F740" s="3" t="str">
        <f>IFERROR(__xludf.DUMMYFUNCTION("GOOGLETRANSLATE(D740,$D$1,$F$1)"),"chơi game")</f>
        <v>chơi game</v>
      </c>
      <c r="G740" s="3" t="s">
        <v>1464</v>
      </c>
    </row>
    <row r="741">
      <c r="A741" s="3">
        <v>9.0</v>
      </c>
      <c r="B741" s="3" t="s">
        <v>1465</v>
      </c>
      <c r="C741" s="3" t="str">
        <f t="shared" si="1"/>
        <v>82 </v>
      </c>
      <c r="D741" s="3" t="str">
        <f t="shared" si="2"/>
        <v>electrical goods</v>
      </c>
      <c r="E741" s="2" t="s">
        <v>8</v>
      </c>
      <c r="F741" s="3" t="str">
        <f>IFERROR(__xludf.DUMMYFUNCTION("GOOGLETRANSLATE(D741,$D$1,$F$1)"),"đồ điện tử")</f>
        <v>đồ điện tử</v>
      </c>
      <c r="G741" s="3" t="s">
        <v>1466</v>
      </c>
    </row>
    <row r="742">
      <c r="A742" s="3">
        <v>9.0</v>
      </c>
      <c r="B742" s="3" t="s">
        <v>1467</v>
      </c>
      <c r="C742" s="3" t="str">
        <f t="shared" si="1"/>
        <v>83 </v>
      </c>
      <c r="D742" s="3" t="str">
        <f t="shared" si="2"/>
        <v>department</v>
      </c>
      <c r="E742" s="2" t="s">
        <v>8</v>
      </c>
      <c r="F742" s="3" t="str">
        <f>IFERROR(__xludf.DUMMYFUNCTION("GOOGLETRANSLATE(D742,$D$1,$F$1)"),"Phòng ban")</f>
        <v>Phòng ban</v>
      </c>
      <c r="G742" s="3" t="s">
        <v>1468</v>
      </c>
    </row>
    <row r="743">
      <c r="A743" s="3">
        <v>9.0</v>
      </c>
      <c r="B743" s="3" t="s">
        <v>1469</v>
      </c>
      <c r="C743" s="3" t="str">
        <f t="shared" si="1"/>
        <v>83 </v>
      </c>
      <c r="D743" s="3" t="str">
        <f t="shared" si="2"/>
        <v>battery</v>
      </c>
      <c r="E743" s="2" t="s">
        <v>8</v>
      </c>
      <c r="F743" s="3" t="str">
        <f>IFERROR(__xludf.DUMMYFUNCTION("GOOGLETRANSLATE(D743,$D$1,$F$1)"),"ắc quy")</f>
        <v>ắc quy</v>
      </c>
      <c r="G743" s="3" t="s">
        <v>1470</v>
      </c>
    </row>
    <row r="744">
      <c r="A744" s="3">
        <v>9.0</v>
      </c>
      <c r="B744" s="3" t="s">
        <v>1471</v>
      </c>
      <c r="C744" s="3" t="str">
        <f t="shared" si="1"/>
        <v>84 </v>
      </c>
      <c r="D744" s="3" t="str">
        <f t="shared" si="2"/>
        <v>choose</v>
      </c>
      <c r="E744" s="2" t="s">
        <v>8</v>
      </c>
      <c r="F744" s="3" t="str">
        <f>IFERROR(__xludf.DUMMYFUNCTION("GOOGLETRANSLATE(D744,$D$1,$F$1)"),"chọn")</f>
        <v>chọn</v>
      </c>
      <c r="G744" s="3" t="s">
        <v>1472</v>
      </c>
    </row>
    <row r="745">
      <c r="A745" s="3">
        <v>9.0</v>
      </c>
      <c r="B745" s="3" t="s">
        <v>1473</v>
      </c>
      <c r="C745" s="3" t="str">
        <f t="shared" si="1"/>
        <v>84 </v>
      </c>
      <c r="D745" s="3" t="str">
        <f t="shared" si="2"/>
        <v>souvenir</v>
      </c>
      <c r="E745" s="2" t="s">
        <v>8</v>
      </c>
      <c r="F745" s="3" t="str">
        <f>IFERROR(__xludf.DUMMYFUNCTION("GOOGLETRANSLATE(D745,$D$1,$F$1)"),"quà lưu niệm")</f>
        <v>quà lưu niệm</v>
      </c>
      <c r="G745" s="3" t="s">
        <v>1474</v>
      </c>
    </row>
    <row r="746">
      <c r="A746" s="3">
        <v>9.0</v>
      </c>
      <c r="B746" s="3" t="s">
        <v>1475</v>
      </c>
      <c r="C746" s="3" t="str">
        <f t="shared" si="1"/>
        <v>84 </v>
      </c>
      <c r="D746" s="3" t="str">
        <f t="shared" si="2"/>
        <v>leather</v>
      </c>
      <c r="E746" s="2" t="s">
        <v>8</v>
      </c>
      <c r="F746" s="3" t="str">
        <f>IFERROR(__xludf.DUMMYFUNCTION("GOOGLETRANSLATE(D746,$D$1,$F$1)"),"da")</f>
        <v>da</v>
      </c>
      <c r="G746" s="3" t="s">
        <v>1476</v>
      </c>
    </row>
    <row r="747">
      <c r="A747" s="3">
        <v>9.0</v>
      </c>
      <c r="B747" s="3" t="s">
        <v>1477</v>
      </c>
      <c r="C747" s="3" t="str">
        <f t="shared" si="1"/>
        <v>84 </v>
      </c>
      <c r="D747" s="3" t="str">
        <f t="shared" si="2"/>
        <v>lamp</v>
      </c>
      <c r="E747" s="2" t="s">
        <v>8</v>
      </c>
      <c r="F747" s="3" t="str">
        <f>IFERROR(__xludf.DUMMYFUNCTION("GOOGLETRANSLATE(D747,$D$1,$F$1)"),"đèn")</f>
        <v>đèn</v>
      </c>
      <c r="G747" s="3" t="s">
        <v>1478</v>
      </c>
    </row>
    <row r="748">
      <c r="A748" s="3">
        <v>9.0</v>
      </c>
      <c r="B748" s="3" t="s">
        <v>1479</v>
      </c>
      <c r="C748" s="3" t="str">
        <f t="shared" si="1"/>
        <v>84 </v>
      </c>
      <c r="D748" s="3" t="str">
        <f t="shared" si="2"/>
        <v>silk</v>
      </c>
      <c r="E748" s="2" t="s">
        <v>8</v>
      </c>
      <c r="F748" s="3" t="str">
        <f>IFERROR(__xludf.DUMMYFUNCTION("GOOGLETRANSLATE(D748,$D$1,$F$1)"),"lụa")</f>
        <v>lụa</v>
      </c>
      <c r="G748" s="3" t="s">
        <v>1480</v>
      </c>
    </row>
    <row r="749">
      <c r="A749" s="3">
        <v>9.0</v>
      </c>
      <c r="B749" s="3" t="s">
        <v>1481</v>
      </c>
      <c r="C749" s="3" t="str">
        <f t="shared" si="1"/>
        <v>84 </v>
      </c>
      <c r="D749" s="3" t="str">
        <f t="shared" si="2"/>
        <v>scarf</v>
      </c>
      <c r="E749" s="2" t="s">
        <v>8</v>
      </c>
      <c r="F749" s="3" t="str">
        <f>IFERROR(__xludf.DUMMYFUNCTION("GOOGLETRANSLATE(D749,$D$1,$F$1)"),"khăn quàng cổ")</f>
        <v>khăn quàng cổ</v>
      </c>
      <c r="G749" s="3" t="s">
        <v>1482</v>
      </c>
    </row>
    <row r="750">
      <c r="A750" s="3">
        <v>9.0</v>
      </c>
      <c r="B750" s="3" t="s">
        <v>1483</v>
      </c>
      <c r="C750" s="3" t="str">
        <f t="shared" si="1"/>
        <v>85 </v>
      </c>
      <c r="D750" s="3" t="str">
        <f t="shared" si="2"/>
        <v>expect</v>
      </c>
      <c r="E750" s="2" t="s">
        <v>8</v>
      </c>
      <c r="F750" s="3" t="str">
        <f>IFERROR(__xludf.DUMMYFUNCTION("GOOGLETRANSLATE(D750,$D$1,$F$1)"),"chờ đợi")</f>
        <v>chờ đợi</v>
      </c>
      <c r="G750" s="3" t="s">
        <v>1484</v>
      </c>
    </row>
    <row r="751">
      <c r="A751" s="3">
        <v>9.0</v>
      </c>
      <c r="B751" s="3" t="s">
        <v>1485</v>
      </c>
      <c r="C751" s="3" t="str">
        <f t="shared" si="1"/>
        <v>85 </v>
      </c>
      <c r="D751" s="3" t="str">
        <f t="shared" si="2"/>
        <v>well-paid</v>
      </c>
      <c r="E751" s="2" t="s">
        <v>8</v>
      </c>
      <c r="F751" s="3" t="str">
        <f>IFERROR(__xludf.DUMMYFUNCTION("GOOGLETRANSLATE(D751,$D$1,$F$1)"),"được trả lương")</f>
        <v>được trả lương</v>
      </c>
      <c r="G751" s="3" t="s">
        <v>1486</v>
      </c>
    </row>
    <row r="752">
      <c r="A752" s="3">
        <v>10.0</v>
      </c>
      <c r="B752" s="3" t="s">
        <v>1487</v>
      </c>
      <c r="C752" s="3" t="str">
        <f t="shared" si="1"/>
        <v>86 </v>
      </c>
      <c r="D752" s="3" t="str">
        <f t="shared" si="2"/>
        <v>report (n)</v>
      </c>
      <c r="E752" s="2" t="s">
        <v>8</v>
      </c>
      <c r="F752" s="3" t="str">
        <f>IFERROR(__xludf.DUMMYFUNCTION("GOOGLETRANSLATE(D752,$D$1,$F$1)"),"báo cáo (n)")</f>
        <v>báo cáo (n)</v>
      </c>
      <c r="G752" s="3" t="s">
        <v>53</v>
      </c>
    </row>
    <row r="753">
      <c r="A753" s="3">
        <v>10.0</v>
      </c>
      <c r="B753" s="3" t="s">
        <v>1488</v>
      </c>
      <c r="C753" s="3" t="str">
        <f t="shared" si="1"/>
        <v>86 </v>
      </c>
      <c r="D753" s="3" t="str">
        <f t="shared" si="2"/>
        <v>boss</v>
      </c>
      <c r="E753" s="2" t="s">
        <v>8</v>
      </c>
      <c r="F753" s="3" t="str">
        <f>IFERROR(__xludf.DUMMYFUNCTION("GOOGLETRANSLATE(D753,$D$1,$F$1)"),"Ông chủ")</f>
        <v>Ông chủ</v>
      </c>
      <c r="G753" s="3" t="s">
        <v>1489</v>
      </c>
    </row>
    <row r="754">
      <c r="A754" s="3">
        <v>10.0</v>
      </c>
      <c r="B754" s="3" t="s">
        <v>1490</v>
      </c>
      <c r="C754" s="3" t="str">
        <f t="shared" si="1"/>
        <v>86 </v>
      </c>
      <c r="D754" s="3" t="str">
        <f t="shared" si="2"/>
        <v>chat</v>
      </c>
      <c r="E754" s="2" t="s">
        <v>8</v>
      </c>
      <c r="F754" s="3" t="str">
        <f>IFERROR(__xludf.DUMMYFUNCTION("GOOGLETRANSLATE(D754,$D$1,$F$1)"),"trò chuyện")</f>
        <v>trò chuyện</v>
      </c>
      <c r="G754" s="3" t="s">
        <v>1491</v>
      </c>
    </row>
    <row r="755">
      <c r="A755" s="3">
        <v>10.0</v>
      </c>
      <c r="B755" s="3" t="s">
        <v>1492</v>
      </c>
      <c r="C755" s="3" t="str">
        <f t="shared" si="1"/>
        <v>87 </v>
      </c>
      <c r="D755" s="3" t="str">
        <f t="shared" si="2"/>
        <v>trainers</v>
      </c>
      <c r="E755" s="2" t="s">
        <v>8</v>
      </c>
      <c r="F755" s="3" t="str">
        <f>IFERROR(__xludf.DUMMYFUNCTION("GOOGLETRANSLATE(D755,$D$1,$F$1)"),"giảng viên")</f>
        <v>giảng viên</v>
      </c>
      <c r="G755" s="3" t="s">
        <v>1493</v>
      </c>
    </row>
    <row r="756">
      <c r="A756" s="3">
        <v>10.0</v>
      </c>
      <c r="B756" s="3" t="s">
        <v>1494</v>
      </c>
      <c r="C756" s="3" t="str">
        <f t="shared" si="1"/>
        <v>87 </v>
      </c>
      <c r="D756" s="3" t="str">
        <f t="shared" si="2"/>
        <v>jumper</v>
      </c>
      <c r="E756" s="2" t="s">
        <v>8</v>
      </c>
      <c r="F756" s="3" t="str">
        <f>IFERROR(__xludf.DUMMYFUNCTION("GOOGLETRANSLATE(D756,$D$1,$F$1)"),"người nhảy")</f>
        <v>người nhảy</v>
      </c>
      <c r="G756" s="3" t="s">
        <v>1495</v>
      </c>
    </row>
    <row r="757">
      <c r="A757" s="3">
        <v>10.0</v>
      </c>
      <c r="B757" s="3" t="s">
        <v>1496</v>
      </c>
      <c r="C757" s="3" t="str">
        <f t="shared" si="1"/>
        <v>88 </v>
      </c>
      <c r="D757" s="3" t="str">
        <f t="shared" si="2"/>
        <v>trousers</v>
      </c>
      <c r="E757" s="2" t="s">
        <v>8</v>
      </c>
      <c r="F757" s="3" t="str">
        <f>IFERROR(__xludf.DUMMYFUNCTION("GOOGLETRANSLATE(D757,$D$1,$F$1)"),"quần")</f>
        <v>quần</v>
      </c>
      <c r="G757" s="3" t="s">
        <v>1497</v>
      </c>
    </row>
    <row r="758">
      <c r="A758" s="3">
        <v>10.0</v>
      </c>
      <c r="B758" s="3" t="s">
        <v>1498</v>
      </c>
      <c r="C758" s="3" t="str">
        <f t="shared" si="1"/>
        <v>88 </v>
      </c>
      <c r="D758" s="3" t="str">
        <f t="shared" si="2"/>
        <v>sandals</v>
      </c>
      <c r="E758" s="2" t="s">
        <v>8</v>
      </c>
      <c r="F758" s="3" t="str">
        <f>IFERROR(__xludf.DUMMYFUNCTION("GOOGLETRANSLATE(D758,$D$1,$F$1)"),"Dép xăng đan")</f>
        <v>Dép xăng đan</v>
      </c>
      <c r="G758" s="3" t="s">
        <v>1499</v>
      </c>
    </row>
    <row r="759">
      <c r="A759" s="3">
        <v>10.0</v>
      </c>
      <c r="B759" s="3" t="s">
        <v>1500</v>
      </c>
      <c r="C759" s="3" t="str">
        <f t="shared" si="1"/>
        <v>88 </v>
      </c>
      <c r="D759" s="3" t="str">
        <f t="shared" si="2"/>
        <v>tights</v>
      </c>
      <c r="E759" s="2" t="s">
        <v>8</v>
      </c>
      <c r="F759" s="3" t="str">
        <f>IFERROR(__xludf.DUMMYFUNCTION("GOOGLETRANSLATE(D759,$D$1,$F$1)"),"quần bó")</f>
        <v>quần bó</v>
      </c>
      <c r="G759" s="3" t="s">
        <v>1501</v>
      </c>
    </row>
    <row r="760">
      <c r="A760" s="3">
        <v>10.0</v>
      </c>
      <c r="B760" s="3" t="s">
        <v>1502</v>
      </c>
      <c r="C760" s="3" t="str">
        <f t="shared" si="1"/>
        <v>88 </v>
      </c>
      <c r="D760" s="3" t="str">
        <f t="shared" si="2"/>
        <v>tie</v>
      </c>
      <c r="E760" s="2" t="s">
        <v>8</v>
      </c>
      <c r="F760" s="3" t="str">
        <f>IFERROR(__xludf.DUMMYFUNCTION("GOOGLETRANSLATE(D760,$D$1,$F$1)"),"cà vạt")</f>
        <v>cà vạt</v>
      </c>
      <c r="G760" s="3" t="s">
        <v>1503</v>
      </c>
    </row>
    <row r="761">
      <c r="A761" s="3">
        <v>10.0</v>
      </c>
      <c r="B761" s="3" t="s">
        <v>1504</v>
      </c>
      <c r="C761" s="3" t="str">
        <f t="shared" si="1"/>
        <v>88 </v>
      </c>
      <c r="D761" s="3" t="str">
        <f t="shared" si="2"/>
        <v>coat</v>
      </c>
      <c r="E761" s="2" t="s">
        <v>8</v>
      </c>
      <c r="F761" s="3" t="str">
        <f>IFERROR(__xludf.DUMMYFUNCTION("GOOGLETRANSLATE(D761,$D$1,$F$1)"),"áo choàng ngoài")</f>
        <v>áo choàng ngoài</v>
      </c>
      <c r="G761" s="3" t="s">
        <v>1505</v>
      </c>
    </row>
    <row r="762">
      <c r="A762" s="3">
        <v>10.0</v>
      </c>
      <c r="B762" s="3" t="s">
        <v>1506</v>
      </c>
      <c r="C762" s="3" t="str">
        <f t="shared" si="1"/>
        <v>88 </v>
      </c>
      <c r="D762" s="3" t="str">
        <f t="shared" si="2"/>
        <v>belt</v>
      </c>
      <c r="E762" s="2" t="s">
        <v>8</v>
      </c>
      <c r="F762" s="3" t="str">
        <f>IFERROR(__xludf.DUMMYFUNCTION("GOOGLETRANSLATE(D762,$D$1,$F$1)"),"thắt lưng")</f>
        <v>thắt lưng</v>
      </c>
      <c r="G762" s="3" t="s">
        <v>1507</v>
      </c>
    </row>
    <row r="763">
      <c r="A763" s="3">
        <v>10.0</v>
      </c>
      <c r="B763" s="3" t="s">
        <v>1508</v>
      </c>
      <c r="C763" s="3" t="str">
        <f t="shared" si="1"/>
        <v>88 </v>
      </c>
      <c r="D763" s="3" t="str">
        <f t="shared" si="2"/>
        <v>briefcase</v>
      </c>
      <c r="E763" s="2" t="s">
        <v>8</v>
      </c>
      <c r="F763" s="3" t="str">
        <f>IFERROR(__xludf.DUMMYFUNCTION("GOOGLETRANSLATE(D763,$D$1,$F$1)"),"Va li công tác")</f>
        <v>Va li công tác</v>
      </c>
      <c r="G763" s="3" t="s">
        <v>1509</v>
      </c>
    </row>
    <row r="764">
      <c r="A764" s="3">
        <v>10.0</v>
      </c>
      <c r="B764" s="3" t="s">
        <v>1510</v>
      </c>
      <c r="C764" s="3" t="str">
        <f t="shared" si="1"/>
        <v>88 </v>
      </c>
      <c r="D764" s="3" t="str">
        <f t="shared" si="2"/>
        <v>skirt</v>
      </c>
      <c r="E764" s="2" t="s">
        <v>8</v>
      </c>
      <c r="F764" s="3" t="str">
        <f>IFERROR(__xludf.DUMMYFUNCTION("GOOGLETRANSLATE(D764,$D$1,$F$1)"),"váy")</f>
        <v>váy</v>
      </c>
      <c r="G764" s="3" t="s">
        <v>1511</v>
      </c>
    </row>
    <row r="765">
      <c r="A765" s="3">
        <v>10.0</v>
      </c>
      <c r="B765" s="3" t="s">
        <v>1512</v>
      </c>
      <c r="C765" s="3" t="str">
        <f t="shared" si="1"/>
        <v>88 </v>
      </c>
      <c r="D765" s="3" t="str">
        <f t="shared" si="2"/>
        <v>shorts</v>
      </c>
      <c r="E765" s="2" t="s">
        <v>8</v>
      </c>
      <c r="F765" s="3" t="str">
        <f>IFERROR(__xludf.DUMMYFUNCTION("GOOGLETRANSLATE(D765,$D$1,$F$1)"),"quần short")</f>
        <v>quần short</v>
      </c>
      <c r="G765" s="3" t="s">
        <v>1513</v>
      </c>
    </row>
    <row r="766">
      <c r="A766" s="3">
        <v>10.0</v>
      </c>
      <c r="B766" s="3" t="s">
        <v>1514</v>
      </c>
      <c r="C766" s="3" t="str">
        <f t="shared" si="1"/>
        <v>88 </v>
      </c>
      <c r="D766" s="3" t="str">
        <f t="shared" si="2"/>
        <v>boots</v>
      </c>
      <c r="E766" s="2" t="s">
        <v>8</v>
      </c>
      <c r="F766" s="3" t="str">
        <f>IFERROR(__xludf.DUMMYFUNCTION("GOOGLETRANSLATE(D766,$D$1,$F$1)"),"giày ống")</f>
        <v>giày ống</v>
      </c>
      <c r="G766" s="3" t="s">
        <v>1515</v>
      </c>
    </row>
    <row r="767">
      <c r="A767" s="3">
        <v>10.0</v>
      </c>
      <c r="B767" s="3" t="s">
        <v>1516</v>
      </c>
      <c r="C767" s="3" t="str">
        <f t="shared" si="1"/>
        <v>88 </v>
      </c>
      <c r="D767" s="3" t="str">
        <f t="shared" si="2"/>
        <v>socks</v>
      </c>
      <c r="E767" s="2" t="s">
        <v>8</v>
      </c>
      <c r="F767" s="3" t="str">
        <f>IFERROR(__xludf.DUMMYFUNCTION("GOOGLETRANSLATE(D767,$D$1,$F$1)"),"bít tất")</f>
        <v>bít tất</v>
      </c>
      <c r="G767" s="3" t="s">
        <v>1517</v>
      </c>
    </row>
    <row r="768">
      <c r="A768" s="3">
        <v>10.0</v>
      </c>
      <c r="B768" s="3" t="s">
        <v>1518</v>
      </c>
      <c r="C768" s="3" t="str">
        <f t="shared" si="1"/>
        <v>88 </v>
      </c>
      <c r="D768" s="3" t="str">
        <f t="shared" si="2"/>
        <v>gloves</v>
      </c>
      <c r="E768" s="2" t="s">
        <v>8</v>
      </c>
      <c r="F768" s="3" t="str">
        <f>IFERROR(__xludf.DUMMYFUNCTION("GOOGLETRANSLATE(D768,$D$1,$F$1)"),"găng tay")</f>
        <v>găng tay</v>
      </c>
      <c r="G768" s="3" t="s">
        <v>1519</v>
      </c>
    </row>
    <row r="769">
      <c r="A769" s="3">
        <v>10.0</v>
      </c>
      <c r="B769" s="3" t="s">
        <v>1520</v>
      </c>
      <c r="C769" s="3" t="str">
        <f t="shared" si="1"/>
        <v>88 </v>
      </c>
      <c r="D769" s="3" t="str">
        <f t="shared" si="2"/>
        <v>earrings</v>
      </c>
      <c r="E769" s="2" t="s">
        <v>8</v>
      </c>
      <c r="F769" s="3" t="str">
        <f>IFERROR(__xludf.DUMMYFUNCTION("GOOGLETRANSLATE(D769,$D$1,$F$1)"),"Hoa tai")</f>
        <v>Hoa tai</v>
      </c>
      <c r="G769" s="3" t="s">
        <v>1521</v>
      </c>
    </row>
    <row r="770">
      <c r="A770" s="3">
        <v>10.0</v>
      </c>
      <c r="B770" s="3" t="s">
        <v>1522</v>
      </c>
      <c r="C770" s="3" t="str">
        <f t="shared" si="1"/>
        <v>88 </v>
      </c>
      <c r="D770" s="3" t="str">
        <f t="shared" si="2"/>
        <v>shirt</v>
      </c>
      <c r="E770" s="2" t="s">
        <v>8</v>
      </c>
      <c r="F770" s="3" t="str">
        <f>IFERROR(__xludf.DUMMYFUNCTION("GOOGLETRANSLATE(D770,$D$1,$F$1)"),"áo sơ mi")</f>
        <v>áo sơ mi</v>
      </c>
      <c r="G770" s="3" t="s">
        <v>1523</v>
      </c>
    </row>
    <row r="771">
      <c r="A771" s="3">
        <v>10.0</v>
      </c>
      <c r="B771" s="3" t="s">
        <v>1524</v>
      </c>
      <c r="C771" s="3" t="str">
        <f t="shared" si="1"/>
        <v>88 </v>
      </c>
      <c r="D771" s="3" t="str">
        <f t="shared" si="2"/>
        <v>suit</v>
      </c>
      <c r="E771" s="2" t="s">
        <v>8</v>
      </c>
      <c r="F771" s="3" t="str">
        <f>IFERROR(__xludf.DUMMYFUNCTION("GOOGLETRANSLATE(D771,$D$1,$F$1)"),"bộ đồ")</f>
        <v>bộ đồ</v>
      </c>
      <c r="G771" s="3" t="s">
        <v>1525</v>
      </c>
    </row>
    <row r="772">
      <c r="A772" s="3">
        <v>10.0</v>
      </c>
      <c r="B772" s="3" t="s">
        <v>1526</v>
      </c>
      <c r="C772" s="3" t="str">
        <f t="shared" si="1"/>
        <v>88 </v>
      </c>
      <c r="D772" s="3" t="str">
        <f t="shared" si="2"/>
        <v>jacket</v>
      </c>
      <c r="E772" s="2" t="s">
        <v>8</v>
      </c>
      <c r="F772" s="3" t="str">
        <f>IFERROR(__xludf.DUMMYFUNCTION("GOOGLETRANSLATE(D772,$D$1,$F$1)"),"Áo khoác")</f>
        <v>Áo khoác</v>
      </c>
      <c r="G772" s="3" t="s">
        <v>1527</v>
      </c>
    </row>
    <row r="773">
      <c r="A773" s="3">
        <v>10.0</v>
      </c>
      <c r="B773" s="3" t="s">
        <v>1528</v>
      </c>
      <c r="C773" s="3" t="str">
        <f t="shared" si="1"/>
        <v>88 </v>
      </c>
      <c r="D773" s="3" t="str">
        <f t="shared" si="2"/>
        <v>backpack</v>
      </c>
      <c r="E773" s="2" t="s">
        <v>8</v>
      </c>
      <c r="F773" s="3" t="str">
        <f>IFERROR(__xludf.DUMMYFUNCTION("GOOGLETRANSLATE(D773,$D$1,$F$1)"),"ba lô")</f>
        <v>ba lô</v>
      </c>
      <c r="G773" s="3" t="s">
        <v>1529</v>
      </c>
    </row>
    <row r="774">
      <c r="A774" s="3">
        <v>10.0</v>
      </c>
      <c r="B774" s="3" t="s">
        <v>1530</v>
      </c>
      <c r="C774" s="3" t="str">
        <f t="shared" si="1"/>
        <v>88 </v>
      </c>
      <c r="D774" s="3" t="str">
        <f t="shared" si="2"/>
        <v>sports bag</v>
      </c>
      <c r="E774" s="2" t="s">
        <v>8</v>
      </c>
      <c r="F774" s="3" t="str">
        <f>IFERROR(__xludf.DUMMYFUNCTION("GOOGLETRANSLATE(D774,$D$1,$F$1)"),"túi đồ thể thao")</f>
        <v>túi đồ thể thao</v>
      </c>
      <c r="G774" s="3" t="s">
        <v>1531</v>
      </c>
    </row>
    <row r="775">
      <c r="A775" s="3">
        <v>10.0</v>
      </c>
      <c r="B775" s="3" t="s">
        <v>1532</v>
      </c>
      <c r="C775" s="3" t="str">
        <f t="shared" si="1"/>
        <v>88 </v>
      </c>
      <c r="D775" s="3" t="str">
        <f t="shared" si="2"/>
        <v>street fashion</v>
      </c>
      <c r="E775" s="2" t="s">
        <v>8</v>
      </c>
      <c r="F775" s="3" t="str">
        <f>IFERROR(__xludf.DUMMYFUNCTION("GOOGLETRANSLATE(D775,$D$1,$F$1)"),"thời trang đường phố")</f>
        <v>thời trang đường phố</v>
      </c>
      <c r="G775" s="3" t="s">
        <v>1533</v>
      </c>
    </row>
    <row r="776">
      <c r="A776" s="3">
        <v>10.0</v>
      </c>
      <c r="B776" s="3" t="s">
        <v>1534</v>
      </c>
      <c r="C776" s="3" t="str">
        <f t="shared" si="1"/>
        <v>88 </v>
      </c>
      <c r="D776" s="3" t="str">
        <f t="shared" si="2"/>
        <v>banker</v>
      </c>
      <c r="E776" s="2" t="s">
        <v>8</v>
      </c>
      <c r="F776" s="3" t="str">
        <f>IFERROR(__xludf.DUMMYFUNCTION("GOOGLETRANSLATE(D776,$D$1,$F$1)"),"chủ ngân hàng")</f>
        <v>chủ ngân hàng</v>
      </c>
      <c r="G776" s="3" t="s">
        <v>1535</v>
      </c>
    </row>
    <row r="777">
      <c r="A777" s="3">
        <v>10.0</v>
      </c>
      <c r="B777" s="3" t="s">
        <v>1536</v>
      </c>
      <c r="C777" s="3" t="str">
        <f t="shared" si="1"/>
        <v>88 </v>
      </c>
      <c r="D777" s="3" t="str">
        <f t="shared" si="2"/>
        <v>appointment</v>
      </c>
      <c r="E777" s="2" t="s">
        <v>8</v>
      </c>
      <c r="F777" s="3" t="str">
        <f>IFERROR(__xludf.DUMMYFUNCTION("GOOGLETRANSLATE(D777,$D$1,$F$1)"),"cuộc hẹn")</f>
        <v>cuộc hẹn</v>
      </c>
      <c r="G777" s="3" t="s">
        <v>1537</v>
      </c>
    </row>
    <row r="778">
      <c r="A778" s="3">
        <v>10.0</v>
      </c>
      <c r="B778" s="3" t="s">
        <v>1538</v>
      </c>
      <c r="C778" s="3" t="str">
        <f t="shared" si="1"/>
        <v>88 </v>
      </c>
      <c r="D778" s="3" t="str">
        <f t="shared" si="2"/>
        <v>accountant</v>
      </c>
      <c r="E778" s="2" t="s">
        <v>8</v>
      </c>
      <c r="F778" s="3" t="str">
        <f>IFERROR(__xludf.DUMMYFUNCTION("GOOGLETRANSLATE(D778,$D$1,$F$1)"),"viên kế toán")</f>
        <v>viên kế toán</v>
      </c>
      <c r="G778" s="3" t="s">
        <v>1539</v>
      </c>
    </row>
    <row r="779">
      <c r="A779" s="3">
        <v>10.0</v>
      </c>
      <c r="B779" s="3" t="s">
        <v>1540</v>
      </c>
      <c r="C779" s="3" t="str">
        <f t="shared" si="1"/>
        <v>88 </v>
      </c>
      <c r="D779" s="3" t="str">
        <f t="shared" si="2"/>
        <v>wedding</v>
      </c>
      <c r="E779" s="2" t="s">
        <v>8</v>
      </c>
      <c r="F779" s="3" t="str">
        <f>IFERROR(__xludf.DUMMYFUNCTION("GOOGLETRANSLATE(D779,$D$1,$F$1)"),"lễ cưới")</f>
        <v>lễ cưới</v>
      </c>
      <c r="G779" s="3" t="s">
        <v>1541</v>
      </c>
    </row>
    <row r="780">
      <c r="A780" s="3">
        <v>10.0</v>
      </c>
      <c r="B780" s="3" t="s">
        <v>1542</v>
      </c>
      <c r="C780" s="3" t="str">
        <f t="shared" si="1"/>
        <v>88 </v>
      </c>
      <c r="D780" s="3" t="str">
        <f t="shared" si="2"/>
        <v>college</v>
      </c>
      <c r="E780" s="2" t="s">
        <v>8</v>
      </c>
      <c r="F780" s="3" t="str">
        <f>IFERROR(__xludf.DUMMYFUNCTION("GOOGLETRANSLATE(D780,$D$1,$F$1)"),"trường đại học")</f>
        <v>trường đại học</v>
      </c>
      <c r="G780" s="3" t="s">
        <v>1543</v>
      </c>
    </row>
    <row r="781">
      <c r="A781" s="3">
        <v>10.0</v>
      </c>
      <c r="B781" s="3" t="s">
        <v>1544</v>
      </c>
      <c r="C781" s="3" t="str">
        <f t="shared" si="1"/>
        <v>89 </v>
      </c>
      <c r="D781" s="3" t="str">
        <f t="shared" si="2"/>
        <v>uniform</v>
      </c>
      <c r="E781" s="2" t="s">
        <v>8</v>
      </c>
      <c r="F781" s="3" t="str">
        <f>IFERROR(__xludf.DUMMYFUNCTION("GOOGLETRANSLATE(D781,$D$1,$F$1)"),"đồng phục")</f>
        <v>đồng phục</v>
      </c>
      <c r="G781" s="3" t="s">
        <v>1545</v>
      </c>
    </row>
    <row r="782">
      <c r="A782" s="3">
        <v>10.0</v>
      </c>
      <c r="B782" s="3" t="s">
        <v>1546</v>
      </c>
      <c r="C782" s="3" t="str">
        <f t="shared" si="1"/>
        <v>89 </v>
      </c>
      <c r="D782" s="3" t="str">
        <f t="shared" si="2"/>
        <v>heavy</v>
      </c>
      <c r="E782" s="2" t="s">
        <v>8</v>
      </c>
      <c r="F782" s="3" t="str">
        <f>IFERROR(__xludf.DUMMYFUNCTION("GOOGLETRANSLATE(D782,$D$1,$F$1)"),"nặng")</f>
        <v>nặng</v>
      </c>
      <c r="G782" s="3" t="s">
        <v>1547</v>
      </c>
    </row>
    <row r="783">
      <c r="A783" s="3">
        <v>10.0</v>
      </c>
      <c r="B783" s="3" t="s">
        <v>1548</v>
      </c>
      <c r="C783" s="3" t="str">
        <f t="shared" si="1"/>
        <v>89 </v>
      </c>
      <c r="D783" s="3" t="str">
        <f t="shared" si="2"/>
        <v>get ready</v>
      </c>
      <c r="E783" s="2" t="s">
        <v>8</v>
      </c>
      <c r="F783" s="3" t="str">
        <f>IFERROR(__xludf.DUMMYFUNCTION("GOOGLETRANSLATE(D783,$D$1,$F$1)"),"chuẩn bị")</f>
        <v>chuẩn bị</v>
      </c>
      <c r="G783" s="3" t="s">
        <v>1549</v>
      </c>
    </row>
    <row r="784">
      <c r="A784" s="3">
        <v>10.0</v>
      </c>
      <c r="B784" s="3" t="s">
        <v>1550</v>
      </c>
      <c r="C784" s="3" t="str">
        <f t="shared" si="1"/>
        <v>89 </v>
      </c>
      <c r="D784" s="3" t="str">
        <f t="shared" si="2"/>
        <v>little</v>
      </c>
      <c r="E784" s="2" t="s">
        <v>8</v>
      </c>
      <c r="F784" s="3" t="str">
        <f>IFERROR(__xludf.DUMMYFUNCTION("GOOGLETRANSLATE(D784,$D$1,$F$1)"),"ít")</f>
        <v>ít</v>
      </c>
      <c r="G784" s="3" t="s">
        <v>1551</v>
      </c>
    </row>
    <row r="785">
      <c r="A785" s="3">
        <v>10.0</v>
      </c>
      <c r="B785" s="3" t="s">
        <v>1552</v>
      </c>
      <c r="C785" s="3" t="str">
        <f t="shared" si="1"/>
        <v>89 </v>
      </c>
      <c r="D785" s="3" t="str">
        <f t="shared" si="2"/>
        <v>bright</v>
      </c>
      <c r="E785" s="2" t="s">
        <v>8</v>
      </c>
      <c r="F785" s="3" t="str">
        <f>IFERROR(__xludf.DUMMYFUNCTION("GOOGLETRANSLATE(D785,$D$1,$F$1)"),"sáng")</f>
        <v>sáng</v>
      </c>
      <c r="G785" s="3" t="s">
        <v>1553</v>
      </c>
    </row>
    <row r="786">
      <c r="A786" s="3">
        <v>10.0</v>
      </c>
      <c r="B786" s="3" t="s">
        <v>1554</v>
      </c>
      <c r="C786" s="3" t="str">
        <f t="shared" si="1"/>
        <v>89 </v>
      </c>
      <c r="D786" s="3" t="str">
        <f t="shared" si="2"/>
        <v>quite</v>
      </c>
      <c r="E786" s="2" t="s">
        <v>8</v>
      </c>
      <c r="F786" s="3" t="str">
        <f>IFERROR(__xludf.DUMMYFUNCTION("GOOGLETRANSLATE(D786,$D$1,$F$1)"),"khá")</f>
        <v>khá</v>
      </c>
      <c r="G786" s="3" t="s">
        <v>1555</v>
      </c>
    </row>
    <row r="787">
      <c r="A787" s="3">
        <v>10.0</v>
      </c>
      <c r="B787" s="3" t="s">
        <v>1556</v>
      </c>
      <c r="C787" s="3" t="str">
        <f t="shared" si="1"/>
        <v>89 </v>
      </c>
      <c r="D787" s="3" t="str">
        <f t="shared" si="2"/>
        <v>at the moment</v>
      </c>
      <c r="E787" s="2" t="s">
        <v>8</v>
      </c>
      <c r="F787" s="3" t="str">
        <f>IFERROR(__xludf.DUMMYFUNCTION("GOOGLETRANSLATE(D787,$D$1,$F$1)"),"tại thời điểm này")</f>
        <v>tại thời điểm này</v>
      </c>
      <c r="G787" s="3" t="s">
        <v>1557</v>
      </c>
    </row>
    <row r="788">
      <c r="A788" s="3">
        <v>10.0</v>
      </c>
      <c r="B788" s="3" t="s">
        <v>1558</v>
      </c>
      <c r="C788" s="3" t="str">
        <f t="shared" si="1"/>
        <v>90 </v>
      </c>
      <c r="D788" s="3" t="str">
        <f t="shared" si="2"/>
        <v>casual</v>
      </c>
      <c r="E788" s="2" t="s">
        <v>8</v>
      </c>
      <c r="F788" s="3" t="str">
        <f>IFERROR(__xludf.DUMMYFUNCTION("GOOGLETRANSLATE(D788,$D$1,$F$1)"),"binh thương")</f>
        <v>binh thương</v>
      </c>
      <c r="G788" s="3" t="s">
        <v>1559</v>
      </c>
    </row>
    <row r="789">
      <c r="A789" s="3">
        <v>10.0</v>
      </c>
      <c r="B789" s="3" t="s">
        <v>1560</v>
      </c>
      <c r="C789" s="3" t="str">
        <f t="shared" si="1"/>
        <v>90 </v>
      </c>
      <c r="D789" s="3" t="str">
        <f t="shared" si="2"/>
        <v>perfume</v>
      </c>
      <c r="E789" s="2" t="s">
        <v>8</v>
      </c>
      <c r="F789" s="3" t="str">
        <f>IFERROR(__xludf.DUMMYFUNCTION("GOOGLETRANSLATE(D789,$D$1,$F$1)"),"nước hoa")</f>
        <v>nước hoa</v>
      </c>
      <c r="G789" s="3" t="s">
        <v>1561</v>
      </c>
    </row>
    <row r="790">
      <c r="A790" s="3">
        <v>10.0</v>
      </c>
      <c r="B790" s="3" t="s">
        <v>1562</v>
      </c>
      <c r="C790" s="3" t="str">
        <f t="shared" si="1"/>
        <v>90 </v>
      </c>
      <c r="D790" s="3" t="str">
        <f t="shared" si="2"/>
        <v>lucky</v>
      </c>
      <c r="E790" s="2" t="s">
        <v>8</v>
      </c>
      <c r="F790" s="3" t="str">
        <f>IFERROR(__xludf.DUMMYFUNCTION("GOOGLETRANSLATE(D790,$D$1,$F$1)"),"may mắn")</f>
        <v>may mắn</v>
      </c>
      <c r="G790" s="3" t="s">
        <v>1563</v>
      </c>
    </row>
    <row r="791">
      <c r="A791" s="3">
        <v>10.0</v>
      </c>
      <c r="B791" s="3" t="s">
        <v>1564</v>
      </c>
      <c r="C791" s="3" t="str">
        <f t="shared" si="1"/>
        <v>90 </v>
      </c>
      <c r="D791" s="3" t="str">
        <f t="shared" si="2"/>
        <v>moustache</v>
      </c>
      <c r="E791" s="2" t="s">
        <v>8</v>
      </c>
      <c r="F791" s="3" t="str">
        <f>IFERROR(__xludf.DUMMYFUNCTION("GOOGLETRANSLATE(D791,$D$1,$F$1)"),"ria")</f>
        <v>ria</v>
      </c>
      <c r="G791" s="3" t="s">
        <v>1565</v>
      </c>
    </row>
    <row r="792">
      <c r="A792" s="3">
        <v>10.0</v>
      </c>
      <c r="B792" s="3" t="s">
        <v>1566</v>
      </c>
      <c r="C792" s="3" t="str">
        <f t="shared" si="1"/>
        <v>90 </v>
      </c>
      <c r="D792" s="3" t="str">
        <f t="shared" si="2"/>
        <v>in his/her thirties</v>
      </c>
      <c r="E792" s="2" t="s">
        <v>8</v>
      </c>
      <c r="F792" s="3" t="str">
        <f>IFERROR(__xludf.DUMMYFUNCTION("GOOGLETRANSLATE(D792,$D$1,$F$1)"),"trong / tuổi ba mươi của mình")</f>
        <v>trong / tuổi ba mươi của mình</v>
      </c>
      <c r="G792" s="3" t="s">
        <v>1567</v>
      </c>
    </row>
    <row r="793">
      <c r="A793" s="3">
        <v>10.0</v>
      </c>
      <c r="B793" s="3" t="s">
        <v>1568</v>
      </c>
      <c r="C793" s="3" t="str">
        <f t="shared" si="1"/>
        <v>90 </v>
      </c>
      <c r="D793" s="3" t="str">
        <f t="shared" si="2"/>
        <v>slim</v>
      </c>
      <c r="E793" s="2" t="s">
        <v>8</v>
      </c>
      <c r="F793" s="3" t="str">
        <f>IFERROR(__xludf.DUMMYFUNCTION("GOOGLETRANSLATE(D793,$D$1,$F$1)"),"mảnh khảnh")</f>
        <v>mảnh khảnh</v>
      </c>
      <c r="G793" s="3" t="s">
        <v>1569</v>
      </c>
    </row>
    <row r="794">
      <c r="A794" s="3">
        <v>10.0</v>
      </c>
      <c r="B794" s="3" t="s">
        <v>1570</v>
      </c>
      <c r="C794" s="3" t="str">
        <f t="shared" si="1"/>
        <v>90 </v>
      </c>
      <c r="D794" s="3" t="str">
        <f t="shared" si="2"/>
        <v>beard</v>
      </c>
      <c r="E794" s="2" t="s">
        <v>8</v>
      </c>
      <c r="F794" s="3" t="str">
        <f>IFERROR(__xludf.DUMMYFUNCTION("GOOGLETRANSLATE(D794,$D$1,$F$1)"),"râu")</f>
        <v>râu</v>
      </c>
      <c r="G794" s="3" t="s">
        <v>1571</v>
      </c>
    </row>
    <row r="795">
      <c r="A795" s="3">
        <v>10.0</v>
      </c>
      <c r="B795" s="3" t="s">
        <v>1572</v>
      </c>
      <c r="C795" s="3" t="str">
        <f t="shared" si="1"/>
        <v>90 </v>
      </c>
      <c r="D795" s="3" t="str">
        <f t="shared" si="2"/>
        <v>shaved</v>
      </c>
      <c r="E795" s="2" t="s">
        <v>8</v>
      </c>
      <c r="F795" s="3" t="str">
        <f>IFERROR(__xludf.DUMMYFUNCTION("GOOGLETRANSLATE(D795,$D$1,$F$1)"),"cạo")</f>
        <v>cạo</v>
      </c>
      <c r="G795" s="3" t="s">
        <v>1573</v>
      </c>
    </row>
    <row r="796">
      <c r="A796" s="3">
        <v>10.0</v>
      </c>
      <c r="B796" s="3" t="s">
        <v>1574</v>
      </c>
      <c r="C796" s="3" t="str">
        <f t="shared" si="1"/>
        <v>90 </v>
      </c>
      <c r="D796" s="3" t="str">
        <f t="shared" si="2"/>
        <v>short</v>
      </c>
      <c r="E796" s="2" t="s">
        <v>8</v>
      </c>
      <c r="F796" s="3" t="str">
        <f>IFERROR(__xludf.DUMMYFUNCTION("GOOGLETRANSLATE(D796,$D$1,$F$1)"),"ngắn")</f>
        <v>ngắn</v>
      </c>
      <c r="G796" s="3" t="s">
        <v>1575</v>
      </c>
    </row>
    <row r="797">
      <c r="A797" s="3">
        <v>10.0</v>
      </c>
      <c r="B797" s="3" t="s">
        <v>1576</v>
      </c>
      <c r="C797" s="3" t="str">
        <f t="shared" si="1"/>
        <v>90 </v>
      </c>
      <c r="D797" s="3" t="str">
        <f t="shared" si="2"/>
        <v>well-built</v>
      </c>
      <c r="E797" s="2" t="s">
        <v>8</v>
      </c>
      <c r="F797" s="3" t="str">
        <f>IFERROR(__xludf.DUMMYFUNCTION("GOOGLETRANSLATE(D797,$D$1,$F$1)"),"được xây dựng tốt")</f>
        <v>được xây dựng tốt</v>
      </c>
      <c r="G797" s="3" t="s">
        <v>1577</v>
      </c>
    </row>
    <row r="798">
      <c r="A798" s="3">
        <v>10.0</v>
      </c>
      <c r="B798" s="3" t="s">
        <v>1578</v>
      </c>
      <c r="C798" s="3" t="str">
        <f t="shared" si="1"/>
        <v>90 </v>
      </c>
      <c r="D798" s="3" t="str">
        <f t="shared" si="2"/>
        <v>medium-length</v>
      </c>
      <c r="E798" s="2" t="s">
        <v>8</v>
      </c>
      <c r="F798" s="3" t="str">
        <f>IFERROR(__xludf.DUMMYFUNCTION("GOOGLETRANSLATE(D798,$D$1,$F$1)"),"chiều dài trung bình")</f>
        <v>chiều dài trung bình</v>
      </c>
      <c r="G798" s="3" t="s">
        <v>1579</v>
      </c>
    </row>
    <row r="799">
      <c r="A799" s="3">
        <v>10.0</v>
      </c>
      <c r="B799" s="3" t="s">
        <v>1580</v>
      </c>
      <c r="C799" s="3" t="str">
        <f t="shared" si="1"/>
        <v>90 </v>
      </c>
      <c r="D799" s="3" t="str">
        <f t="shared" si="2"/>
        <v>pony-tail</v>
      </c>
      <c r="E799" s="2" t="s">
        <v>8</v>
      </c>
      <c r="F799" s="3" t="str">
        <f>IFERROR(__xludf.DUMMYFUNCTION("GOOGLETRANSLATE(D799,$D$1,$F$1)"),"tóc đuôi gà")</f>
        <v>tóc đuôi gà</v>
      </c>
      <c r="G799" s="3" t="s">
        <v>1581</v>
      </c>
    </row>
    <row r="800">
      <c r="A800" s="3">
        <v>10.0</v>
      </c>
      <c r="B800" s="3" t="s">
        <v>1582</v>
      </c>
      <c r="C800" s="3" t="str">
        <f t="shared" si="1"/>
        <v>93 </v>
      </c>
      <c r="D800" s="3" t="str">
        <f t="shared" si="2"/>
        <v>happy</v>
      </c>
      <c r="E800" s="2" t="s">
        <v>8</v>
      </c>
      <c r="F800" s="3" t="str">
        <f>IFERROR(__xludf.DUMMYFUNCTION("GOOGLETRANSLATE(D800,$D$1,$F$1)"),"vui mừng")</f>
        <v>vui mừng</v>
      </c>
      <c r="G800" s="3" t="s">
        <v>1583</v>
      </c>
    </row>
    <row r="801">
      <c r="A801" s="3">
        <v>10.0</v>
      </c>
      <c r="B801" s="3" t="s">
        <v>1584</v>
      </c>
      <c r="C801" s="3" t="str">
        <f t="shared" si="1"/>
        <v>93 </v>
      </c>
      <c r="D801" s="3" t="str">
        <f t="shared" si="2"/>
        <v>unhappy</v>
      </c>
      <c r="E801" s="2" t="s">
        <v>8</v>
      </c>
      <c r="F801" s="3" t="str">
        <f>IFERROR(__xludf.DUMMYFUNCTION("GOOGLETRANSLATE(D801,$D$1,$F$1)"),"không vui")</f>
        <v>không vui</v>
      </c>
      <c r="G801" s="3" t="s">
        <v>1585</v>
      </c>
    </row>
    <row r="802">
      <c r="A802" s="3">
        <v>10.0</v>
      </c>
      <c r="B802" s="3" t="s">
        <v>1586</v>
      </c>
      <c r="C802" s="3" t="str">
        <f t="shared" si="1"/>
        <v>93 </v>
      </c>
      <c r="D802" s="3" t="str">
        <f t="shared" si="2"/>
        <v>face</v>
      </c>
      <c r="E802" s="2" t="s">
        <v>8</v>
      </c>
      <c r="F802" s="3" t="str">
        <f>IFERROR(__xludf.DUMMYFUNCTION("GOOGLETRANSLATE(D802,$D$1,$F$1)"),"khuôn mặt")</f>
        <v>khuôn mặt</v>
      </c>
      <c r="G802" s="3" t="s">
        <v>1587</v>
      </c>
    </row>
    <row r="803">
      <c r="A803" s="3">
        <v>10.0</v>
      </c>
      <c r="B803" s="3" t="s">
        <v>1588</v>
      </c>
      <c r="C803" s="3" t="str">
        <f t="shared" si="1"/>
        <v>93 </v>
      </c>
      <c r="D803" s="3" t="str">
        <f t="shared" si="2"/>
        <v>accessory</v>
      </c>
      <c r="E803" s="2" t="s">
        <v>8</v>
      </c>
      <c r="F803" s="3" t="str">
        <f>IFERROR(__xludf.DUMMYFUNCTION("GOOGLETRANSLATE(D803,$D$1,$F$1)"),"phụ kiện")</f>
        <v>phụ kiện</v>
      </c>
      <c r="G803" s="3" t="s">
        <v>1589</v>
      </c>
    </row>
    <row r="804">
      <c r="A804" s="3">
        <v>10.0</v>
      </c>
      <c r="B804" s="3" t="s">
        <v>1590</v>
      </c>
      <c r="C804" s="3" t="str">
        <f t="shared" si="1"/>
        <v>93 </v>
      </c>
      <c r="D804" s="3" t="str">
        <f t="shared" si="2"/>
        <v>on the right</v>
      </c>
      <c r="E804" s="2" t="s">
        <v>8</v>
      </c>
      <c r="F804" s="3" t="str">
        <f>IFERROR(__xludf.DUMMYFUNCTION("GOOGLETRANSLATE(D804,$D$1,$F$1)"),"Phía bên phải")</f>
        <v>Phía bên phải</v>
      </c>
      <c r="G804" s="3" t="s">
        <v>1591</v>
      </c>
    </row>
    <row r="805">
      <c r="A805" s="3">
        <v>10.0</v>
      </c>
      <c r="B805" s="3" t="s">
        <v>1592</v>
      </c>
      <c r="C805" s="3" t="str">
        <f t="shared" si="1"/>
        <v>93 </v>
      </c>
      <c r="D805" s="3" t="str">
        <f t="shared" si="2"/>
        <v>happen</v>
      </c>
      <c r="E805" s="2" t="s">
        <v>8</v>
      </c>
      <c r="F805" s="3" t="str">
        <f>IFERROR(__xludf.DUMMYFUNCTION("GOOGLETRANSLATE(D805,$D$1,$F$1)"),"xảy ra")</f>
        <v>xảy ra</v>
      </c>
      <c r="G805" s="3" t="s">
        <v>1593</v>
      </c>
    </row>
    <row r="806">
      <c r="A806" s="3">
        <v>10.0</v>
      </c>
      <c r="B806" s="3" t="s">
        <v>1594</v>
      </c>
      <c r="C806" s="3" t="str">
        <f t="shared" si="1"/>
        <v>93 </v>
      </c>
      <c r="D806" s="3" t="str">
        <f t="shared" si="2"/>
        <v>above</v>
      </c>
      <c r="E806" s="2" t="s">
        <v>8</v>
      </c>
      <c r="F806" s="3" t="str">
        <f>IFERROR(__xludf.DUMMYFUNCTION("GOOGLETRANSLATE(D806,$D$1,$F$1)"),"ở trên")</f>
        <v>ở trên</v>
      </c>
      <c r="G806" s="3" t="s">
        <v>1595</v>
      </c>
    </row>
    <row r="807">
      <c r="A807" s="3">
        <v>10.0</v>
      </c>
      <c r="B807" s="3" t="s">
        <v>1596</v>
      </c>
      <c r="C807" s="3" t="str">
        <f t="shared" si="1"/>
        <v>93 </v>
      </c>
      <c r="D807" s="3" t="str">
        <f t="shared" si="2"/>
        <v>ice cream</v>
      </c>
      <c r="E807" s="2" t="s">
        <v>8</v>
      </c>
      <c r="F807" s="3" t="str">
        <f>IFERROR(__xludf.DUMMYFUNCTION("GOOGLETRANSLATE(D807,$D$1,$F$1)"),"kem")</f>
        <v>kem</v>
      </c>
      <c r="G807" s="3" t="s">
        <v>1597</v>
      </c>
    </row>
    <row r="808">
      <c r="A808" s="3">
        <v>10.0</v>
      </c>
      <c r="B808" s="3" t="s">
        <v>1598</v>
      </c>
      <c r="C808" s="3" t="str">
        <f t="shared" si="1"/>
        <v>93 </v>
      </c>
      <c r="D808" s="3" t="str">
        <f t="shared" si="2"/>
        <v>seat</v>
      </c>
      <c r="E808" s="2" t="s">
        <v>8</v>
      </c>
      <c r="F808" s="3" t="str">
        <f>IFERROR(__xludf.DUMMYFUNCTION("GOOGLETRANSLATE(D808,$D$1,$F$1)"),"ghế")</f>
        <v>ghế</v>
      </c>
      <c r="G808" s="3" t="s">
        <v>1599</v>
      </c>
    </row>
    <row r="809">
      <c r="A809" s="3">
        <v>10.0</v>
      </c>
      <c r="B809" s="3" t="s">
        <v>1600</v>
      </c>
      <c r="C809" s="3" t="str">
        <f t="shared" si="1"/>
        <v>93 </v>
      </c>
      <c r="D809" s="3" t="str">
        <f t="shared" si="2"/>
        <v>sit</v>
      </c>
      <c r="E809" s="2" t="s">
        <v>8</v>
      </c>
      <c r="F809" s="3" t="str">
        <f>IFERROR(__xludf.DUMMYFUNCTION("GOOGLETRANSLATE(D809,$D$1,$F$1)"),"ngồi")</f>
        <v>ngồi</v>
      </c>
      <c r="G809" s="3" t="s">
        <v>1601</v>
      </c>
    </row>
    <row r="810">
      <c r="A810" s="3">
        <v>11.0</v>
      </c>
      <c r="B810" s="3" t="s">
        <v>1602</v>
      </c>
      <c r="C810" s="3" t="str">
        <f t="shared" si="1"/>
        <v>96 </v>
      </c>
      <c r="D810" s="3" t="str">
        <f t="shared" si="2"/>
        <v>world</v>
      </c>
      <c r="E810" s="2" t="s">
        <v>8</v>
      </c>
      <c r="F810" s="3" t="str">
        <f>IFERROR(__xludf.DUMMYFUNCTION("GOOGLETRANSLATE(D810,$D$1,$F$1)"),"thế giới")</f>
        <v>thế giới</v>
      </c>
      <c r="G810" s="3" t="s">
        <v>1603</v>
      </c>
    </row>
    <row r="811">
      <c r="A811" s="3">
        <v>11.0</v>
      </c>
      <c r="B811" s="3" t="s">
        <v>1604</v>
      </c>
      <c r="C811" s="3" t="str">
        <f t="shared" si="1"/>
        <v>96 </v>
      </c>
      <c r="D811" s="3" t="str">
        <f t="shared" si="2"/>
        <v>around us</v>
      </c>
      <c r="E811" s="2" t="s">
        <v>8</v>
      </c>
      <c r="F811" s="3" t="str">
        <f>IFERROR(__xludf.DUMMYFUNCTION("GOOGLETRANSLATE(D811,$D$1,$F$1)"),"xung quanh chúng ta")</f>
        <v>xung quanh chúng ta</v>
      </c>
      <c r="G811" s="3" t="s">
        <v>1605</v>
      </c>
    </row>
    <row r="812">
      <c r="A812" s="3">
        <v>11.0</v>
      </c>
      <c r="B812" s="3" t="s">
        <v>1606</v>
      </c>
      <c r="C812" s="3" t="str">
        <f t="shared" si="1"/>
        <v>96 </v>
      </c>
      <c r="D812" s="3" t="str">
        <f t="shared" si="2"/>
        <v>animals</v>
      </c>
      <c r="E812" s="2" t="s">
        <v>8</v>
      </c>
      <c r="F812" s="3" t="str">
        <f>IFERROR(__xludf.DUMMYFUNCTION("GOOGLETRANSLATE(D812,$D$1,$F$1)"),"động vật")</f>
        <v>động vật</v>
      </c>
      <c r="G812" s="3" t="s">
        <v>1607</v>
      </c>
    </row>
    <row r="813">
      <c r="A813" s="3">
        <v>11.0</v>
      </c>
      <c r="B813" s="3" t="s">
        <v>1608</v>
      </c>
      <c r="C813" s="3" t="str">
        <f t="shared" si="1"/>
        <v>96 </v>
      </c>
      <c r="D813" s="3" t="str">
        <f t="shared" si="2"/>
        <v>natural features</v>
      </c>
      <c r="E813" s="2" t="s">
        <v>8</v>
      </c>
      <c r="F813" s="3" t="str">
        <f>IFERROR(__xludf.DUMMYFUNCTION("GOOGLETRANSLATE(D813,$D$1,$F$1)"),"đặc điểm tự nhiên")</f>
        <v>đặc điểm tự nhiên</v>
      </c>
      <c r="G813" s="3" t="s">
        <v>1609</v>
      </c>
    </row>
    <row r="814">
      <c r="A814" s="3">
        <v>11.0</v>
      </c>
      <c r="B814" s="3" t="s">
        <v>1610</v>
      </c>
      <c r="C814" s="3" t="str">
        <f t="shared" si="1"/>
        <v>96 </v>
      </c>
      <c r="D814" s="3" t="str">
        <f t="shared" si="2"/>
        <v>insect</v>
      </c>
      <c r="E814" s="2" t="s">
        <v>8</v>
      </c>
      <c r="F814" s="3" t="str">
        <f>IFERROR(__xludf.DUMMYFUNCTION("GOOGLETRANSLATE(D814,$D$1,$F$1)"),"côn trùng")</f>
        <v>côn trùng</v>
      </c>
      <c r="G814" s="3" t="s">
        <v>1611</v>
      </c>
    </row>
    <row r="815">
      <c r="A815" s="3">
        <v>11.0</v>
      </c>
      <c r="B815" s="3" t="s">
        <v>1612</v>
      </c>
      <c r="C815" s="3" t="str">
        <f t="shared" si="1"/>
        <v>96 </v>
      </c>
      <c r="D815" s="3" t="str">
        <f t="shared" si="2"/>
        <v>chimpanzee</v>
      </c>
      <c r="E815" s="2" t="s">
        <v>8</v>
      </c>
      <c r="F815" s="3" t="str">
        <f>IFERROR(__xludf.DUMMYFUNCTION("GOOGLETRANSLATE(D815,$D$1,$F$1)"),"hắc tinh tinh")</f>
        <v>hắc tinh tinh</v>
      </c>
      <c r="G815" s="3" t="s">
        <v>1613</v>
      </c>
    </row>
    <row r="816">
      <c r="A816" s="3">
        <v>11.0</v>
      </c>
      <c r="B816" s="3" t="s">
        <v>1614</v>
      </c>
      <c r="C816" s="3" t="str">
        <f t="shared" si="1"/>
        <v>96 </v>
      </c>
      <c r="D816" s="3" t="str">
        <f t="shared" si="2"/>
        <v>volcano</v>
      </c>
      <c r="E816" s="2" t="s">
        <v>8</v>
      </c>
      <c r="F816" s="3" t="str">
        <f>IFERROR(__xludf.DUMMYFUNCTION("GOOGLETRANSLATE(D816,$D$1,$F$1)"),"núi lửa")</f>
        <v>núi lửa</v>
      </c>
      <c r="G816" s="3" t="s">
        <v>1615</v>
      </c>
    </row>
    <row r="817">
      <c r="A817" s="3">
        <v>11.0</v>
      </c>
      <c r="B817" s="3" t="s">
        <v>1616</v>
      </c>
      <c r="C817" s="3" t="str">
        <f t="shared" si="1"/>
        <v>96 </v>
      </c>
      <c r="D817" s="3" t="str">
        <f t="shared" si="2"/>
        <v>snail</v>
      </c>
      <c r="E817" s="2" t="s">
        <v>8</v>
      </c>
      <c r="F817" s="3" t="str">
        <f>IFERROR(__xludf.DUMMYFUNCTION("GOOGLETRANSLATE(D817,$D$1,$F$1)"),"ốc sên")</f>
        <v>ốc sên</v>
      </c>
      <c r="G817" s="3" t="s">
        <v>1617</v>
      </c>
    </row>
    <row r="818">
      <c r="A818" s="3">
        <v>11.0</v>
      </c>
      <c r="B818" s="3" t="s">
        <v>1618</v>
      </c>
      <c r="C818" s="3" t="str">
        <f t="shared" si="1"/>
        <v>96 </v>
      </c>
      <c r="D818" s="3" t="str">
        <f t="shared" si="2"/>
        <v>mountain</v>
      </c>
      <c r="E818" s="2" t="s">
        <v>8</v>
      </c>
      <c r="F818" s="3" t="str">
        <f>IFERROR(__xludf.DUMMYFUNCTION("GOOGLETRANSLATE(D818,$D$1,$F$1)"),"núi")</f>
        <v>núi</v>
      </c>
      <c r="G818" s="3" t="s">
        <v>1619</v>
      </c>
    </row>
    <row r="819">
      <c r="A819" s="3">
        <v>11.0</v>
      </c>
      <c r="B819" s="3" t="s">
        <v>1620</v>
      </c>
      <c r="C819" s="3" t="str">
        <f t="shared" si="1"/>
        <v>96 </v>
      </c>
      <c r="D819" s="3" t="str">
        <f t="shared" si="2"/>
        <v>human being</v>
      </c>
      <c r="E819" s="2" t="s">
        <v>8</v>
      </c>
      <c r="F819" s="3" t="str">
        <f>IFERROR(__xludf.DUMMYFUNCTION("GOOGLETRANSLATE(D819,$D$1,$F$1)"),"con người")</f>
        <v>con người</v>
      </c>
      <c r="G819" s="3" t="s">
        <v>1621</v>
      </c>
    </row>
    <row r="820">
      <c r="A820" s="3">
        <v>11.0</v>
      </c>
      <c r="B820" s="3" t="s">
        <v>1622</v>
      </c>
      <c r="C820" s="3" t="str">
        <f t="shared" si="1"/>
        <v>96 </v>
      </c>
      <c r="D820" s="3" t="str">
        <f t="shared" si="2"/>
        <v>elephant</v>
      </c>
      <c r="E820" s="2" t="s">
        <v>8</v>
      </c>
      <c r="F820" s="3" t="str">
        <f>IFERROR(__xludf.DUMMYFUNCTION("GOOGLETRANSLATE(D820,$D$1,$F$1)"),"con voi")</f>
        <v>con voi</v>
      </c>
      <c r="G820" s="3" t="s">
        <v>1623</v>
      </c>
    </row>
    <row r="821">
      <c r="A821" s="3">
        <v>11.0</v>
      </c>
      <c r="B821" s="3" t="s">
        <v>1624</v>
      </c>
      <c r="C821" s="3" t="str">
        <f t="shared" si="1"/>
        <v>96 </v>
      </c>
      <c r="D821" s="3" t="str">
        <f t="shared" si="2"/>
        <v>donkey</v>
      </c>
      <c r="E821" s="2" t="s">
        <v>8</v>
      </c>
      <c r="F821" s="3" t="str">
        <f>IFERROR(__xludf.DUMMYFUNCTION("GOOGLETRANSLATE(D821,$D$1,$F$1)"),"con lừa")</f>
        <v>con lừa</v>
      </c>
      <c r="G821" s="3" t="s">
        <v>1625</v>
      </c>
    </row>
    <row r="822">
      <c r="A822" s="3">
        <v>11.0</v>
      </c>
      <c r="B822" s="3" t="s">
        <v>1626</v>
      </c>
      <c r="C822" s="3" t="str">
        <f t="shared" si="1"/>
        <v>96 </v>
      </c>
      <c r="D822" s="3" t="str">
        <f t="shared" si="2"/>
        <v>river</v>
      </c>
      <c r="E822" s="2" t="s">
        <v>8</v>
      </c>
      <c r="F822" s="3" t="str">
        <f>IFERROR(__xludf.DUMMYFUNCTION("GOOGLETRANSLATE(D822,$D$1,$F$1)"),"con sông")</f>
        <v>con sông</v>
      </c>
      <c r="G822" s="3" t="s">
        <v>1627</v>
      </c>
    </row>
    <row r="823">
      <c r="A823" s="3">
        <v>11.0</v>
      </c>
      <c r="B823" s="3" t="s">
        <v>1628</v>
      </c>
      <c r="C823" s="3" t="str">
        <f t="shared" si="1"/>
        <v>96 </v>
      </c>
      <c r="D823" s="3" t="str">
        <f t="shared" si="2"/>
        <v>earth</v>
      </c>
      <c r="E823" s="2" t="s">
        <v>8</v>
      </c>
      <c r="F823" s="3" t="str">
        <f>IFERROR(__xludf.DUMMYFUNCTION("GOOGLETRANSLATE(D823,$D$1,$F$1)"),"Trái đất")</f>
        <v>Trái đất</v>
      </c>
      <c r="G823" s="3" t="s">
        <v>1629</v>
      </c>
    </row>
    <row r="824">
      <c r="A824" s="3">
        <v>11.0</v>
      </c>
      <c r="B824" s="3" t="s">
        <v>1630</v>
      </c>
      <c r="C824" s="3" t="str">
        <f t="shared" si="1"/>
        <v>96 </v>
      </c>
      <c r="D824" s="3" t="str">
        <f t="shared" si="2"/>
        <v>kangaroo</v>
      </c>
      <c r="E824" s="2" t="s">
        <v>8</v>
      </c>
      <c r="F824" s="3" t="str">
        <f>IFERROR(__xludf.DUMMYFUNCTION("GOOGLETRANSLATE(D824,$D$1,$F$1)"),"con chuột túi")</f>
        <v>con chuột túi</v>
      </c>
      <c r="G824" s="3" t="s">
        <v>1631</v>
      </c>
    </row>
    <row r="825">
      <c r="A825" s="3">
        <v>11.0</v>
      </c>
      <c r="B825" s="3" t="s">
        <v>1632</v>
      </c>
      <c r="C825" s="3" t="str">
        <f t="shared" si="1"/>
        <v>96 </v>
      </c>
      <c r="D825" s="3" t="str">
        <f t="shared" si="2"/>
        <v>dolphin</v>
      </c>
      <c r="E825" s="2" t="s">
        <v>8</v>
      </c>
      <c r="F825" s="3" t="str">
        <f>IFERROR(__xludf.DUMMYFUNCTION("GOOGLETRANSLATE(D825,$D$1,$F$1)"),"cá heo")</f>
        <v>cá heo</v>
      </c>
      <c r="G825" s="3" t="s">
        <v>1633</v>
      </c>
    </row>
    <row r="826">
      <c r="A826" s="3">
        <v>11.0</v>
      </c>
      <c r="B826" s="3" t="s">
        <v>1634</v>
      </c>
      <c r="C826" s="3" t="str">
        <f t="shared" si="1"/>
        <v>96 </v>
      </c>
      <c r="D826" s="3" t="str">
        <f t="shared" si="2"/>
        <v>geographical features</v>
      </c>
      <c r="E826" s="2" t="s">
        <v>8</v>
      </c>
      <c r="F826" s="3" t="str">
        <f>IFERROR(__xludf.DUMMYFUNCTION("GOOGLETRANSLATE(D826,$D$1,$F$1)"),"đặc điểm địa lý")</f>
        <v>đặc điểm địa lý</v>
      </c>
      <c r="G826" s="3" t="s">
        <v>1635</v>
      </c>
    </row>
    <row r="827">
      <c r="A827" s="3">
        <v>11.0</v>
      </c>
      <c r="B827" s="3" t="s">
        <v>1636</v>
      </c>
      <c r="C827" s="3" t="str">
        <f t="shared" si="1"/>
        <v>96 </v>
      </c>
      <c r="D827" s="3" t="str">
        <f t="shared" si="2"/>
        <v>planet</v>
      </c>
      <c r="E827" s="2" t="s">
        <v>8</v>
      </c>
      <c r="F827" s="3" t="str">
        <f>IFERROR(__xludf.DUMMYFUNCTION("GOOGLETRANSLATE(D827,$D$1,$F$1)"),"hành tinh")</f>
        <v>hành tinh</v>
      </c>
      <c r="G827" s="3" t="s">
        <v>1637</v>
      </c>
    </row>
    <row r="828">
      <c r="A828" s="3">
        <v>11.0</v>
      </c>
      <c r="B828" s="3" t="s">
        <v>1638</v>
      </c>
      <c r="C828" s="3" t="str">
        <f t="shared" si="1"/>
        <v>96 </v>
      </c>
      <c r="D828" s="3" t="str">
        <f t="shared" si="2"/>
        <v>mention (v)</v>
      </c>
      <c r="E828" s="2" t="s">
        <v>8</v>
      </c>
      <c r="F828" s="3" t="str">
        <f>IFERROR(__xludf.DUMMYFUNCTION("GOOGLETRANSLATE(D828,$D$1,$F$1)"),"đề cập đến (v)")</f>
        <v>đề cập đến (v)</v>
      </c>
      <c r="G828" s="3" t="s">
        <v>1639</v>
      </c>
    </row>
    <row r="829">
      <c r="A829" s="3">
        <v>11.0</v>
      </c>
      <c r="B829" s="3" t="s">
        <v>1640</v>
      </c>
      <c r="C829" s="3" t="str">
        <f t="shared" si="1"/>
        <v>96 </v>
      </c>
      <c r="D829" s="3" t="str">
        <f t="shared" si="2"/>
        <v>amazing</v>
      </c>
      <c r="E829" s="2" t="s">
        <v>8</v>
      </c>
      <c r="F829" s="3" t="str">
        <f>IFERROR(__xludf.DUMMYFUNCTION("GOOGLETRANSLATE(D829,$D$1,$F$1)"),"kinh ngạc")</f>
        <v>kinh ngạc</v>
      </c>
      <c r="G829" s="3" t="s">
        <v>1641</v>
      </c>
    </row>
    <row r="830">
      <c r="A830" s="3">
        <v>11.0</v>
      </c>
      <c r="B830" s="3" t="s">
        <v>1642</v>
      </c>
      <c r="C830" s="3" t="str">
        <f t="shared" si="1"/>
        <v>96 </v>
      </c>
      <c r="D830" s="3" t="str">
        <f t="shared" si="2"/>
        <v>share (v)</v>
      </c>
      <c r="E830" s="2" t="s">
        <v>8</v>
      </c>
      <c r="F830" s="3" t="str">
        <f>IFERROR(__xludf.DUMMYFUNCTION("GOOGLETRANSLATE(D830,$D$1,$F$1)"),"share (v)")</f>
        <v>share (v)</v>
      </c>
      <c r="G830" s="3" t="s">
        <v>1038</v>
      </c>
    </row>
    <row r="831">
      <c r="A831" s="3">
        <v>11.0</v>
      </c>
      <c r="B831" s="3" t="s">
        <v>1643</v>
      </c>
      <c r="C831" s="3" t="str">
        <f t="shared" si="1"/>
        <v>96 </v>
      </c>
      <c r="D831" s="3" t="str">
        <f t="shared" si="2"/>
        <v>at least</v>
      </c>
      <c r="E831" s="2" t="s">
        <v>8</v>
      </c>
      <c r="F831" s="3" t="str">
        <f>IFERROR(__xludf.DUMMYFUNCTION("GOOGLETRANSLATE(D831,$D$1,$F$1)"),"ít nhất")</f>
        <v>ít nhất</v>
      </c>
      <c r="G831" s="3" t="s">
        <v>1644</v>
      </c>
    </row>
    <row r="832">
      <c r="A832" s="3">
        <v>11.0</v>
      </c>
      <c r="B832" s="3" t="s">
        <v>1645</v>
      </c>
      <c r="C832" s="3" t="str">
        <f t="shared" si="1"/>
        <v>96 </v>
      </c>
      <c r="D832" s="3" t="str">
        <f t="shared" si="2"/>
        <v>ant</v>
      </c>
      <c r="E832" s="2" t="s">
        <v>8</v>
      </c>
      <c r="F832" s="3" t="str">
        <f>IFERROR(__xludf.DUMMYFUNCTION("GOOGLETRANSLATE(D832,$D$1,$F$1)"),"con kiến")</f>
        <v>con kiến</v>
      </c>
      <c r="G832" s="3" t="s">
        <v>1646</v>
      </c>
    </row>
    <row r="833">
      <c r="A833" s="3">
        <v>11.0</v>
      </c>
      <c r="B833" s="3" t="s">
        <v>1647</v>
      </c>
      <c r="C833" s="3" t="str">
        <f t="shared" si="1"/>
        <v>96 </v>
      </c>
      <c r="D833" s="3" t="str">
        <f t="shared" si="2"/>
        <v>rotate</v>
      </c>
      <c r="E833" s="2" t="s">
        <v>8</v>
      </c>
      <c r="F833" s="3" t="str">
        <f>IFERROR(__xludf.DUMMYFUNCTION("GOOGLETRANSLATE(D833,$D$1,$F$1)"),"quay")</f>
        <v>quay</v>
      </c>
      <c r="G833" s="3" t="s">
        <v>1648</v>
      </c>
    </row>
    <row r="834">
      <c r="A834" s="3">
        <v>11.0</v>
      </c>
      <c r="B834" s="3" t="s">
        <v>1649</v>
      </c>
      <c r="C834" s="3" t="str">
        <f t="shared" si="1"/>
        <v>96 </v>
      </c>
      <c r="D834" s="3" t="str">
        <f t="shared" si="2"/>
        <v>around</v>
      </c>
      <c r="E834" s="2" t="s">
        <v>8</v>
      </c>
      <c r="F834" s="3" t="str">
        <f>IFERROR(__xludf.DUMMYFUNCTION("GOOGLETRANSLATE(D834,$D$1,$F$1)"),"xung quanh")</f>
        <v>xung quanh</v>
      </c>
      <c r="G834" s="3" t="s">
        <v>1650</v>
      </c>
    </row>
    <row r="835">
      <c r="A835" s="3">
        <v>11.0</v>
      </c>
      <c r="B835" s="3" t="s">
        <v>1651</v>
      </c>
      <c r="C835" s="3" t="str">
        <f t="shared" si="1"/>
        <v>96 </v>
      </c>
      <c r="D835" s="3" t="str">
        <f t="shared" si="2"/>
        <v>per hour</v>
      </c>
      <c r="E835" s="2" t="s">
        <v>8</v>
      </c>
      <c r="F835" s="3" t="str">
        <f>IFERROR(__xludf.DUMMYFUNCTION("GOOGLETRANSLATE(D835,$D$1,$F$1)"),"trên giờ")</f>
        <v>trên giờ</v>
      </c>
      <c r="G835" s="3" t="s">
        <v>1652</v>
      </c>
    </row>
    <row r="836">
      <c r="A836" s="3">
        <v>11.0</v>
      </c>
      <c r="B836" s="3" t="s">
        <v>1653</v>
      </c>
      <c r="C836" s="3" t="str">
        <f t="shared" si="1"/>
        <v>96 </v>
      </c>
      <c r="D836" s="3" t="str">
        <f t="shared" si="2"/>
        <v>throw</v>
      </c>
      <c r="E836" s="2" t="s">
        <v>8</v>
      </c>
      <c r="F836" s="3" t="str">
        <f>IFERROR(__xludf.DUMMYFUNCTION("GOOGLETRANSLATE(D836,$D$1,$F$1)"),"phi")</f>
        <v>phi</v>
      </c>
      <c r="G836" s="3" t="s">
        <v>1654</v>
      </c>
    </row>
    <row r="837">
      <c r="A837" s="3">
        <v>11.0</v>
      </c>
      <c r="B837" s="3" t="s">
        <v>1655</v>
      </c>
      <c r="C837" s="3" t="str">
        <f t="shared" si="1"/>
        <v>96 </v>
      </c>
      <c r="D837" s="3" t="str">
        <f t="shared" si="2"/>
        <v>further</v>
      </c>
      <c r="E837" s="2" t="s">
        <v>8</v>
      </c>
      <c r="F837" s="3" t="str">
        <f>IFERROR(__xludf.DUMMYFUNCTION("GOOGLETRANSLATE(D837,$D$1,$F$1)"),"thêm nữa")</f>
        <v>thêm nữa</v>
      </c>
      <c r="G837" s="3" t="s">
        <v>1656</v>
      </c>
    </row>
    <row r="838">
      <c r="A838" s="3">
        <v>11.0</v>
      </c>
      <c r="B838" s="3" t="s">
        <v>1657</v>
      </c>
      <c r="C838" s="3" t="str">
        <f t="shared" si="1"/>
        <v>97 </v>
      </c>
      <c r="D838" s="3" t="str">
        <f t="shared" si="2"/>
        <v>west</v>
      </c>
      <c r="E838" s="2" t="s">
        <v>8</v>
      </c>
      <c r="F838" s="3" t="str">
        <f>IFERROR(__xludf.DUMMYFUNCTION("GOOGLETRANSLATE(D838,$D$1,$F$1)"),"hướng Tây")</f>
        <v>hướng Tây</v>
      </c>
      <c r="G838" s="3" t="s">
        <v>1658</v>
      </c>
    </row>
    <row r="839">
      <c r="A839" s="3">
        <v>11.0</v>
      </c>
      <c r="B839" s="3" t="s">
        <v>1659</v>
      </c>
      <c r="C839" s="3" t="str">
        <f t="shared" si="1"/>
        <v>97 </v>
      </c>
      <c r="D839" s="3" t="str">
        <f t="shared" si="2"/>
        <v>jump</v>
      </c>
      <c r="E839" s="2" t="s">
        <v>8</v>
      </c>
      <c r="F839" s="3" t="str">
        <f>IFERROR(__xludf.DUMMYFUNCTION("GOOGLETRANSLATE(D839,$D$1,$F$1)"),"nhảy")</f>
        <v>nhảy</v>
      </c>
      <c r="G839" s="3" t="s">
        <v>1660</v>
      </c>
    </row>
    <row r="840">
      <c r="A840" s="3">
        <v>11.0</v>
      </c>
      <c r="B840" s="3" t="s">
        <v>1661</v>
      </c>
      <c r="C840" s="3" t="str">
        <f t="shared" si="1"/>
        <v>97 </v>
      </c>
      <c r="D840" s="3" t="str">
        <f t="shared" si="2"/>
        <v>look up</v>
      </c>
      <c r="E840" s="2" t="s">
        <v>8</v>
      </c>
      <c r="F840" s="3" t="str">
        <f>IFERROR(__xludf.DUMMYFUNCTION("GOOGLETRANSLATE(D840,$D$1,$F$1)"),"tra cứu")</f>
        <v>tra cứu</v>
      </c>
      <c r="G840" s="3" t="s">
        <v>1662</v>
      </c>
    </row>
    <row r="841">
      <c r="A841" s="3">
        <v>11.0</v>
      </c>
      <c r="B841" s="3" t="s">
        <v>1663</v>
      </c>
      <c r="C841" s="3" t="str">
        <f t="shared" si="1"/>
        <v>97 </v>
      </c>
      <c r="D841" s="3" t="str">
        <f t="shared" si="2"/>
        <v>sky</v>
      </c>
      <c r="E841" s="2" t="s">
        <v>8</v>
      </c>
      <c r="F841" s="3" t="str">
        <f>IFERROR(__xludf.DUMMYFUNCTION("GOOGLETRANSLATE(D841,$D$1,$F$1)"),"bầu trời")</f>
        <v>bầu trời</v>
      </c>
      <c r="G841" s="3" t="s">
        <v>1664</v>
      </c>
    </row>
    <row r="842">
      <c r="A842" s="3">
        <v>11.0</v>
      </c>
      <c r="B842" s="3" t="s">
        <v>1665</v>
      </c>
      <c r="C842" s="3" t="str">
        <f t="shared" si="1"/>
        <v>97 </v>
      </c>
      <c r="D842" s="3" t="str">
        <f t="shared" si="2"/>
        <v>backwards</v>
      </c>
      <c r="E842" s="2" t="s">
        <v>8</v>
      </c>
      <c r="F842" s="3" t="str">
        <f>IFERROR(__xludf.DUMMYFUNCTION("GOOGLETRANSLATE(D842,$D$1,$F$1)"),"ngược")</f>
        <v>ngược</v>
      </c>
      <c r="G842" s="3" t="s">
        <v>1666</v>
      </c>
    </row>
    <row r="843">
      <c r="A843" s="3">
        <v>11.0</v>
      </c>
      <c r="B843" s="3" t="s">
        <v>1667</v>
      </c>
      <c r="C843" s="3" t="str">
        <f t="shared" si="1"/>
        <v>97 </v>
      </c>
      <c r="D843" s="3" t="str">
        <f t="shared" si="2"/>
        <v>continent</v>
      </c>
      <c r="E843" s="2" t="s">
        <v>8</v>
      </c>
      <c r="F843" s="3" t="str">
        <f>IFERROR(__xludf.DUMMYFUNCTION("GOOGLETRANSLATE(D843,$D$1,$F$1)"),"lục địa")</f>
        <v>lục địa</v>
      </c>
      <c r="G843" s="3" t="s">
        <v>1668</v>
      </c>
    </row>
    <row r="844">
      <c r="A844" s="3">
        <v>11.0</v>
      </c>
      <c r="B844" s="3" t="s">
        <v>1669</v>
      </c>
      <c r="C844" s="3" t="str">
        <f t="shared" si="1"/>
        <v>97 </v>
      </c>
      <c r="D844" s="3" t="str">
        <f t="shared" si="2"/>
        <v>active</v>
      </c>
      <c r="E844" s="2" t="s">
        <v>8</v>
      </c>
      <c r="F844" s="3" t="str">
        <f>IFERROR(__xludf.DUMMYFUNCTION("GOOGLETRANSLATE(D844,$D$1,$F$1)"),"tích cực")</f>
        <v>tích cực</v>
      </c>
      <c r="G844" s="3" t="s">
        <v>1670</v>
      </c>
    </row>
    <row r="845">
      <c r="A845" s="3">
        <v>11.0</v>
      </c>
      <c r="B845" s="3" t="s">
        <v>1671</v>
      </c>
      <c r="C845" s="3" t="str">
        <f t="shared" si="1"/>
        <v>97 </v>
      </c>
      <c r="D845" s="3" t="str">
        <f t="shared" si="2"/>
        <v>guide dog</v>
      </c>
      <c r="E845" s="2" t="s">
        <v>8</v>
      </c>
      <c r="F845" s="3" t="str">
        <f>IFERROR(__xludf.DUMMYFUNCTION("GOOGLETRANSLATE(D845,$D$1,$F$1)"),"chó dẫn đường")</f>
        <v>chó dẫn đường</v>
      </c>
      <c r="G845" s="3" t="s">
        <v>1672</v>
      </c>
    </row>
    <row r="846">
      <c r="A846" s="3">
        <v>11.0</v>
      </c>
      <c r="B846" s="3" t="s">
        <v>1673</v>
      </c>
      <c r="C846" s="3" t="str">
        <f t="shared" si="1"/>
        <v>97 </v>
      </c>
      <c r="D846" s="3" t="str">
        <f t="shared" si="2"/>
        <v>traffic</v>
      </c>
      <c r="E846" s="2" t="s">
        <v>8</v>
      </c>
      <c r="F846" s="3" t="str">
        <f>IFERROR(__xludf.DUMMYFUNCTION("GOOGLETRANSLATE(D846,$D$1,$F$1)"),"giao thông")</f>
        <v>giao thông</v>
      </c>
      <c r="G846" s="3" t="s">
        <v>582</v>
      </c>
    </row>
    <row r="847">
      <c r="A847" s="3">
        <v>11.0</v>
      </c>
      <c r="B847" s="3" t="s">
        <v>1674</v>
      </c>
      <c r="C847" s="3" t="str">
        <f t="shared" si="1"/>
        <v>97 </v>
      </c>
      <c r="D847" s="3" t="str">
        <f t="shared" si="2"/>
        <v>traffic light</v>
      </c>
      <c r="E847" s="2" t="s">
        <v>8</v>
      </c>
      <c r="F847" s="3" t="str">
        <f>IFERROR(__xludf.DUMMYFUNCTION("GOOGLETRANSLATE(D847,$D$1,$F$1)"),"đèn giao thông")</f>
        <v>đèn giao thông</v>
      </c>
      <c r="G847" s="3" t="s">
        <v>1675</v>
      </c>
    </row>
    <row r="848">
      <c r="A848" s="3">
        <v>11.0</v>
      </c>
      <c r="B848" s="3" t="s">
        <v>1676</v>
      </c>
      <c r="C848" s="3" t="str">
        <f t="shared" si="1"/>
        <v>97 </v>
      </c>
      <c r="D848" s="3" t="str">
        <f t="shared" si="2"/>
        <v>talk (v)</v>
      </c>
      <c r="E848" s="2" t="s">
        <v>8</v>
      </c>
      <c r="F848" s="3" t="str">
        <f>IFERROR(__xludf.DUMMYFUNCTION("GOOGLETRANSLATE(D848,$D$1,$F$1)"),"talk (v)")</f>
        <v>talk (v)</v>
      </c>
      <c r="G848" s="3" t="s">
        <v>1677</v>
      </c>
    </row>
    <row r="849">
      <c r="A849" s="3">
        <v>11.0</v>
      </c>
      <c r="B849" s="3" t="s">
        <v>1678</v>
      </c>
      <c r="C849" s="3" t="str">
        <f t="shared" si="1"/>
        <v>97 </v>
      </c>
      <c r="D849" s="3" t="str">
        <f t="shared" si="2"/>
        <v>sign language</v>
      </c>
      <c r="E849" s="2" t="s">
        <v>8</v>
      </c>
      <c r="F849" s="3" t="str">
        <f>IFERROR(__xludf.DUMMYFUNCTION("GOOGLETRANSLATE(D849,$D$1,$F$1)"),"ngôn ngữ cử chỉ")</f>
        <v>ngôn ngữ cử chỉ</v>
      </c>
      <c r="G849" s="3" t="s">
        <v>1679</v>
      </c>
    </row>
    <row r="850">
      <c r="A850" s="3">
        <v>11.0</v>
      </c>
      <c r="B850" s="3" t="s">
        <v>1680</v>
      </c>
      <c r="C850" s="3" t="str">
        <f t="shared" si="1"/>
        <v>97 </v>
      </c>
      <c r="D850" s="3" t="str">
        <f t="shared" si="2"/>
        <v>chimp</v>
      </c>
      <c r="E850" s="2" t="s">
        <v>8</v>
      </c>
      <c r="F850" s="3" t="str">
        <f>IFERROR(__xludf.DUMMYFUNCTION("GOOGLETRANSLATE(D850,$D$1,$F$1)"),"tinh tinh")</f>
        <v>tinh tinh</v>
      </c>
      <c r="G850" s="3" t="s">
        <v>1681</v>
      </c>
    </row>
    <row r="851">
      <c r="A851" s="3">
        <v>11.0</v>
      </c>
      <c r="B851" s="3" t="s">
        <v>1682</v>
      </c>
      <c r="C851" s="3" t="str">
        <f t="shared" si="1"/>
        <v>97 </v>
      </c>
      <c r="D851" s="3" t="str">
        <f t="shared" si="2"/>
        <v>per cent</v>
      </c>
      <c r="E851" s="2" t="s">
        <v>8</v>
      </c>
      <c r="F851" s="3" t="str">
        <f>IFERROR(__xludf.DUMMYFUNCTION("GOOGLETRANSLATE(D851,$D$1,$F$1)"),"phần trăm")</f>
        <v>phần trăm</v>
      </c>
      <c r="G851" s="3" t="s">
        <v>1683</v>
      </c>
    </row>
    <row r="852">
      <c r="A852" s="3">
        <v>11.0</v>
      </c>
      <c r="B852" s="3" t="s">
        <v>1684</v>
      </c>
      <c r="C852" s="3" t="str">
        <f t="shared" si="1"/>
        <v>97 </v>
      </c>
      <c r="D852" s="3" t="str">
        <f t="shared" si="2"/>
        <v>left-handed</v>
      </c>
      <c r="E852" s="2" t="s">
        <v>8</v>
      </c>
      <c r="F852" s="3" t="str">
        <f>IFERROR(__xludf.DUMMYFUNCTION("GOOGLETRANSLATE(D852,$D$1,$F$1)"),"thuận tay trái")</f>
        <v>thuận tay trái</v>
      </c>
      <c r="G852" s="3" t="s">
        <v>1685</v>
      </c>
    </row>
    <row r="853">
      <c r="A853" s="3">
        <v>11.0</v>
      </c>
      <c r="B853" s="3" t="s">
        <v>1686</v>
      </c>
      <c r="C853" s="3" t="str">
        <f t="shared" si="1"/>
        <v>97 </v>
      </c>
      <c r="D853" s="3" t="str">
        <f t="shared" si="2"/>
        <v>studies</v>
      </c>
      <c r="E853" s="2" t="s">
        <v>8</v>
      </c>
      <c r="F853" s="3" t="str">
        <f>IFERROR(__xludf.DUMMYFUNCTION("GOOGLETRANSLATE(D853,$D$1,$F$1)"),"học")</f>
        <v>học</v>
      </c>
      <c r="G853" s="3" t="s">
        <v>1687</v>
      </c>
    </row>
    <row r="854">
      <c r="A854" s="3">
        <v>11.0</v>
      </c>
      <c r="B854" s="3" t="s">
        <v>1688</v>
      </c>
      <c r="C854" s="3" t="str">
        <f t="shared" si="1"/>
        <v>97 </v>
      </c>
      <c r="D854" s="3" t="str">
        <f t="shared" si="2"/>
        <v>prefer</v>
      </c>
      <c r="E854" s="2" t="s">
        <v>8</v>
      </c>
      <c r="F854" s="3" t="str">
        <f>IFERROR(__xludf.DUMMYFUNCTION("GOOGLETRANSLATE(D854,$D$1,$F$1)"),"thích hơn")</f>
        <v>thích hơn</v>
      </c>
      <c r="G854" s="3" t="s">
        <v>1689</v>
      </c>
    </row>
    <row r="855">
      <c r="A855" s="3">
        <v>11.0</v>
      </c>
      <c r="B855" s="3" t="s">
        <v>1690</v>
      </c>
      <c r="C855" s="3" t="str">
        <f t="shared" si="1"/>
        <v>97 </v>
      </c>
      <c r="D855" s="3" t="str">
        <f t="shared" si="2"/>
        <v>paw</v>
      </c>
      <c r="E855" s="2" t="s">
        <v>8</v>
      </c>
      <c r="F855" s="3" t="str">
        <f>IFERROR(__xludf.DUMMYFUNCTION("GOOGLETRANSLATE(D855,$D$1,$F$1)"),"móng vuốt")</f>
        <v>móng vuốt</v>
      </c>
      <c r="G855" s="3" t="s">
        <v>1691</v>
      </c>
    </row>
    <row r="856">
      <c r="A856" s="3">
        <v>11.0</v>
      </c>
      <c r="B856" s="3" t="s">
        <v>1692</v>
      </c>
      <c r="C856" s="3" t="str">
        <f t="shared" si="1"/>
        <v>97 </v>
      </c>
      <c r="D856" s="3" t="str">
        <f t="shared" si="2"/>
        <v>dirt</v>
      </c>
      <c r="E856" s="2" t="s">
        <v>8</v>
      </c>
      <c r="F856" s="3" t="str">
        <f>IFERROR(__xludf.DUMMYFUNCTION("GOOGLETRANSLATE(D856,$D$1,$F$1)"),"bụi")</f>
        <v>bụi</v>
      </c>
      <c r="G856" s="3" t="s">
        <v>1693</v>
      </c>
    </row>
    <row r="857">
      <c r="A857" s="3">
        <v>11.0</v>
      </c>
      <c r="B857" s="3" t="s">
        <v>1694</v>
      </c>
      <c r="C857" s="3" t="str">
        <f t="shared" si="1"/>
        <v>97 </v>
      </c>
      <c r="D857" s="3" t="str">
        <f t="shared" si="2"/>
        <v>lifetime</v>
      </c>
      <c r="E857" s="2" t="s">
        <v>8</v>
      </c>
      <c r="F857" s="3" t="str">
        <f>IFERROR(__xludf.DUMMYFUNCTION("GOOGLETRANSLATE(D857,$D$1,$F$1)"),"cả đời")</f>
        <v>cả đời</v>
      </c>
      <c r="G857" s="3" t="s">
        <v>1695</v>
      </c>
    </row>
    <row r="858">
      <c r="A858" s="3">
        <v>11.0</v>
      </c>
      <c r="B858" s="3" t="s">
        <v>1696</v>
      </c>
      <c r="C858" s="3" t="str">
        <f t="shared" si="1"/>
        <v>97 </v>
      </c>
      <c r="D858" s="3" t="str">
        <f t="shared" si="2"/>
        <v>badly</v>
      </c>
      <c r="E858" s="2" t="s">
        <v>8</v>
      </c>
      <c r="F858" s="3" t="str">
        <f>IFERROR(__xludf.DUMMYFUNCTION("GOOGLETRANSLATE(D858,$D$1,$F$1)"),"tệ")</f>
        <v>tệ</v>
      </c>
      <c r="G858" s="3" t="s">
        <v>1697</v>
      </c>
    </row>
    <row r="859">
      <c r="A859" s="3">
        <v>11.0</v>
      </c>
      <c r="B859" s="3" t="s">
        <v>1698</v>
      </c>
      <c r="C859" s="3" t="str">
        <f t="shared" si="1"/>
        <v>97 </v>
      </c>
      <c r="D859" s="3" t="str">
        <f t="shared" si="2"/>
        <v>washed</v>
      </c>
      <c r="E859" s="2" t="s">
        <v>8</v>
      </c>
      <c r="F859" s="3" t="str">
        <f>IFERROR(__xludf.DUMMYFUNCTION("GOOGLETRANSLATE(D859,$D$1,$F$1)"),"rửa sạch")</f>
        <v>rửa sạch</v>
      </c>
      <c r="G859" s="3" t="s">
        <v>1699</v>
      </c>
    </row>
    <row r="860">
      <c r="A860" s="3">
        <v>11.0</v>
      </c>
      <c r="B860" s="3" t="s">
        <v>1700</v>
      </c>
      <c r="C860" s="3" t="str">
        <f t="shared" si="1"/>
        <v>97 </v>
      </c>
      <c r="D860" s="3" t="str">
        <f t="shared" si="2"/>
        <v>parrot</v>
      </c>
      <c r="E860" s="2" t="s">
        <v>8</v>
      </c>
      <c r="F860" s="3" t="str">
        <f>IFERROR(__xludf.DUMMYFUNCTION("GOOGLETRANSLATE(D860,$D$1,$F$1)"),"con vẹt")</f>
        <v>con vẹt</v>
      </c>
      <c r="G860" s="3" t="s">
        <v>1701</v>
      </c>
    </row>
    <row r="861">
      <c r="A861" s="3">
        <v>11.0</v>
      </c>
      <c r="B861" s="3" t="s">
        <v>1702</v>
      </c>
      <c r="C861" s="3" t="str">
        <f t="shared" si="1"/>
        <v>97 </v>
      </c>
      <c r="D861" s="3" t="str">
        <f t="shared" si="2"/>
        <v>newborn</v>
      </c>
      <c r="E861" s="2" t="s">
        <v>8</v>
      </c>
      <c r="F861" s="3" t="str">
        <f>IFERROR(__xludf.DUMMYFUNCTION("GOOGLETRANSLATE(D861,$D$1,$F$1)"),"sơ sinh")</f>
        <v>sơ sinh</v>
      </c>
      <c r="G861" s="3" t="s">
        <v>1703</v>
      </c>
    </row>
    <row r="862">
      <c r="A862" s="3">
        <v>11.0</v>
      </c>
      <c r="B862" s="3" t="s">
        <v>1704</v>
      </c>
      <c r="C862" s="3" t="str">
        <f t="shared" si="1"/>
        <v>97 </v>
      </c>
      <c r="D862" s="3" t="str">
        <f t="shared" si="2"/>
        <v>tree</v>
      </c>
      <c r="E862" s="2" t="s">
        <v>8</v>
      </c>
      <c r="F862" s="3" t="str">
        <f>IFERROR(__xludf.DUMMYFUNCTION("GOOGLETRANSLATE(D862,$D$1,$F$1)"),"cây")</f>
        <v>cây</v>
      </c>
      <c r="G862" s="3" t="s">
        <v>1705</v>
      </c>
    </row>
    <row r="863">
      <c r="A863" s="3">
        <v>11.0</v>
      </c>
      <c r="B863" s="3" t="s">
        <v>1706</v>
      </c>
      <c r="C863" s="3" t="str">
        <f t="shared" si="1"/>
        <v>97 </v>
      </c>
      <c r="D863" s="3" t="str">
        <f t="shared" si="2"/>
        <v>mend (v)</v>
      </c>
      <c r="E863" s="2" t="s">
        <v>8</v>
      </c>
      <c r="F863" s="3" t="str">
        <f>IFERROR(__xludf.DUMMYFUNCTION("GOOGLETRANSLATE(D863,$D$1,$F$1)"),"hàn gắn (v)")</f>
        <v>hàn gắn (v)</v>
      </c>
      <c r="G863" s="3" t="s">
        <v>1707</v>
      </c>
    </row>
    <row r="864">
      <c r="A864" s="3">
        <v>11.0</v>
      </c>
      <c r="B864" s="3" t="s">
        <v>1708</v>
      </c>
      <c r="C864" s="3" t="str">
        <f t="shared" si="1"/>
        <v>97 </v>
      </c>
      <c r="D864" s="3" t="str">
        <f t="shared" si="2"/>
        <v>chess</v>
      </c>
      <c r="E864" s="2" t="s">
        <v>8</v>
      </c>
      <c r="F864" s="3" t="str">
        <f>IFERROR(__xludf.DUMMYFUNCTION("GOOGLETRANSLATE(D864,$D$1,$F$1)"),"cờ vua")</f>
        <v>cờ vua</v>
      </c>
      <c r="G864" s="3" t="s">
        <v>1709</v>
      </c>
    </row>
    <row r="865">
      <c r="A865" s="3">
        <v>11.0</v>
      </c>
      <c r="B865" s="3" t="s">
        <v>1710</v>
      </c>
      <c r="C865" s="3" t="str">
        <f t="shared" si="1"/>
        <v>98 </v>
      </c>
      <c r="D865" s="3" t="str">
        <f t="shared" si="2"/>
        <v>population</v>
      </c>
      <c r="E865" s="2" t="s">
        <v>8</v>
      </c>
      <c r="F865" s="3" t="str">
        <f>IFERROR(__xludf.DUMMYFUNCTION("GOOGLETRANSLATE(D865,$D$1,$F$1)"),"dân số")</f>
        <v>dân số</v>
      </c>
      <c r="G865" s="3" t="s">
        <v>1711</v>
      </c>
    </row>
    <row r="866">
      <c r="A866" s="3">
        <v>11.0</v>
      </c>
      <c r="B866" s="3" t="s">
        <v>1712</v>
      </c>
      <c r="C866" s="3" t="str">
        <f t="shared" si="1"/>
        <v>99 </v>
      </c>
      <c r="D866" s="3" t="str">
        <f t="shared" si="2"/>
        <v>type</v>
      </c>
      <c r="E866" s="2" t="s">
        <v>8</v>
      </c>
      <c r="F866" s="3" t="str">
        <f>IFERROR(__xludf.DUMMYFUNCTION("GOOGLETRANSLATE(D866,$D$1,$F$1)"),"kiểu")</f>
        <v>kiểu</v>
      </c>
      <c r="G866" s="3" t="s">
        <v>496</v>
      </c>
    </row>
    <row r="867">
      <c r="A867" s="3">
        <v>11.0</v>
      </c>
      <c r="B867" s="3" t="s">
        <v>1713</v>
      </c>
      <c r="C867" s="3" t="str">
        <f t="shared" si="1"/>
        <v>99 </v>
      </c>
      <c r="D867" s="3" t="str">
        <f t="shared" si="2"/>
        <v>quantity</v>
      </c>
      <c r="E867" s="2" t="s">
        <v>8</v>
      </c>
      <c r="F867" s="3" t="str">
        <f>IFERROR(__xludf.DUMMYFUNCTION("GOOGLETRANSLATE(D867,$D$1,$F$1)"),"định lượng")</f>
        <v>định lượng</v>
      </c>
      <c r="G867" s="3" t="s">
        <v>1714</v>
      </c>
    </row>
    <row r="868">
      <c r="A868" s="3">
        <v>11.0</v>
      </c>
      <c r="B868" s="3" t="s">
        <v>1715</v>
      </c>
      <c r="C868" s="3" t="str">
        <f t="shared" si="1"/>
        <v>99 </v>
      </c>
      <c r="D868" s="3" t="str">
        <f t="shared" si="2"/>
        <v>centimetre</v>
      </c>
      <c r="E868" s="2" t="s">
        <v>8</v>
      </c>
      <c r="F868" s="3" t="str">
        <f>IFERROR(__xludf.DUMMYFUNCTION("GOOGLETRANSLATE(D868,$D$1,$F$1)"),"centimet")</f>
        <v>centimet</v>
      </c>
      <c r="G868" s="3" t="s">
        <v>1716</v>
      </c>
    </row>
    <row r="869">
      <c r="A869" s="3">
        <v>11.0</v>
      </c>
      <c r="B869" s="3" t="s">
        <v>1717</v>
      </c>
      <c r="C869" s="3" t="str">
        <f t="shared" si="1"/>
        <v>99 </v>
      </c>
      <c r="D869" s="3" t="str">
        <f t="shared" si="2"/>
        <v>speed limit</v>
      </c>
      <c r="E869" s="2" t="s">
        <v>8</v>
      </c>
      <c r="F869" s="3" t="str">
        <f>IFERROR(__xludf.DUMMYFUNCTION("GOOGLETRANSLATE(D869,$D$1,$F$1)"),"tốc độ giới hạn")</f>
        <v>tốc độ giới hạn</v>
      </c>
      <c r="G869" s="3" t="s">
        <v>1718</v>
      </c>
    </row>
    <row r="870">
      <c r="A870" s="3">
        <v>11.0</v>
      </c>
      <c r="B870" s="3" t="s">
        <v>1719</v>
      </c>
      <c r="C870" s="3" t="str">
        <f t="shared" si="1"/>
        <v>99 </v>
      </c>
      <c r="D870" s="3" t="str">
        <f t="shared" si="2"/>
        <v>motorway</v>
      </c>
      <c r="E870" s="2" t="s">
        <v>8</v>
      </c>
      <c r="F870" s="3" t="str">
        <f>IFERROR(__xludf.DUMMYFUNCTION("GOOGLETRANSLATE(D870,$D$1,$F$1)"),"đường cao tốc")</f>
        <v>đường cao tốc</v>
      </c>
      <c r="G870" s="3" t="s">
        <v>1720</v>
      </c>
    </row>
    <row r="871">
      <c r="A871" s="3">
        <v>11.0</v>
      </c>
      <c r="B871" s="3" t="s">
        <v>1721</v>
      </c>
      <c r="C871" s="3" t="str">
        <f t="shared" si="1"/>
        <v>99 </v>
      </c>
      <c r="D871" s="3" t="str">
        <f t="shared" si="2"/>
        <v>approximately</v>
      </c>
      <c r="E871" s="2" t="s">
        <v>8</v>
      </c>
      <c r="F871" s="3" t="str">
        <f>IFERROR(__xludf.DUMMYFUNCTION("GOOGLETRANSLATE(D871,$D$1,$F$1)"),"xấp xỉ")</f>
        <v>xấp xỉ</v>
      </c>
      <c r="G871" s="3" t="s">
        <v>1722</v>
      </c>
    </row>
    <row r="872">
      <c r="A872" s="3">
        <v>11.0</v>
      </c>
      <c r="B872" s="3" t="s">
        <v>1723</v>
      </c>
      <c r="C872" s="3" t="str">
        <f t="shared" si="1"/>
        <v>99 </v>
      </c>
      <c r="D872" s="3" t="str">
        <f t="shared" si="2"/>
        <v>weigh</v>
      </c>
      <c r="E872" s="2" t="s">
        <v>8</v>
      </c>
      <c r="F872" s="3" t="str">
        <f>IFERROR(__xludf.DUMMYFUNCTION("GOOGLETRANSLATE(D872,$D$1,$F$1)"),"cân")</f>
        <v>cân</v>
      </c>
      <c r="G872" s="3" t="s">
        <v>1724</v>
      </c>
    </row>
    <row r="873">
      <c r="A873" s="3">
        <v>11.0</v>
      </c>
      <c r="B873" s="3" t="s">
        <v>1725</v>
      </c>
      <c r="C873" s="3" t="str">
        <f t="shared" si="1"/>
        <v>99 </v>
      </c>
      <c r="D873" s="3" t="str">
        <f t="shared" si="2"/>
        <v>coast</v>
      </c>
      <c r="E873" s="2" t="s">
        <v>8</v>
      </c>
      <c r="F873" s="3" t="str">
        <f>IFERROR(__xludf.DUMMYFUNCTION("GOOGLETRANSLATE(D873,$D$1,$F$1)"),"bờ biển")</f>
        <v>bờ biển</v>
      </c>
      <c r="G873" s="3" t="s">
        <v>1726</v>
      </c>
    </row>
    <row r="874">
      <c r="A874" s="3">
        <v>11.0</v>
      </c>
      <c r="B874" s="3" t="s">
        <v>1727</v>
      </c>
      <c r="C874" s="3" t="str">
        <f t="shared" si="1"/>
        <v>100 </v>
      </c>
      <c r="D874" s="3" t="str">
        <f t="shared" si="2"/>
        <v>pregnant</v>
      </c>
      <c r="E874" s="2" t="s">
        <v>8</v>
      </c>
      <c r="F874" s="3" t="str">
        <f>IFERROR(__xludf.DUMMYFUNCTION("GOOGLETRANSLATE(D874,$D$1,$F$1)"),"có thai")</f>
        <v>có thai</v>
      </c>
      <c r="G874" s="3" t="s">
        <v>1728</v>
      </c>
    </row>
    <row r="875">
      <c r="A875" s="3">
        <v>11.0</v>
      </c>
      <c r="B875" s="3" t="s">
        <v>1729</v>
      </c>
      <c r="C875" s="3" t="str">
        <f t="shared" si="1"/>
        <v>100 </v>
      </c>
      <c r="D875" s="3" t="str">
        <f t="shared" si="2"/>
        <v>kitten</v>
      </c>
      <c r="E875" s="2" t="s">
        <v>8</v>
      </c>
      <c r="F875" s="3" t="str">
        <f>IFERROR(__xludf.DUMMYFUNCTION("GOOGLETRANSLATE(D875,$D$1,$F$1)"),"cô gái nhẹ dạ")</f>
        <v>cô gái nhẹ dạ</v>
      </c>
      <c r="G875" s="3" t="s">
        <v>1730</v>
      </c>
    </row>
    <row r="876">
      <c r="A876" s="3">
        <v>11.0</v>
      </c>
      <c r="B876" s="3" t="s">
        <v>1731</v>
      </c>
      <c r="C876" s="3" t="str">
        <f t="shared" si="1"/>
        <v>100 </v>
      </c>
      <c r="D876" s="3" t="str">
        <f t="shared" si="2"/>
        <v>racing</v>
      </c>
      <c r="E876" s="2" t="s">
        <v>8</v>
      </c>
      <c r="F876" s="3" t="str">
        <f>IFERROR(__xludf.DUMMYFUNCTION("GOOGLETRANSLATE(D876,$D$1,$F$1)"),"cuộc đua")</f>
        <v>cuộc đua</v>
      </c>
      <c r="G876" s="3" t="s">
        <v>1732</v>
      </c>
    </row>
    <row r="877">
      <c r="A877" s="3">
        <v>11.0</v>
      </c>
      <c r="B877" s="3" t="s">
        <v>1733</v>
      </c>
      <c r="C877" s="3" t="str">
        <f t="shared" si="1"/>
        <v>100 </v>
      </c>
      <c r="D877" s="3" t="str">
        <f t="shared" si="2"/>
        <v>hunting</v>
      </c>
      <c r="E877" s="2" t="s">
        <v>8</v>
      </c>
      <c r="F877" s="3" t="str">
        <f>IFERROR(__xludf.DUMMYFUNCTION("GOOGLETRANSLATE(D877,$D$1,$F$1)"),"săn bắn")</f>
        <v>săn bắn</v>
      </c>
      <c r="G877" s="3" t="s">
        <v>1734</v>
      </c>
    </row>
    <row r="878">
      <c r="A878" s="3">
        <v>11.0</v>
      </c>
      <c r="B878" s="3" t="s">
        <v>1735</v>
      </c>
      <c r="C878" s="3" t="str">
        <f t="shared" si="1"/>
        <v>100 </v>
      </c>
      <c r="D878" s="3" t="str">
        <f t="shared" si="2"/>
        <v>customs officer</v>
      </c>
      <c r="E878" s="2" t="s">
        <v>8</v>
      </c>
      <c r="F878" s="3" t="str">
        <f>IFERROR(__xludf.DUMMYFUNCTION("GOOGLETRANSLATE(D878,$D$1,$F$1)"),"công chức hải quan")</f>
        <v>công chức hải quan</v>
      </c>
      <c r="G878" s="3" t="s">
        <v>1736</v>
      </c>
    </row>
    <row r="879">
      <c r="A879" s="3">
        <v>11.0</v>
      </c>
      <c r="B879" s="3" t="s">
        <v>1737</v>
      </c>
      <c r="C879" s="3" t="str">
        <f t="shared" si="1"/>
        <v>100 </v>
      </c>
      <c r="D879" s="3" t="str">
        <f t="shared" si="2"/>
        <v>keep</v>
      </c>
      <c r="E879" s="2" t="s">
        <v>8</v>
      </c>
      <c r="F879" s="3" t="str">
        <f>IFERROR(__xludf.DUMMYFUNCTION("GOOGLETRANSLATE(D879,$D$1,$F$1)"),"giữ")</f>
        <v>giữ</v>
      </c>
      <c r="G879" s="3" t="s">
        <v>1738</v>
      </c>
    </row>
    <row r="880">
      <c r="A880" s="3">
        <v>11.0</v>
      </c>
      <c r="B880" s="3" t="s">
        <v>1739</v>
      </c>
      <c r="C880" s="3" t="str">
        <f t="shared" si="1"/>
        <v>100 </v>
      </c>
      <c r="D880" s="3" t="str">
        <f t="shared" si="2"/>
        <v>domestic cat</v>
      </c>
      <c r="E880" s="2" t="s">
        <v>8</v>
      </c>
      <c r="F880" s="3" t="str">
        <f>IFERROR(__xludf.DUMMYFUNCTION("GOOGLETRANSLATE(D880,$D$1,$F$1)"),"mèo nhà")</f>
        <v>mèo nhà</v>
      </c>
      <c r="G880" s="3" t="s">
        <v>1740</v>
      </c>
    </row>
    <row r="881">
      <c r="A881" s="3">
        <v>11.0</v>
      </c>
      <c r="B881" s="3" t="s">
        <v>1741</v>
      </c>
      <c r="C881" s="3" t="str">
        <f t="shared" si="1"/>
        <v>100 </v>
      </c>
      <c r="D881" s="3" t="str">
        <f t="shared" si="2"/>
        <v>at one time</v>
      </c>
      <c r="E881" s="2" t="s">
        <v>8</v>
      </c>
      <c r="F881" s="3" t="str">
        <f>IFERROR(__xludf.DUMMYFUNCTION("GOOGLETRANSLATE(D881,$D$1,$F$1)"),"cùng một lúc")</f>
        <v>cùng một lúc</v>
      </c>
      <c r="G881" s="3" t="s">
        <v>1742</v>
      </c>
    </row>
    <row r="882">
      <c r="A882" s="3">
        <v>11.0</v>
      </c>
      <c r="B882" s="3" t="s">
        <v>1743</v>
      </c>
      <c r="C882" s="3" t="str">
        <f t="shared" si="1"/>
        <v>100 </v>
      </c>
      <c r="D882" s="3" t="str">
        <f t="shared" si="2"/>
        <v>breed</v>
      </c>
      <c r="E882" s="2" t="s">
        <v>8</v>
      </c>
      <c r="F882" s="3" t="str">
        <f>IFERROR(__xludf.DUMMYFUNCTION("GOOGLETRANSLATE(D882,$D$1,$F$1)"),"giống")</f>
        <v>giống</v>
      </c>
      <c r="G882" s="3" t="s">
        <v>1744</v>
      </c>
    </row>
    <row r="883">
      <c r="A883" s="3">
        <v>11.0</v>
      </c>
      <c r="B883" s="3" t="s">
        <v>1745</v>
      </c>
      <c r="C883" s="3" t="str">
        <f t="shared" si="1"/>
        <v>100 </v>
      </c>
      <c r="D883" s="3" t="str">
        <f t="shared" si="2"/>
        <v>special</v>
      </c>
      <c r="E883" s="2" t="s">
        <v>8</v>
      </c>
      <c r="F883" s="3" t="str">
        <f>IFERROR(__xludf.DUMMYFUNCTION("GOOGLETRANSLATE(D883,$D$1,$F$1)"),"đặc biệt")</f>
        <v>đặc biệt</v>
      </c>
      <c r="G883" s="3" t="s">
        <v>1746</v>
      </c>
    </row>
    <row r="884">
      <c r="A884" s="3">
        <v>11.0</v>
      </c>
      <c r="B884" s="3" t="s">
        <v>1747</v>
      </c>
      <c r="C884" s="3" t="str">
        <f t="shared" si="1"/>
        <v>100 </v>
      </c>
      <c r="D884" s="3" t="str">
        <f t="shared" si="2"/>
        <v>sphinx cat</v>
      </c>
      <c r="E884" s="2" t="s">
        <v>8</v>
      </c>
      <c r="F884" s="3" t="str">
        <f>IFERROR(__xludf.DUMMYFUNCTION("GOOGLETRANSLATE(D884,$D$1,$F$1)"),"Sphinx mèo")</f>
        <v>Sphinx mèo</v>
      </c>
      <c r="G884" s="3" t="s">
        <v>1748</v>
      </c>
    </row>
    <row r="885">
      <c r="A885" s="3">
        <v>11.0</v>
      </c>
      <c r="B885" s="3" t="s">
        <v>1749</v>
      </c>
      <c r="C885" s="3" t="str">
        <f t="shared" si="1"/>
        <v>100 </v>
      </c>
      <c r="D885" s="3" t="str">
        <f t="shared" si="2"/>
        <v>together</v>
      </c>
      <c r="E885" s="2" t="s">
        <v>8</v>
      </c>
      <c r="F885" s="3" t="str">
        <f>IFERROR(__xludf.DUMMYFUNCTION("GOOGLETRANSLATE(D885,$D$1,$F$1)"),"cùng với nhau")</f>
        <v>cùng với nhau</v>
      </c>
      <c r="G885" s="3" t="s">
        <v>1750</v>
      </c>
    </row>
    <row r="886">
      <c r="A886" s="3">
        <v>11.0</v>
      </c>
      <c r="B886" s="3" t="s">
        <v>1751</v>
      </c>
      <c r="C886" s="3" t="str">
        <f t="shared" si="1"/>
        <v>100 </v>
      </c>
      <c r="D886" s="3" t="str">
        <f t="shared" si="2"/>
        <v>dog food</v>
      </c>
      <c r="E886" s="2" t="s">
        <v>8</v>
      </c>
      <c r="F886" s="3" t="str">
        <f>IFERROR(__xludf.DUMMYFUNCTION("GOOGLETRANSLATE(D886,$D$1,$F$1)"),"thức ăn cho chó")</f>
        <v>thức ăn cho chó</v>
      </c>
      <c r="G886" s="3" t="s">
        <v>1752</v>
      </c>
    </row>
    <row r="887">
      <c r="A887" s="3">
        <v>11.0</v>
      </c>
      <c r="B887" s="3" t="s">
        <v>1753</v>
      </c>
      <c r="C887" s="3" t="str">
        <f t="shared" si="1"/>
        <v>100 </v>
      </c>
      <c r="D887" s="3" t="str">
        <f t="shared" si="2"/>
        <v>baby food</v>
      </c>
      <c r="E887" s="2" t="s">
        <v>8</v>
      </c>
      <c r="F887" s="3" t="str">
        <f>IFERROR(__xludf.DUMMYFUNCTION("GOOGLETRANSLATE(D887,$D$1,$F$1)"),"thức ăn trẻ em")</f>
        <v>thức ăn trẻ em</v>
      </c>
      <c r="G887" s="3" t="s">
        <v>1754</v>
      </c>
    </row>
    <row r="888">
      <c r="A888" s="3">
        <v>11.0</v>
      </c>
      <c r="B888" s="3" t="s">
        <v>1755</v>
      </c>
      <c r="C888" s="3" t="str">
        <f t="shared" si="1"/>
        <v>100 </v>
      </c>
      <c r="D888" s="3" t="str">
        <f t="shared" si="2"/>
        <v>such as</v>
      </c>
      <c r="E888" s="2" t="s">
        <v>8</v>
      </c>
      <c r="F888" s="3" t="str">
        <f>IFERROR(__xludf.DUMMYFUNCTION("GOOGLETRANSLATE(D888,$D$1,$F$1)"),"nhu la")</f>
        <v>nhu la</v>
      </c>
      <c r="G888" s="3" t="s">
        <v>1756</v>
      </c>
    </row>
    <row r="889">
      <c r="A889" s="3">
        <v>11.0</v>
      </c>
      <c r="B889" s="3" t="s">
        <v>1757</v>
      </c>
      <c r="C889" s="3" t="str">
        <f t="shared" si="1"/>
        <v>100 </v>
      </c>
      <c r="D889" s="3" t="str">
        <f t="shared" si="2"/>
        <v>Greyhound</v>
      </c>
      <c r="E889" s="2" t="s">
        <v>8</v>
      </c>
      <c r="F889" s="3" t="str">
        <f>IFERROR(__xludf.DUMMYFUNCTION("GOOGLETRANSLATE(D889,$D$1,$F$1)"),"chó săn thỏ")</f>
        <v>chó săn thỏ</v>
      </c>
      <c r="G889" s="3" t="s">
        <v>1758</v>
      </c>
    </row>
    <row r="890">
      <c r="A890" s="3">
        <v>11.0</v>
      </c>
      <c r="B890" s="3" t="s">
        <v>1759</v>
      </c>
      <c r="C890" s="3" t="str">
        <f t="shared" si="1"/>
        <v>101 </v>
      </c>
      <c r="D890" s="3" t="str">
        <f t="shared" si="2"/>
        <v>cruel</v>
      </c>
      <c r="E890" s="2" t="s">
        <v>8</v>
      </c>
      <c r="F890" s="3" t="str">
        <f>IFERROR(__xludf.DUMMYFUNCTION("GOOGLETRANSLATE(D890,$D$1,$F$1)"),"hung ác")</f>
        <v>hung ác</v>
      </c>
      <c r="G890" s="3" t="s">
        <v>1760</v>
      </c>
    </row>
    <row r="891">
      <c r="A891" s="3">
        <v>11.0</v>
      </c>
      <c r="B891" s="3" t="s">
        <v>1761</v>
      </c>
      <c r="C891" s="3" t="str">
        <f t="shared" si="1"/>
        <v>101 </v>
      </c>
      <c r="D891" s="3" t="str">
        <f t="shared" si="2"/>
        <v>owner</v>
      </c>
      <c r="E891" s="2" t="s">
        <v>8</v>
      </c>
      <c r="F891" s="3" t="str">
        <f>IFERROR(__xludf.DUMMYFUNCTION("GOOGLETRANSLATE(D891,$D$1,$F$1)"),"chủ nhân")</f>
        <v>chủ nhân</v>
      </c>
      <c r="G891" s="3" t="s">
        <v>1762</v>
      </c>
    </row>
    <row r="892">
      <c r="A892" s="3">
        <v>11.0</v>
      </c>
      <c r="B892" s="3" t="s">
        <v>1763</v>
      </c>
      <c r="C892" s="3" t="str">
        <f t="shared" si="1"/>
        <v>101 </v>
      </c>
      <c r="D892" s="3" t="str">
        <f t="shared" si="2"/>
        <v>ugh!</v>
      </c>
      <c r="E892" s="2" t="s">
        <v>8</v>
      </c>
      <c r="F892" s="3" t="str">
        <f>IFERROR(__xludf.DUMMYFUNCTION("GOOGLETRANSLATE(D892,$D$1,$F$1)"),"ugh!")</f>
        <v>ugh!</v>
      </c>
      <c r="G892" s="3" t="s">
        <v>1764</v>
      </c>
    </row>
    <row r="893">
      <c r="A893" s="3">
        <v>11.0</v>
      </c>
      <c r="B893" s="3" t="s">
        <v>1765</v>
      </c>
      <c r="C893" s="3" t="str">
        <f t="shared" si="1"/>
        <v>101 </v>
      </c>
      <c r="D893" s="3" t="str">
        <f t="shared" si="2"/>
        <v>specific</v>
      </c>
      <c r="E893" s="2" t="s">
        <v>8</v>
      </c>
      <c r="F893" s="3" t="str">
        <f>IFERROR(__xludf.DUMMYFUNCTION("GOOGLETRANSLATE(D893,$D$1,$F$1)"),"riêng")</f>
        <v>riêng</v>
      </c>
      <c r="G893" s="3" t="s">
        <v>1766</v>
      </c>
    </row>
    <row r="894">
      <c r="A894" s="3">
        <v>11.0</v>
      </c>
      <c r="B894" s="3" t="s">
        <v>1767</v>
      </c>
      <c r="C894" s="3" t="str">
        <f t="shared" si="1"/>
        <v>101 </v>
      </c>
      <c r="D894" s="3" t="str">
        <f t="shared" si="2"/>
        <v>winter</v>
      </c>
      <c r="E894" s="2" t="s">
        <v>8</v>
      </c>
      <c r="F894" s="3" t="str">
        <f>IFERROR(__xludf.DUMMYFUNCTION("GOOGLETRANSLATE(D894,$D$1,$F$1)"),"mùa đông")</f>
        <v>mùa đông</v>
      </c>
      <c r="G894" s="3" t="s">
        <v>1768</v>
      </c>
    </row>
    <row r="895">
      <c r="A895" s="3">
        <v>11.0</v>
      </c>
      <c r="B895" s="3" t="s">
        <v>1769</v>
      </c>
      <c r="C895" s="3" t="str">
        <f t="shared" si="1"/>
        <v>101 </v>
      </c>
      <c r="D895" s="3" t="str">
        <f t="shared" si="2"/>
        <v>windy</v>
      </c>
      <c r="E895" s="2" t="s">
        <v>8</v>
      </c>
      <c r="F895" s="3" t="str">
        <f>IFERROR(__xludf.DUMMYFUNCTION("GOOGLETRANSLATE(D895,$D$1,$F$1)"),"nhiều gió")</f>
        <v>nhiều gió</v>
      </c>
      <c r="G895" s="3" t="s">
        <v>1770</v>
      </c>
    </row>
    <row r="896">
      <c r="A896" s="3">
        <v>11.0</v>
      </c>
      <c r="B896" s="3" t="s">
        <v>1771</v>
      </c>
      <c r="C896" s="3" t="str">
        <f t="shared" si="1"/>
        <v>101 </v>
      </c>
      <c r="D896" s="3" t="str">
        <f t="shared" si="2"/>
        <v>country</v>
      </c>
      <c r="E896" s="2" t="s">
        <v>8</v>
      </c>
      <c r="F896" s="3" t="str">
        <f>IFERROR(__xludf.DUMMYFUNCTION("GOOGLETRANSLATE(D896,$D$1,$F$1)"),"Quốc gia")</f>
        <v>Quốc gia</v>
      </c>
      <c r="G896" s="3" t="s">
        <v>1772</v>
      </c>
    </row>
    <row r="897">
      <c r="A897" s="3">
        <v>11.0</v>
      </c>
      <c r="B897" s="3" t="s">
        <v>1773</v>
      </c>
      <c r="C897" s="3" t="str">
        <f t="shared" si="1"/>
        <v>101 </v>
      </c>
      <c r="D897" s="3" t="str">
        <f t="shared" si="2"/>
        <v>horse</v>
      </c>
      <c r="E897" s="2" t="s">
        <v>8</v>
      </c>
      <c r="F897" s="3" t="str">
        <f>IFERROR(__xludf.DUMMYFUNCTION("GOOGLETRANSLATE(D897,$D$1,$F$1)"),"con ngựa")</f>
        <v>con ngựa</v>
      </c>
      <c r="G897" s="3" t="s">
        <v>1774</v>
      </c>
    </row>
    <row r="898">
      <c r="A898" s="3">
        <v>11.0</v>
      </c>
      <c r="B898" s="3" t="s">
        <v>1775</v>
      </c>
      <c r="C898" s="3" t="str">
        <f t="shared" si="1"/>
        <v>101 </v>
      </c>
      <c r="D898" s="3" t="str">
        <f t="shared" si="2"/>
        <v>area</v>
      </c>
      <c r="E898" s="2" t="s">
        <v>8</v>
      </c>
      <c r="F898" s="3" t="str">
        <f>IFERROR(__xludf.DUMMYFUNCTION("GOOGLETRANSLATE(D898,$D$1,$F$1)"),"khu vực")</f>
        <v>khu vực</v>
      </c>
      <c r="G898" s="3" t="s">
        <v>1776</v>
      </c>
    </row>
    <row r="899">
      <c r="A899" s="3">
        <v>11.0</v>
      </c>
      <c r="B899" s="3" t="s">
        <v>1777</v>
      </c>
      <c r="C899" s="3" t="str">
        <f t="shared" si="1"/>
        <v>101 </v>
      </c>
      <c r="D899" s="3" t="str">
        <f t="shared" si="2"/>
        <v>allergic</v>
      </c>
      <c r="E899" s="2" t="s">
        <v>8</v>
      </c>
      <c r="F899" s="3" t="str">
        <f>IFERROR(__xludf.DUMMYFUNCTION("GOOGLETRANSLATE(D899,$D$1,$F$1)"),"dị ứng")</f>
        <v>dị ứng</v>
      </c>
      <c r="G899" s="3" t="s">
        <v>1778</v>
      </c>
    </row>
    <row r="900">
      <c r="A900" s="3">
        <v>11.0</v>
      </c>
      <c r="B900" s="3" t="s">
        <v>1779</v>
      </c>
      <c r="C900" s="3" t="str">
        <f t="shared" si="1"/>
        <v>101 </v>
      </c>
      <c r="D900" s="3" t="str">
        <f t="shared" si="2"/>
        <v>east</v>
      </c>
      <c r="E900" s="2" t="s">
        <v>8</v>
      </c>
      <c r="F900" s="3" t="str">
        <f>IFERROR(__xludf.DUMMYFUNCTION("GOOGLETRANSLATE(D900,$D$1,$F$1)"),"phía đông")</f>
        <v>phía đông</v>
      </c>
      <c r="G900" s="3" t="s">
        <v>1780</v>
      </c>
    </row>
    <row r="901">
      <c r="A901" s="3">
        <v>11.0</v>
      </c>
      <c r="B901" s="3" t="s">
        <v>1781</v>
      </c>
      <c r="C901" s="3" t="str">
        <f t="shared" si="1"/>
        <v>101 </v>
      </c>
      <c r="D901" s="3" t="str">
        <f t="shared" si="2"/>
        <v>Arctic</v>
      </c>
      <c r="E901" s="2" t="s">
        <v>8</v>
      </c>
      <c r="F901" s="3" t="str">
        <f>IFERROR(__xludf.DUMMYFUNCTION("GOOGLETRANSLATE(D901,$D$1,$F$1)"),"phương bắc")</f>
        <v>phương bắc</v>
      </c>
      <c r="G901" s="3" t="s">
        <v>1782</v>
      </c>
    </row>
    <row r="902">
      <c r="A902" s="3">
        <v>11.0</v>
      </c>
      <c r="B902" s="3" t="s">
        <v>1783</v>
      </c>
      <c r="C902" s="3" t="str">
        <f t="shared" si="1"/>
        <v>101 </v>
      </c>
      <c r="D902" s="3" t="str">
        <f t="shared" si="2"/>
        <v>prime minister</v>
      </c>
      <c r="E902" s="2" t="s">
        <v>8</v>
      </c>
      <c r="F902" s="3" t="str">
        <f>IFERROR(__xludf.DUMMYFUNCTION("GOOGLETRANSLATE(D902,$D$1,$F$1)"),"Thủ tướng")</f>
        <v>Thủ tướng</v>
      </c>
      <c r="G902" s="3" t="s">
        <v>1784</v>
      </c>
    </row>
    <row r="903">
      <c r="A903" s="3">
        <v>11.0</v>
      </c>
      <c r="B903" s="3" t="s">
        <v>1785</v>
      </c>
      <c r="C903" s="3" t="str">
        <f t="shared" si="1"/>
        <v>101 </v>
      </c>
      <c r="D903" s="3" t="str">
        <f t="shared" si="2"/>
        <v>queen</v>
      </c>
      <c r="E903" s="2" t="s">
        <v>8</v>
      </c>
      <c r="F903" s="3" t="str">
        <f>IFERROR(__xludf.DUMMYFUNCTION("GOOGLETRANSLATE(D903,$D$1,$F$1)"),"nữ hoàng")</f>
        <v>nữ hoàng</v>
      </c>
      <c r="G903" s="3" t="s">
        <v>1786</v>
      </c>
    </row>
    <row r="904">
      <c r="A904" s="3">
        <v>11.0</v>
      </c>
      <c r="B904" s="3" t="s">
        <v>1787</v>
      </c>
      <c r="C904" s="3" t="str">
        <f t="shared" si="1"/>
        <v>101 </v>
      </c>
      <c r="D904" s="3" t="str">
        <f t="shared" si="2"/>
        <v>Antarctic</v>
      </c>
      <c r="E904" s="2" t="s">
        <v>8</v>
      </c>
      <c r="F904" s="3" t="str">
        <f>IFERROR(__xludf.DUMMYFUNCTION("GOOGLETRANSLATE(D904,$D$1,$F$1)"),"Nam Cực")</f>
        <v>Nam Cực</v>
      </c>
      <c r="G904" s="3" t="s">
        <v>1788</v>
      </c>
    </row>
    <row r="905">
      <c r="A905" s="3">
        <v>11.0</v>
      </c>
      <c r="B905" s="3" t="s">
        <v>1789</v>
      </c>
      <c r="C905" s="3" t="str">
        <f t="shared" si="1"/>
        <v>102 </v>
      </c>
      <c r="D905" s="3" t="str">
        <f t="shared" si="2"/>
        <v>solar system</v>
      </c>
      <c r="E905" s="2" t="s">
        <v>8</v>
      </c>
      <c r="F905" s="3" t="str">
        <f>IFERROR(__xludf.DUMMYFUNCTION("GOOGLETRANSLATE(D905,$D$1,$F$1)"),"hệ mặt trời")</f>
        <v>hệ mặt trời</v>
      </c>
      <c r="G905" s="3" t="s">
        <v>1790</v>
      </c>
    </row>
    <row r="906">
      <c r="A906" s="3">
        <v>11.0</v>
      </c>
      <c r="B906" s="3" t="s">
        <v>1791</v>
      </c>
      <c r="C906" s="3" t="str">
        <f t="shared" si="1"/>
        <v>102 </v>
      </c>
      <c r="D906" s="3" t="str">
        <f t="shared" si="2"/>
        <v>litre</v>
      </c>
      <c r="E906" s="2" t="s">
        <v>8</v>
      </c>
      <c r="F906" s="3" t="str">
        <f>IFERROR(__xludf.DUMMYFUNCTION("GOOGLETRANSLATE(D906,$D$1,$F$1)"),"lít")</f>
        <v>lít</v>
      </c>
      <c r="G906" s="3" t="s">
        <v>1792</v>
      </c>
    </row>
    <row r="907">
      <c r="A907" s="3">
        <v>11.0</v>
      </c>
      <c r="B907" s="3" t="s">
        <v>1793</v>
      </c>
      <c r="C907" s="3" t="str">
        <f t="shared" si="1"/>
        <v>102 </v>
      </c>
      <c r="D907" s="3" t="str">
        <f t="shared" si="2"/>
        <v>Islamic</v>
      </c>
      <c r="E907" s="2" t="s">
        <v>8</v>
      </c>
      <c r="F907" s="3" t="str">
        <f>IFERROR(__xludf.DUMMYFUNCTION("GOOGLETRANSLATE(D907,$D$1,$F$1)"),"Hồi giáo")</f>
        <v>Hồi giáo</v>
      </c>
      <c r="G907" s="3" t="s">
        <v>1794</v>
      </c>
    </row>
    <row r="908">
      <c r="A908" s="3">
        <v>11.0</v>
      </c>
      <c r="B908" s="3" t="s">
        <v>1795</v>
      </c>
      <c r="C908" s="3" t="str">
        <f t="shared" si="1"/>
        <v>102 </v>
      </c>
      <c r="D908" s="3" t="str">
        <f t="shared" si="2"/>
        <v>holy</v>
      </c>
      <c r="E908" s="2" t="s">
        <v>8</v>
      </c>
      <c r="F908" s="3" t="str">
        <f>IFERROR(__xludf.DUMMYFUNCTION("GOOGLETRANSLATE(D908,$D$1,$F$1)"),"thánh")</f>
        <v>thánh</v>
      </c>
      <c r="G908" s="3" t="s">
        <v>1796</v>
      </c>
    </row>
    <row r="909">
      <c r="A909" s="3">
        <v>11.0</v>
      </c>
      <c r="B909" s="3" t="s">
        <v>1797</v>
      </c>
      <c r="C909" s="3" t="str">
        <f t="shared" si="1"/>
        <v>102 </v>
      </c>
      <c r="D909" s="3" t="str">
        <f t="shared" si="2"/>
        <v>win</v>
      </c>
      <c r="E909" s="2" t="s">
        <v>8</v>
      </c>
      <c r="F909" s="3" t="str">
        <f>IFERROR(__xludf.DUMMYFUNCTION("GOOGLETRANSLATE(D909,$D$1,$F$1)"),"thắng lợi")</f>
        <v>thắng lợi</v>
      </c>
      <c r="G909" s="3" t="s">
        <v>1046</v>
      </c>
    </row>
    <row r="910">
      <c r="A910" s="3">
        <v>11.0</v>
      </c>
      <c r="B910" s="3" t="s">
        <v>1798</v>
      </c>
      <c r="C910" s="3" t="str">
        <f t="shared" si="1"/>
        <v>102 </v>
      </c>
      <c r="D910" s="3" t="str">
        <f t="shared" si="2"/>
        <v>world cup</v>
      </c>
      <c r="E910" s="2" t="s">
        <v>8</v>
      </c>
      <c r="F910" s="3" t="str">
        <f>IFERROR(__xludf.DUMMYFUNCTION("GOOGLETRANSLATE(D910,$D$1,$F$1)"),"cúp thế giới")</f>
        <v>cúp thế giới</v>
      </c>
      <c r="G910" s="3" t="s">
        <v>1799</v>
      </c>
    </row>
    <row r="911">
      <c r="A911" s="3">
        <v>11.0</v>
      </c>
      <c r="B911" s="3" t="s">
        <v>1800</v>
      </c>
      <c r="C911" s="3" t="str">
        <f t="shared" si="1"/>
        <v>102 </v>
      </c>
      <c r="D911" s="3" t="str">
        <f t="shared" si="2"/>
        <v>Austria</v>
      </c>
      <c r="E911" s="2" t="s">
        <v>8</v>
      </c>
      <c r="F911" s="3" t="str">
        <f>IFERROR(__xludf.DUMMYFUNCTION("GOOGLETRANSLATE(D911,$D$1,$F$1)"),"Áo")</f>
        <v>Áo</v>
      </c>
      <c r="G911" s="3" t="s">
        <v>1801</v>
      </c>
    </row>
    <row r="912">
      <c r="A912" s="3">
        <v>11.0</v>
      </c>
      <c r="B912" s="3" t="s">
        <v>1802</v>
      </c>
      <c r="C912" s="3" t="str">
        <f t="shared" si="1"/>
        <v>102 </v>
      </c>
      <c r="D912" s="3" t="str">
        <f t="shared" si="2"/>
        <v>Czech Republic</v>
      </c>
      <c r="E912" s="2" t="s">
        <v>8</v>
      </c>
      <c r="F912" s="3" t="str">
        <f>IFERROR(__xludf.DUMMYFUNCTION("GOOGLETRANSLATE(D912,$D$1,$F$1)"),"Cộng hòa Séc")</f>
        <v>Cộng hòa Séc</v>
      </c>
      <c r="G912" s="3" t="s">
        <v>1803</v>
      </c>
    </row>
    <row r="913">
      <c r="A913" s="3">
        <v>11.0</v>
      </c>
      <c r="B913" s="3" t="s">
        <v>1804</v>
      </c>
      <c r="C913" s="3" t="str">
        <f t="shared" si="1"/>
        <v>102 </v>
      </c>
      <c r="D913" s="3" t="str">
        <f t="shared" si="2"/>
        <v>official</v>
      </c>
      <c r="E913" s="2" t="s">
        <v>8</v>
      </c>
      <c r="F913" s="3" t="str">
        <f>IFERROR(__xludf.DUMMYFUNCTION("GOOGLETRANSLATE(D913,$D$1,$F$1)"),"chính thức")</f>
        <v>chính thức</v>
      </c>
      <c r="G913" s="3" t="s">
        <v>1805</v>
      </c>
    </row>
    <row r="914">
      <c r="A914" s="3">
        <v>11.0</v>
      </c>
      <c r="B914" s="3" t="s">
        <v>1806</v>
      </c>
      <c r="C914" s="3" t="str">
        <f t="shared" si="1"/>
        <v>102 </v>
      </c>
      <c r="D914" s="3" t="str">
        <f t="shared" si="2"/>
        <v>literature</v>
      </c>
      <c r="E914" s="2" t="s">
        <v>8</v>
      </c>
      <c r="F914" s="3" t="str">
        <f>IFERROR(__xludf.DUMMYFUNCTION("GOOGLETRANSLATE(D914,$D$1,$F$1)"),"văn chương")</f>
        <v>văn chương</v>
      </c>
      <c r="G914" s="3" t="s">
        <v>1807</v>
      </c>
    </row>
    <row r="915">
      <c r="A915" s="3">
        <v>11.0</v>
      </c>
      <c r="B915" s="3" t="s">
        <v>1808</v>
      </c>
      <c r="C915" s="3" t="str">
        <f t="shared" si="1"/>
        <v>102 </v>
      </c>
      <c r="D915" s="3" t="str">
        <f t="shared" si="2"/>
        <v>European cup</v>
      </c>
      <c r="E915" s="2" t="s">
        <v>8</v>
      </c>
      <c r="F915" s="3" t="str">
        <f>IFERROR(__xludf.DUMMYFUNCTION("GOOGLETRANSLATE(D915,$D$1,$F$1)"),"tại cúp châu Âu")</f>
        <v>tại cúp châu Âu</v>
      </c>
      <c r="G915" s="3" t="s">
        <v>1809</v>
      </c>
    </row>
    <row r="916">
      <c r="A916" s="3">
        <v>11.0</v>
      </c>
      <c r="B916" s="3" t="s">
        <v>1810</v>
      </c>
      <c r="C916" s="3" t="str">
        <f t="shared" si="1"/>
        <v>102 </v>
      </c>
      <c r="D916" s="3" t="str">
        <f t="shared" si="2"/>
        <v>definitely</v>
      </c>
      <c r="E916" s="2" t="s">
        <v>8</v>
      </c>
      <c r="F916" s="3" t="str">
        <f>IFERROR(__xludf.DUMMYFUNCTION("GOOGLETRANSLATE(D916,$D$1,$F$1)"),"chắc chắn")</f>
        <v>chắc chắn</v>
      </c>
      <c r="G916" s="3" t="s">
        <v>1811</v>
      </c>
    </row>
    <row r="917">
      <c r="A917" s="3">
        <v>11.0</v>
      </c>
      <c r="B917" s="3" t="s">
        <v>1812</v>
      </c>
      <c r="C917" s="3" t="str">
        <f t="shared" si="1"/>
        <v>102 </v>
      </c>
      <c r="D917" s="3" t="str">
        <f t="shared" si="2"/>
        <v>I´ve got no idea</v>
      </c>
      <c r="E917" s="2" t="s">
        <v>8</v>
      </c>
      <c r="F917" s="3" t="str">
        <f>IFERROR(__xludf.DUMMYFUNCTION("GOOGLETRANSLATE(D917,$D$1,$F$1)"),"Tôi không có ý kiến")</f>
        <v>Tôi không có ý kiến</v>
      </c>
    </row>
    <row r="918">
      <c r="A918" s="3">
        <v>11.0</v>
      </c>
      <c r="B918" s="3" t="s">
        <v>1813</v>
      </c>
      <c r="C918" s="3" t="str">
        <f t="shared" si="1"/>
        <v>103 </v>
      </c>
      <c r="D918" s="3" t="str">
        <f t="shared" si="2"/>
        <v>potato</v>
      </c>
      <c r="E918" s="2" t="s">
        <v>8</v>
      </c>
      <c r="F918" s="3" t="str">
        <f>IFERROR(__xludf.DUMMYFUNCTION("GOOGLETRANSLATE(D918,$D$1,$F$1)"),"khoai tây")</f>
        <v>khoai tây</v>
      </c>
      <c r="G918" s="3" t="s">
        <v>1814</v>
      </c>
    </row>
    <row r="919">
      <c r="A919" s="3">
        <v>11.0</v>
      </c>
      <c r="B919" s="3" t="s">
        <v>1815</v>
      </c>
      <c r="C919" s="3" t="str">
        <f t="shared" si="1"/>
        <v>103 </v>
      </c>
      <c r="D919" s="3" t="str">
        <f t="shared" si="2"/>
        <v>eye</v>
      </c>
      <c r="E919" s="2" t="s">
        <v>8</v>
      </c>
      <c r="F919" s="3" t="str">
        <f>IFERROR(__xludf.DUMMYFUNCTION("GOOGLETRANSLATE(D919,$D$1,$F$1)"),"con mắt")</f>
        <v>con mắt</v>
      </c>
      <c r="G919" s="3" t="s">
        <v>1816</v>
      </c>
    </row>
    <row r="920">
      <c r="A920" s="3">
        <v>11.0</v>
      </c>
      <c r="B920" s="3" t="s">
        <v>1817</v>
      </c>
      <c r="C920" s="3" t="str">
        <f t="shared" si="1"/>
        <v>103 </v>
      </c>
      <c r="D920" s="3" t="str">
        <f t="shared" si="2"/>
        <v>bean</v>
      </c>
      <c r="E920" s="2" t="s">
        <v>8</v>
      </c>
      <c r="F920" s="3" t="str">
        <f>IFERROR(__xludf.DUMMYFUNCTION("GOOGLETRANSLATE(D920,$D$1,$F$1)"),"hạt đậu")</f>
        <v>hạt đậu</v>
      </c>
      <c r="G920" s="3" t="s">
        <v>1818</v>
      </c>
    </row>
    <row r="921">
      <c r="A921" s="3">
        <v>11.0</v>
      </c>
      <c r="B921" s="3" t="s">
        <v>1819</v>
      </c>
      <c r="C921" s="3" t="str">
        <f t="shared" si="1"/>
        <v>103 </v>
      </c>
      <c r="D921" s="3" t="str">
        <f t="shared" si="2"/>
        <v>mouth</v>
      </c>
      <c r="E921" s="2" t="s">
        <v>8</v>
      </c>
      <c r="F921" s="3" t="str">
        <f>IFERROR(__xludf.DUMMYFUNCTION("GOOGLETRANSLATE(D921,$D$1,$F$1)"),"mồm")</f>
        <v>mồm</v>
      </c>
      <c r="G921" s="3" t="s">
        <v>1820</v>
      </c>
    </row>
    <row r="922">
      <c r="A922" s="3">
        <v>11.0</v>
      </c>
      <c r="B922" s="3" t="s">
        <v>1821</v>
      </c>
      <c r="C922" s="3" t="str">
        <f t="shared" si="1"/>
        <v>103 </v>
      </c>
      <c r="D922" s="3" t="str">
        <f t="shared" si="2"/>
        <v>mushroom</v>
      </c>
      <c r="E922" s="2" t="s">
        <v>8</v>
      </c>
      <c r="F922" s="3" t="str">
        <f>IFERROR(__xludf.DUMMYFUNCTION("GOOGLETRANSLATE(D922,$D$1,$F$1)"),"nấm")</f>
        <v>nấm</v>
      </c>
      <c r="G922" s="3" t="s">
        <v>1822</v>
      </c>
    </row>
    <row r="923">
      <c r="A923" s="3">
        <v>11.0</v>
      </c>
      <c r="B923" s="3" t="s">
        <v>1823</v>
      </c>
      <c r="C923" s="3" t="str">
        <f t="shared" si="1"/>
        <v>103 </v>
      </c>
      <c r="D923" s="3" t="str">
        <f t="shared" si="2"/>
        <v>cheetah</v>
      </c>
      <c r="E923" s="2" t="s">
        <v>8</v>
      </c>
      <c r="F923" s="3" t="str">
        <f>IFERROR(__xludf.DUMMYFUNCTION("GOOGLETRANSLATE(D923,$D$1,$F$1)"),"con báo")</f>
        <v>con báo</v>
      </c>
      <c r="G923" s="3" t="s">
        <v>1824</v>
      </c>
    </row>
    <row r="924">
      <c r="A924" s="3">
        <v>11.0</v>
      </c>
      <c r="B924" s="3" t="s">
        <v>1825</v>
      </c>
      <c r="C924" s="3" t="str">
        <f t="shared" si="1"/>
        <v>103 </v>
      </c>
      <c r="D924" s="3" t="str">
        <f t="shared" si="2"/>
        <v>relaxed</v>
      </c>
      <c r="E924" s="2" t="s">
        <v>8</v>
      </c>
      <c r="F924" s="3" t="str">
        <f>IFERROR(__xludf.DUMMYFUNCTION("GOOGLETRANSLATE(D924,$D$1,$F$1)"),"nới lỏng")</f>
        <v>nới lỏng</v>
      </c>
      <c r="G924" s="3" t="s">
        <v>1826</v>
      </c>
    </row>
    <row r="925">
      <c r="A925" s="3">
        <v>12.0</v>
      </c>
      <c r="B925" s="3" t="s">
        <v>1827</v>
      </c>
      <c r="C925" s="3" t="str">
        <f t="shared" si="1"/>
        <v>104 </v>
      </c>
      <c r="D925" s="3" t="str">
        <f t="shared" si="2"/>
        <v>future intensions</v>
      </c>
      <c r="E925" s="2" t="s">
        <v>8</v>
      </c>
      <c r="F925" s="3" t="str">
        <f>IFERROR(__xludf.DUMMYFUNCTION("GOOGLETRANSLATE(D925,$D$1,$F$1)"),"intensions tương lai")</f>
        <v>intensions tương lai</v>
      </c>
      <c r="G925" s="3" t="s">
        <v>1828</v>
      </c>
    </row>
    <row r="926">
      <c r="A926" s="3">
        <v>12.0</v>
      </c>
      <c r="B926" s="3" t="s">
        <v>1829</v>
      </c>
      <c r="C926" s="3" t="str">
        <f t="shared" si="1"/>
        <v>104 </v>
      </c>
      <c r="D926" s="3" t="str">
        <f t="shared" si="2"/>
        <v>going to</v>
      </c>
      <c r="E926" s="2" t="s">
        <v>8</v>
      </c>
      <c r="F926" s="3" t="str">
        <f>IFERROR(__xludf.DUMMYFUNCTION("GOOGLETRANSLATE(D926,$D$1,$F$1)"),"sẽ")</f>
        <v>sẽ</v>
      </c>
      <c r="G926" s="3" t="s">
        <v>1830</v>
      </c>
    </row>
    <row r="927">
      <c r="A927" s="3">
        <v>12.0</v>
      </c>
      <c r="B927" s="3" t="s">
        <v>1831</v>
      </c>
      <c r="C927" s="3" t="str">
        <f t="shared" si="1"/>
        <v>104 </v>
      </c>
      <c r="D927" s="3" t="str">
        <f t="shared" si="2"/>
        <v>dance</v>
      </c>
      <c r="E927" s="2" t="s">
        <v>8</v>
      </c>
      <c r="F927" s="3" t="str">
        <f>IFERROR(__xludf.DUMMYFUNCTION("GOOGLETRANSLATE(D927,$D$1,$F$1)"),"nhảy")</f>
        <v>nhảy</v>
      </c>
      <c r="G927" s="3" t="s">
        <v>1832</v>
      </c>
    </row>
    <row r="928">
      <c r="A928" s="3">
        <v>12.0</v>
      </c>
      <c r="B928" s="3" t="s">
        <v>1833</v>
      </c>
      <c r="C928" s="3" t="str">
        <f t="shared" si="1"/>
        <v>104 </v>
      </c>
      <c r="D928" s="3" t="str">
        <f t="shared" si="2"/>
        <v>barbecue</v>
      </c>
      <c r="E928" s="2" t="s">
        <v>8</v>
      </c>
      <c r="F928" s="3" t="str">
        <f>IFERROR(__xludf.DUMMYFUNCTION("GOOGLETRANSLATE(D928,$D$1,$F$1)"),"tiệc nướng ngoài trời")</f>
        <v>tiệc nướng ngoài trời</v>
      </c>
      <c r="G928" s="3" t="s">
        <v>1834</v>
      </c>
    </row>
    <row r="929">
      <c r="A929" s="3">
        <v>12.0</v>
      </c>
      <c r="B929" s="3" t="s">
        <v>1835</v>
      </c>
      <c r="C929" s="3" t="str">
        <f t="shared" si="1"/>
        <v>104 </v>
      </c>
      <c r="D929" s="3" t="str">
        <f t="shared" si="2"/>
        <v>go for a walk</v>
      </c>
      <c r="E929" s="2" t="s">
        <v>8</v>
      </c>
      <c r="F929" s="3" t="str">
        <f>IFERROR(__xludf.DUMMYFUNCTION("GOOGLETRANSLATE(D929,$D$1,$F$1)"),"đi dạo")</f>
        <v>đi dạo</v>
      </c>
      <c r="G929" s="3" t="s">
        <v>1836</v>
      </c>
    </row>
    <row r="930">
      <c r="A930" s="3">
        <v>12.0</v>
      </c>
      <c r="B930" s="3" t="s">
        <v>1837</v>
      </c>
      <c r="C930" s="3" t="str">
        <f t="shared" si="1"/>
        <v>104 </v>
      </c>
      <c r="D930" s="3" t="str">
        <f t="shared" si="2"/>
        <v>digital</v>
      </c>
      <c r="E930" s="2" t="s">
        <v>8</v>
      </c>
      <c r="F930" s="3" t="str">
        <f>IFERROR(__xludf.DUMMYFUNCTION("GOOGLETRANSLATE(D930,$D$1,$F$1)"),"kỹ thuật số")</f>
        <v>kỹ thuật số</v>
      </c>
      <c r="G930" s="3" t="s">
        <v>1838</v>
      </c>
    </row>
    <row r="931">
      <c r="A931" s="3">
        <v>12.0</v>
      </c>
      <c r="B931" s="3" t="s">
        <v>1839</v>
      </c>
      <c r="C931" s="3" t="str">
        <f t="shared" si="1"/>
        <v>104 </v>
      </c>
      <c r="D931" s="3" t="str">
        <f t="shared" si="2"/>
        <v>nothing special</v>
      </c>
      <c r="E931" s="2" t="s">
        <v>8</v>
      </c>
      <c r="F931" s="3" t="str">
        <f>IFERROR(__xludf.DUMMYFUNCTION("GOOGLETRANSLATE(D931,$D$1,$F$1)"),"không có gì đặc biệt")</f>
        <v>không có gì đặc biệt</v>
      </c>
      <c r="G931" s="3" t="s">
        <v>1840</v>
      </c>
    </row>
    <row r="932">
      <c r="A932" s="3">
        <v>12.0</v>
      </c>
      <c r="B932" s="3" t="s">
        <v>1841</v>
      </c>
      <c r="C932" s="3" t="str">
        <f t="shared" si="1"/>
        <v>105 </v>
      </c>
      <c r="D932" s="3" t="str">
        <f t="shared" si="2"/>
        <v>straight</v>
      </c>
      <c r="E932" s="2" t="s">
        <v>8</v>
      </c>
      <c r="F932" s="3" t="str">
        <f>IFERROR(__xludf.DUMMYFUNCTION("GOOGLETRANSLATE(D932,$D$1,$F$1)"),"thẳng")</f>
        <v>thẳng</v>
      </c>
      <c r="G932" s="3" t="s">
        <v>1842</v>
      </c>
    </row>
    <row r="933">
      <c r="A933" s="3">
        <v>12.0</v>
      </c>
      <c r="B933" s="3" t="s">
        <v>1843</v>
      </c>
      <c r="C933" s="3" t="str">
        <f t="shared" si="1"/>
        <v>105 </v>
      </c>
      <c r="D933" s="3" t="str">
        <f t="shared" si="2"/>
        <v>anywhere</v>
      </c>
      <c r="E933" s="2" t="s">
        <v>8</v>
      </c>
      <c r="F933" s="3" t="str">
        <f>IFERROR(__xludf.DUMMYFUNCTION("GOOGLETRANSLATE(D933,$D$1,$F$1)"),"nơi nào")</f>
        <v>nơi nào</v>
      </c>
      <c r="G933" s="3" t="s">
        <v>1844</v>
      </c>
    </row>
    <row r="934">
      <c r="A934" s="3">
        <v>12.0</v>
      </c>
      <c r="B934" s="3" t="s">
        <v>1845</v>
      </c>
      <c r="C934" s="3" t="str">
        <f t="shared" si="1"/>
        <v>106 </v>
      </c>
      <c r="D934" s="3" t="str">
        <f t="shared" si="2"/>
        <v>stay in</v>
      </c>
      <c r="E934" s="2" t="s">
        <v>8</v>
      </c>
      <c r="F934" s="3" t="str">
        <f>IFERROR(__xludf.DUMMYFUNCTION("GOOGLETRANSLATE(D934,$D$1,$F$1)"),"ở lại")</f>
        <v>ở lại</v>
      </c>
      <c r="G934" s="3" t="s">
        <v>1846</v>
      </c>
    </row>
    <row r="935">
      <c r="A935" s="3">
        <v>12.0</v>
      </c>
      <c r="B935" s="3" t="s">
        <v>1847</v>
      </c>
      <c r="C935" s="3" t="str">
        <f t="shared" si="1"/>
        <v>106 </v>
      </c>
      <c r="D935" s="3" t="str">
        <f t="shared" si="2"/>
        <v>rest</v>
      </c>
      <c r="E935" s="2" t="s">
        <v>8</v>
      </c>
      <c r="F935" s="3" t="str">
        <f>IFERROR(__xludf.DUMMYFUNCTION("GOOGLETRANSLATE(D935,$D$1,$F$1)"),"nghỉ ngơi")</f>
        <v>nghỉ ngơi</v>
      </c>
      <c r="G935" s="3" t="s">
        <v>1848</v>
      </c>
    </row>
    <row r="936">
      <c r="A936" s="3">
        <v>12.0</v>
      </c>
      <c r="B936" s="3" t="s">
        <v>1849</v>
      </c>
      <c r="C936" s="3" t="str">
        <f t="shared" si="1"/>
        <v>106 </v>
      </c>
      <c r="D936" s="3" t="str">
        <f t="shared" si="2"/>
        <v>exercise</v>
      </c>
      <c r="E936" s="2" t="s">
        <v>8</v>
      </c>
      <c r="F936" s="3" t="str">
        <f>IFERROR(__xludf.DUMMYFUNCTION("GOOGLETRANSLATE(D936,$D$1,$F$1)"),"tập thể dục")</f>
        <v>tập thể dục</v>
      </c>
      <c r="G936" s="3" t="s">
        <v>1850</v>
      </c>
    </row>
    <row r="937">
      <c r="A937" s="3">
        <v>12.0</v>
      </c>
      <c r="B937" s="3" t="s">
        <v>1851</v>
      </c>
      <c r="C937" s="3" t="str">
        <f t="shared" si="1"/>
        <v>106 </v>
      </c>
      <c r="D937" s="3" t="str">
        <f t="shared" si="2"/>
        <v>social life</v>
      </c>
      <c r="E937" s="2" t="s">
        <v>8</v>
      </c>
      <c r="F937" s="3" t="str">
        <f>IFERROR(__xludf.DUMMYFUNCTION("GOOGLETRANSLATE(D937,$D$1,$F$1)"),"Đời sống xã hội")</f>
        <v>Đời sống xã hội</v>
      </c>
      <c r="G937" s="3" t="s">
        <v>1852</v>
      </c>
    </row>
    <row r="938">
      <c r="A938" s="3">
        <v>12.0</v>
      </c>
      <c r="B938" s="3" t="s">
        <v>1853</v>
      </c>
      <c r="C938" s="3" t="str">
        <f t="shared" si="1"/>
        <v>106 </v>
      </c>
      <c r="D938" s="3" t="str">
        <f t="shared" si="2"/>
        <v>exhibition</v>
      </c>
      <c r="E938" s="2" t="s">
        <v>8</v>
      </c>
      <c r="F938" s="3" t="str">
        <f>IFERROR(__xludf.DUMMYFUNCTION("GOOGLETRANSLATE(D938,$D$1,$F$1)"),"buổi triển lãm")</f>
        <v>buổi triển lãm</v>
      </c>
      <c r="G938" s="3" t="s">
        <v>1854</v>
      </c>
    </row>
    <row r="939">
      <c r="A939" s="3">
        <v>12.0</v>
      </c>
      <c r="B939" s="3" t="s">
        <v>1855</v>
      </c>
      <c r="C939" s="3" t="str">
        <f t="shared" si="1"/>
        <v>107 </v>
      </c>
      <c r="D939" s="3" t="str">
        <f t="shared" si="2"/>
        <v>book</v>
      </c>
      <c r="E939" s="2" t="s">
        <v>8</v>
      </c>
      <c r="F939" s="3" t="str">
        <f>IFERROR(__xludf.DUMMYFUNCTION("GOOGLETRANSLATE(D939,$D$1,$F$1)"),"sách")</f>
        <v>sách</v>
      </c>
      <c r="G939" s="3" t="s">
        <v>1856</v>
      </c>
    </row>
    <row r="940">
      <c r="A940" s="3">
        <v>12.0</v>
      </c>
      <c r="B940" s="3" t="s">
        <v>1857</v>
      </c>
      <c r="C940" s="3" t="str">
        <f t="shared" si="1"/>
        <v>107 </v>
      </c>
      <c r="D940" s="3" t="str">
        <f t="shared" si="2"/>
        <v>shall</v>
      </c>
      <c r="E940" s="2" t="s">
        <v>8</v>
      </c>
      <c r="F940" s="3" t="str">
        <f>IFERROR(__xludf.DUMMYFUNCTION("GOOGLETRANSLATE(D940,$D$1,$F$1)"),"phải")</f>
        <v>phải</v>
      </c>
      <c r="G940" s="3" t="s">
        <v>1858</v>
      </c>
    </row>
    <row r="941">
      <c r="A941" s="3">
        <v>12.0</v>
      </c>
      <c r="B941" s="3" t="s">
        <v>1859</v>
      </c>
      <c r="C941" s="3" t="str">
        <f t="shared" si="1"/>
        <v>107 </v>
      </c>
      <c r="D941" s="3" t="str">
        <f t="shared" si="2"/>
        <v>a night in</v>
      </c>
      <c r="E941" s="2" t="s">
        <v>8</v>
      </c>
      <c r="F941" s="3" t="str">
        <f>IFERROR(__xludf.DUMMYFUNCTION("GOOGLETRANSLATE(D941,$D$1,$F$1)"),"một đêm trong")</f>
        <v>một đêm trong</v>
      </c>
      <c r="G941" s="3" t="s">
        <v>1860</v>
      </c>
    </row>
    <row r="942">
      <c r="A942" s="3">
        <v>12.0</v>
      </c>
      <c r="B942" s="3" t="s">
        <v>1861</v>
      </c>
      <c r="C942" s="3" t="str">
        <f t="shared" si="1"/>
        <v>107 </v>
      </c>
      <c r="D942" s="3" t="str">
        <f t="shared" si="2"/>
        <v>somewhere else</v>
      </c>
      <c r="E942" s="2" t="s">
        <v>8</v>
      </c>
      <c r="F942" s="3" t="str">
        <f>IFERROR(__xludf.DUMMYFUNCTION("GOOGLETRANSLATE(D942,$D$1,$F$1)"),"ở một nơi khác")</f>
        <v>ở một nơi khác</v>
      </c>
      <c r="G942" s="3" t="s">
        <v>1862</v>
      </c>
    </row>
    <row r="943">
      <c r="A943" s="3">
        <v>12.0</v>
      </c>
      <c r="B943" s="3" t="s">
        <v>1863</v>
      </c>
      <c r="C943" s="3" t="str">
        <f t="shared" si="1"/>
        <v>107 </v>
      </c>
      <c r="D943" s="3" t="str">
        <f t="shared" si="2"/>
        <v>suggestion</v>
      </c>
      <c r="E943" s="2" t="s">
        <v>8</v>
      </c>
      <c r="F943" s="3" t="str">
        <f>IFERROR(__xludf.DUMMYFUNCTION("GOOGLETRANSLATE(D943,$D$1,$F$1)"),"gợi ý")</f>
        <v>gợi ý</v>
      </c>
      <c r="G943" s="3" t="s">
        <v>1864</v>
      </c>
    </row>
    <row r="944">
      <c r="A944" s="3">
        <v>12.0</v>
      </c>
      <c r="B944" s="3" t="s">
        <v>1865</v>
      </c>
      <c r="C944" s="3" t="str">
        <f t="shared" si="1"/>
        <v>107 </v>
      </c>
      <c r="D944" s="3" t="str">
        <f t="shared" si="2"/>
        <v>offer</v>
      </c>
      <c r="E944" s="2" t="s">
        <v>8</v>
      </c>
      <c r="F944" s="3" t="str">
        <f>IFERROR(__xludf.DUMMYFUNCTION("GOOGLETRANSLATE(D944,$D$1,$F$1)"),"phục vụ")</f>
        <v>phục vụ</v>
      </c>
      <c r="G944" s="3" t="s">
        <v>1866</v>
      </c>
    </row>
    <row r="945">
      <c r="A945" s="3">
        <v>12.0</v>
      </c>
      <c r="B945" s="3" t="s">
        <v>1867</v>
      </c>
      <c r="C945" s="3" t="str">
        <f t="shared" si="1"/>
        <v>107 </v>
      </c>
      <c r="D945" s="3" t="str">
        <f t="shared" si="2"/>
        <v>arrange</v>
      </c>
      <c r="E945" s="2" t="s">
        <v>8</v>
      </c>
      <c r="F945" s="3" t="str">
        <f>IFERROR(__xludf.DUMMYFUNCTION("GOOGLETRANSLATE(D945,$D$1,$F$1)"),"sắp xếp")</f>
        <v>sắp xếp</v>
      </c>
      <c r="G945" s="3" t="s">
        <v>1868</v>
      </c>
    </row>
    <row r="946">
      <c r="A946" s="3">
        <v>12.0</v>
      </c>
      <c r="B946" s="3" t="s">
        <v>1869</v>
      </c>
      <c r="C946" s="3" t="str">
        <f t="shared" si="1"/>
        <v>108 </v>
      </c>
      <c r="D946" s="3" t="str">
        <f t="shared" si="2"/>
        <v>magnificent</v>
      </c>
      <c r="E946" s="2" t="s">
        <v>8</v>
      </c>
      <c r="F946" s="3" t="str">
        <f>IFERROR(__xludf.DUMMYFUNCTION("GOOGLETRANSLATE(D946,$D$1,$F$1)"),"tráng lệ")</f>
        <v>tráng lệ</v>
      </c>
      <c r="G946" s="3" t="s">
        <v>1870</v>
      </c>
    </row>
    <row r="947">
      <c r="A947" s="3">
        <v>12.0</v>
      </c>
      <c r="B947" s="3" t="s">
        <v>1871</v>
      </c>
      <c r="C947" s="3" t="str">
        <f t="shared" si="1"/>
        <v>108 </v>
      </c>
      <c r="D947" s="3" t="str">
        <f t="shared" si="2"/>
        <v>cathedral</v>
      </c>
      <c r="E947" s="2" t="s">
        <v>8</v>
      </c>
      <c r="F947" s="3" t="str">
        <f>IFERROR(__xludf.DUMMYFUNCTION("GOOGLETRANSLATE(D947,$D$1,$F$1)"),"thánh đường")</f>
        <v>thánh đường</v>
      </c>
      <c r="G947" s="3" t="s">
        <v>1872</v>
      </c>
    </row>
    <row r="948">
      <c r="A948" s="3">
        <v>12.0</v>
      </c>
      <c r="B948" s="3" t="s">
        <v>1873</v>
      </c>
      <c r="C948" s="3" t="str">
        <f t="shared" si="1"/>
        <v>108 </v>
      </c>
      <c r="D948" s="3" t="str">
        <f t="shared" si="2"/>
        <v>view</v>
      </c>
      <c r="E948" s="2" t="s">
        <v>8</v>
      </c>
      <c r="F948" s="3" t="str">
        <f>IFERROR(__xludf.DUMMYFUNCTION("GOOGLETRANSLATE(D948,$D$1,$F$1)"),"lượt xem")</f>
        <v>lượt xem</v>
      </c>
      <c r="G948" s="3" t="s">
        <v>1874</v>
      </c>
    </row>
    <row r="949">
      <c r="A949" s="3">
        <v>12.0</v>
      </c>
      <c r="B949" s="3" t="s">
        <v>1875</v>
      </c>
      <c r="C949" s="3" t="str">
        <f t="shared" si="1"/>
        <v>108 </v>
      </c>
      <c r="D949" s="3" t="str">
        <f t="shared" si="2"/>
        <v>cliff</v>
      </c>
      <c r="E949" s="2" t="s">
        <v>8</v>
      </c>
      <c r="F949" s="3" t="str">
        <f>IFERROR(__xludf.DUMMYFUNCTION("GOOGLETRANSLATE(D949,$D$1,$F$1)"),"cheo leo")</f>
        <v>cheo leo</v>
      </c>
      <c r="G949" s="3" t="s">
        <v>1876</v>
      </c>
    </row>
    <row r="950">
      <c r="A950" s="3">
        <v>12.0</v>
      </c>
      <c r="B950" s="3" t="s">
        <v>1877</v>
      </c>
      <c r="C950" s="3" t="str">
        <f t="shared" si="1"/>
        <v>108 </v>
      </c>
      <c r="D950" s="3" t="str">
        <f t="shared" si="2"/>
        <v>island</v>
      </c>
      <c r="E950" s="2" t="s">
        <v>8</v>
      </c>
      <c r="F950" s="3" t="str">
        <f>IFERROR(__xludf.DUMMYFUNCTION("GOOGLETRANSLATE(D950,$D$1,$F$1)"),"Đảo")</f>
        <v>Đảo</v>
      </c>
      <c r="G950" s="3" t="s">
        <v>1878</v>
      </c>
    </row>
    <row r="951">
      <c r="A951" s="3">
        <v>12.0</v>
      </c>
      <c r="B951" s="3" t="s">
        <v>1879</v>
      </c>
      <c r="C951" s="3" t="str">
        <f t="shared" si="1"/>
        <v>108 </v>
      </c>
      <c r="D951" s="3" t="str">
        <f t="shared" si="2"/>
        <v>sailing</v>
      </c>
      <c r="E951" s="2" t="s">
        <v>8</v>
      </c>
      <c r="F951" s="3" t="str">
        <f>IFERROR(__xludf.DUMMYFUNCTION("GOOGLETRANSLATE(D951,$D$1,$F$1)"),"thuyền buồm")</f>
        <v>thuyền buồm</v>
      </c>
      <c r="G951" s="3" t="s">
        <v>1880</v>
      </c>
    </row>
    <row r="952">
      <c r="A952" s="3">
        <v>12.0</v>
      </c>
      <c r="B952" s="3" t="s">
        <v>1881</v>
      </c>
      <c r="C952" s="3" t="str">
        <f t="shared" si="1"/>
        <v>108 </v>
      </c>
      <c r="D952" s="3" t="str">
        <f t="shared" si="2"/>
        <v>B&amp;Bs</v>
      </c>
      <c r="E952" s="2" t="s">
        <v>8</v>
      </c>
      <c r="F952" s="3" t="str">
        <f>IFERROR(__xludf.DUMMYFUNCTION("GOOGLETRANSLATE(D952,$D$1,$F$1)"),"B &amp; Bs")</f>
        <v>B &amp; Bs</v>
      </c>
      <c r="G952" s="3" t="s">
        <v>1882</v>
      </c>
    </row>
    <row r="953">
      <c r="A953" s="3">
        <v>12.0</v>
      </c>
      <c r="B953" s="3" t="s">
        <v>1883</v>
      </c>
      <c r="C953" s="3" t="str">
        <f t="shared" si="1"/>
        <v>108 </v>
      </c>
      <c r="D953" s="3" t="str">
        <f t="shared" si="2"/>
        <v>golf course</v>
      </c>
      <c r="E953" s="2" t="s">
        <v>8</v>
      </c>
      <c r="F953" s="3" t="str">
        <f>IFERROR(__xludf.DUMMYFUNCTION("GOOGLETRANSLATE(D953,$D$1,$F$1)"),"sân golf")</f>
        <v>sân golf</v>
      </c>
      <c r="G953" s="3" t="s">
        <v>1884</v>
      </c>
    </row>
    <row r="954">
      <c r="A954" s="3">
        <v>12.0</v>
      </c>
      <c r="B954" s="3" t="s">
        <v>1885</v>
      </c>
      <c r="C954" s="3" t="str">
        <f t="shared" si="1"/>
        <v>109 </v>
      </c>
      <c r="D954" s="3" t="str">
        <f t="shared" si="2"/>
        <v>square kilometre</v>
      </c>
      <c r="E954" s="2" t="s">
        <v>8</v>
      </c>
      <c r="F954" s="3" t="str">
        <f>IFERROR(__xludf.DUMMYFUNCTION("GOOGLETRANSLATE(D954,$D$1,$F$1)"),"kilomet vuông")</f>
        <v>kilomet vuông</v>
      </c>
      <c r="G954" s="3" t="s">
        <v>1886</v>
      </c>
    </row>
    <row r="955">
      <c r="A955" s="3">
        <v>12.0</v>
      </c>
      <c r="B955" s="3" t="s">
        <v>1887</v>
      </c>
      <c r="C955" s="3" t="str">
        <f t="shared" si="1"/>
        <v>109 </v>
      </c>
      <c r="D955" s="3" t="str">
        <f t="shared" si="2"/>
        <v>farmland</v>
      </c>
      <c r="E955" s="2" t="s">
        <v>8</v>
      </c>
      <c r="F955" s="3" t="str">
        <f>IFERROR(__xludf.DUMMYFUNCTION("GOOGLETRANSLATE(D955,$D$1,$F$1)"),"đất nông nghiệp")</f>
        <v>đất nông nghiệp</v>
      </c>
      <c r="G955" s="3" t="s">
        <v>1888</v>
      </c>
    </row>
    <row r="956">
      <c r="A956" s="3">
        <v>12.0</v>
      </c>
      <c r="B956" s="3" t="s">
        <v>1889</v>
      </c>
      <c r="C956" s="3" t="str">
        <f t="shared" si="1"/>
        <v>109 </v>
      </c>
      <c r="D956" s="3" t="str">
        <f t="shared" si="2"/>
        <v>path</v>
      </c>
      <c r="E956" s="2" t="s">
        <v>8</v>
      </c>
      <c r="F956" s="3" t="str">
        <f>IFERROR(__xludf.DUMMYFUNCTION("GOOGLETRANSLATE(D956,$D$1,$F$1)"),"con đường")</f>
        <v>con đường</v>
      </c>
      <c r="G956" s="3" t="s">
        <v>1890</v>
      </c>
    </row>
    <row r="957">
      <c r="A957" s="3">
        <v>12.0</v>
      </c>
      <c r="B957" s="3" t="s">
        <v>1891</v>
      </c>
      <c r="C957" s="3" t="str">
        <f t="shared" si="1"/>
        <v>109 </v>
      </c>
      <c r="D957" s="3" t="str">
        <f t="shared" si="2"/>
        <v>paragliding</v>
      </c>
      <c r="E957" s="2" t="s">
        <v>8</v>
      </c>
      <c r="F957" s="3" t="str">
        <f>IFERROR(__xludf.DUMMYFUNCTION("GOOGLETRANSLATE(D957,$D$1,$F$1)"),"dù lượn")</f>
        <v>dù lượn</v>
      </c>
      <c r="G957" s="3" t="s">
        <v>1892</v>
      </c>
    </row>
    <row r="958">
      <c r="A958" s="3">
        <v>12.0</v>
      </c>
      <c r="B958" s="3" t="s">
        <v>1893</v>
      </c>
      <c r="C958" s="3" t="str">
        <f t="shared" si="1"/>
        <v>109 </v>
      </c>
      <c r="D958" s="3" t="str">
        <f t="shared" si="2"/>
        <v>paradise</v>
      </c>
      <c r="E958" s="2" t="s">
        <v>8</v>
      </c>
      <c r="F958" s="3" t="str">
        <f>IFERROR(__xludf.DUMMYFUNCTION("GOOGLETRANSLATE(D958,$D$1,$F$1)"),"thiên đường")</f>
        <v>thiên đường</v>
      </c>
      <c r="G958" s="3" t="s">
        <v>1894</v>
      </c>
    </row>
    <row r="959">
      <c r="A959" s="3">
        <v>12.0</v>
      </c>
      <c r="B959" s="3" t="s">
        <v>1895</v>
      </c>
      <c r="C959" s="3" t="str">
        <f t="shared" si="1"/>
        <v>109 </v>
      </c>
      <c r="D959" s="3" t="str">
        <f t="shared" si="2"/>
        <v>steam railway</v>
      </c>
      <c r="E959" s="2" t="s">
        <v>8</v>
      </c>
      <c r="F959" s="3" t="str">
        <f>IFERROR(__xludf.DUMMYFUNCTION("GOOGLETRANSLATE(D959,$D$1,$F$1)"),"Đường sắt hơi nước")</f>
        <v>Đường sắt hơi nước</v>
      </c>
      <c r="G959" s="3" t="s">
        <v>1896</v>
      </c>
    </row>
    <row r="960">
      <c r="A960" s="3">
        <v>12.0</v>
      </c>
      <c r="B960" s="3" t="s">
        <v>1897</v>
      </c>
      <c r="C960" s="3" t="str">
        <f t="shared" si="1"/>
        <v>109 </v>
      </c>
      <c r="D960" s="3" t="str">
        <f t="shared" si="2"/>
        <v>situated</v>
      </c>
      <c r="E960" s="2" t="s">
        <v>8</v>
      </c>
      <c r="F960" s="3" t="str">
        <f>IFERROR(__xludf.DUMMYFUNCTION("GOOGLETRANSLATE(D960,$D$1,$F$1)"),"ở")</f>
        <v>ở</v>
      </c>
      <c r="G960" s="3" t="s">
        <v>1898</v>
      </c>
    </row>
    <row r="961">
      <c r="A961" s="3">
        <v>12.0</v>
      </c>
      <c r="B961" s="3" t="s">
        <v>1899</v>
      </c>
      <c r="C961" s="3" t="str">
        <f t="shared" si="1"/>
        <v>109 </v>
      </c>
      <c r="D961" s="3" t="str">
        <f t="shared" si="2"/>
        <v>built</v>
      </c>
      <c r="E961" s="2" t="s">
        <v>8</v>
      </c>
      <c r="F961" s="3" t="str">
        <f>IFERROR(__xludf.DUMMYFUNCTION("GOOGLETRANSLATE(D961,$D$1,$F$1)"),"được xây dựng")</f>
        <v>được xây dựng</v>
      </c>
      <c r="G961" s="3" t="s">
        <v>1900</v>
      </c>
    </row>
    <row r="962">
      <c r="A962" s="3">
        <v>12.0</v>
      </c>
      <c r="B962" s="3" t="s">
        <v>1901</v>
      </c>
      <c r="C962" s="3" t="str">
        <f t="shared" si="1"/>
        <v>109 </v>
      </c>
      <c r="D962" s="3" t="str">
        <f t="shared" si="2"/>
        <v>outdoor</v>
      </c>
      <c r="E962" s="2" t="s">
        <v>8</v>
      </c>
      <c r="F962" s="3" t="str">
        <f>IFERROR(__xludf.DUMMYFUNCTION("GOOGLETRANSLATE(D962,$D$1,$F$1)"),"ngoài trời")</f>
        <v>ngoài trời</v>
      </c>
      <c r="G962" s="3" t="s">
        <v>1902</v>
      </c>
    </row>
    <row r="963">
      <c r="A963" s="3">
        <v>12.0</v>
      </c>
      <c r="B963" s="3" t="s">
        <v>1903</v>
      </c>
      <c r="C963" s="3" t="str">
        <f t="shared" si="1"/>
        <v>109 </v>
      </c>
      <c r="D963" s="3" t="str">
        <f t="shared" si="2"/>
        <v>frequent</v>
      </c>
      <c r="E963" s="2" t="s">
        <v>8</v>
      </c>
      <c r="F963" s="3" t="str">
        <f>IFERROR(__xludf.DUMMYFUNCTION("GOOGLETRANSLATE(D963,$D$1,$F$1)"),"thường xuyên")</f>
        <v>thường xuyên</v>
      </c>
      <c r="G963" s="3" t="s">
        <v>1904</v>
      </c>
    </row>
    <row r="964">
      <c r="A964" s="3">
        <v>12.0</v>
      </c>
      <c r="B964" s="3" t="s">
        <v>1905</v>
      </c>
      <c r="C964" s="3" t="str">
        <f t="shared" si="1"/>
        <v>109 </v>
      </c>
      <c r="D964" s="3" t="str">
        <f t="shared" si="2"/>
        <v>sightseeing</v>
      </c>
      <c r="E964" s="2" t="s">
        <v>8</v>
      </c>
      <c r="F964" s="3" t="str">
        <f>IFERROR(__xludf.DUMMYFUNCTION("GOOGLETRANSLATE(D964,$D$1,$F$1)"),"tham quan")</f>
        <v>tham quan</v>
      </c>
      <c r="G964" s="3" t="s">
        <v>1906</v>
      </c>
    </row>
    <row r="965">
      <c r="A965" s="3">
        <v>12.0</v>
      </c>
      <c r="B965" s="3" t="s">
        <v>1907</v>
      </c>
      <c r="C965" s="3" t="str">
        <f t="shared" si="1"/>
        <v>109 </v>
      </c>
      <c r="D965" s="3" t="str">
        <f t="shared" si="2"/>
        <v>accommodation</v>
      </c>
      <c r="E965" s="2" t="s">
        <v>8</v>
      </c>
      <c r="F965" s="3" t="str">
        <f>IFERROR(__xludf.DUMMYFUNCTION("GOOGLETRANSLATE(D965,$D$1,$F$1)"),"chỗ ở")</f>
        <v>chỗ ở</v>
      </c>
      <c r="G965" s="3" t="s">
        <v>1908</v>
      </c>
    </row>
    <row r="966">
      <c r="A966" s="3">
        <v>12.0</v>
      </c>
      <c r="B966" s="3" t="s">
        <v>1909</v>
      </c>
      <c r="C966" s="3" t="str">
        <f t="shared" si="1"/>
        <v>109 </v>
      </c>
      <c r="D966" s="3" t="str">
        <f t="shared" si="2"/>
        <v>excellent</v>
      </c>
      <c r="E966" s="2" t="s">
        <v>8</v>
      </c>
      <c r="F966" s="3" t="str">
        <f>IFERROR(__xludf.DUMMYFUNCTION("GOOGLETRANSLATE(D966,$D$1,$F$1)"),"thông minh")</f>
        <v>thông minh</v>
      </c>
      <c r="G966" s="3" t="s">
        <v>1910</v>
      </c>
    </row>
    <row r="967">
      <c r="A967" s="3">
        <v>12.0</v>
      </c>
      <c r="B967" s="3" t="s">
        <v>1911</v>
      </c>
      <c r="C967" s="3" t="str">
        <f t="shared" si="1"/>
        <v>110 </v>
      </c>
      <c r="D967" s="3" t="str">
        <f t="shared" si="2"/>
        <v>weather</v>
      </c>
      <c r="E967" s="2" t="s">
        <v>8</v>
      </c>
      <c r="F967" s="3" t="str">
        <f>IFERROR(__xludf.DUMMYFUNCTION("GOOGLETRANSLATE(D967,$D$1,$F$1)"),"thời tiết")</f>
        <v>thời tiết</v>
      </c>
      <c r="G967" s="3" t="s">
        <v>1912</v>
      </c>
    </row>
    <row r="968">
      <c r="A968" s="3">
        <v>12.0</v>
      </c>
      <c r="B968" s="3" t="s">
        <v>1913</v>
      </c>
      <c r="C968" s="3" t="str">
        <f t="shared" si="1"/>
        <v>110 </v>
      </c>
      <c r="D968" s="3" t="str">
        <f t="shared" si="2"/>
        <v>season</v>
      </c>
      <c r="E968" s="2" t="s">
        <v>8</v>
      </c>
      <c r="F968" s="3" t="str">
        <f>IFERROR(__xludf.DUMMYFUNCTION("GOOGLETRANSLATE(D968,$D$1,$F$1)"),"Mùa")</f>
        <v>Mùa</v>
      </c>
      <c r="G968" s="3" t="s">
        <v>1914</v>
      </c>
    </row>
    <row r="969">
      <c r="A969" s="3">
        <v>12.0</v>
      </c>
      <c r="B969" s="3" t="s">
        <v>1915</v>
      </c>
      <c r="C969" s="3" t="str">
        <f t="shared" si="1"/>
        <v>110 </v>
      </c>
      <c r="D969" s="3" t="str">
        <f t="shared" si="2"/>
        <v>cloudy</v>
      </c>
      <c r="E969" s="2" t="s">
        <v>8</v>
      </c>
      <c r="F969" s="3" t="str">
        <f>IFERROR(__xludf.DUMMYFUNCTION("GOOGLETRANSLATE(D969,$D$1,$F$1)"),"Nhiều mây")</f>
        <v>Nhiều mây</v>
      </c>
      <c r="G969" s="3" t="s">
        <v>1916</v>
      </c>
    </row>
    <row r="970">
      <c r="A970" s="3">
        <v>12.0</v>
      </c>
      <c r="B970" s="3" t="s">
        <v>1917</v>
      </c>
      <c r="C970" s="3" t="str">
        <f t="shared" si="1"/>
        <v>110 </v>
      </c>
      <c r="D970" s="3" t="str">
        <f t="shared" si="2"/>
        <v>snow (v)</v>
      </c>
      <c r="E970" s="2" t="s">
        <v>8</v>
      </c>
      <c r="F970" s="3" t="str">
        <f>IFERROR(__xludf.DUMMYFUNCTION("GOOGLETRANSLATE(D970,$D$1,$F$1)"),"tuyết (v)")</f>
        <v>tuyết (v)</v>
      </c>
      <c r="G970" s="3" t="s">
        <v>1918</v>
      </c>
    </row>
    <row r="971">
      <c r="A971" s="3">
        <v>12.0</v>
      </c>
      <c r="B971" s="3" t="s">
        <v>1919</v>
      </c>
      <c r="C971" s="3" t="str">
        <f t="shared" si="1"/>
        <v>110 </v>
      </c>
      <c r="D971" s="3" t="str">
        <f t="shared" si="2"/>
        <v>foggy</v>
      </c>
      <c r="E971" s="2" t="s">
        <v>8</v>
      </c>
      <c r="F971" s="3" t="str">
        <f>IFERROR(__xludf.DUMMYFUNCTION("GOOGLETRANSLATE(D971,$D$1,$F$1)"),"sương mù")</f>
        <v>sương mù</v>
      </c>
      <c r="G971" s="3" t="s">
        <v>1920</v>
      </c>
    </row>
    <row r="972">
      <c r="A972" s="3">
        <v>12.0</v>
      </c>
      <c r="B972" s="3" t="s">
        <v>1921</v>
      </c>
      <c r="C972" s="3" t="str">
        <f t="shared" si="1"/>
        <v>110 </v>
      </c>
      <c r="D972" s="3" t="str">
        <f t="shared" si="2"/>
        <v>warm</v>
      </c>
      <c r="E972" s="2" t="s">
        <v>8</v>
      </c>
      <c r="F972" s="3" t="str">
        <f>IFERROR(__xludf.DUMMYFUNCTION("GOOGLETRANSLATE(D972,$D$1,$F$1)"),"ấm áp")</f>
        <v>ấm áp</v>
      </c>
      <c r="G972" s="3" t="s">
        <v>1922</v>
      </c>
    </row>
    <row r="973">
      <c r="A973" s="3">
        <v>12.0</v>
      </c>
      <c r="B973" s="3" t="s">
        <v>1923</v>
      </c>
      <c r="C973" s="3" t="str">
        <f t="shared" si="1"/>
        <v>110 </v>
      </c>
      <c r="D973" s="3" t="str">
        <f t="shared" si="2"/>
        <v>sunny</v>
      </c>
      <c r="E973" s="2" t="s">
        <v>8</v>
      </c>
      <c r="F973" s="3" t="str">
        <f>IFERROR(__xludf.DUMMYFUNCTION("GOOGLETRANSLATE(D973,$D$1,$F$1)"),"nắng")</f>
        <v>nắng</v>
      </c>
      <c r="G973" s="3" t="s">
        <v>1924</v>
      </c>
    </row>
    <row r="974">
      <c r="A974" s="3">
        <v>12.0</v>
      </c>
      <c r="B974" s="3" t="s">
        <v>1925</v>
      </c>
      <c r="C974" s="3" t="str">
        <f t="shared" si="1"/>
        <v>110 </v>
      </c>
      <c r="D974" s="3" t="str">
        <f t="shared" si="2"/>
        <v>rain (v)</v>
      </c>
      <c r="E974" s="2" t="s">
        <v>8</v>
      </c>
      <c r="F974" s="3" t="str">
        <f>IFERROR(__xludf.DUMMYFUNCTION("GOOGLETRANSLATE(D974,$D$1,$F$1)"),"mưa (v)")</f>
        <v>mưa (v)</v>
      </c>
      <c r="G974" s="3" t="s">
        <v>1926</v>
      </c>
    </row>
    <row r="975">
      <c r="A975" s="3">
        <v>12.0</v>
      </c>
      <c r="B975" s="3" t="s">
        <v>1927</v>
      </c>
      <c r="C975" s="3" t="str">
        <f t="shared" si="1"/>
        <v>110 </v>
      </c>
      <c r="D975" s="3" t="str">
        <f t="shared" si="2"/>
        <v>hot</v>
      </c>
      <c r="E975" s="2" t="s">
        <v>8</v>
      </c>
      <c r="F975" s="3" t="str">
        <f>IFERROR(__xludf.DUMMYFUNCTION("GOOGLETRANSLATE(D975,$D$1,$F$1)"),"nóng bức")</f>
        <v>nóng bức</v>
      </c>
      <c r="G975" s="3" t="s">
        <v>1928</v>
      </c>
    </row>
    <row r="976">
      <c r="A976" s="3">
        <v>12.0</v>
      </c>
      <c r="B976" s="3" t="s">
        <v>1929</v>
      </c>
      <c r="C976" s="3" t="str">
        <f t="shared" si="1"/>
        <v>110 </v>
      </c>
      <c r="D976" s="3" t="str">
        <f t="shared" si="2"/>
        <v>cool</v>
      </c>
      <c r="E976" s="2" t="s">
        <v>8</v>
      </c>
      <c r="F976" s="3" t="str">
        <f>IFERROR(__xludf.DUMMYFUNCTION("GOOGLETRANSLATE(D976,$D$1,$F$1)"),"mát mẻ")</f>
        <v>mát mẻ</v>
      </c>
      <c r="G976" s="3" t="s">
        <v>1930</v>
      </c>
    </row>
    <row r="977">
      <c r="A977" s="3">
        <v>12.0</v>
      </c>
      <c r="B977" s="3" t="s">
        <v>1931</v>
      </c>
      <c r="C977" s="3" t="str">
        <f t="shared" si="1"/>
        <v>110 </v>
      </c>
      <c r="D977" s="3" t="str">
        <f t="shared" si="2"/>
        <v>cold</v>
      </c>
      <c r="E977" s="2" t="s">
        <v>8</v>
      </c>
      <c r="F977" s="3" t="str">
        <f>IFERROR(__xludf.DUMMYFUNCTION("GOOGLETRANSLATE(D977,$D$1,$F$1)"),"lạnh")</f>
        <v>lạnh</v>
      </c>
      <c r="G977" s="3" t="s">
        <v>1932</v>
      </c>
    </row>
    <row r="978">
      <c r="A978" s="3">
        <v>12.0</v>
      </c>
      <c r="B978" s="3" t="s">
        <v>1933</v>
      </c>
      <c r="C978" s="3" t="str">
        <f t="shared" si="1"/>
        <v>110 </v>
      </c>
      <c r="D978" s="3" t="str">
        <f t="shared" si="2"/>
        <v>wet</v>
      </c>
      <c r="E978" s="2" t="s">
        <v>8</v>
      </c>
      <c r="F978" s="3" t="str">
        <f>IFERROR(__xludf.DUMMYFUNCTION("GOOGLETRANSLATE(D978,$D$1,$F$1)"),"ướt")</f>
        <v>ướt</v>
      </c>
      <c r="G978" s="3" t="s">
        <v>1934</v>
      </c>
    </row>
    <row r="979">
      <c r="A979" s="3">
        <v>12.0</v>
      </c>
      <c r="B979" s="3" t="s">
        <v>1935</v>
      </c>
      <c r="C979" s="3" t="str">
        <f t="shared" si="1"/>
        <v>110 </v>
      </c>
      <c r="D979" s="3" t="str">
        <f t="shared" si="2"/>
        <v>icy</v>
      </c>
      <c r="E979" s="2" t="s">
        <v>8</v>
      </c>
      <c r="F979" s="3" t="str">
        <f>IFERROR(__xludf.DUMMYFUNCTION("GOOGLETRANSLATE(D979,$D$1,$F$1)"),"băng giá")</f>
        <v>băng giá</v>
      </c>
      <c r="G979" s="3" t="s">
        <v>1936</v>
      </c>
    </row>
    <row r="980">
      <c r="A980" s="3">
        <v>12.0</v>
      </c>
      <c r="B980" s="3" t="s">
        <v>1937</v>
      </c>
      <c r="C980" s="3" t="str">
        <f t="shared" si="1"/>
        <v>110 </v>
      </c>
      <c r="D980" s="3" t="str">
        <f t="shared" si="2"/>
        <v>fact file</v>
      </c>
      <c r="E980" s="2" t="s">
        <v>8</v>
      </c>
      <c r="F980" s="3" t="str">
        <f>IFERROR(__xludf.DUMMYFUNCTION("GOOGLETRANSLATE(D980,$D$1,$F$1)"),"tập tin thực tế")</f>
        <v>tập tin thực tế</v>
      </c>
      <c r="G980" s="3" t="s">
        <v>1938</v>
      </c>
    </row>
    <row r="981">
      <c r="A981" s="3">
        <v>12.0</v>
      </c>
      <c r="B981" s="3" t="s">
        <v>1939</v>
      </c>
      <c r="C981" s="3" t="str">
        <f t="shared" si="1"/>
        <v>110 </v>
      </c>
      <c r="D981" s="3" t="str">
        <f t="shared" si="2"/>
        <v>temperature</v>
      </c>
      <c r="E981" s="2" t="s">
        <v>8</v>
      </c>
      <c r="F981" s="3" t="str">
        <f>IFERROR(__xludf.DUMMYFUNCTION("GOOGLETRANSLATE(D981,$D$1,$F$1)"),"nhiệt độ")</f>
        <v>nhiệt độ</v>
      </c>
      <c r="G981" s="3" t="s">
        <v>1940</v>
      </c>
    </row>
    <row r="982">
      <c r="A982" s="3">
        <v>12.0</v>
      </c>
      <c r="B982" s="3" t="s">
        <v>1941</v>
      </c>
      <c r="C982" s="3" t="str">
        <f t="shared" si="1"/>
        <v>110 </v>
      </c>
      <c r="D982" s="3" t="str">
        <f t="shared" si="2"/>
        <v>record (v)</v>
      </c>
      <c r="E982" s="2" t="s">
        <v>8</v>
      </c>
      <c r="F982" s="3" t="str">
        <f>IFERROR(__xludf.DUMMYFUNCTION("GOOGLETRANSLATE(D982,$D$1,$F$1)"),"ghi lại (v)")</f>
        <v>ghi lại (v)</v>
      </c>
      <c r="G982" s="3" t="s">
        <v>1942</v>
      </c>
    </row>
    <row r="983">
      <c r="A983" s="3">
        <v>12.0</v>
      </c>
      <c r="B983" s="3" t="s">
        <v>1943</v>
      </c>
      <c r="C983" s="3" t="str">
        <f t="shared" si="1"/>
        <v>110 </v>
      </c>
      <c r="D983" s="3" t="str">
        <f t="shared" si="2"/>
        <v>dry</v>
      </c>
      <c r="E983" s="2" t="s">
        <v>8</v>
      </c>
      <c r="F983" s="3" t="str">
        <f>IFERROR(__xludf.DUMMYFUNCTION("GOOGLETRANSLATE(D983,$D$1,$F$1)"),"khô")</f>
        <v>khô</v>
      </c>
      <c r="G983" s="3" t="s">
        <v>1944</v>
      </c>
    </row>
    <row r="984">
      <c r="A984" s="3">
        <v>12.0</v>
      </c>
      <c r="B984" s="3" t="s">
        <v>1945</v>
      </c>
      <c r="C984" s="3" t="str">
        <f t="shared" si="1"/>
        <v>110 </v>
      </c>
      <c r="D984" s="3" t="str">
        <f t="shared" si="2"/>
        <v>rainy</v>
      </c>
      <c r="E984" s="2" t="s">
        <v>8</v>
      </c>
      <c r="F984" s="3" t="str">
        <f>IFERROR(__xludf.DUMMYFUNCTION("GOOGLETRANSLATE(D984,$D$1,$F$1)"),"nhiều mưa")</f>
        <v>nhiều mưa</v>
      </c>
      <c r="G984" s="3" t="s">
        <v>1946</v>
      </c>
    </row>
    <row r="985">
      <c r="A985" s="3">
        <v>12.0</v>
      </c>
      <c r="B985" s="3" t="s">
        <v>1947</v>
      </c>
      <c r="C985" s="3" t="str">
        <f t="shared" si="1"/>
        <v>110 </v>
      </c>
      <c r="D985" s="3" t="str">
        <f t="shared" si="2"/>
        <v>snow (n)</v>
      </c>
      <c r="E985" s="2" t="s">
        <v>8</v>
      </c>
      <c r="F985" s="3" t="str">
        <f>IFERROR(__xludf.DUMMYFUNCTION("GOOGLETRANSLATE(D985,$D$1,$F$1)"),"tuyết (n)")</f>
        <v>tuyết (n)</v>
      </c>
      <c r="G985" s="3" t="s">
        <v>1948</v>
      </c>
    </row>
    <row r="986">
      <c r="A986" s="3">
        <v>12.0</v>
      </c>
      <c r="B986" s="3" t="s">
        <v>1949</v>
      </c>
      <c r="C986" s="3" t="str">
        <f t="shared" si="1"/>
        <v>111 </v>
      </c>
      <c r="D986" s="3" t="str">
        <f t="shared" si="2"/>
        <v>average temperature</v>
      </c>
      <c r="E986" s="2" t="s">
        <v>8</v>
      </c>
      <c r="F986" s="3" t="str">
        <f>IFERROR(__xludf.DUMMYFUNCTION("GOOGLETRANSLATE(D986,$D$1,$F$1)"),"nhiệt độ trung bình")</f>
        <v>nhiệt độ trung bình</v>
      </c>
      <c r="G986" s="3" t="s">
        <v>1950</v>
      </c>
    </row>
    <row r="987">
      <c r="A987" s="3">
        <v>12.0</v>
      </c>
      <c r="B987" s="3" t="s">
        <v>1951</v>
      </c>
      <c r="C987" s="3" t="str">
        <f t="shared" si="1"/>
        <v>111 </v>
      </c>
      <c r="D987" s="3" t="str">
        <f t="shared" si="2"/>
        <v>parcel</v>
      </c>
      <c r="E987" s="2" t="s">
        <v>8</v>
      </c>
      <c r="F987" s="3" t="str">
        <f>IFERROR(__xludf.DUMMYFUNCTION("GOOGLETRANSLATE(D987,$D$1,$F$1)"),"Bưu kiện")</f>
        <v>Bưu kiện</v>
      </c>
      <c r="G987" s="3" t="s">
        <v>207</v>
      </c>
    </row>
    <row r="988">
      <c r="A988" s="3">
        <v>13.0</v>
      </c>
      <c r="B988" s="3" t="s">
        <v>1952</v>
      </c>
      <c r="C988" s="3" t="str">
        <f t="shared" si="1"/>
        <v>112 </v>
      </c>
      <c r="D988" s="3" t="str">
        <f t="shared" si="2"/>
        <v>education</v>
      </c>
      <c r="E988" s="2" t="s">
        <v>8</v>
      </c>
      <c r="F988" s="3" t="str">
        <f>IFERROR(__xludf.DUMMYFUNCTION("GOOGLETRANSLATE(D988,$D$1,$F$1)"),"giáo dục")</f>
        <v>giáo dục</v>
      </c>
      <c r="G988" s="3" t="s">
        <v>1953</v>
      </c>
    </row>
    <row r="989">
      <c r="A989" s="3">
        <v>13.0</v>
      </c>
      <c r="B989" s="3" t="s">
        <v>1954</v>
      </c>
      <c r="C989" s="3" t="str">
        <f t="shared" si="1"/>
        <v>112 </v>
      </c>
      <c r="D989" s="3" t="str">
        <f t="shared" si="2"/>
        <v>career</v>
      </c>
      <c r="E989" s="2" t="s">
        <v>8</v>
      </c>
      <c r="F989" s="3" t="str">
        <f>IFERROR(__xludf.DUMMYFUNCTION("GOOGLETRANSLATE(D989,$D$1,$F$1)"),"nghề nghiệp")</f>
        <v>nghề nghiệp</v>
      </c>
      <c r="G989" s="3" t="s">
        <v>1955</v>
      </c>
    </row>
    <row r="990">
      <c r="A990" s="3">
        <v>13.0</v>
      </c>
      <c r="B990" s="3" t="s">
        <v>1956</v>
      </c>
      <c r="C990" s="3" t="str">
        <f t="shared" si="1"/>
        <v>112 </v>
      </c>
      <c r="D990" s="3" t="str">
        <f t="shared" si="2"/>
        <v>apply</v>
      </c>
      <c r="E990" s="2" t="s">
        <v>8</v>
      </c>
      <c r="F990" s="3" t="str">
        <f>IFERROR(__xludf.DUMMYFUNCTION("GOOGLETRANSLATE(D990,$D$1,$F$1)"),"ứng dụng")</f>
        <v>ứng dụng</v>
      </c>
      <c r="G990" s="3" t="s">
        <v>1957</v>
      </c>
    </row>
    <row r="991">
      <c r="A991" s="3">
        <v>13.0</v>
      </c>
      <c r="B991" s="3" t="s">
        <v>1958</v>
      </c>
      <c r="C991" s="3" t="str">
        <f t="shared" si="1"/>
        <v>112 </v>
      </c>
      <c r="D991" s="3" t="str">
        <f t="shared" si="2"/>
        <v>management</v>
      </c>
      <c r="E991" s="2" t="s">
        <v>8</v>
      </c>
      <c r="F991" s="3" t="str">
        <f>IFERROR(__xludf.DUMMYFUNCTION("GOOGLETRANSLATE(D991,$D$1,$F$1)"),"sự quản lý")</f>
        <v>sự quản lý</v>
      </c>
      <c r="G991" s="3" t="s">
        <v>1959</v>
      </c>
    </row>
    <row r="992">
      <c r="A992" s="3">
        <v>13.0</v>
      </c>
      <c r="B992" s="3" t="s">
        <v>1960</v>
      </c>
      <c r="C992" s="3" t="str">
        <f t="shared" si="1"/>
        <v>112 </v>
      </c>
      <c r="D992" s="3" t="str">
        <f t="shared" si="2"/>
        <v>science</v>
      </c>
      <c r="E992" s="2" t="s">
        <v>8</v>
      </c>
      <c r="F992" s="3" t="str">
        <f>IFERROR(__xludf.DUMMYFUNCTION("GOOGLETRANSLATE(D992,$D$1,$F$1)"),"khoa học")</f>
        <v>khoa học</v>
      </c>
      <c r="G992" s="3" t="s">
        <v>1961</v>
      </c>
    </row>
    <row r="993">
      <c r="A993" s="3">
        <v>13.0</v>
      </c>
      <c r="B993" s="3" t="s">
        <v>1962</v>
      </c>
      <c r="C993" s="3" t="str">
        <f t="shared" si="1"/>
        <v>112 </v>
      </c>
      <c r="D993" s="3" t="str">
        <f t="shared" si="2"/>
        <v>business studies</v>
      </c>
      <c r="E993" s="2" t="s">
        <v>8</v>
      </c>
      <c r="F993" s="3" t="str">
        <f>IFERROR(__xludf.DUMMYFUNCTION("GOOGLETRANSLATE(D993,$D$1,$F$1)"),"nghiên cứu kinh doanh")</f>
        <v>nghiên cứu kinh doanh</v>
      </c>
      <c r="G993" s="3" t="s">
        <v>1963</v>
      </c>
    </row>
    <row r="994">
      <c r="A994" s="3">
        <v>13.0</v>
      </c>
      <c r="B994" s="3" t="s">
        <v>1964</v>
      </c>
      <c r="C994" s="3" t="str">
        <f t="shared" si="1"/>
        <v>112 </v>
      </c>
      <c r="D994" s="3" t="str">
        <f t="shared" si="2"/>
        <v>design</v>
      </c>
      <c r="E994" s="2" t="s">
        <v>8</v>
      </c>
      <c r="F994" s="3" t="str">
        <f>IFERROR(__xludf.DUMMYFUNCTION("GOOGLETRANSLATE(D994,$D$1,$F$1)"),"thiết kế")</f>
        <v>thiết kế</v>
      </c>
      <c r="G994" s="3" t="s">
        <v>1965</v>
      </c>
    </row>
    <row r="995">
      <c r="A995" s="3">
        <v>13.0</v>
      </c>
      <c r="B995" s="3" t="s">
        <v>1966</v>
      </c>
      <c r="C995" s="3" t="str">
        <f t="shared" si="1"/>
        <v>112 </v>
      </c>
      <c r="D995" s="3" t="str">
        <f t="shared" si="2"/>
        <v>medicine</v>
      </c>
      <c r="E995" s="2" t="s">
        <v>8</v>
      </c>
      <c r="F995" s="3" t="str">
        <f>IFERROR(__xludf.DUMMYFUNCTION("GOOGLETRANSLATE(D995,$D$1,$F$1)"),"thuốc")</f>
        <v>thuốc</v>
      </c>
      <c r="G995" s="3" t="s">
        <v>1379</v>
      </c>
    </row>
    <row r="996">
      <c r="A996" s="3">
        <v>13.0</v>
      </c>
      <c r="B996" s="3" t="s">
        <v>1967</v>
      </c>
      <c r="C996" s="3" t="str">
        <f t="shared" si="1"/>
        <v>112 </v>
      </c>
      <c r="D996" s="3" t="str">
        <f t="shared" si="2"/>
        <v>information technology</v>
      </c>
      <c r="E996" s="2" t="s">
        <v>8</v>
      </c>
      <c r="F996" s="3" t="str">
        <f>IFERROR(__xludf.DUMMYFUNCTION("GOOGLETRANSLATE(D996,$D$1,$F$1)"),"công nghệ thông tin")</f>
        <v>công nghệ thông tin</v>
      </c>
      <c r="G996" s="3" t="s">
        <v>1968</v>
      </c>
    </row>
    <row r="997">
      <c r="A997" s="3">
        <v>13.0</v>
      </c>
      <c r="B997" s="3" t="s">
        <v>1969</v>
      </c>
      <c r="C997" s="3" t="str">
        <f t="shared" si="1"/>
        <v>112 </v>
      </c>
      <c r="D997" s="3" t="str">
        <f t="shared" si="2"/>
        <v>maths</v>
      </c>
      <c r="E997" s="2" t="s">
        <v>8</v>
      </c>
      <c r="F997" s="3" t="str">
        <f>IFERROR(__xludf.DUMMYFUNCTION("GOOGLETRANSLATE(D997,$D$1,$F$1)"),"toán học")</f>
        <v>toán học</v>
      </c>
      <c r="G997" s="3" t="s">
        <v>1970</v>
      </c>
    </row>
    <row r="998">
      <c r="A998" s="3">
        <v>13.0</v>
      </c>
      <c r="B998" s="3" t="s">
        <v>1971</v>
      </c>
      <c r="C998" s="3" t="str">
        <f t="shared" si="1"/>
        <v>112 </v>
      </c>
      <c r="D998" s="3" t="str">
        <f t="shared" si="2"/>
        <v>engineering</v>
      </c>
      <c r="E998" s="2" t="s">
        <v>8</v>
      </c>
      <c r="F998" s="3" t="str">
        <f>IFERROR(__xludf.DUMMYFUNCTION("GOOGLETRANSLATE(D998,$D$1,$F$1)"),"kỹ thuật")</f>
        <v>kỹ thuật</v>
      </c>
      <c r="G998" s="3" t="s">
        <v>1972</v>
      </c>
    </row>
    <row r="999">
      <c r="A999" s="3">
        <v>13.0</v>
      </c>
      <c r="B999" s="3" t="s">
        <v>1973</v>
      </c>
      <c r="C999" s="3" t="str">
        <f t="shared" si="1"/>
        <v>112 </v>
      </c>
      <c r="D999" s="3" t="str">
        <f t="shared" si="2"/>
        <v>pass</v>
      </c>
      <c r="E999" s="2" t="s">
        <v>8</v>
      </c>
      <c r="F999" s="3" t="str">
        <f>IFERROR(__xludf.DUMMYFUNCTION("GOOGLETRANSLATE(D999,$D$1,$F$1)"),"vượt qua")</f>
        <v>vượt qua</v>
      </c>
      <c r="G999" s="3" t="s">
        <v>1974</v>
      </c>
    </row>
    <row r="1000">
      <c r="A1000" s="3">
        <v>13.0</v>
      </c>
      <c r="B1000" s="3" t="s">
        <v>1975</v>
      </c>
      <c r="C1000" s="3" t="str">
        <f t="shared" si="1"/>
        <v>112 </v>
      </c>
      <c r="D1000" s="3" t="str">
        <f t="shared" si="2"/>
        <v>fail</v>
      </c>
      <c r="E1000" s="2" t="s">
        <v>8</v>
      </c>
      <c r="F1000" s="3" t="str">
        <f>IFERROR(__xludf.DUMMYFUNCTION("GOOGLETRANSLATE(D1000,$D$1,$F$1)"),"Thất bại")</f>
        <v>Thất bại</v>
      </c>
      <c r="G1000" s="3" t="s">
        <v>1976</v>
      </c>
    </row>
    <row r="1001">
      <c r="A1001" s="3">
        <v>13.0</v>
      </c>
      <c r="B1001" s="3" t="s">
        <v>1977</v>
      </c>
      <c r="C1001" s="3" t="str">
        <f t="shared" si="1"/>
        <v>112 </v>
      </c>
      <c r="D1001" s="3" t="str">
        <f t="shared" si="2"/>
        <v>degree</v>
      </c>
      <c r="E1001" s="2" t="s">
        <v>8</v>
      </c>
      <c r="F1001" s="3" t="str">
        <f>IFERROR(__xludf.DUMMYFUNCTION("GOOGLETRANSLATE(D1001,$D$1,$F$1)"),"trình độ")</f>
        <v>trình độ</v>
      </c>
      <c r="G1001" s="3" t="s">
        <v>1978</v>
      </c>
    </row>
    <row r="1002">
      <c r="A1002" s="3">
        <v>13.0</v>
      </c>
      <c r="B1002" s="3" t="s">
        <v>1979</v>
      </c>
      <c r="C1002" s="3" t="str">
        <f t="shared" si="1"/>
        <v>112 </v>
      </c>
      <c r="D1002" s="3" t="str">
        <f t="shared" si="2"/>
        <v>primary school</v>
      </c>
      <c r="E1002" s="2" t="s">
        <v>8</v>
      </c>
      <c r="F1002" s="3" t="str">
        <f>IFERROR(__xludf.DUMMYFUNCTION("GOOGLETRANSLATE(D1002,$D$1,$F$1)"),"trường tiểu học")</f>
        <v>trường tiểu học</v>
      </c>
      <c r="G1002" s="3" t="s">
        <v>1980</v>
      </c>
    </row>
    <row r="1003">
      <c r="A1003" s="3">
        <v>13.0</v>
      </c>
      <c r="B1003" s="3" t="s">
        <v>1981</v>
      </c>
      <c r="C1003" s="3" t="str">
        <f t="shared" si="1"/>
        <v>112 </v>
      </c>
      <c r="D1003" s="3" t="str">
        <f t="shared" si="2"/>
        <v>secondary school</v>
      </c>
      <c r="E1003" s="2" t="s">
        <v>8</v>
      </c>
      <c r="F1003" s="3" t="str">
        <f>IFERROR(__xludf.DUMMYFUNCTION("GOOGLETRANSLATE(D1003,$D$1,$F$1)"),"Trường cấp hai")</f>
        <v>Trường cấp hai</v>
      </c>
      <c r="G1003" s="3" t="s">
        <v>1982</v>
      </c>
    </row>
    <row r="1004">
      <c r="A1004" s="3">
        <v>13.0</v>
      </c>
      <c r="B1004" s="3" t="s">
        <v>1983</v>
      </c>
      <c r="C1004" s="3" t="str">
        <f t="shared" si="1"/>
        <v>112 </v>
      </c>
      <c r="D1004" s="3" t="str">
        <f t="shared" si="2"/>
        <v>interview (n)</v>
      </c>
      <c r="E1004" s="2" t="s">
        <v>8</v>
      </c>
      <c r="F1004" s="3" t="str">
        <f>IFERROR(__xludf.DUMMYFUNCTION("GOOGLETRANSLATE(D1004,$D$1,$F$1)"),"phỏng vấn (n)")</f>
        <v>phỏng vấn (n)</v>
      </c>
      <c r="G1004" s="3" t="s">
        <v>1984</v>
      </c>
    </row>
    <row r="1005">
      <c r="A1005" s="3">
        <v>13.0</v>
      </c>
      <c r="B1005" s="3" t="s">
        <v>1985</v>
      </c>
      <c r="C1005" s="3" t="str">
        <f t="shared" si="1"/>
        <v>112 </v>
      </c>
      <c r="D1005" s="3" t="str">
        <f t="shared" si="2"/>
        <v>train (v)</v>
      </c>
      <c r="E1005" s="2" t="s">
        <v>8</v>
      </c>
      <c r="F1005" s="3" t="str">
        <f>IFERROR(__xludf.DUMMYFUNCTION("GOOGLETRANSLATE(D1005,$D$1,$F$1)"),"đào tạo (v)")</f>
        <v>đào tạo (v)</v>
      </c>
      <c r="G1005" s="3" t="s">
        <v>1986</v>
      </c>
    </row>
    <row r="1006">
      <c r="A1006" s="3">
        <v>13.0</v>
      </c>
      <c r="B1006" s="3" t="s">
        <v>1987</v>
      </c>
      <c r="C1006" s="3" t="str">
        <f t="shared" si="1"/>
        <v>112 </v>
      </c>
      <c r="D1006" s="3" t="str">
        <f t="shared" si="2"/>
        <v>chef</v>
      </c>
      <c r="E1006" s="2" t="s">
        <v>8</v>
      </c>
      <c r="F1006" s="3" t="str">
        <f>IFERROR(__xludf.DUMMYFUNCTION("GOOGLETRANSLATE(D1006,$D$1,$F$1)"),"đầu bếp")</f>
        <v>đầu bếp</v>
      </c>
      <c r="G1006" s="3" t="s">
        <v>1988</v>
      </c>
    </row>
    <row r="1007">
      <c r="A1007" s="3">
        <v>13.0</v>
      </c>
      <c r="B1007" s="3" t="s">
        <v>1989</v>
      </c>
      <c r="C1007" s="3" t="str">
        <f t="shared" si="1"/>
        <v>112 </v>
      </c>
      <c r="D1007" s="3" t="str">
        <f t="shared" si="2"/>
        <v>unemployed</v>
      </c>
      <c r="E1007" s="2" t="s">
        <v>8</v>
      </c>
      <c r="F1007" s="3" t="str">
        <f>IFERROR(__xludf.DUMMYFUNCTION("GOOGLETRANSLATE(D1007,$D$1,$F$1)"),"người thất nghiệp")</f>
        <v>người thất nghiệp</v>
      </c>
      <c r="G1007" s="3" t="s">
        <v>1990</v>
      </c>
    </row>
    <row r="1008">
      <c r="A1008" s="3">
        <v>13.0</v>
      </c>
      <c r="B1008" s="3" t="s">
        <v>1991</v>
      </c>
      <c r="C1008" s="3" t="str">
        <f t="shared" si="1"/>
        <v>113 </v>
      </c>
      <c r="D1008" s="3" t="str">
        <f t="shared" si="2"/>
        <v>subject</v>
      </c>
      <c r="E1008" s="2" t="s">
        <v>8</v>
      </c>
      <c r="F1008" s="3" t="str">
        <f>IFERROR(__xludf.DUMMYFUNCTION("GOOGLETRANSLATE(D1008,$D$1,$F$1)"),"môn học")</f>
        <v>môn học</v>
      </c>
      <c r="G1008" s="3" t="s">
        <v>1992</v>
      </c>
    </row>
    <row r="1009">
      <c r="A1009" s="3">
        <v>13.0</v>
      </c>
      <c r="B1009" s="3" t="s">
        <v>1993</v>
      </c>
      <c r="C1009" s="3" t="str">
        <f t="shared" si="1"/>
        <v>113 </v>
      </c>
      <c r="D1009" s="3" t="str">
        <f t="shared" si="2"/>
        <v>apart from</v>
      </c>
      <c r="E1009" s="2" t="s">
        <v>8</v>
      </c>
      <c r="F1009" s="3" t="str">
        <f>IFERROR(__xludf.DUMMYFUNCTION("GOOGLETRANSLATE(D1009,$D$1,$F$1)"),"ngoại trừ")</f>
        <v>ngoại trừ</v>
      </c>
      <c r="G1009" s="3" t="s">
        <v>1994</v>
      </c>
    </row>
    <row r="1010">
      <c r="A1010" s="3">
        <v>13.0</v>
      </c>
      <c r="B1010" s="3" t="s">
        <v>1995</v>
      </c>
      <c r="C1010" s="3" t="str">
        <f t="shared" si="1"/>
        <v>113 </v>
      </c>
      <c r="D1010" s="3" t="str">
        <f t="shared" si="2"/>
        <v>system</v>
      </c>
      <c r="E1010" s="2" t="s">
        <v>8</v>
      </c>
      <c r="F1010" s="3" t="str">
        <f>IFERROR(__xludf.DUMMYFUNCTION("GOOGLETRANSLATE(D1010,$D$1,$F$1)"),"hệ thống")</f>
        <v>hệ thống</v>
      </c>
      <c r="G1010" s="3" t="s">
        <v>1996</v>
      </c>
    </row>
    <row r="1011">
      <c r="A1011" s="3">
        <v>13.0</v>
      </c>
      <c r="B1011" s="3" t="s">
        <v>1997</v>
      </c>
      <c r="C1011" s="3" t="str">
        <f t="shared" si="1"/>
        <v>113 </v>
      </c>
      <c r="D1011" s="3" t="str">
        <f t="shared" si="2"/>
        <v>profession</v>
      </c>
      <c r="E1011" s="2" t="s">
        <v>8</v>
      </c>
      <c r="F1011" s="3" t="str">
        <f>IFERROR(__xludf.DUMMYFUNCTION("GOOGLETRANSLATE(D1011,$D$1,$F$1)"),"nghề nghiệp")</f>
        <v>nghề nghiệp</v>
      </c>
      <c r="G1011" s="3" t="s">
        <v>1998</v>
      </c>
    </row>
    <row r="1012">
      <c r="A1012" s="3">
        <v>13.0</v>
      </c>
      <c r="B1012" s="3" t="s">
        <v>1999</v>
      </c>
      <c r="C1012" s="3" t="str">
        <f t="shared" si="1"/>
        <v>113 </v>
      </c>
      <c r="D1012" s="3" t="str">
        <f t="shared" si="2"/>
        <v>what else</v>
      </c>
      <c r="E1012" s="2" t="s">
        <v>8</v>
      </c>
      <c r="F1012" s="3" t="str">
        <f>IFERROR(__xludf.DUMMYFUNCTION("GOOGLETRANSLATE(D1012,$D$1,$F$1)"),"những gì khác")</f>
        <v>những gì khác</v>
      </c>
      <c r="G1012" s="3" t="s">
        <v>2000</v>
      </c>
    </row>
    <row r="1013">
      <c r="A1013" s="3">
        <v>13.0</v>
      </c>
      <c r="B1013" s="3" t="s">
        <v>2001</v>
      </c>
      <c r="C1013" s="3" t="str">
        <f t="shared" si="1"/>
        <v>113 </v>
      </c>
      <c r="D1013" s="3" t="str">
        <f t="shared" si="2"/>
        <v>ideal</v>
      </c>
      <c r="E1013" s="2" t="s">
        <v>8</v>
      </c>
      <c r="F1013" s="3" t="str">
        <f>IFERROR(__xludf.DUMMYFUNCTION("GOOGLETRANSLATE(D1013,$D$1,$F$1)"),"lý tưởng")</f>
        <v>lý tưởng</v>
      </c>
      <c r="G1013" s="3" t="s">
        <v>2002</v>
      </c>
    </row>
    <row r="1014">
      <c r="A1014" s="3">
        <v>13.0</v>
      </c>
      <c r="B1014" s="3" t="s">
        <v>2003</v>
      </c>
      <c r="C1014" s="3" t="str">
        <f t="shared" si="1"/>
        <v>113 </v>
      </c>
      <c r="D1014" s="3" t="str">
        <f t="shared" si="2"/>
        <v>finance company</v>
      </c>
      <c r="E1014" s="2" t="s">
        <v>8</v>
      </c>
      <c r="F1014" s="3" t="str">
        <f>IFERROR(__xludf.DUMMYFUNCTION("GOOGLETRANSLATE(D1014,$D$1,$F$1)"),"công ty tài chính")</f>
        <v>công ty tài chính</v>
      </c>
      <c r="G1014" s="3" t="s">
        <v>2004</v>
      </c>
    </row>
    <row r="1015">
      <c r="A1015" s="3">
        <v>13.0</v>
      </c>
      <c r="B1015" s="3" t="s">
        <v>2005</v>
      </c>
      <c r="C1015" s="3" t="str">
        <f t="shared" si="1"/>
        <v>113 </v>
      </c>
      <c r="D1015" s="3" t="str">
        <f t="shared" si="2"/>
        <v>Lisbon</v>
      </c>
      <c r="E1015" s="2" t="s">
        <v>8</v>
      </c>
      <c r="F1015" s="3" t="str">
        <f>IFERROR(__xludf.DUMMYFUNCTION("GOOGLETRANSLATE(D1015,$D$1,$F$1)"),"Lisbon")</f>
        <v>Lisbon</v>
      </c>
      <c r="G1015" s="3" t="s">
        <v>2006</v>
      </c>
    </row>
    <row r="1016">
      <c r="A1016" s="3">
        <v>13.0</v>
      </c>
      <c r="B1016" s="3" t="s">
        <v>2007</v>
      </c>
      <c r="C1016" s="3" t="str">
        <f t="shared" si="1"/>
        <v>113 </v>
      </c>
      <c r="D1016" s="3" t="str">
        <f t="shared" si="2"/>
        <v>van</v>
      </c>
      <c r="E1016" s="2" t="s">
        <v>8</v>
      </c>
      <c r="F1016" s="3" t="str">
        <f>IFERROR(__xludf.DUMMYFUNCTION("GOOGLETRANSLATE(D1016,$D$1,$F$1)"),"van")</f>
        <v>van</v>
      </c>
      <c r="G1016" s="3" t="s">
        <v>2008</v>
      </c>
    </row>
    <row r="1017">
      <c r="A1017" s="3">
        <v>13.0</v>
      </c>
      <c r="B1017" s="3" t="s">
        <v>2009</v>
      </c>
      <c r="C1017" s="3" t="str">
        <f t="shared" si="1"/>
        <v>114 </v>
      </c>
      <c r="D1017" s="3" t="str">
        <f t="shared" si="2"/>
        <v>stop</v>
      </c>
      <c r="E1017" s="2" t="s">
        <v>8</v>
      </c>
      <c r="F1017" s="3" t="str">
        <f>IFERROR(__xludf.DUMMYFUNCTION("GOOGLETRANSLATE(D1017,$D$1,$F$1)"),"dừng lại")</f>
        <v>dừng lại</v>
      </c>
      <c r="G1017" s="3" t="s">
        <v>2010</v>
      </c>
    </row>
    <row r="1018">
      <c r="A1018" s="3">
        <v>13.0</v>
      </c>
      <c r="B1018" s="3" t="s">
        <v>2011</v>
      </c>
      <c r="C1018" s="3" t="str">
        <f t="shared" si="1"/>
        <v>114 </v>
      </c>
      <c r="D1018" s="3" t="str">
        <f t="shared" si="2"/>
        <v>qualification</v>
      </c>
      <c r="E1018" s="2" t="s">
        <v>8</v>
      </c>
      <c r="F1018" s="3" t="str">
        <f>IFERROR(__xludf.DUMMYFUNCTION("GOOGLETRANSLATE(D1018,$D$1,$F$1)"),"trình độ chuyên môn")</f>
        <v>trình độ chuyên môn</v>
      </c>
      <c r="G1018" s="3" t="s">
        <v>2012</v>
      </c>
    </row>
    <row r="1019">
      <c r="A1019" s="3">
        <v>13.0</v>
      </c>
      <c r="B1019" s="3" t="s">
        <v>2013</v>
      </c>
      <c r="C1019" s="3" t="str">
        <f t="shared" si="1"/>
        <v>114 </v>
      </c>
      <c r="D1019" s="3" t="str">
        <f t="shared" si="2"/>
        <v>experience</v>
      </c>
      <c r="E1019" s="2" t="s">
        <v>8</v>
      </c>
      <c r="F1019" s="3" t="str">
        <f>IFERROR(__xludf.DUMMYFUNCTION("GOOGLETRANSLATE(D1019,$D$1,$F$1)"),"kinh nghiệm")</f>
        <v>kinh nghiệm</v>
      </c>
      <c r="G1019" s="3" t="s">
        <v>2014</v>
      </c>
    </row>
    <row r="1020">
      <c r="A1020" s="3">
        <v>13.0</v>
      </c>
      <c r="B1020" s="3" t="s">
        <v>2015</v>
      </c>
      <c r="C1020" s="3" t="str">
        <f t="shared" si="1"/>
        <v>114 </v>
      </c>
      <c r="D1020" s="3" t="str">
        <f t="shared" si="2"/>
        <v>upstairs</v>
      </c>
      <c r="E1020" s="2" t="s">
        <v>8</v>
      </c>
      <c r="F1020" s="3" t="str">
        <f>IFERROR(__xludf.DUMMYFUNCTION("GOOGLETRANSLATE(D1020,$D$1,$F$1)"),"tầng trên")</f>
        <v>tầng trên</v>
      </c>
      <c r="G1020" s="3" t="s">
        <v>2016</v>
      </c>
    </row>
    <row r="1021">
      <c r="A1021" s="3">
        <v>13.0</v>
      </c>
      <c r="B1021" s="3" t="s">
        <v>2017</v>
      </c>
      <c r="C1021" s="3" t="str">
        <f t="shared" si="1"/>
        <v>114 </v>
      </c>
      <c r="D1021" s="3" t="str">
        <f t="shared" si="2"/>
        <v>borrow</v>
      </c>
      <c r="E1021" s="2" t="s">
        <v>8</v>
      </c>
      <c r="F1021" s="3" t="str">
        <f>IFERROR(__xludf.DUMMYFUNCTION("GOOGLETRANSLATE(D1021,$D$1,$F$1)"),"vay")</f>
        <v>vay</v>
      </c>
      <c r="G1021" s="3" t="s">
        <v>2018</v>
      </c>
    </row>
    <row r="1022">
      <c r="A1022" s="3">
        <v>13.0</v>
      </c>
      <c r="B1022" s="3" t="s">
        <v>2019</v>
      </c>
      <c r="C1022" s="3" t="str">
        <f t="shared" si="1"/>
        <v>114 </v>
      </c>
      <c r="D1022" s="3" t="str">
        <f t="shared" si="2"/>
        <v>lend</v>
      </c>
      <c r="E1022" s="2" t="s">
        <v>8</v>
      </c>
      <c r="F1022" s="3" t="str">
        <f>IFERROR(__xludf.DUMMYFUNCTION("GOOGLETRANSLATE(D1022,$D$1,$F$1)"),"cho vay")</f>
        <v>cho vay</v>
      </c>
      <c r="G1022" s="3" t="s">
        <v>2020</v>
      </c>
    </row>
    <row r="1023">
      <c r="A1023" s="3">
        <v>13.0</v>
      </c>
      <c r="B1023" s="3" t="s">
        <v>2021</v>
      </c>
      <c r="C1023" s="3" t="str">
        <f t="shared" si="1"/>
        <v>114 </v>
      </c>
      <c r="D1023" s="3" t="str">
        <f t="shared" si="2"/>
        <v>grammar</v>
      </c>
      <c r="E1023" s="2" t="s">
        <v>8</v>
      </c>
      <c r="F1023" s="3" t="str">
        <f>IFERROR(__xludf.DUMMYFUNCTION("GOOGLETRANSLATE(D1023,$D$1,$F$1)"),"ngữ pháp")</f>
        <v>ngữ pháp</v>
      </c>
      <c r="G1023" s="3" t="s">
        <v>2022</v>
      </c>
    </row>
    <row r="1024">
      <c r="A1024" s="3">
        <v>13.0</v>
      </c>
      <c r="B1024" s="3" t="s">
        <v>2023</v>
      </c>
      <c r="C1024" s="3" t="str">
        <f t="shared" si="1"/>
        <v>114 </v>
      </c>
      <c r="D1024" s="3" t="str">
        <f t="shared" si="2"/>
        <v>pronunciation</v>
      </c>
      <c r="E1024" s="2" t="s">
        <v>8</v>
      </c>
      <c r="F1024" s="3" t="str">
        <f>IFERROR(__xludf.DUMMYFUNCTION("GOOGLETRANSLATE(D1024,$D$1,$F$1)"),"cách phát âm")</f>
        <v>cách phát âm</v>
      </c>
      <c r="G1024" s="3" t="s">
        <v>2024</v>
      </c>
    </row>
    <row r="1025">
      <c r="A1025" s="3">
        <v>13.0</v>
      </c>
      <c r="B1025" s="3" t="s">
        <v>2025</v>
      </c>
      <c r="C1025" s="3" t="str">
        <f t="shared" si="1"/>
        <v>114 </v>
      </c>
      <c r="D1025" s="3" t="str">
        <f t="shared" si="2"/>
        <v>spelling</v>
      </c>
      <c r="E1025" s="2" t="s">
        <v>8</v>
      </c>
      <c r="F1025" s="3" t="str">
        <f>IFERROR(__xludf.DUMMYFUNCTION("GOOGLETRANSLATE(D1025,$D$1,$F$1)"),"chính tả")</f>
        <v>chính tả</v>
      </c>
      <c r="G1025" s="3" t="s">
        <v>2026</v>
      </c>
    </row>
    <row r="1026">
      <c r="A1026" s="3">
        <v>13.0</v>
      </c>
      <c r="B1026" s="3" t="s">
        <v>2027</v>
      </c>
      <c r="C1026" s="3" t="str">
        <f t="shared" si="1"/>
        <v>114 </v>
      </c>
      <c r="D1026" s="3" t="str">
        <f t="shared" si="2"/>
        <v>vocabulary</v>
      </c>
      <c r="E1026" s="2" t="s">
        <v>8</v>
      </c>
      <c r="F1026" s="3" t="str">
        <f>IFERROR(__xludf.DUMMYFUNCTION("GOOGLETRANSLATE(D1026,$D$1,$F$1)"),"từ vựng")</f>
        <v>từ vựng</v>
      </c>
      <c r="G1026" s="3" t="s">
        <v>2028</v>
      </c>
    </row>
    <row r="1027">
      <c r="A1027" s="3">
        <v>13.0</v>
      </c>
      <c r="B1027" s="3" t="s">
        <v>2029</v>
      </c>
      <c r="C1027" s="3" t="str">
        <f t="shared" si="1"/>
        <v>114 </v>
      </c>
      <c r="D1027" s="3" t="str">
        <f t="shared" si="2"/>
        <v>introduce</v>
      </c>
      <c r="E1027" s="2" t="s">
        <v>8</v>
      </c>
      <c r="F1027" s="3" t="str">
        <f>IFERROR(__xludf.DUMMYFUNCTION("GOOGLETRANSLATE(D1027,$D$1,$F$1)"),"giới thiệu")</f>
        <v>giới thiệu</v>
      </c>
      <c r="G1027" s="3" t="s">
        <v>2030</v>
      </c>
    </row>
    <row r="1028">
      <c r="A1028" s="3">
        <v>13.0</v>
      </c>
      <c r="B1028" s="3" t="s">
        <v>2031</v>
      </c>
      <c r="C1028" s="3" t="str">
        <f t="shared" si="1"/>
        <v>114 </v>
      </c>
      <c r="D1028" s="3" t="str">
        <f t="shared" si="2"/>
        <v>topic</v>
      </c>
      <c r="E1028" s="2" t="s">
        <v>8</v>
      </c>
      <c r="F1028" s="3" t="str">
        <f>IFERROR(__xludf.DUMMYFUNCTION("GOOGLETRANSLATE(D1028,$D$1,$F$1)"),"đề tài")</f>
        <v>đề tài</v>
      </c>
      <c r="G1028" s="3" t="s">
        <v>2032</v>
      </c>
    </row>
    <row r="1029">
      <c r="A1029" s="3">
        <v>13.0</v>
      </c>
      <c r="B1029" s="3" t="s">
        <v>2033</v>
      </c>
      <c r="C1029" s="3" t="str">
        <f t="shared" si="1"/>
        <v>114 </v>
      </c>
      <c r="D1029" s="3" t="str">
        <f t="shared" si="2"/>
        <v>form</v>
      </c>
      <c r="E1029" s="2" t="s">
        <v>8</v>
      </c>
      <c r="F1029" s="3" t="str">
        <f>IFERROR(__xludf.DUMMYFUNCTION("GOOGLETRANSLATE(D1029,$D$1,$F$1)"),"hình thức")</f>
        <v>hình thức</v>
      </c>
      <c r="G1029" s="3" t="s">
        <v>2034</v>
      </c>
    </row>
    <row r="1030">
      <c r="A1030" s="3">
        <v>13.0</v>
      </c>
      <c r="B1030" s="3" t="s">
        <v>2035</v>
      </c>
      <c r="C1030" s="3" t="str">
        <f t="shared" si="1"/>
        <v>114 </v>
      </c>
      <c r="D1030" s="3" t="str">
        <f t="shared" si="2"/>
        <v>Seaspeak</v>
      </c>
      <c r="E1030" s="2" t="s">
        <v>8</v>
      </c>
      <c r="F1030" s="3" t="str">
        <f>IFERROR(__xludf.DUMMYFUNCTION("GOOGLETRANSLATE(D1030,$D$1,$F$1)"),"Seaspeak")</f>
        <v>Seaspeak</v>
      </c>
      <c r="G1030" s="3" t="s">
        <v>2036</v>
      </c>
    </row>
    <row r="1031">
      <c r="A1031" s="3">
        <v>13.0</v>
      </c>
      <c r="B1031" s="3" t="s">
        <v>2037</v>
      </c>
      <c r="C1031" s="3" t="str">
        <f t="shared" si="1"/>
        <v>114 </v>
      </c>
      <c r="D1031" s="3" t="str">
        <f t="shared" si="2"/>
        <v>Internetish</v>
      </c>
      <c r="E1031" s="2" t="s">
        <v>8</v>
      </c>
      <c r="F1031" s="3" t="str">
        <f>IFERROR(__xludf.DUMMYFUNCTION("GOOGLETRANSLATE(D1031,$D$1,$F$1)"),"Internetish")</f>
        <v>Internetish</v>
      </c>
      <c r="G1031" s="3" t="s">
        <v>2038</v>
      </c>
    </row>
    <row r="1032">
      <c r="A1032" s="3">
        <v>13.0</v>
      </c>
      <c r="B1032" s="3" t="s">
        <v>2039</v>
      </c>
      <c r="C1032" s="3" t="str">
        <f t="shared" si="1"/>
        <v>114 </v>
      </c>
      <c r="D1032" s="3" t="str">
        <f t="shared" si="2"/>
        <v>Anglic</v>
      </c>
      <c r="E1032" s="2" t="s">
        <v>8</v>
      </c>
      <c r="F1032" s="3" t="str">
        <f>IFERROR(__xludf.DUMMYFUNCTION("GOOGLETRANSLATE(D1032,$D$1,$F$1)"),"Anglic")</f>
        <v>Anglic</v>
      </c>
      <c r="G1032" s="3" t="s">
        <v>2040</v>
      </c>
    </row>
    <row r="1033">
      <c r="A1033" s="3">
        <v>13.0</v>
      </c>
      <c r="B1033" s="3" t="s">
        <v>2041</v>
      </c>
      <c r="C1033" s="3" t="str">
        <f t="shared" si="1"/>
        <v>115 </v>
      </c>
      <c r="D1033" s="3" t="str">
        <f t="shared" si="2"/>
        <v>global</v>
      </c>
      <c r="E1033" s="2" t="s">
        <v>8</v>
      </c>
      <c r="F1033" s="3" t="str">
        <f>IFERROR(__xludf.DUMMYFUNCTION("GOOGLETRANSLATE(D1033,$D$1,$F$1)"),"toàn cầu")</f>
        <v>toàn cầu</v>
      </c>
      <c r="G1033" s="3" t="s">
        <v>2042</v>
      </c>
    </row>
    <row r="1034">
      <c r="A1034" s="3">
        <v>13.0</v>
      </c>
      <c r="B1034" s="3" t="s">
        <v>2043</v>
      </c>
      <c r="C1034" s="3" t="str">
        <f t="shared" si="1"/>
        <v>115 </v>
      </c>
      <c r="D1034" s="3" t="str">
        <f t="shared" si="2"/>
        <v>expert</v>
      </c>
      <c r="E1034" s="2" t="s">
        <v>8</v>
      </c>
      <c r="F1034" s="3" t="str">
        <f>IFERROR(__xludf.DUMMYFUNCTION("GOOGLETRANSLATE(D1034,$D$1,$F$1)"),"chuyên gia")</f>
        <v>chuyên gia</v>
      </c>
      <c r="G1034" s="3" t="s">
        <v>2044</v>
      </c>
    </row>
    <row r="1035">
      <c r="A1035" s="3">
        <v>13.0</v>
      </c>
      <c r="B1035" s="3" t="s">
        <v>2045</v>
      </c>
      <c r="C1035" s="3" t="str">
        <f t="shared" si="1"/>
        <v>115 </v>
      </c>
      <c r="D1035" s="3" t="str">
        <f t="shared" si="2"/>
        <v>basic</v>
      </c>
      <c r="E1035" s="2" t="s">
        <v>8</v>
      </c>
      <c r="F1035" s="3" t="str">
        <f>IFERROR(__xludf.DUMMYFUNCTION("GOOGLETRANSLATE(D1035,$D$1,$F$1)"),"căn bản")</f>
        <v>căn bản</v>
      </c>
      <c r="G1035" s="3" t="s">
        <v>2046</v>
      </c>
    </row>
    <row r="1036">
      <c r="A1036" s="3">
        <v>13.0</v>
      </c>
      <c r="B1036" s="3" t="s">
        <v>2047</v>
      </c>
      <c r="C1036" s="3" t="str">
        <f t="shared" si="1"/>
        <v>115 </v>
      </c>
      <c r="D1036" s="3" t="str">
        <f t="shared" si="2"/>
        <v>simple</v>
      </c>
      <c r="E1036" s="2" t="s">
        <v>8</v>
      </c>
      <c r="F1036" s="3" t="str">
        <f>IFERROR(__xludf.DUMMYFUNCTION("GOOGLETRANSLATE(D1036,$D$1,$F$1)"),"đơn giản")</f>
        <v>đơn giản</v>
      </c>
      <c r="G1036" s="3" t="s">
        <v>2048</v>
      </c>
    </row>
    <row r="1037">
      <c r="A1037" s="3">
        <v>13.0</v>
      </c>
      <c r="B1037" s="3" t="s">
        <v>2049</v>
      </c>
      <c r="C1037" s="3" t="str">
        <f t="shared" si="1"/>
        <v>115 </v>
      </c>
      <c r="D1037" s="3" t="str">
        <f t="shared" si="2"/>
        <v>message</v>
      </c>
      <c r="E1037" s="2" t="s">
        <v>8</v>
      </c>
      <c r="F1037" s="3" t="str">
        <f>IFERROR(__xludf.DUMMYFUNCTION("GOOGLETRANSLATE(D1037,$D$1,$F$1)"),"thông điệp")</f>
        <v>thông điệp</v>
      </c>
      <c r="G1037" s="3" t="s">
        <v>2050</v>
      </c>
    </row>
    <row r="1038">
      <c r="A1038" s="3">
        <v>13.0</v>
      </c>
      <c r="B1038" s="3" t="s">
        <v>2051</v>
      </c>
      <c r="C1038" s="3" t="str">
        <f t="shared" si="1"/>
        <v>115 </v>
      </c>
      <c r="D1038" s="3" t="str">
        <f t="shared" si="2"/>
        <v>impossible</v>
      </c>
      <c r="E1038" s="2" t="s">
        <v>8</v>
      </c>
      <c r="F1038" s="3" t="str">
        <f>IFERROR(__xludf.DUMMYFUNCTION("GOOGLETRANSLATE(D1038,$D$1,$F$1)"),"Không thể nào")</f>
        <v>Không thể nào</v>
      </c>
      <c r="G1038" s="3" t="s">
        <v>2052</v>
      </c>
    </row>
    <row r="1039">
      <c r="A1039" s="3">
        <v>13.0</v>
      </c>
      <c r="B1039" s="3" t="s">
        <v>2053</v>
      </c>
      <c r="C1039" s="3" t="str">
        <f t="shared" si="1"/>
        <v>115 </v>
      </c>
      <c r="D1039" s="3" t="str">
        <f t="shared" si="2"/>
        <v>explain</v>
      </c>
      <c r="E1039" s="2" t="s">
        <v>8</v>
      </c>
      <c r="F1039" s="3" t="str">
        <f>IFERROR(__xludf.DUMMYFUNCTION("GOOGLETRANSLATE(D1039,$D$1,$F$1)"),"giải thích")</f>
        <v>giải thích</v>
      </c>
      <c r="G1039" s="3" t="s">
        <v>2054</v>
      </c>
    </row>
    <row r="1040">
      <c r="A1040" s="3">
        <v>13.0</v>
      </c>
      <c r="B1040" s="3" t="s">
        <v>2055</v>
      </c>
      <c r="C1040" s="3" t="str">
        <f t="shared" si="1"/>
        <v>115 </v>
      </c>
      <c r="D1040" s="3" t="str">
        <f t="shared" si="2"/>
        <v>water</v>
      </c>
      <c r="E1040" s="2" t="s">
        <v>8</v>
      </c>
      <c r="F1040" s="3" t="str">
        <f>IFERROR(__xludf.DUMMYFUNCTION("GOOGLETRANSLATE(D1040,$D$1,$F$1)"),"Nước")</f>
        <v>Nước</v>
      </c>
      <c r="G1040" s="3" t="s">
        <v>2056</v>
      </c>
    </row>
    <row r="1041">
      <c r="A1041" s="3">
        <v>13.0</v>
      </c>
      <c r="B1041" s="3" t="s">
        <v>2057</v>
      </c>
      <c r="C1041" s="3" t="str">
        <f t="shared" si="1"/>
        <v>115 </v>
      </c>
      <c r="D1041" s="3" t="str">
        <f t="shared" si="2"/>
        <v>ask</v>
      </c>
      <c r="E1041" s="2" t="s">
        <v>8</v>
      </c>
      <c r="F1041" s="3" t="str">
        <f>IFERROR(__xludf.DUMMYFUNCTION("GOOGLETRANSLATE(D1041,$D$1,$F$1)"),"hỏi")</f>
        <v>hỏi</v>
      </c>
      <c r="G1041" s="3" t="s">
        <v>2058</v>
      </c>
    </row>
    <row r="1042">
      <c r="A1042" s="3">
        <v>13.0</v>
      </c>
      <c r="B1042" s="3" t="s">
        <v>2059</v>
      </c>
      <c r="C1042" s="3" t="str">
        <f t="shared" si="1"/>
        <v>115 </v>
      </c>
      <c r="D1042" s="3" t="str">
        <f t="shared" si="2"/>
        <v>inside</v>
      </c>
      <c r="E1042" s="2" t="s">
        <v>8</v>
      </c>
      <c r="F1042" s="3" t="str">
        <f>IFERROR(__xludf.DUMMYFUNCTION("GOOGLETRANSLATE(D1042,$D$1,$F$1)"),"phía trong")</f>
        <v>phía trong</v>
      </c>
      <c r="G1042" s="3" t="s">
        <v>2060</v>
      </c>
    </row>
    <row r="1043">
      <c r="A1043" s="3">
        <v>13.0</v>
      </c>
      <c r="B1043" s="3" t="s">
        <v>2061</v>
      </c>
      <c r="C1043" s="3" t="str">
        <f t="shared" si="1"/>
        <v>115 </v>
      </c>
      <c r="D1043" s="3" t="str">
        <f t="shared" si="2"/>
        <v>taste</v>
      </c>
      <c r="E1043" s="2" t="s">
        <v>8</v>
      </c>
      <c r="F1043" s="3" t="str">
        <f>IFERROR(__xludf.DUMMYFUNCTION("GOOGLETRANSLATE(D1043,$D$1,$F$1)"),"nếm thử")</f>
        <v>nếm thử</v>
      </c>
      <c r="G1043" s="3" t="s">
        <v>2062</v>
      </c>
    </row>
    <row r="1044">
      <c r="A1044" s="3">
        <v>13.0</v>
      </c>
      <c r="B1044" s="3" t="s">
        <v>2063</v>
      </c>
      <c r="C1044" s="3" t="str">
        <f t="shared" si="1"/>
        <v>115 </v>
      </c>
      <c r="D1044" s="3" t="str">
        <f t="shared" si="2"/>
        <v>Sweden</v>
      </c>
      <c r="E1044" s="2" t="s">
        <v>8</v>
      </c>
      <c r="F1044" s="3" t="str">
        <f>IFERROR(__xludf.DUMMYFUNCTION("GOOGLETRANSLATE(D1044,$D$1,$F$1)"),"Thụy Điển")</f>
        <v>Thụy Điển</v>
      </c>
      <c r="G1044" s="3" t="s">
        <v>2064</v>
      </c>
    </row>
    <row r="1045">
      <c r="A1045" s="3">
        <v>13.0</v>
      </c>
      <c r="B1045" s="3" t="s">
        <v>2065</v>
      </c>
      <c r="C1045" s="3" t="str">
        <f t="shared" si="1"/>
        <v>115 </v>
      </c>
      <c r="D1045" s="3" t="str">
        <f t="shared" si="2"/>
        <v>similar</v>
      </c>
      <c r="E1045" s="2" t="s">
        <v>8</v>
      </c>
      <c r="F1045" s="3" t="str">
        <f>IFERROR(__xludf.DUMMYFUNCTION("GOOGLETRANSLATE(D1045,$D$1,$F$1)"),"giống")</f>
        <v>giống</v>
      </c>
      <c r="G1045" s="3" t="s">
        <v>2066</v>
      </c>
    </row>
    <row r="1046">
      <c r="A1046" s="3">
        <v>13.0</v>
      </c>
      <c r="B1046" s="3" t="s">
        <v>2067</v>
      </c>
      <c r="C1046" s="3" t="str">
        <f t="shared" si="1"/>
        <v>115 </v>
      </c>
      <c r="D1046" s="3" t="str">
        <f t="shared" si="2"/>
        <v>unfortunately</v>
      </c>
      <c r="E1046" s="2" t="s">
        <v>8</v>
      </c>
      <c r="F1046" s="3" t="str">
        <f>IFERROR(__xludf.DUMMYFUNCTION("GOOGLETRANSLATE(D1046,$D$1,$F$1)"),"không may")</f>
        <v>không may</v>
      </c>
      <c r="G1046" s="3" t="s">
        <v>2068</v>
      </c>
    </row>
    <row r="1047">
      <c r="A1047" s="3">
        <v>13.0</v>
      </c>
      <c r="B1047" s="3" t="s">
        <v>2069</v>
      </c>
      <c r="C1047" s="3" t="str">
        <f t="shared" si="1"/>
        <v>115 </v>
      </c>
      <c r="D1047" s="3" t="str">
        <f t="shared" si="2"/>
        <v>even</v>
      </c>
      <c r="E1047" s="2" t="s">
        <v>8</v>
      </c>
      <c r="F1047" s="3" t="str">
        <f>IFERROR(__xludf.DUMMYFUNCTION("GOOGLETRANSLATE(D1047,$D$1,$F$1)"),"cũng")</f>
        <v>cũng</v>
      </c>
      <c r="G1047" s="3" t="s">
        <v>2070</v>
      </c>
    </row>
    <row r="1048">
      <c r="A1048" s="3">
        <v>13.0</v>
      </c>
      <c r="B1048" s="3" t="s">
        <v>2071</v>
      </c>
      <c r="C1048" s="3" t="str">
        <f t="shared" si="1"/>
        <v>115 </v>
      </c>
      <c r="D1048" s="3" t="str">
        <f t="shared" si="2"/>
        <v>phrase</v>
      </c>
      <c r="E1048" s="2" t="s">
        <v>8</v>
      </c>
      <c r="F1048" s="3" t="str">
        <f>IFERROR(__xludf.DUMMYFUNCTION("GOOGLETRANSLATE(D1048,$D$1,$F$1)"),"cụm từ")</f>
        <v>cụm từ</v>
      </c>
      <c r="G1048" s="3" t="s">
        <v>2072</v>
      </c>
    </row>
    <row r="1049">
      <c r="A1049" s="3">
        <v>13.0</v>
      </c>
      <c r="B1049" s="3" t="s">
        <v>2073</v>
      </c>
      <c r="C1049" s="3" t="str">
        <f t="shared" si="1"/>
        <v>115 </v>
      </c>
      <c r="D1049" s="3" t="str">
        <f t="shared" si="2"/>
        <v>situation</v>
      </c>
      <c r="E1049" s="2" t="s">
        <v>8</v>
      </c>
      <c r="F1049" s="3" t="str">
        <f>IFERROR(__xludf.DUMMYFUNCTION("GOOGLETRANSLATE(D1049,$D$1,$F$1)"),"tình hình")</f>
        <v>tình hình</v>
      </c>
      <c r="G1049" s="3" t="s">
        <v>2074</v>
      </c>
    </row>
    <row r="1050">
      <c r="A1050" s="3">
        <v>13.0</v>
      </c>
      <c r="B1050" s="3" t="s">
        <v>2075</v>
      </c>
      <c r="C1050" s="3" t="str">
        <f t="shared" si="1"/>
        <v>115 </v>
      </c>
      <c r="D1050" s="3" t="str">
        <f t="shared" si="2"/>
        <v>international</v>
      </c>
      <c r="E1050" s="2" t="s">
        <v>8</v>
      </c>
      <c r="F1050" s="3" t="str">
        <f>IFERROR(__xludf.DUMMYFUNCTION("GOOGLETRANSLATE(D1050,$D$1,$F$1)"),"Quốc tế")</f>
        <v>Quốc tế</v>
      </c>
      <c r="G1050" s="3" t="s">
        <v>2076</v>
      </c>
    </row>
    <row r="1051">
      <c r="A1051" s="3">
        <v>13.0</v>
      </c>
      <c r="B1051" s="3" t="s">
        <v>2077</v>
      </c>
      <c r="C1051" s="3" t="str">
        <f t="shared" si="1"/>
        <v>115 </v>
      </c>
      <c r="D1051" s="3" t="str">
        <f t="shared" si="2"/>
        <v>fluent</v>
      </c>
      <c r="E1051" s="2" t="s">
        <v>8</v>
      </c>
      <c r="F1051" s="3" t="str">
        <f>IFERROR(__xludf.DUMMYFUNCTION("GOOGLETRANSLATE(D1051,$D$1,$F$1)"),"lưu loát")</f>
        <v>lưu loát</v>
      </c>
      <c r="G1051" s="3" t="s">
        <v>2078</v>
      </c>
    </row>
    <row r="1052">
      <c r="A1052" s="3">
        <v>13.0</v>
      </c>
      <c r="B1052" s="3" t="s">
        <v>2079</v>
      </c>
      <c r="C1052" s="3" t="str">
        <f t="shared" si="1"/>
        <v>116 </v>
      </c>
      <c r="D1052" s="3" t="str">
        <f t="shared" si="2"/>
        <v>disappear</v>
      </c>
      <c r="E1052" s="2" t="s">
        <v>8</v>
      </c>
      <c r="F1052" s="3" t="str">
        <f>IFERROR(__xludf.DUMMYFUNCTION("GOOGLETRANSLATE(D1052,$D$1,$F$1)"),"biến mất")</f>
        <v>biến mất</v>
      </c>
      <c r="G1052" s="3" t="s">
        <v>2080</v>
      </c>
    </row>
    <row r="1053">
      <c r="A1053" s="3">
        <v>13.0</v>
      </c>
      <c r="B1053" s="3" t="s">
        <v>2081</v>
      </c>
      <c r="C1053" s="3" t="str">
        <f t="shared" si="1"/>
        <v>116 </v>
      </c>
      <c r="D1053" s="3" t="str">
        <f t="shared" si="2"/>
        <v>sure</v>
      </c>
      <c r="E1053" s="2" t="s">
        <v>8</v>
      </c>
      <c r="F1053" s="3" t="str">
        <f>IFERROR(__xludf.DUMMYFUNCTION("GOOGLETRANSLATE(D1053,$D$1,$F$1)"),"chắc chắn rồi")</f>
        <v>chắc chắn rồi</v>
      </c>
      <c r="G1053" s="3" t="s">
        <v>2082</v>
      </c>
    </row>
    <row r="1054">
      <c r="A1054" s="3">
        <v>13.0</v>
      </c>
      <c r="B1054" s="3" t="s">
        <v>2083</v>
      </c>
      <c r="C1054" s="3" t="str">
        <f t="shared" si="1"/>
        <v>116 </v>
      </c>
      <c r="D1054" s="3" t="str">
        <f t="shared" si="2"/>
        <v>worried</v>
      </c>
      <c r="E1054" s="2" t="s">
        <v>8</v>
      </c>
      <c r="F1054" s="3" t="str">
        <f>IFERROR(__xludf.DUMMYFUNCTION("GOOGLETRANSLATE(D1054,$D$1,$F$1)"),"lo lắng")</f>
        <v>lo lắng</v>
      </c>
      <c r="G1054" s="3" t="s">
        <v>2084</v>
      </c>
    </row>
    <row r="1055">
      <c r="A1055" s="3">
        <v>13.0</v>
      </c>
      <c r="B1055" s="3" t="s">
        <v>2085</v>
      </c>
      <c r="C1055" s="3" t="str">
        <f t="shared" si="1"/>
        <v>116 </v>
      </c>
      <c r="D1055" s="3" t="str">
        <f t="shared" si="2"/>
        <v>full-time</v>
      </c>
      <c r="E1055" s="2" t="s">
        <v>8</v>
      </c>
      <c r="F1055" s="3" t="str">
        <f>IFERROR(__xludf.DUMMYFUNCTION("GOOGLETRANSLATE(D1055,$D$1,$F$1)"),"toàn thời gian")</f>
        <v>toàn thời gian</v>
      </c>
      <c r="G1055" s="3" t="s">
        <v>2086</v>
      </c>
    </row>
    <row r="1056">
      <c r="A1056" s="3">
        <v>13.0</v>
      </c>
      <c r="B1056" s="3" t="s">
        <v>2087</v>
      </c>
      <c r="C1056" s="3" t="str">
        <f t="shared" si="1"/>
        <v>116 </v>
      </c>
      <c r="D1056" s="3" t="str">
        <f t="shared" si="2"/>
        <v>part-time</v>
      </c>
      <c r="E1056" s="2" t="s">
        <v>8</v>
      </c>
      <c r="F1056" s="3" t="str">
        <f>IFERROR(__xludf.DUMMYFUNCTION("GOOGLETRANSLATE(D1056,$D$1,$F$1)"),"bán thời gian")</f>
        <v>bán thời gian</v>
      </c>
      <c r="G1056" s="3" t="s">
        <v>2088</v>
      </c>
    </row>
    <row r="1057">
      <c r="A1057" s="3">
        <v>13.0</v>
      </c>
      <c r="B1057" s="3" t="s">
        <v>2089</v>
      </c>
      <c r="C1057" s="3" t="str">
        <f t="shared" si="1"/>
        <v>116 </v>
      </c>
      <c r="D1057" s="3" t="str">
        <f t="shared" si="2"/>
        <v>last</v>
      </c>
      <c r="E1057" s="2" t="s">
        <v>8</v>
      </c>
      <c r="F1057" s="3" t="str">
        <f>IFERROR(__xludf.DUMMYFUNCTION("GOOGLETRANSLATE(D1057,$D$1,$F$1)"),"Cuối cùng")</f>
        <v>Cuối cùng</v>
      </c>
      <c r="G1057" s="3" t="s">
        <v>2090</v>
      </c>
    </row>
    <row r="1058">
      <c r="A1058" s="3">
        <v>13.0</v>
      </c>
      <c r="B1058" s="3" t="s">
        <v>2091</v>
      </c>
      <c r="C1058" s="3" t="str">
        <f t="shared" si="1"/>
        <v>117 </v>
      </c>
      <c r="D1058" s="3" t="str">
        <f t="shared" si="2"/>
        <v>leisure</v>
      </c>
      <c r="E1058" s="2" t="s">
        <v>8</v>
      </c>
      <c r="F1058" s="3" t="str">
        <f>IFERROR(__xludf.DUMMYFUNCTION("GOOGLETRANSLATE(D1058,$D$1,$F$1)"),"giải trí")</f>
        <v>giải trí</v>
      </c>
      <c r="G1058" s="3" t="s">
        <v>2092</v>
      </c>
    </row>
    <row r="1059">
      <c r="A1059" s="3">
        <v>13.0</v>
      </c>
      <c r="B1059" s="3" t="s">
        <v>2093</v>
      </c>
      <c r="C1059" s="3" t="str">
        <f t="shared" si="1"/>
        <v>117 </v>
      </c>
      <c r="D1059" s="3" t="str">
        <f t="shared" si="2"/>
        <v>tourism</v>
      </c>
      <c r="E1059" s="2" t="s">
        <v>8</v>
      </c>
      <c r="F1059" s="3" t="str">
        <f>IFERROR(__xludf.DUMMYFUNCTION("GOOGLETRANSLATE(D1059,$D$1,$F$1)"),"du lịch")</f>
        <v>du lịch</v>
      </c>
      <c r="G1059" s="3" t="s">
        <v>2094</v>
      </c>
    </row>
    <row r="1060">
      <c r="A1060" s="3">
        <v>13.0</v>
      </c>
      <c r="B1060" s="3" t="s">
        <v>2095</v>
      </c>
      <c r="C1060" s="3" t="str">
        <f t="shared" si="1"/>
        <v>117 </v>
      </c>
      <c r="D1060" s="3" t="str">
        <f t="shared" si="2"/>
        <v>marketing</v>
      </c>
      <c r="E1060" s="2" t="s">
        <v>8</v>
      </c>
      <c r="F1060" s="3" t="str">
        <f>IFERROR(__xludf.DUMMYFUNCTION("GOOGLETRANSLATE(D1060,$D$1,$F$1)"),"thị trường")</f>
        <v>thị trường</v>
      </c>
      <c r="G1060" s="3" t="s">
        <v>2096</v>
      </c>
    </row>
    <row r="1061">
      <c r="A1061" s="3">
        <v>13.0</v>
      </c>
      <c r="B1061" s="3" t="s">
        <v>2097</v>
      </c>
      <c r="C1061" s="3" t="str">
        <f t="shared" si="1"/>
        <v>117 </v>
      </c>
      <c r="D1061" s="3" t="str">
        <f t="shared" si="2"/>
        <v>promotion</v>
      </c>
      <c r="E1061" s="2" t="s">
        <v>8</v>
      </c>
      <c r="F1061" s="3" t="str">
        <f>IFERROR(__xludf.DUMMYFUNCTION("GOOGLETRANSLATE(D1061,$D$1,$F$1)"),"khuyến mãi")</f>
        <v>khuyến mãi</v>
      </c>
      <c r="G1061" s="3" t="s">
        <v>2098</v>
      </c>
    </row>
    <row r="1062">
      <c r="A1062" s="3">
        <v>13.0</v>
      </c>
      <c r="B1062" s="3" t="s">
        <v>2099</v>
      </c>
      <c r="C1062" s="3" t="str">
        <f t="shared" si="1"/>
        <v>117 </v>
      </c>
      <c r="D1062" s="3" t="str">
        <f t="shared" si="2"/>
        <v>customer</v>
      </c>
      <c r="E1062" s="2" t="s">
        <v>8</v>
      </c>
      <c r="F1062" s="3" t="str">
        <f>IFERROR(__xludf.DUMMYFUNCTION("GOOGLETRANSLATE(D1062,$D$1,$F$1)"),"khách hàng")</f>
        <v>khách hàng</v>
      </c>
      <c r="G1062" s="3" t="s">
        <v>2100</v>
      </c>
    </row>
    <row r="1063">
      <c r="A1063" s="3">
        <v>13.0</v>
      </c>
      <c r="B1063" s="3" t="s">
        <v>2101</v>
      </c>
      <c r="C1063" s="3" t="str">
        <f t="shared" si="1"/>
        <v>117 </v>
      </c>
      <c r="D1063" s="3" t="str">
        <f t="shared" si="2"/>
        <v>purpose</v>
      </c>
      <c r="E1063" s="2" t="s">
        <v>8</v>
      </c>
      <c r="F1063" s="3" t="str">
        <f>IFERROR(__xludf.DUMMYFUNCTION("GOOGLETRANSLATE(D1063,$D$1,$F$1)"),"mục đích")</f>
        <v>mục đích</v>
      </c>
      <c r="G1063" s="3" t="s">
        <v>2102</v>
      </c>
    </row>
    <row r="1064">
      <c r="A1064" s="3">
        <v>13.0</v>
      </c>
      <c r="B1064" s="3" t="s">
        <v>2103</v>
      </c>
      <c r="C1064" s="3" t="str">
        <f t="shared" si="1"/>
        <v>117 </v>
      </c>
      <c r="D1064" s="3" t="str">
        <f t="shared" si="2"/>
        <v>various</v>
      </c>
      <c r="E1064" s="2" t="s">
        <v>8</v>
      </c>
      <c r="F1064" s="3" t="str">
        <f>IFERROR(__xludf.DUMMYFUNCTION("GOOGLETRANSLATE(D1064,$D$1,$F$1)"),"đa dạng")</f>
        <v>đa dạng</v>
      </c>
      <c r="G1064" s="3" t="s">
        <v>2104</v>
      </c>
    </row>
    <row r="1065">
      <c r="A1065" s="3">
        <v>13.0</v>
      </c>
      <c r="B1065" s="3" t="s">
        <v>2105</v>
      </c>
      <c r="C1065" s="3" t="str">
        <f t="shared" si="1"/>
        <v>117 </v>
      </c>
      <c r="D1065" s="3" t="str">
        <f t="shared" si="2"/>
        <v>childcare</v>
      </c>
      <c r="E1065" s="2" t="s">
        <v>8</v>
      </c>
      <c r="F1065" s="3" t="str">
        <f>IFERROR(__xludf.DUMMYFUNCTION("GOOGLETRANSLATE(D1065,$D$1,$F$1)"),"chăm sóc trẻ em")</f>
        <v>chăm sóc trẻ em</v>
      </c>
      <c r="G1065" s="3" t="s">
        <v>2106</v>
      </c>
    </row>
    <row r="1066">
      <c r="A1066" s="3">
        <v>13.0</v>
      </c>
      <c r="B1066" s="3" t="s">
        <v>2107</v>
      </c>
      <c r="C1066" s="3" t="str">
        <f t="shared" si="1"/>
        <v>117 </v>
      </c>
      <c r="D1066" s="3" t="str">
        <f t="shared" si="2"/>
        <v>pre-school</v>
      </c>
      <c r="E1066" s="2" t="s">
        <v>8</v>
      </c>
      <c r="F1066" s="3" t="str">
        <f>IFERROR(__xludf.DUMMYFUNCTION("GOOGLETRANSLATE(D1066,$D$1,$F$1)"),"Trường mầm non")</f>
        <v>Trường mầm non</v>
      </c>
      <c r="G1066" s="3" t="s">
        <v>2108</v>
      </c>
    </row>
    <row r="1067">
      <c r="A1067" s="3">
        <v>13.0</v>
      </c>
      <c r="B1067" s="3" t="s">
        <v>2109</v>
      </c>
      <c r="C1067" s="3" t="str">
        <f t="shared" si="1"/>
        <v>117 </v>
      </c>
      <c r="D1067" s="3" t="str">
        <f t="shared" si="2"/>
        <v>nursery</v>
      </c>
      <c r="E1067" s="2" t="s">
        <v>8</v>
      </c>
      <c r="F1067" s="3" t="str">
        <f>IFERROR(__xludf.DUMMYFUNCTION("GOOGLETRANSLATE(D1067,$D$1,$F$1)"),"vườn ươm")</f>
        <v>vườn ươm</v>
      </c>
      <c r="G1067" s="3" t="s">
        <v>2110</v>
      </c>
    </row>
    <row r="1068">
      <c r="A1068" s="3">
        <v>13.0</v>
      </c>
      <c r="B1068" s="3" t="s">
        <v>2111</v>
      </c>
      <c r="C1068" s="3" t="str">
        <f t="shared" si="1"/>
        <v>117 </v>
      </c>
      <c r="D1068" s="3" t="str">
        <f t="shared" si="2"/>
        <v>private home</v>
      </c>
      <c r="E1068" s="2" t="s">
        <v>8</v>
      </c>
      <c r="F1068" s="3" t="str">
        <f>IFERROR(__xludf.DUMMYFUNCTION("GOOGLETRANSLATE(D1068,$D$1,$F$1)"),"nhà riêng")</f>
        <v>nhà riêng</v>
      </c>
      <c r="G1068" s="3" t="s">
        <v>2112</v>
      </c>
    </row>
    <row r="1069">
      <c r="A1069" s="3">
        <v>13.0</v>
      </c>
      <c r="B1069" s="3" t="s">
        <v>2113</v>
      </c>
      <c r="C1069" s="3" t="str">
        <f t="shared" si="1"/>
        <v>117 </v>
      </c>
      <c r="D1069" s="3" t="str">
        <f t="shared" si="2"/>
        <v>development</v>
      </c>
      <c r="E1069" s="2" t="s">
        <v>8</v>
      </c>
      <c r="F1069" s="3" t="str">
        <f>IFERROR(__xludf.DUMMYFUNCTION("GOOGLETRANSLATE(D1069,$D$1,$F$1)"),"phát triển")</f>
        <v>phát triển</v>
      </c>
      <c r="G1069" s="3" t="s">
        <v>2114</v>
      </c>
    </row>
    <row r="1070">
      <c r="A1070" s="3">
        <v>13.0</v>
      </c>
      <c r="B1070" s="3" t="s">
        <v>2115</v>
      </c>
      <c r="C1070" s="3" t="str">
        <f t="shared" si="1"/>
        <v>117 </v>
      </c>
      <c r="D1070" s="3" t="str">
        <f t="shared" si="2"/>
        <v>health</v>
      </c>
      <c r="E1070" s="2" t="s">
        <v>8</v>
      </c>
      <c r="F1070" s="3" t="str">
        <f>IFERROR(__xludf.DUMMYFUNCTION("GOOGLETRANSLATE(D1070,$D$1,$F$1)"),"Sức khỏe")</f>
        <v>Sức khỏe</v>
      </c>
      <c r="G1070" s="3" t="s">
        <v>2116</v>
      </c>
    </row>
    <row r="1071">
      <c r="A1071" s="3">
        <v>13.0</v>
      </c>
      <c r="B1071" s="3" t="s">
        <v>2117</v>
      </c>
      <c r="C1071" s="3" t="str">
        <f t="shared" si="1"/>
        <v>117 </v>
      </c>
      <c r="D1071" s="3" t="str">
        <f t="shared" si="2"/>
        <v>safety</v>
      </c>
      <c r="E1071" s="2" t="s">
        <v>8</v>
      </c>
      <c r="F1071" s="3" t="str">
        <f>IFERROR(__xludf.DUMMYFUNCTION("GOOGLETRANSLATE(D1071,$D$1,$F$1)"),"sự an toàn")</f>
        <v>sự an toàn</v>
      </c>
      <c r="G1071" s="3" t="s">
        <v>2118</v>
      </c>
    </row>
    <row r="1072">
      <c r="A1072" s="3">
        <v>13.0</v>
      </c>
      <c r="B1072" s="3" t="s">
        <v>2119</v>
      </c>
      <c r="C1072" s="3" t="str">
        <f t="shared" si="1"/>
        <v>117 </v>
      </c>
      <c r="D1072" s="3" t="str">
        <f t="shared" si="2"/>
        <v>option</v>
      </c>
      <c r="E1072" s="2" t="s">
        <v>8</v>
      </c>
      <c r="F1072" s="3" t="str">
        <f>IFERROR(__xludf.DUMMYFUNCTION("GOOGLETRANSLATE(D1072,$D$1,$F$1)"),"Lựa chọn")</f>
        <v>Lựa chọn</v>
      </c>
      <c r="G1072" s="3" t="s">
        <v>2120</v>
      </c>
    </row>
    <row r="1073">
      <c r="A1073" s="3">
        <v>13.0</v>
      </c>
      <c r="B1073" s="3" t="s">
        <v>2121</v>
      </c>
      <c r="C1073" s="3" t="str">
        <f t="shared" si="1"/>
        <v>117 </v>
      </c>
      <c r="D1073" s="3" t="str">
        <f t="shared" si="2"/>
        <v>sports centre</v>
      </c>
      <c r="E1073" s="2" t="s">
        <v>8</v>
      </c>
      <c r="F1073" s="3" t="str">
        <f>IFERROR(__xludf.DUMMYFUNCTION("GOOGLETRANSLATE(D1073,$D$1,$F$1)"),"Trung tâm thể thao")</f>
        <v>Trung tâm thể thao</v>
      </c>
      <c r="G1073" s="3" t="s">
        <v>2122</v>
      </c>
    </row>
    <row r="1074">
      <c r="A1074" s="3">
        <v>13.0</v>
      </c>
      <c r="B1074" s="3" t="s">
        <v>2123</v>
      </c>
      <c r="C1074" s="3" t="str">
        <f t="shared" si="1"/>
        <v>117 </v>
      </c>
      <c r="D1074" s="3" t="str">
        <f t="shared" si="2"/>
        <v>coach (v)</v>
      </c>
      <c r="E1074" s="2" t="s">
        <v>8</v>
      </c>
      <c r="F1074" s="3" t="str">
        <f>IFERROR(__xludf.DUMMYFUNCTION("GOOGLETRANSLATE(D1074,$D$1,$F$1)"),"HLV (v)")</f>
        <v>HLV (v)</v>
      </c>
      <c r="G1074" s="3" t="s">
        <v>2124</v>
      </c>
    </row>
    <row r="1075">
      <c r="A1075" s="3">
        <v>13.0</v>
      </c>
      <c r="B1075" s="3" t="s">
        <v>2125</v>
      </c>
      <c r="C1075" s="3" t="str">
        <f t="shared" si="1"/>
        <v>117 </v>
      </c>
      <c r="D1075" s="3" t="str">
        <f t="shared" si="2"/>
        <v>fitness</v>
      </c>
      <c r="E1075" s="2" t="s">
        <v>8</v>
      </c>
      <c r="F1075" s="3" t="str">
        <f>IFERROR(__xludf.DUMMYFUNCTION("GOOGLETRANSLATE(D1075,$D$1,$F$1)"),"sự khỏe khoắn")</f>
        <v>sự khỏe khoắn</v>
      </c>
      <c r="G1075" s="3" t="s">
        <v>2126</v>
      </c>
    </row>
    <row r="1076">
      <c r="A1076" s="3">
        <v>13.0</v>
      </c>
      <c r="B1076" s="3" t="s">
        <v>2127</v>
      </c>
      <c r="C1076" s="3" t="str">
        <f t="shared" si="1"/>
        <v>117 </v>
      </c>
      <c r="D1076" s="3" t="str">
        <f t="shared" si="2"/>
        <v>performing Arts</v>
      </c>
      <c r="E1076" s="2" t="s">
        <v>8</v>
      </c>
      <c r="F1076" s="3" t="str">
        <f>IFERROR(__xludf.DUMMYFUNCTION("GOOGLETRANSLATE(D1076,$D$1,$F$1)"),"biểu diễn nghệ thuật")</f>
        <v>biểu diễn nghệ thuật</v>
      </c>
      <c r="G1076" s="3" t="s">
        <v>2128</v>
      </c>
    </row>
    <row r="1077">
      <c r="A1077" s="3">
        <v>13.0</v>
      </c>
      <c r="B1077" s="3" t="s">
        <v>2129</v>
      </c>
      <c r="C1077" s="3" t="str">
        <f t="shared" si="1"/>
        <v>117 </v>
      </c>
      <c r="D1077" s="3" t="str">
        <f t="shared" si="2"/>
        <v>dance (n)</v>
      </c>
      <c r="E1077" s="2" t="s">
        <v>8</v>
      </c>
      <c r="F1077" s="3" t="str">
        <f>IFERROR(__xludf.DUMMYFUNCTION("GOOGLETRANSLATE(D1077,$D$1,$F$1)"),"khiêu vũ (n)")</f>
        <v>khiêu vũ (n)</v>
      </c>
      <c r="G1077" s="3" t="s">
        <v>2130</v>
      </c>
    </row>
    <row r="1078">
      <c r="A1078" s="3">
        <v>13.0</v>
      </c>
      <c r="B1078" s="3" t="s">
        <v>2131</v>
      </c>
      <c r="C1078" s="3" t="str">
        <f t="shared" si="1"/>
        <v>117 </v>
      </c>
      <c r="D1078" s="3" t="str">
        <f t="shared" si="2"/>
        <v>drama</v>
      </c>
      <c r="E1078" s="2" t="s">
        <v>8</v>
      </c>
      <c r="F1078" s="3" t="str">
        <f>IFERROR(__xludf.DUMMYFUNCTION("GOOGLETRANSLATE(D1078,$D$1,$F$1)"),"kịch")</f>
        <v>kịch</v>
      </c>
      <c r="G1078" s="3" t="s">
        <v>2132</v>
      </c>
    </row>
    <row r="1079">
      <c r="A1079" s="3">
        <v>13.0</v>
      </c>
      <c r="B1079" s="3" t="s">
        <v>2133</v>
      </c>
      <c r="C1079" s="3" t="str">
        <f t="shared" si="1"/>
        <v>117 </v>
      </c>
      <c r="D1079" s="3" t="str">
        <f t="shared" si="2"/>
        <v>directing</v>
      </c>
      <c r="E1079" s="2" t="s">
        <v>8</v>
      </c>
      <c r="F1079" s="3" t="str">
        <f>IFERROR(__xludf.DUMMYFUNCTION("GOOGLETRANSLATE(D1079,$D$1,$F$1)"),"hướng dẩn")</f>
        <v>hướng dẩn</v>
      </c>
      <c r="G1079" s="3" t="s">
        <v>2134</v>
      </c>
    </row>
    <row r="1080">
      <c r="A1080" s="3">
        <v>13.0</v>
      </c>
      <c r="B1080" s="3" t="s">
        <v>2135</v>
      </c>
      <c r="C1080" s="3" t="str">
        <f t="shared" si="1"/>
        <v>117 </v>
      </c>
      <c r="D1080" s="3" t="str">
        <f t="shared" si="2"/>
        <v>at the time</v>
      </c>
      <c r="E1080" s="2" t="s">
        <v>8</v>
      </c>
      <c r="F1080" s="3" t="str">
        <f>IFERROR(__xludf.DUMMYFUNCTION("GOOGLETRANSLATE(D1080,$D$1,$F$1)"),"vào thời điểm đó")</f>
        <v>vào thời điểm đó</v>
      </c>
      <c r="G1080" s="3" t="s">
        <v>2136</v>
      </c>
    </row>
    <row r="1081">
      <c r="A1081" s="3">
        <v>13.0</v>
      </c>
      <c r="B1081" s="3" t="s">
        <v>2137</v>
      </c>
      <c r="C1081" s="3" t="str">
        <f t="shared" si="1"/>
        <v>117 </v>
      </c>
      <c r="D1081" s="3" t="str">
        <f t="shared" si="2"/>
        <v>media</v>
      </c>
      <c r="E1081" s="2" t="s">
        <v>8</v>
      </c>
      <c r="F1081" s="3" t="str">
        <f>IFERROR(__xludf.DUMMYFUNCTION("GOOGLETRANSLATE(D1081,$D$1,$F$1)"),"phương tiện truyền thông")</f>
        <v>phương tiện truyền thông</v>
      </c>
      <c r="G1081" s="3" t="s">
        <v>2138</v>
      </c>
    </row>
    <row r="1082">
      <c r="A1082" s="3">
        <v>13.0</v>
      </c>
      <c r="B1082" s="3" t="s">
        <v>2139</v>
      </c>
      <c r="C1082" s="3" t="str">
        <f t="shared" si="1"/>
        <v>117 </v>
      </c>
      <c r="D1082" s="3" t="str">
        <f t="shared" si="2"/>
        <v>disagree</v>
      </c>
      <c r="E1082" s="2" t="s">
        <v>8</v>
      </c>
      <c r="F1082" s="3" t="str">
        <f>IFERROR(__xludf.DUMMYFUNCTION("GOOGLETRANSLATE(D1082,$D$1,$F$1)"),"không đồng ý")</f>
        <v>không đồng ý</v>
      </c>
      <c r="G1082" s="3" t="s">
        <v>2140</v>
      </c>
    </row>
    <row r="1083">
      <c r="A1083" s="3">
        <v>13.0</v>
      </c>
      <c r="B1083" s="3" t="s">
        <v>2141</v>
      </c>
      <c r="C1083" s="3" t="str">
        <f t="shared" si="1"/>
        <v>118 </v>
      </c>
      <c r="D1083" s="3" t="str">
        <f t="shared" si="2"/>
        <v>advanced</v>
      </c>
      <c r="E1083" s="2" t="s">
        <v>8</v>
      </c>
      <c r="F1083" s="3" t="str">
        <f>IFERROR(__xludf.DUMMYFUNCTION("GOOGLETRANSLATE(D1083,$D$1,$F$1)"),"nâng cao")</f>
        <v>nâng cao</v>
      </c>
      <c r="G1083" s="3" t="s">
        <v>2142</v>
      </c>
    </row>
    <row r="1084">
      <c r="A1084" s="3">
        <v>13.0</v>
      </c>
      <c r="B1084" s="3" t="s">
        <v>2143</v>
      </c>
      <c r="C1084" s="3" t="str">
        <f t="shared" si="1"/>
        <v>118 </v>
      </c>
      <c r="D1084" s="3" t="str">
        <f t="shared" si="2"/>
        <v>register (v)</v>
      </c>
      <c r="E1084" s="2" t="s">
        <v>8</v>
      </c>
      <c r="F1084" s="3" t="str">
        <f>IFERROR(__xludf.DUMMYFUNCTION("GOOGLETRANSLATE(D1084,$D$1,$F$1)"),"đăng ký (v)")</f>
        <v>đăng ký (v)</v>
      </c>
      <c r="G1084" s="3" t="s">
        <v>2144</v>
      </c>
    </row>
    <row r="1085">
      <c r="A1085" s="3">
        <v>13.0</v>
      </c>
      <c r="B1085" s="3" t="s">
        <v>2145</v>
      </c>
      <c r="C1085" s="3" t="str">
        <f t="shared" si="1"/>
        <v>119 </v>
      </c>
      <c r="D1085" s="3" t="str">
        <f t="shared" si="2"/>
        <v>administrator</v>
      </c>
      <c r="E1085" s="2" t="s">
        <v>8</v>
      </c>
      <c r="F1085" s="3" t="str">
        <f>IFERROR(__xludf.DUMMYFUNCTION("GOOGLETRANSLATE(D1085,$D$1,$F$1)"),"người quản lý")</f>
        <v>người quản lý</v>
      </c>
      <c r="G1085" s="3" t="s">
        <v>2146</v>
      </c>
    </row>
    <row r="1086">
      <c r="A1086" s="3">
        <v>13.0</v>
      </c>
      <c r="B1086" s="3" t="s">
        <v>2147</v>
      </c>
      <c r="C1086" s="3" t="str">
        <f t="shared" si="1"/>
        <v>119 </v>
      </c>
      <c r="D1086" s="3" t="str">
        <f t="shared" si="2"/>
        <v>petrol station</v>
      </c>
      <c r="E1086" s="2" t="s">
        <v>8</v>
      </c>
      <c r="F1086" s="3" t="str">
        <f>IFERROR(__xludf.DUMMYFUNCTION("GOOGLETRANSLATE(D1086,$D$1,$F$1)"),"trạm xăng")</f>
        <v>trạm xăng</v>
      </c>
      <c r="G1086" s="3" t="s">
        <v>2148</v>
      </c>
    </row>
    <row r="1087">
      <c r="A1087" s="3">
        <v>13.0</v>
      </c>
      <c r="B1087" s="3" t="s">
        <v>2149</v>
      </c>
      <c r="C1087" s="3" t="str">
        <f t="shared" si="1"/>
        <v>119 </v>
      </c>
      <c r="D1087" s="3" t="str">
        <f t="shared" si="2"/>
        <v>library</v>
      </c>
      <c r="E1087" s="2" t="s">
        <v>8</v>
      </c>
      <c r="F1087" s="3" t="str">
        <f>IFERROR(__xludf.DUMMYFUNCTION("GOOGLETRANSLATE(D1087,$D$1,$F$1)"),"thư viện")</f>
        <v>thư viện</v>
      </c>
      <c r="G1087" s="3" t="s">
        <v>2150</v>
      </c>
    </row>
    <row r="1088">
      <c r="A1088" s="3">
        <v>13.0</v>
      </c>
      <c r="B1088" s="3" t="s">
        <v>2151</v>
      </c>
      <c r="C1088" s="3" t="str">
        <f t="shared" si="1"/>
        <v>119 </v>
      </c>
      <c r="D1088" s="3" t="str">
        <f t="shared" si="2"/>
        <v>coffee-bar</v>
      </c>
      <c r="E1088" s="2" t="s">
        <v>8</v>
      </c>
      <c r="F1088" s="3" t="str">
        <f>IFERROR(__xludf.DUMMYFUNCTION("GOOGLETRANSLATE(D1088,$D$1,$F$1)"),"cà phê-bar")</f>
        <v>cà phê-bar</v>
      </c>
      <c r="G1088" s="3" t="s">
        <v>2152</v>
      </c>
    </row>
    <row r="1089">
      <c r="A1089" s="3">
        <v>14.0</v>
      </c>
      <c r="B1089" s="3" t="s">
        <v>2153</v>
      </c>
      <c r="C1089" s="3" t="str">
        <f t="shared" si="1"/>
        <v>120 </v>
      </c>
      <c r="D1089" s="3" t="str">
        <f t="shared" si="2"/>
        <v>keep in touch</v>
      </c>
      <c r="E1089" s="2" t="s">
        <v>8</v>
      </c>
      <c r="F1089" s="3" t="str">
        <f>IFERROR(__xludf.DUMMYFUNCTION("GOOGLETRANSLATE(D1089,$D$1,$F$1)"),"giữ liên lạc")</f>
        <v>giữ liên lạc</v>
      </c>
      <c r="G1089" s="3" t="s">
        <v>2154</v>
      </c>
    </row>
    <row r="1090">
      <c r="A1090" s="3">
        <v>14.0</v>
      </c>
      <c r="B1090" s="3" t="s">
        <v>2155</v>
      </c>
      <c r="C1090" s="3" t="str">
        <f t="shared" si="1"/>
        <v>120 </v>
      </c>
      <c r="D1090" s="3" t="str">
        <f t="shared" si="2"/>
        <v>typewriter</v>
      </c>
      <c r="E1090" s="2" t="s">
        <v>8</v>
      </c>
      <c r="F1090" s="3" t="str">
        <f>IFERROR(__xludf.DUMMYFUNCTION("GOOGLETRANSLATE(D1090,$D$1,$F$1)"),"máy đánh chữ")</f>
        <v>máy đánh chữ</v>
      </c>
      <c r="G1090" s="3" t="s">
        <v>2156</v>
      </c>
    </row>
    <row r="1091">
      <c r="A1091" s="3">
        <v>14.0</v>
      </c>
      <c r="B1091" s="3" t="s">
        <v>2157</v>
      </c>
      <c r="C1091" s="3" t="str">
        <f t="shared" si="1"/>
        <v>120 </v>
      </c>
      <c r="D1091" s="3" t="str">
        <f t="shared" si="2"/>
        <v>text message</v>
      </c>
      <c r="E1091" s="2" t="s">
        <v>8</v>
      </c>
      <c r="F1091" s="3" t="str">
        <f>IFERROR(__xludf.DUMMYFUNCTION("GOOGLETRANSLATE(D1091,$D$1,$F$1)"),"tin nhắn văn bản")</f>
        <v>tin nhắn văn bản</v>
      </c>
      <c r="G1091" s="3" t="s">
        <v>2158</v>
      </c>
    </row>
    <row r="1092">
      <c r="A1092" s="3">
        <v>14.0</v>
      </c>
      <c r="B1092" s="3" t="s">
        <v>2159</v>
      </c>
      <c r="C1092" s="3" t="str">
        <f t="shared" si="1"/>
        <v>120 </v>
      </c>
      <c r="D1092" s="3" t="str">
        <f t="shared" si="2"/>
        <v>postage stamp</v>
      </c>
      <c r="E1092" s="2" t="s">
        <v>8</v>
      </c>
      <c r="F1092" s="3" t="str">
        <f>IFERROR(__xludf.DUMMYFUNCTION("GOOGLETRANSLATE(D1092,$D$1,$F$1)"),"bưu phí")</f>
        <v>bưu phí</v>
      </c>
      <c r="G1092" s="3" t="s">
        <v>2160</v>
      </c>
    </row>
    <row r="1093">
      <c r="A1093" s="3">
        <v>14.0</v>
      </c>
      <c r="B1093" s="3" t="s">
        <v>2161</v>
      </c>
      <c r="C1093" s="3" t="str">
        <f t="shared" si="1"/>
        <v>120 </v>
      </c>
      <c r="D1093" s="3" t="str">
        <f t="shared" si="2"/>
        <v>fax machine</v>
      </c>
      <c r="E1093" s="2" t="s">
        <v>8</v>
      </c>
      <c r="F1093" s="3" t="str">
        <f>IFERROR(__xludf.DUMMYFUNCTION("GOOGLETRANSLATE(D1093,$D$1,$F$1)"),"máy fax")</f>
        <v>máy fax</v>
      </c>
      <c r="G1093" s="3" t="s">
        <v>2162</v>
      </c>
    </row>
    <row r="1094">
      <c r="A1094" s="3">
        <v>14.0</v>
      </c>
      <c r="B1094" s="3" t="s">
        <v>2163</v>
      </c>
      <c r="C1094" s="3" t="str">
        <f t="shared" si="1"/>
        <v>120 </v>
      </c>
      <c r="D1094" s="3" t="str">
        <f t="shared" si="2"/>
        <v>deliver</v>
      </c>
      <c r="E1094" s="2" t="s">
        <v>8</v>
      </c>
      <c r="F1094" s="3" t="str">
        <f>IFERROR(__xludf.DUMMYFUNCTION("GOOGLETRANSLATE(D1094,$D$1,$F$1)"),"giao hàng")</f>
        <v>giao hàng</v>
      </c>
      <c r="G1094" s="3" t="s">
        <v>2164</v>
      </c>
    </row>
    <row r="1095">
      <c r="A1095" s="3">
        <v>14.0</v>
      </c>
      <c r="B1095" s="3" t="s">
        <v>2165</v>
      </c>
      <c r="C1095" s="3" t="str">
        <f t="shared" si="1"/>
        <v>120 </v>
      </c>
      <c r="D1095" s="3" t="str">
        <f t="shared" si="2"/>
        <v>Ancient Egypt</v>
      </c>
      <c r="E1095" s="2" t="s">
        <v>8</v>
      </c>
      <c r="F1095" s="3" t="str">
        <f>IFERROR(__xludf.DUMMYFUNCTION("GOOGLETRANSLATE(D1095,$D$1,$F$1)"),"Ai Cập cổ đại")</f>
        <v>Ai Cập cổ đại</v>
      </c>
      <c r="G1095" s="3" t="s">
        <v>2166</v>
      </c>
    </row>
    <row r="1096">
      <c r="A1096" s="3">
        <v>14.0</v>
      </c>
      <c r="B1096" s="3" t="s">
        <v>2167</v>
      </c>
      <c r="C1096" s="3" t="str">
        <f t="shared" si="1"/>
        <v>120 </v>
      </c>
      <c r="D1096" s="3" t="str">
        <f t="shared" si="2"/>
        <v>stamp</v>
      </c>
      <c r="E1096" s="2" t="s">
        <v>8</v>
      </c>
      <c r="F1096" s="3" t="str">
        <f>IFERROR(__xludf.DUMMYFUNCTION("GOOGLETRANSLATE(D1096,$D$1,$F$1)"),"con tem")</f>
        <v>con tem</v>
      </c>
      <c r="G1096" s="3" t="s">
        <v>2168</v>
      </c>
    </row>
    <row r="1097">
      <c r="A1097" s="3">
        <v>14.0</v>
      </c>
      <c r="B1097" s="3" t="s">
        <v>2169</v>
      </c>
      <c r="C1097" s="3" t="str">
        <f t="shared" si="1"/>
        <v>120 </v>
      </c>
      <c r="D1097" s="3" t="str">
        <f t="shared" si="2"/>
        <v>keyboard</v>
      </c>
      <c r="E1097" s="2" t="s">
        <v>8</v>
      </c>
      <c r="F1097" s="3" t="str">
        <f>IFERROR(__xludf.DUMMYFUNCTION("GOOGLETRANSLATE(D1097,$D$1,$F$1)"),"bàn phím")</f>
        <v>bàn phím</v>
      </c>
      <c r="G1097" s="3" t="s">
        <v>2170</v>
      </c>
    </row>
    <row r="1098">
      <c r="A1098" s="3">
        <v>14.0</v>
      </c>
      <c r="B1098" s="3" t="s">
        <v>2171</v>
      </c>
      <c r="C1098" s="3" t="str">
        <f t="shared" si="1"/>
        <v>120 </v>
      </c>
      <c r="D1098" s="3" t="str">
        <f t="shared" si="2"/>
        <v>World War Two</v>
      </c>
      <c r="E1098" s="2" t="s">
        <v>8</v>
      </c>
      <c r="F1098" s="3" t="str">
        <f>IFERROR(__xludf.DUMMYFUNCTION("GOOGLETRANSLATE(D1098,$D$1,$F$1)"),"Chiến tranh thế giới hai")</f>
        <v>Chiến tranh thế giới hai</v>
      </c>
      <c r="G1098" s="3" t="s">
        <v>2172</v>
      </c>
    </row>
    <row r="1099">
      <c r="A1099" s="3">
        <v>14.0</v>
      </c>
      <c r="B1099" s="3" t="s">
        <v>2173</v>
      </c>
      <c r="C1099" s="3" t="str">
        <f t="shared" si="1"/>
        <v>120 </v>
      </c>
      <c r="D1099" s="3" t="str">
        <f t="shared" si="2"/>
        <v>annoying</v>
      </c>
      <c r="E1099" s="2" t="s">
        <v>8</v>
      </c>
      <c r="F1099" s="3" t="str">
        <f>IFERROR(__xludf.DUMMYFUNCTION("GOOGLETRANSLATE(D1099,$D$1,$F$1)"),"làm phiền")</f>
        <v>làm phiền</v>
      </c>
      <c r="G1099" s="3" t="s">
        <v>2174</v>
      </c>
    </row>
    <row r="1100">
      <c r="A1100" s="3">
        <v>14.0</v>
      </c>
      <c r="B1100" s="3" t="s">
        <v>2175</v>
      </c>
      <c r="C1100" s="3" t="str">
        <f t="shared" si="1"/>
        <v>120 </v>
      </c>
      <c r="D1100" s="3" t="str">
        <f t="shared" si="2"/>
        <v>scribe</v>
      </c>
      <c r="E1100" s="2" t="s">
        <v>8</v>
      </c>
      <c r="F1100" s="3" t="str">
        <f>IFERROR(__xludf.DUMMYFUNCTION("GOOGLETRANSLATE(D1100,$D$1,$F$1)"),"sao chép lại")</f>
        <v>sao chép lại</v>
      </c>
      <c r="G1100" s="3" t="s">
        <v>2176</v>
      </c>
    </row>
    <row r="1101">
      <c r="A1101" s="3">
        <v>14.0</v>
      </c>
      <c r="B1101" s="3" t="s">
        <v>2177</v>
      </c>
      <c r="C1101" s="3" t="str">
        <f t="shared" si="1"/>
        <v>121 </v>
      </c>
      <c r="D1101" s="3" t="str">
        <f t="shared" si="2"/>
        <v>top line</v>
      </c>
      <c r="E1101" s="2" t="s">
        <v>8</v>
      </c>
      <c r="F1101" s="3" t="str">
        <f>IFERROR(__xludf.DUMMYFUNCTION("GOOGLETRANSLATE(D1101,$D$1,$F$1)"),"dòng trên cùng")</f>
        <v>dòng trên cùng</v>
      </c>
      <c r="G1101" s="3" t="s">
        <v>2178</v>
      </c>
    </row>
    <row r="1102">
      <c r="A1102" s="3">
        <v>14.0</v>
      </c>
      <c r="B1102" s="3" t="s">
        <v>2179</v>
      </c>
      <c r="C1102" s="3" t="str">
        <f t="shared" si="1"/>
        <v>121 </v>
      </c>
      <c r="D1102" s="3" t="str">
        <f t="shared" si="2"/>
        <v>salesman</v>
      </c>
      <c r="E1102" s="2" t="s">
        <v>8</v>
      </c>
      <c r="F1102" s="3" t="str">
        <f>IFERROR(__xludf.DUMMYFUNCTION("GOOGLETRANSLATE(D1102,$D$1,$F$1)"),"người bán hàng")</f>
        <v>người bán hàng</v>
      </c>
      <c r="G1102" s="3" t="s">
        <v>2180</v>
      </c>
    </row>
    <row r="1103">
      <c r="A1103" s="3">
        <v>14.0</v>
      </c>
      <c r="B1103" s="3" t="s">
        <v>2181</v>
      </c>
      <c r="C1103" s="3" t="str">
        <f t="shared" si="1"/>
        <v>121 </v>
      </c>
      <c r="D1103" s="3" t="str">
        <f t="shared" si="2"/>
        <v>demonstrate</v>
      </c>
      <c r="E1103" s="2" t="s">
        <v>8</v>
      </c>
      <c r="F1103" s="3" t="str">
        <f>IFERROR(__xludf.DUMMYFUNCTION("GOOGLETRANSLATE(D1103,$D$1,$F$1)"),"chứng minh")</f>
        <v>chứng minh</v>
      </c>
      <c r="G1103" s="3" t="s">
        <v>2182</v>
      </c>
    </row>
    <row r="1104">
      <c r="A1104" s="3">
        <v>14.0</v>
      </c>
      <c r="B1104" s="3" t="s">
        <v>2183</v>
      </c>
      <c r="C1104" s="3" t="str">
        <f t="shared" si="1"/>
        <v>121 </v>
      </c>
      <c r="D1104" s="3" t="str">
        <f t="shared" si="2"/>
        <v>nobody</v>
      </c>
      <c r="E1104" s="2" t="s">
        <v>8</v>
      </c>
      <c r="F1104" s="3" t="str">
        <f>IFERROR(__xludf.DUMMYFUNCTION("GOOGLETRANSLATE(D1104,$D$1,$F$1)"),"không ai")</f>
        <v>không ai</v>
      </c>
      <c r="G1104" s="3" t="s">
        <v>2184</v>
      </c>
    </row>
    <row r="1105">
      <c r="A1105" s="3">
        <v>14.0</v>
      </c>
      <c r="B1105" s="3" t="s">
        <v>2185</v>
      </c>
      <c r="C1105" s="3" t="str">
        <f t="shared" si="1"/>
        <v>121 </v>
      </c>
      <c r="D1105" s="3" t="str">
        <f t="shared" si="2"/>
        <v>however</v>
      </c>
      <c r="E1105" s="2" t="s">
        <v>8</v>
      </c>
      <c r="F1105" s="3" t="str">
        <f>IFERROR(__xludf.DUMMYFUNCTION("GOOGLETRANSLATE(D1105,$D$1,$F$1)"),"Tuy nhiên")</f>
        <v>Tuy nhiên</v>
      </c>
      <c r="G1105" s="3" t="s">
        <v>2186</v>
      </c>
    </row>
    <row r="1106">
      <c r="A1106" s="3">
        <v>14.0</v>
      </c>
      <c r="B1106" s="3" t="s">
        <v>2187</v>
      </c>
      <c r="C1106" s="3" t="str">
        <f t="shared" si="1"/>
        <v>121 </v>
      </c>
      <c r="D1106" s="3" t="str">
        <f t="shared" si="2"/>
        <v>perhaps</v>
      </c>
      <c r="E1106" s="2" t="s">
        <v>8</v>
      </c>
      <c r="F1106" s="3" t="str">
        <f>IFERROR(__xludf.DUMMYFUNCTION("GOOGLETRANSLATE(D1106,$D$1,$F$1)"),"có lẽ")</f>
        <v>có lẽ</v>
      </c>
      <c r="G1106" s="3" t="s">
        <v>2188</v>
      </c>
    </row>
    <row r="1107">
      <c r="A1107" s="3">
        <v>14.0</v>
      </c>
      <c r="B1107" s="3" t="s">
        <v>2189</v>
      </c>
      <c r="C1107" s="3" t="str">
        <f t="shared" si="1"/>
        <v>121 </v>
      </c>
      <c r="D1107" s="3" t="str">
        <f t="shared" si="2"/>
        <v>whistle (n)</v>
      </c>
      <c r="E1107" s="2" t="s">
        <v>8</v>
      </c>
      <c r="F1107" s="3" t="str">
        <f>IFERROR(__xludf.DUMMYFUNCTION("GOOGLETRANSLATE(D1107,$D$1,$F$1)"),"tiếng còi (n)")</f>
        <v>tiếng còi (n)</v>
      </c>
      <c r="G1107" s="3" t="s">
        <v>2190</v>
      </c>
    </row>
    <row r="1108">
      <c r="A1108" s="3">
        <v>14.0</v>
      </c>
      <c r="B1108" s="3" t="s">
        <v>2191</v>
      </c>
      <c r="C1108" s="3" t="str">
        <f t="shared" si="1"/>
        <v>121 </v>
      </c>
      <c r="D1108" s="3" t="str">
        <f t="shared" si="2"/>
        <v>incredible</v>
      </c>
      <c r="E1108" s="2" t="s">
        <v>8</v>
      </c>
      <c r="F1108" s="3" t="str">
        <f>IFERROR(__xludf.DUMMYFUNCTION("GOOGLETRANSLATE(D1108,$D$1,$F$1)"),"đáng kinh ngạc")</f>
        <v>đáng kinh ngạc</v>
      </c>
      <c r="G1108" s="3" t="s">
        <v>2192</v>
      </c>
    </row>
    <row r="1109">
      <c r="A1109" s="3">
        <v>14.0</v>
      </c>
      <c r="B1109" s="3" t="s">
        <v>2193</v>
      </c>
      <c r="C1109" s="3" t="str">
        <f t="shared" si="1"/>
        <v>122 </v>
      </c>
      <c r="D1109" s="3" t="str">
        <f t="shared" si="2"/>
        <v>take a photo</v>
      </c>
      <c r="E1109" s="2" t="s">
        <v>8</v>
      </c>
      <c r="F1109" s="3" t="str">
        <f>IFERROR(__xludf.DUMMYFUNCTION("GOOGLETRANSLATE(D1109,$D$1,$F$1)"),"chụp ảnh")</f>
        <v>chụp ảnh</v>
      </c>
      <c r="G1109" s="3" t="s">
        <v>2194</v>
      </c>
    </row>
    <row r="1110">
      <c r="A1110" s="3">
        <v>14.0</v>
      </c>
      <c r="B1110" s="3" t="s">
        <v>2195</v>
      </c>
      <c r="C1110" s="3" t="str">
        <f t="shared" si="1"/>
        <v>122 </v>
      </c>
      <c r="D1110" s="3" t="str">
        <f t="shared" si="2"/>
        <v>note (n)</v>
      </c>
      <c r="E1110" s="2" t="s">
        <v>8</v>
      </c>
      <c r="F1110" s="3" t="str">
        <f>IFERROR(__xludf.DUMMYFUNCTION("GOOGLETRANSLATE(D1110,$D$1,$F$1)"),"note (n)")</f>
        <v>note (n)</v>
      </c>
      <c r="G1110" s="3" t="s">
        <v>2196</v>
      </c>
    </row>
    <row r="1111">
      <c r="A1111" s="3">
        <v>14.0</v>
      </c>
      <c r="B1111" s="3" t="s">
        <v>2197</v>
      </c>
      <c r="C1111" s="3" t="str">
        <f t="shared" si="1"/>
        <v>122 </v>
      </c>
      <c r="D1111" s="3" t="str">
        <f t="shared" si="2"/>
        <v>leave a message</v>
      </c>
      <c r="E1111" s="2" t="s">
        <v>8</v>
      </c>
      <c r="F1111" s="3" t="str">
        <f>IFERROR(__xludf.DUMMYFUNCTION("GOOGLETRANSLATE(D1111,$D$1,$F$1)"),"để lại lời nhắn")</f>
        <v>để lại lời nhắn</v>
      </c>
      <c r="G1111" s="3" t="s">
        <v>2198</v>
      </c>
    </row>
    <row r="1112">
      <c r="A1112" s="3">
        <v>14.0</v>
      </c>
      <c r="B1112" s="3" t="s">
        <v>2199</v>
      </c>
      <c r="C1112" s="3" t="str">
        <f t="shared" si="1"/>
        <v>122 </v>
      </c>
      <c r="D1112" s="3" t="str">
        <f t="shared" si="2"/>
        <v>call</v>
      </c>
      <c r="E1112" s="2" t="s">
        <v>8</v>
      </c>
      <c r="F1112" s="3" t="str">
        <f>IFERROR(__xludf.DUMMYFUNCTION("GOOGLETRANSLATE(D1112,$D$1,$F$1)"),"gọi")</f>
        <v>gọi</v>
      </c>
      <c r="G1112" s="3" t="s">
        <v>1016</v>
      </c>
    </row>
    <row r="1113">
      <c r="A1113" s="3">
        <v>14.0</v>
      </c>
      <c r="B1113" s="3" t="s">
        <v>2200</v>
      </c>
      <c r="C1113" s="3" t="str">
        <f t="shared" si="1"/>
        <v>122 </v>
      </c>
      <c r="D1113" s="3" t="str">
        <f t="shared" si="2"/>
        <v>contact</v>
      </c>
      <c r="E1113" s="2" t="s">
        <v>8</v>
      </c>
      <c r="F1113" s="3" t="str">
        <f>IFERROR(__xludf.DUMMYFUNCTION("GOOGLETRANSLATE(D1113,$D$1,$F$1)"),"tiếp xúc")</f>
        <v>tiếp xúc</v>
      </c>
      <c r="G1113" s="3" t="s">
        <v>2201</v>
      </c>
    </row>
    <row r="1114">
      <c r="A1114" s="3">
        <v>14.0</v>
      </c>
      <c r="B1114" s="3" t="s">
        <v>2202</v>
      </c>
      <c r="C1114" s="3" t="str">
        <f t="shared" si="1"/>
        <v>122 </v>
      </c>
      <c r="D1114" s="3" t="str">
        <f t="shared" si="2"/>
        <v>urgently</v>
      </c>
      <c r="E1114" s="2" t="s">
        <v>8</v>
      </c>
      <c r="F1114" s="3" t="str">
        <f>IFERROR(__xludf.DUMMYFUNCTION("GOOGLETRANSLATE(D1114,$D$1,$F$1)"),"gấp")</f>
        <v>gấp</v>
      </c>
      <c r="G1114" s="3" t="s">
        <v>2203</v>
      </c>
    </row>
    <row r="1115">
      <c r="A1115" s="3">
        <v>14.0</v>
      </c>
      <c r="B1115" s="3" t="s">
        <v>2204</v>
      </c>
      <c r="C1115" s="3" t="str">
        <f t="shared" si="1"/>
        <v>122 </v>
      </c>
      <c r="D1115" s="3" t="str">
        <f t="shared" si="2"/>
        <v>quickly</v>
      </c>
      <c r="E1115" s="2" t="s">
        <v>8</v>
      </c>
      <c r="F1115" s="3" t="str">
        <f>IFERROR(__xludf.DUMMYFUNCTION("GOOGLETRANSLATE(D1115,$D$1,$F$1)"),"Mau")</f>
        <v>Mau</v>
      </c>
      <c r="G1115" s="3" t="s">
        <v>2205</v>
      </c>
    </row>
    <row r="1116">
      <c r="A1116" s="3">
        <v>14.0</v>
      </c>
      <c r="B1116" s="3" t="s">
        <v>2206</v>
      </c>
      <c r="C1116" s="3" t="str">
        <f t="shared" si="1"/>
        <v>122 </v>
      </c>
      <c r="D1116" s="3" t="str">
        <f t="shared" si="2"/>
        <v>communicate</v>
      </c>
      <c r="E1116" s="2" t="s">
        <v>8</v>
      </c>
      <c r="F1116" s="3" t="str">
        <f>IFERROR(__xludf.DUMMYFUNCTION("GOOGLETRANSLATE(D1116,$D$1,$F$1)"),"giao tiếp")</f>
        <v>giao tiếp</v>
      </c>
      <c r="G1116" s="3" t="s">
        <v>2207</v>
      </c>
    </row>
    <row r="1117">
      <c r="A1117" s="3">
        <v>14.0</v>
      </c>
      <c r="B1117" s="3" t="s">
        <v>2208</v>
      </c>
      <c r="C1117" s="3" t="str">
        <f t="shared" si="1"/>
        <v>122 </v>
      </c>
      <c r="D1117" s="3" t="str">
        <f t="shared" si="2"/>
        <v>with each other</v>
      </c>
      <c r="E1117" s="2" t="s">
        <v>8</v>
      </c>
      <c r="F1117" s="3" t="str">
        <f>IFERROR(__xludf.DUMMYFUNCTION("GOOGLETRANSLATE(D1117,$D$1,$F$1)"),"với nhau")</f>
        <v>với nhau</v>
      </c>
      <c r="G1117" s="3" t="s">
        <v>2209</v>
      </c>
    </row>
    <row r="1118">
      <c r="A1118" s="3">
        <v>14.0</v>
      </c>
      <c r="B1118" s="3" t="s">
        <v>2210</v>
      </c>
      <c r="C1118" s="3" t="str">
        <f t="shared" si="1"/>
        <v>122 </v>
      </c>
      <c r="D1118" s="3" t="str">
        <f t="shared" si="2"/>
        <v>wish</v>
      </c>
      <c r="E1118" s="2" t="s">
        <v>8</v>
      </c>
      <c r="F1118" s="3" t="str">
        <f>IFERROR(__xludf.DUMMYFUNCTION("GOOGLETRANSLATE(D1118,$D$1,$F$1)"),"muốn")</f>
        <v>muốn</v>
      </c>
      <c r="G1118" s="3" t="s">
        <v>2211</v>
      </c>
    </row>
    <row r="1119">
      <c r="A1119" s="3">
        <v>14.0</v>
      </c>
      <c r="B1119" s="3" t="s">
        <v>2212</v>
      </c>
      <c r="C1119" s="3" t="str">
        <f t="shared" si="1"/>
        <v>122 </v>
      </c>
      <c r="D1119" s="3" t="str">
        <f t="shared" si="2"/>
        <v>member</v>
      </c>
      <c r="E1119" s="2" t="s">
        <v>8</v>
      </c>
      <c r="F1119" s="3" t="str">
        <f>IFERROR(__xludf.DUMMYFUNCTION("GOOGLETRANSLATE(D1119,$D$1,$F$1)"),"hội viên")</f>
        <v>hội viên</v>
      </c>
      <c r="G1119" s="3" t="s">
        <v>2213</v>
      </c>
    </row>
    <row r="1120">
      <c r="A1120" s="3">
        <v>14.0</v>
      </c>
      <c r="B1120" s="3" t="s">
        <v>2214</v>
      </c>
      <c r="C1120" s="3" t="str">
        <f t="shared" si="1"/>
        <v>122 </v>
      </c>
      <c r="D1120" s="3" t="str">
        <f t="shared" si="2"/>
        <v>bored</v>
      </c>
      <c r="E1120" s="2" t="s">
        <v>8</v>
      </c>
      <c r="F1120" s="3" t="str">
        <f>IFERROR(__xludf.DUMMYFUNCTION("GOOGLETRANSLATE(D1120,$D$1,$F$1)"),"chán")</f>
        <v>chán</v>
      </c>
      <c r="G1120" s="3" t="s">
        <v>2215</v>
      </c>
    </row>
    <row r="1121">
      <c r="A1121" s="3">
        <v>14.0</v>
      </c>
      <c r="B1121" s="3" t="s">
        <v>2216</v>
      </c>
      <c r="C1121" s="3" t="str">
        <f t="shared" si="1"/>
        <v>122 </v>
      </c>
      <c r="D1121" s="3" t="str">
        <f t="shared" si="2"/>
        <v>phone call</v>
      </c>
      <c r="E1121" s="2" t="s">
        <v>8</v>
      </c>
      <c r="F1121" s="3" t="str">
        <f>IFERROR(__xludf.DUMMYFUNCTION("GOOGLETRANSLATE(D1121,$D$1,$F$1)"),"gọi điện")</f>
        <v>gọi điện</v>
      </c>
      <c r="G1121" s="3" t="s">
        <v>2217</v>
      </c>
    </row>
    <row r="1122">
      <c r="A1122" s="3">
        <v>14.0</v>
      </c>
      <c r="B1122" s="3" t="s">
        <v>2218</v>
      </c>
      <c r="C1122" s="3" t="str">
        <f t="shared" si="1"/>
        <v>122 </v>
      </c>
      <c r="D1122" s="3" t="str">
        <f t="shared" si="2"/>
        <v>so far</v>
      </c>
      <c r="E1122" s="2" t="s">
        <v>8</v>
      </c>
      <c r="F1122" s="3" t="str">
        <f>IFERROR(__xludf.DUMMYFUNCTION("GOOGLETRANSLATE(D1122,$D$1,$F$1)"),"cho đến nay")</f>
        <v>cho đến nay</v>
      </c>
      <c r="G1122" s="3" t="s">
        <v>2219</v>
      </c>
    </row>
    <row r="1123">
      <c r="A1123" s="3">
        <v>14.0</v>
      </c>
      <c r="B1123" s="3" t="s">
        <v>2220</v>
      </c>
      <c r="C1123" s="3" t="str">
        <f t="shared" si="1"/>
        <v>123 </v>
      </c>
      <c r="D1123" s="3" t="str">
        <f t="shared" si="2"/>
        <v>lose</v>
      </c>
      <c r="E1123" s="2" t="s">
        <v>8</v>
      </c>
      <c r="F1123" s="3" t="str">
        <f>IFERROR(__xludf.DUMMYFUNCTION("GOOGLETRANSLATE(D1123,$D$1,$F$1)"),"thua")</f>
        <v>thua</v>
      </c>
      <c r="G1123" s="3" t="s">
        <v>2221</v>
      </c>
    </row>
    <row r="1124">
      <c r="A1124" s="3">
        <v>14.0</v>
      </c>
      <c r="B1124" s="3" t="s">
        <v>2222</v>
      </c>
      <c r="C1124" s="3" t="str">
        <f t="shared" si="1"/>
        <v>123 </v>
      </c>
      <c r="D1124" s="3" t="str">
        <f t="shared" si="2"/>
        <v>forget</v>
      </c>
      <c r="E1124" s="2" t="s">
        <v>8</v>
      </c>
      <c r="F1124" s="3" t="str">
        <f>IFERROR(__xludf.DUMMYFUNCTION("GOOGLETRANSLATE(D1124,$D$1,$F$1)"),"quên")</f>
        <v>quên</v>
      </c>
      <c r="G1124" s="3" t="s">
        <v>2223</v>
      </c>
    </row>
    <row r="1125">
      <c r="A1125" s="3">
        <v>14.0</v>
      </c>
      <c r="B1125" s="3" t="s">
        <v>2224</v>
      </c>
      <c r="C1125" s="3" t="str">
        <f t="shared" si="1"/>
        <v>123 </v>
      </c>
      <c r="D1125" s="3" t="str">
        <f t="shared" si="2"/>
        <v>emergency service</v>
      </c>
      <c r="E1125" s="2" t="s">
        <v>8</v>
      </c>
      <c r="F1125" s="3" t="str">
        <f>IFERROR(__xludf.DUMMYFUNCTION("GOOGLETRANSLATE(D1125,$D$1,$F$1)"),"dịch vụ cấp cứu")</f>
        <v>dịch vụ cấp cứu</v>
      </c>
      <c r="G1125" s="3" t="s">
        <v>2225</v>
      </c>
    </row>
    <row r="1126">
      <c r="A1126" s="3">
        <v>14.0</v>
      </c>
      <c r="B1126" s="3" t="s">
        <v>2226</v>
      </c>
      <c r="C1126" s="3" t="str">
        <f t="shared" si="1"/>
        <v>123 </v>
      </c>
      <c r="D1126" s="3" t="str">
        <f t="shared" si="2"/>
        <v>post (v)</v>
      </c>
      <c r="E1126" s="2" t="s">
        <v>8</v>
      </c>
      <c r="F1126" s="3" t="str">
        <f>IFERROR(__xludf.DUMMYFUNCTION("GOOGLETRANSLATE(D1126,$D$1,$F$1)"),"đường bưu điện (v)")</f>
        <v>đường bưu điện (v)</v>
      </c>
      <c r="G1126" s="3" t="s">
        <v>2227</v>
      </c>
    </row>
    <row r="1127">
      <c r="A1127" s="3">
        <v>14.0</v>
      </c>
      <c r="B1127" s="3" t="s">
        <v>2228</v>
      </c>
      <c r="C1127" s="3" t="str">
        <f t="shared" si="1"/>
        <v>124 </v>
      </c>
      <c r="D1127" s="3" t="str">
        <f t="shared" si="2"/>
        <v>apparently</v>
      </c>
      <c r="E1127" s="2" t="s">
        <v>8</v>
      </c>
      <c r="F1127" s="3" t="str">
        <f>IFERROR(__xludf.DUMMYFUNCTION("GOOGLETRANSLATE(D1127,$D$1,$F$1)"),"rõ ràng")</f>
        <v>rõ ràng</v>
      </c>
      <c r="G1127" s="3" t="s">
        <v>2229</v>
      </c>
    </row>
    <row r="1128">
      <c r="A1128" s="3">
        <v>14.0</v>
      </c>
      <c r="B1128" s="3" t="s">
        <v>2230</v>
      </c>
      <c r="C1128" s="3" t="str">
        <f t="shared" si="1"/>
        <v>124 </v>
      </c>
      <c r="D1128" s="3" t="str">
        <f t="shared" si="2"/>
        <v>on business</v>
      </c>
      <c r="E1128" s="2" t="s">
        <v>8</v>
      </c>
      <c r="F1128" s="3" t="str">
        <f>IFERROR(__xludf.DUMMYFUNCTION("GOOGLETRANSLATE(D1128,$D$1,$F$1)"),"hoạt động kinh doanh")</f>
        <v>hoạt động kinh doanh</v>
      </c>
      <c r="G1128" s="3" t="s">
        <v>2231</v>
      </c>
    </row>
    <row r="1129">
      <c r="A1129" s="3">
        <v>14.0</v>
      </c>
      <c r="B1129" s="3" t="s">
        <v>2232</v>
      </c>
      <c r="C1129" s="3" t="str">
        <f t="shared" si="1"/>
        <v>124 </v>
      </c>
      <c r="D1129" s="3" t="str">
        <f t="shared" si="2"/>
        <v>bit</v>
      </c>
      <c r="E1129" s="2" t="s">
        <v>8</v>
      </c>
      <c r="F1129" s="3" t="str">
        <f>IFERROR(__xludf.DUMMYFUNCTION("GOOGLETRANSLATE(D1129,$D$1,$F$1)"),"chút")</f>
        <v>chút</v>
      </c>
      <c r="G1129" s="3" t="s">
        <v>2233</v>
      </c>
    </row>
    <row r="1130">
      <c r="A1130" s="3">
        <v>14.0</v>
      </c>
      <c r="B1130" s="3" t="s">
        <v>2234</v>
      </c>
      <c r="C1130" s="3" t="str">
        <f t="shared" si="1"/>
        <v>124 </v>
      </c>
      <c r="D1130" s="3" t="str">
        <f t="shared" si="2"/>
        <v>voice mail</v>
      </c>
      <c r="E1130" s="2" t="s">
        <v>8</v>
      </c>
      <c r="F1130" s="3" t="str">
        <f>IFERROR(__xludf.DUMMYFUNCTION("GOOGLETRANSLATE(D1130,$D$1,$F$1)"),"hộp thư thoại")</f>
        <v>hộp thư thoại</v>
      </c>
      <c r="G1130" s="3" t="s">
        <v>2235</v>
      </c>
    </row>
    <row r="1131">
      <c r="A1131" s="3">
        <v>14.0</v>
      </c>
      <c r="B1131" s="3" t="s">
        <v>2236</v>
      </c>
      <c r="C1131" s="3" t="str">
        <f t="shared" si="1"/>
        <v>124 </v>
      </c>
      <c r="D1131" s="3" t="str">
        <f t="shared" si="2"/>
        <v>celebrate</v>
      </c>
      <c r="E1131" s="2" t="s">
        <v>8</v>
      </c>
      <c r="F1131" s="3" t="str">
        <f>IFERROR(__xludf.DUMMYFUNCTION("GOOGLETRANSLATE(D1131,$D$1,$F$1)"),"ăn mừng")</f>
        <v>ăn mừng</v>
      </c>
      <c r="G1131" s="3" t="s">
        <v>2237</v>
      </c>
    </row>
    <row r="1132">
      <c r="A1132" s="3">
        <v>14.0</v>
      </c>
      <c r="B1132" s="3" t="s">
        <v>2238</v>
      </c>
      <c r="C1132" s="3" t="str">
        <f t="shared" si="1"/>
        <v>124 </v>
      </c>
      <c r="D1132" s="3" t="str">
        <f t="shared" si="2"/>
        <v>driving test</v>
      </c>
      <c r="E1132" s="2" t="s">
        <v>8</v>
      </c>
      <c r="F1132" s="3" t="str">
        <f>IFERROR(__xludf.DUMMYFUNCTION("GOOGLETRANSLATE(D1132,$D$1,$F$1)"),"kiểm tra lái xe")</f>
        <v>kiểm tra lái xe</v>
      </c>
      <c r="G1132" s="3" t="s">
        <v>2239</v>
      </c>
    </row>
    <row r="1133">
      <c r="A1133" s="3">
        <v>14.0</v>
      </c>
      <c r="B1133" s="3" t="s">
        <v>2240</v>
      </c>
      <c r="C1133" s="3" t="str">
        <f t="shared" si="1"/>
        <v>124 </v>
      </c>
      <c r="D1133" s="3" t="str">
        <f t="shared" si="2"/>
        <v>congratulations</v>
      </c>
      <c r="E1133" s="2" t="s">
        <v>8</v>
      </c>
      <c r="F1133" s="3" t="str">
        <f>IFERROR(__xludf.DUMMYFUNCTION("GOOGLETRANSLATE(D1133,$D$1,$F$1)"),"Xin chúc mừng")</f>
        <v>Xin chúc mừng</v>
      </c>
      <c r="G1133" s="3" t="s">
        <v>2241</v>
      </c>
    </row>
    <row r="1134">
      <c r="A1134" s="3">
        <v>14.0</v>
      </c>
      <c r="B1134" s="3" t="s">
        <v>2242</v>
      </c>
      <c r="C1134" s="3" t="str">
        <f t="shared" si="1"/>
        <v>124 </v>
      </c>
      <c r="D1134" s="3" t="str">
        <f t="shared" si="2"/>
        <v>detail</v>
      </c>
      <c r="E1134" s="2" t="s">
        <v>8</v>
      </c>
      <c r="F1134" s="3" t="str">
        <f>IFERROR(__xludf.DUMMYFUNCTION("GOOGLETRANSLATE(D1134,$D$1,$F$1)"),"chi tiết")</f>
        <v>chi tiết</v>
      </c>
      <c r="G1134" s="3" t="s">
        <v>2243</v>
      </c>
    </row>
    <row r="1135">
      <c r="A1135" s="3">
        <v>14.0</v>
      </c>
      <c r="B1135" s="3" t="s">
        <v>2244</v>
      </c>
      <c r="C1135" s="3" t="str">
        <f t="shared" si="1"/>
        <v>124 </v>
      </c>
      <c r="D1135" s="3" t="str">
        <f t="shared" si="2"/>
        <v>line</v>
      </c>
      <c r="E1135" s="2" t="s">
        <v>8</v>
      </c>
      <c r="F1135" s="3" t="str">
        <f>IFERROR(__xludf.DUMMYFUNCTION("GOOGLETRANSLATE(D1135,$D$1,$F$1)"),"hàng")</f>
        <v>hàng</v>
      </c>
      <c r="G1135" s="3" t="s">
        <v>2245</v>
      </c>
    </row>
    <row r="1136">
      <c r="A1136" s="3">
        <v>14.0</v>
      </c>
      <c r="B1136" s="3" t="s">
        <v>2246</v>
      </c>
      <c r="C1136" s="3" t="str">
        <f t="shared" si="1"/>
        <v>124 </v>
      </c>
      <c r="D1136" s="3" t="str">
        <f t="shared" si="2"/>
        <v>safe</v>
      </c>
      <c r="E1136" s="2" t="s">
        <v>8</v>
      </c>
      <c r="F1136" s="3" t="str">
        <f>IFERROR(__xludf.DUMMYFUNCTION("GOOGLETRANSLATE(D1136,$D$1,$F$1)"),"an toàn")</f>
        <v>an toàn</v>
      </c>
      <c r="G1136" s="3" t="s">
        <v>2247</v>
      </c>
    </row>
    <row r="1137">
      <c r="A1137" s="3">
        <v>14.0</v>
      </c>
      <c r="B1137" s="3" t="s">
        <v>2248</v>
      </c>
      <c r="C1137" s="3" t="str">
        <f t="shared" si="1"/>
        <v>124 </v>
      </c>
      <c r="D1137" s="3" t="str">
        <f t="shared" si="2"/>
        <v>finally</v>
      </c>
      <c r="E1137" s="2" t="s">
        <v>8</v>
      </c>
      <c r="F1137" s="3" t="str">
        <f>IFERROR(__xludf.DUMMYFUNCTION("GOOGLETRANSLATE(D1137,$D$1,$F$1)"),"cuối cùng")</f>
        <v>cuối cùng</v>
      </c>
      <c r="G1137" s="3" t="s">
        <v>2249</v>
      </c>
    </row>
    <row r="1138">
      <c r="A1138" s="3">
        <v>14.0</v>
      </c>
      <c r="B1138" s="3" t="s">
        <v>2250</v>
      </c>
      <c r="C1138" s="3" t="str">
        <f t="shared" si="1"/>
        <v>124 </v>
      </c>
      <c r="D1138" s="3" t="str">
        <f t="shared" si="2"/>
        <v>land</v>
      </c>
      <c r="E1138" s="2" t="s">
        <v>8</v>
      </c>
      <c r="F1138" s="3" t="str">
        <f>IFERROR(__xludf.DUMMYFUNCTION("GOOGLETRANSLATE(D1138,$D$1,$F$1)"),"đất")</f>
        <v>đất</v>
      </c>
      <c r="G1138" s="3" t="s">
        <v>2251</v>
      </c>
    </row>
    <row r="1139">
      <c r="A1139" s="3">
        <v>14.0</v>
      </c>
      <c r="B1139" s="3" t="s">
        <v>2252</v>
      </c>
      <c r="C1139" s="3" t="str">
        <f t="shared" si="1"/>
        <v>124 </v>
      </c>
      <c r="D1139" s="3" t="str">
        <f t="shared" si="2"/>
        <v>delay</v>
      </c>
      <c r="E1139" s="2" t="s">
        <v>8</v>
      </c>
      <c r="F1139" s="3" t="str">
        <f>IFERROR(__xludf.DUMMYFUNCTION("GOOGLETRANSLATE(D1139,$D$1,$F$1)"),"sự chậm trễ")</f>
        <v>sự chậm trễ</v>
      </c>
      <c r="G1139" s="3" t="s">
        <v>2253</v>
      </c>
    </row>
    <row r="1140">
      <c r="A1140" s="3">
        <v>14.0</v>
      </c>
      <c r="B1140" s="3" t="s">
        <v>2254</v>
      </c>
      <c r="C1140" s="3" t="str">
        <f t="shared" si="1"/>
        <v>124 </v>
      </c>
      <c r="D1140" s="3" t="str">
        <f t="shared" si="2"/>
        <v>pick up</v>
      </c>
      <c r="E1140" s="2" t="s">
        <v>8</v>
      </c>
      <c r="F1140" s="3" t="str">
        <f>IFERROR(__xludf.DUMMYFUNCTION("GOOGLETRANSLATE(D1140,$D$1,$F$1)"),"nhặt lên")</f>
        <v>nhặt lên</v>
      </c>
      <c r="G1140" s="3" t="s">
        <v>2255</v>
      </c>
    </row>
    <row r="1141">
      <c r="A1141" s="3">
        <v>14.0</v>
      </c>
      <c r="B1141" s="3" t="s">
        <v>2256</v>
      </c>
      <c r="C1141" s="3" t="str">
        <f t="shared" si="1"/>
        <v>124 </v>
      </c>
      <c r="D1141" s="3" t="str">
        <f t="shared" si="2"/>
        <v>take care</v>
      </c>
      <c r="E1141" s="2" t="s">
        <v>8</v>
      </c>
      <c r="F1141" s="3" t="str">
        <f>IFERROR(__xludf.DUMMYFUNCTION("GOOGLETRANSLATE(D1141,$D$1,$F$1)"),"bảo trọng")</f>
        <v>bảo trọng</v>
      </c>
      <c r="G1141" s="3" t="s">
        <v>2257</v>
      </c>
    </row>
    <row r="1142">
      <c r="A1142" s="3">
        <v>14.0</v>
      </c>
      <c r="B1142" s="3" t="s">
        <v>2258</v>
      </c>
      <c r="C1142" s="3" t="str">
        <f t="shared" si="1"/>
        <v>124 </v>
      </c>
      <c r="D1142" s="3" t="str">
        <f t="shared" si="2"/>
        <v>all the best</v>
      </c>
      <c r="E1142" s="2" t="s">
        <v>8</v>
      </c>
      <c r="F1142" s="3" t="str">
        <f>IFERROR(__xludf.DUMMYFUNCTION("GOOGLETRANSLATE(D1142,$D$1,$F$1)"),"mọi điều tốt đẹp")</f>
        <v>mọi điều tốt đẹp</v>
      </c>
      <c r="G1142" s="3" t="s">
        <v>2259</v>
      </c>
    </row>
    <row r="1143">
      <c r="A1143" s="3">
        <v>14.0</v>
      </c>
      <c r="B1143" s="3" t="s">
        <v>2260</v>
      </c>
      <c r="C1143" s="3" t="str">
        <f t="shared" si="1"/>
        <v>125 </v>
      </c>
      <c r="D1143" s="3" t="str">
        <f t="shared" si="2"/>
        <v>recently</v>
      </c>
      <c r="E1143" s="2" t="s">
        <v>8</v>
      </c>
      <c r="F1143" s="3" t="str">
        <f>IFERROR(__xludf.DUMMYFUNCTION("GOOGLETRANSLATE(D1143,$D$1,$F$1)"),"gần đây")</f>
        <v>gần đây</v>
      </c>
      <c r="G1143" s="3" t="s">
        <v>2261</v>
      </c>
    </row>
    <row r="1144">
      <c r="A1144" s="3">
        <v>14.0</v>
      </c>
      <c r="B1144" s="3" t="s">
        <v>2262</v>
      </c>
      <c r="C1144" s="3" t="str">
        <f t="shared" si="1"/>
        <v>125 </v>
      </c>
      <c r="D1144" s="3" t="str">
        <f t="shared" si="2"/>
        <v>tone</v>
      </c>
      <c r="E1144" s="2" t="s">
        <v>8</v>
      </c>
      <c r="F1144" s="3" t="str">
        <f>IFERROR(__xludf.DUMMYFUNCTION("GOOGLETRANSLATE(D1144,$D$1,$F$1)"),"tấn")</f>
        <v>tấn</v>
      </c>
      <c r="G1144" s="3" t="s">
        <v>2263</v>
      </c>
    </row>
    <row r="1145">
      <c r="A1145" s="3">
        <v>14.0</v>
      </c>
      <c r="B1145" s="3" t="s">
        <v>2264</v>
      </c>
      <c r="C1145" s="3" t="str">
        <f t="shared" si="1"/>
        <v>125 </v>
      </c>
      <c r="D1145" s="3" t="str">
        <f t="shared" si="2"/>
        <v>be afraid</v>
      </c>
      <c r="E1145" s="2" t="s">
        <v>8</v>
      </c>
      <c r="F1145" s="3" t="str">
        <f>IFERROR(__xludf.DUMMYFUNCTION("GOOGLETRANSLATE(D1145,$D$1,$F$1)"),"e sợ")</f>
        <v>e sợ</v>
      </c>
      <c r="G1145" s="3" t="s">
        <v>2265</v>
      </c>
    </row>
    <row r="1146">
      <c r="A1146" s="3">
        <v>14.0</v>
      </c>
      <c r="B1146" s="3" t="s">
        <v>2266</v>
      </c>
      <c r="C1146" s="3" t="str">
        <f t="shared" si="1"/>
        <v>126 </v>
      </c>
      <c r="D1146" s="3" t="str">
        <f t="shared" si="2"/>
        <v>essential</v>
      </c>
      <c r="E1146" s="2" t="s">
        <v>8</v>
      </c>
      <c r="F1146" s="3" t="str">
        <f>IFERROR(__xludf.DUMMYFUNCTION("GOOGLETRANSLATE(D1146,$D$1,$F$1)"),"Thiết yếu")</f>
        <v>Thiết yếu</v>
      </c>
      <c r="G1146" s="3" t="s">
        <v>2267</v>
      </c>
    </row>
    <row r="1147">
      <c r="A1147" s="3">
        <v>14.0</v>
      </c>
      <c r="B1147" s="3" t="s">
        <v>2268</v>
      </c>
      <c r="C1147" s="3" t="str">
        <f t="shared" si="1"/>
        <v>126 </v>
      </c>
      <c r="D1147" s="3" t="str">
        <f t="shared" si="2"/>
        <v>main</v>
      </c>
      <c r="E1147" s="2" t="s">
        <v>8</v>
      </c>
      <c r="F1147" s="3" t="str">
        <f>IFERROR(__xludf.DUMMYFUNCTION("GOOGLETRANSLATE(D1147,$D$1,$F$1)"),"chủ yếu")</f>
        <v>chủ yếu</v>
      </c>
      <c r="G1147" s="3" t="s">
        <v>2269</v>
      </c>
    </row>
    <row r="1148">
      <c r="A1148" s="3">
        <v>14.0</v>
      </c>
      <c r="B1148" s="3" t="s">
        <v>2270</v>
      </c>
      <c r="C1148" s="3" t="str">
        <f t="shared" si="1"/>
        <v>126 </v>
      </c>
      <c r="D1148" s="3" t="str">
        <f t="shared" si="2"/>
        <v>chat (v)</v>
      </c>
      <c r="E1148" s="2" t="s">
        <v>8</v>
      </c>
      <c r="F1148" s="3" t="str">
        <f>IFERROR(__xludf.DUMMYFUNCTION("GOOGLETRANSLATE(D1148,$D$1,$F$1)"),"trò chuyện (v)")</f>
        <v>trò chuyện (v)</v>
      </c>
      <c r="G1148" s="3" t="s">
        <v>1491</v>
      </c>
    </row>
    <row r="1149">
      <c r="A1149" s="3">
        <v>14.0</v>
      </c>
      <c r="B1149" s="3" t="s">
        <v>2271</v>
      </c>
      <c r="C1149" s="3" t="str">
        <f t="shared" si="1"/>
        <v>126 </v>
      </c>
      <c r="D1149" s="3" t="str">
        <f t="shared" si="2"/>
        <v>chat room</v>
      </c>
      <c r="E1149" s="2" t="s">
        <v>8</v>
      </c>
      <c r="F1149" s="3" t="str">
        <f>IFERROR(__xludf.DUMMYFUNCTION("GOOGLETRANSLATE(D1149,$D$1,$F$1)"),"phòng chat")</f>
        <v>phòng chat</v>
      </c>
      <c r="G1149" s="3" t="s">
        <v>2272</v>
      </c>
    </row>
    <row r="1150">
      <c r="A1150" s="3">
        <v>14.0</v>
      </c>
      <c r="B1150" s="3" t="s">
        <v>2273</v>
      </c>
      <c r="C1150" s="3" t="str">
        <f t="shared" si="1"/>
        <v>126 </v>
      </c>
      <c r="D1150" s="3" t="str">
        <f t="shared" si="2"/>
        <v>feature</v>
      </c>
      <c r="E1150" s="2" t="s">
        <v>8</v>
      </c>
      <c r="F1150" s="3" t="str">
        <f>IFERROR(__xludf.DUMMYFUNCTION("GOOGLETRANSLATE(D1150,$D$1,$F$1)"),"đặc tính")</f>
        <v>đặc tính</v>
      </c>
      <c r="G1150" s="3" t="s">
        <v>2274</v>
      </c>
    </row>
    <row r="1151">
      <c r="A1151" s="3">
        <v>14.0</v>
      </c>
      <c r="B1151" s="3" t="s">
        <v>2275</v>
      </c>
      <c r="C1151" s="3" t="str">
        <f t="shared" si="1"/>
        <v>126 </v>
      </c>
      <c r="D1151" s="3" t="str">
        <f t="shared" si="2"/>
        <v>excited</v>
      </c>
      <c r="E1151" s="2" t="s">
        <v>8</v>
      </c>
      <c r="F1151" s="3" t="str">
        <f>IFERROR(__xludf.DUMMYFUNCTION("GOOGLETRANSLATE(D1151,$D$1,$F$1)"),"bị kích thích")</f>
        <v>bị kích thích</v>
      </c>
      <c r="G1151" s="3" t="s">
        <v>2276</v>
      </c>
    </row>
    <row r="1152">
      <c r="A1152" s="3">
        <v>14.0</v>
      </c>
      <c r="B1152" s="3" t="s">
        <v>2277</v>
      </c>
      <c r="C1152" s="3" t="str">
        <f t="shared" si="1"/>
        <v>126 </v>
      </c>
      <c r="D1152" s="3" t="str">
        <f t="shared" si="2"/>
        <v>pay attention</v>
      </c>
      <c r="E1152" s="2" t="s">
        <v>8</v>
      </c>
      <c r="F1152" s="3" t="str">
        <f>IFERROR(__xludf.DUMMYFUNCTION("GOOGLETRANSLATE(D1152,$D$1,$F$1)"),"chú ý")</f>
        <v>chú ý</v>
      </c>
      <c r="G1152" s="3" t="s">
        <v>2278</v>
      </c>
    </row>
    <row r="1153">
      <c r="A1153" s="3">
        <v>14.0</v>
      </c>
      <c r="B1153" s="3" t="s">
        <v>2279</v>
      </c>
      <c r="C1153" s="3" t="str">
        <f t="shared" si="1"/>
        <v>127 </v>
      </c>
      <c r="D1153" s="3" t="str">
        <f t="shared" si="2"/>
        <v>revise</v>
      </c>
      <c r="E1153" s="2" t="s">
        <v>8</v>
      </c>
      <c r="F1153" s="3" t="str">
        <f>IFERROR(__xludf.DUMMYFUNCTION("GOOGLETRANSLATE(D1153,$D$1,$F$1)"),"xem lại")</f>
        <v>xem lại</v>
      </c>
      <c r="G1153" s="3" t="s">
        <v>2280</v>
      </c>
    </row>
    <row r="1154">
      <c r="A1154" s="3">
        <v>14.0</v>
      </c>
      <c r="B1154" s="3" t="s">
        <v>2281</v>
      </c>
      <c r="C1154" s="3" t="str">
        <f t="shared" si="1"/>
        <v>127 </v>
      </c>
      <c r="D1154" s="3" t="str">
        <f t="shared" si="2"/>
        <v>approach</v>
      </c>
      <c r="E1154" s="2" t="s">
        <v>8</v>
      </c>
      <c r="F1154" s="3" t="str">
        <f>IFERROR(__xludf.DUMMYFUNCTION("GOOGLETRANSLATE(D1154,$D$1,$F$1)"),"tiếp cận")</f>
        <v>tiếp cận</v>
      </c>
      <c r="G1154" s="3" t="s">
        <v>2282</v>
      </c>
    </row>
    <row r="1155">
      <c r="A1155" s="3">
        <v>14.0</v>
      </c>
      <c r="B1155" s="3" t="s">
        <v>2283</v>
      </c>
      <c r="C1155" s="3" t="str">
        <f t="shared" si="1"/>
        <v>127 </v>
      </c>
      <c r="D1155" s="3" t="str">
        <f t="shared" si="2"/>
        <v>break</v>
      </c>
      <c r="E1155" s="2" t="s">
        <v>8</v>
      </c>
      <c r="F1155" s="3" t="str">
        <f>IFERROR(__xludf.DUMMYFUNCTION("GOOGLETRANSLATE(D1155,$D$1,$F$1)"),"phá vỡ")</f>
        <v>phá vỡ</v>
      </c>
      <c r="G1155" s="3" t="s">
        <v>2284</v>
      </c>
    </row>
    <row r="1156">
      <c r="A1156" s="3">
        <v>14.0</v>
      </c>
      <c r="B1156" s="3" t="s">
        <v>2285</v>
      </c>
      <c r="C1156" s="3" t="str">
        <f t="shared" si="1"/>
        <v>127 </v>
      </c>
      <c r="D1156" s="3" t="str">
        <f t="shared" si="2"/>
        <v>just</v>
      </c>
      <c r="E1156" s="2" t="s">
        <v>8</v>
      </c>
      <c r="F1156" s="3" t="str">
        <f>IFERROR(__xludf.DUMMYFUNCTION("GOOGLETRANSLATE(D1156,$D$1,$F$1)"),"chỉ")</f>
        <v>chỉ</v>
      </c>
      <c r="G1156" s="3" t="s">
        <v>2286</v>
      </c>
    </row>
    <row r="1157">
      <c r="A1157" s="3">
        <v>15.0</v>
      </c>
      <c r="B1157" s="3" t="s">
        <v>2287</v>
      </c>
      <c r="C1157" s="3" t="str">
        <f t="shared" si="1"/>
        <v>128 </v>
      </c>
      <c r="D1157" s="3" t="str">
        <f t="shared" si="2"/>
        <v>palace</v>
      </c>
      <c r="E1157" s="2" t="s">
        <v>8</v>
      </c>
      <c r="F1157" s="3" t="str">
        <f>IFERROR(__xludf.DUMMYFUNCTION("GOOGLETRANSLATE(D1157,$D$1,$F$1)"),"cung điện")</f>
        <v>cung điện</v>
      </c>
      <c r="G1157" s="3" t="s">
        <v>2288</v>
      </c>
    </row>
    <row r="1158">
      <c r="A1158" s="3">
        <v>15.0</v>
      </c>
      <c r="B1158" s="3" t="s">
        <v>2289</v>
      </c>
      <c r="C1158" s="3" t="str">
        <f t="shared" si="1"/>
        <v>128 </v>
      </c>
      <c r="D1158" s="3" t="str">
        <f t="shared" si="2"/>
        <v>sports stadium</v>
      </c>
      <c r="E1158" s="2" t="s">
        <v>8</v>
      </c>
      <c r="F1158" s="3" t="str">
        <f>IFERROR(__xludf.DUMMYFUNCTION("GOOGLETRANSLATE(D1158,$D$1,$F$1)"),"sân vận động thể thao")</f>
        <v>sân vận động thể thao</v>
      </c>
      <c r="G1158" s="3" t="s">
        <v>2290</v>
      </c>
    </row>
    <row r="1159">
      <c r="A1159" s="3">
        <v>15.0</v>
      </c>
      <c r="B1159" s="3" t="s">
        <v>2291</v>
      </c>
      <c r="C1159" s="3" t="str">
        <f t="shared" si="1"/>
        <v>128 </v>
      </c>
      <c r="D1159" s="3" t="str">
        <f t="shared" si="2"/>
        <v>shopping centre</v>
      </c>
      <c r="E1159" s="2" t="s">
        <v>8</v>
      </c>
      <c r="F1159" s="3" t="str">
        <f>IFERROR(__xludf.DUMMYFUNCTION("GOOGLETRANSLATE(D1159,$D$1,$F$1)"),"Trung tâm mua sắm")</f>
        <v>Trung tâm mua sắm</v>
      </c>
      <c r="G1159" s="3" t="s">
        <v>2292</v>
      </c>
    </row>
    <row r="1160">
      <c r="A1160" s="3">
        <v>15.0</v>
      </c>
      <c r="B1160" s="3" t="s">
        <v>2293</v>
      </c>
      <c r="C1160" s="3" t="str">
        <f t="shared" si="1"/>
        <v>128 </v>
      </c>
      <c r="D1160" s="3" t="str">
        <f t="shared" si="2"/>
        <v>bridge</v>
      </c>
      <c r="E1160" s="2" t="s">
        <v>8</v>
      </c>
      <c r="F1160" s="3" t="str">
        <f>IFERROR(__xludf.DUMMYFUNCTION("GOOGLETRANSLATE(D1160,$D$1,$F$1)"),"cầu")</f>
        <v>cầu</v>
      </c>
      <c r="G1160" s="3" t="s">
        <v>2294</v>
      </c>
    </row>
    <row r="1161">
      <c r="A1161" s="3">
        <v>15.0</v>
      </c>
      <c r="B1161" s="3" t="s">
        <v>2295</v>
      </c>
      <c r="C1161" s="3" t="str">
        <f t="shared" si="1"/>
        <v>128 </v>
      </c>
      <c r="D1161" s="3" t="str">
        <f t="shared" si="2"/>
        <v>church</v>
      </c>
      <c r="E1161" s="2" t="s">
        <v>8</v>
      </c>
      <c r="F1161" s="3" t="str">
        <f>IFERROR(__xludf.DUMMYFUNCTION("GOOGLETRANSLATE(D1161,$D$1,$F$1)"),"nhà thờ")</f>
        <v>nhà thờ</v>
      </c>
      <c r="G1161" s="3" t="s">
        <v>2296</v>
      </c>
    </row>
    <row r="1162">
      <c r="A1162" s="3">
        <v>15.0</v>
      </c>
      <c r="B1162" s="3" t="s">
        <v>2297</v>
      </c>
      <c r="C1162" s="3" t="str">
        <f t="shared" si="1"/>
        <v>128 </v>
      </c>
      <c r="D1162" s="3" t="str">
        <f t="shared" si="2"/>
        <v>art gallery</v>
      </c>
      <c r="E1162" s="2" t="s">
        <v>8</v>
      </c>
      <c r="F1162" s="3" t="str">
        <f>IFERROR(__xludf.DUMMYFUNCTION("GOOGLETRANSLATE(D1162,$D$1,$F$1)"),"Triển lãm nghệ thuật")</f>
        <v>Triển lãm nghệ thuật</v>
      </c>
      <c r="G1162" s="3" t="s">
        <v>2298</v>
      </c>
    </row>
    <row r="1163">
      <c r="A1163" s="3">
        <v>15.0</v>
      </c>
      <c r="B1163" s="3" t="s">
        <v>2299</v>
      </c>
      <c r="C1163" s="3" t="str">
        <f t="shared" si="1"/>
        <v>128 </v>
      </c>
      <c r="D1163" s="3" t="str">
        <f t="shared" si="2"/>
        <v>canal</v>
      </c>
      <c r="E1163" s="2" t="s">
        <v>8</v>
      </c>
      <c r="F1163" s="3" t="str">
        <f>IFERROR(__xludf.DUMMYFUNCTION("GOOGLETRANSLATE(D1163,$D$1,$F$1)"),"con kênh")</f>
        <v>con kênh</v>
      </c>
      <c r="G1163" s="3" t="s">
        <v>2300</v>
      </c>
    </row>
    <row r="1164">
      <c r="A1164" s="3">
        <v>15.0</v>
      </c>
      <c r="B1164" s="3" t="s">
        <v>2301</v>
      </c>
      <c r="C1164" s="3" t="str">
        <f t="shared" si="1"/>
        <v>128 </v>
      </c>
      <c r="D1164" s="3" t="str">
        <f t="shared" si="2"/>
        <v>hill</v>
      </c>
      <c r="E1164" s="2" t="s">
        <v>8</v>
      </c>
      <c r="F1164" s="3" t="str">
        <f>IFERROR(__xludf.DUMMYFUNCTION("GOOGLETRANSLATE(D1164,$D$1,$F$1)"),"đồi núi")</f>
        <v>đồi núi</v>
      </c>
      <c r="G1164" s="3" t="s">
        <v>2302</v>
      </c>
    </row>
    <row r="1165">
      <c r="A1165" s="3">
        <v>15.0</v>
      </c>
      <c r="B1165" s="3" t="s">
        <v>2303</v>
      </c>
      <c r="C1165" s="3" t="str">
        <f t="shared" si="1"/>
        <v>128 </v>
      </c>
      <c r="D1165" s="3" t="str">
        <f t="shared" si="2"/>
        <v>mosque</v>
      </c>
      <c r="E1165" s="2" t="s">
        <v>8</v>
      </c>
      <c r="F1165" s="3" t="str">
        <f>IFERROR(__xludf.DUMMYFUNCTION("GOOGLETRANSLATE(D1165,$D$1,$F$1)"),"nhà thờ Hồi giáo")</f>
        <v>nhà thờ Hồi giáo</v>
      </c>
      <c r="G1165" s="3" t="s">
        <v>2304</v>
      </c>
    </row>
    <row r="1166">
      <c r="A1166" s="3">
        <v>15.0</v>
      </c>
      <c r="B1166" s="3" t="s">
        <v>2305</v>
      </c>
      <c r="C1166" s="3" t="str">
        <f t="shared" si="1"/>
        <v>128 </v>
      </c>
      <c r="D1166" s="3" t="str">
        <f t="shared" si="2"/>
        <v>temple</v>
      </c>
      <c r="E1166" s="2" t="s">
        <v>8</v>
      </c>
      <c r="F1166" s="3" t="str">
        <f>IFERROR(__xludf.DUMMYFUNCTION("GOOGLETRANSLATE(D1166,$D$1,$F$1)"),"ngôi đền")</f>
        <v>ngôi đền</v>
      </c>
      <c r="G1166" s="3" t="s">
        <v>2306</v>
      </c>
    </row>
    <row r="1167">
      <c r="A1167" s="3">
        <v>15.0</v>
      </c>
      <c r="B1167" s="3" t="s">
        <v>2307</v>
      </c>
      <c r="C1167" s="3" t="str">
        <f t="shared" si="1"/>
        <v>128 </v>
      </c>
      <c r="D1167" s="3" t="str">
        <f t="shared" si="2"/>
        <v>statue</v>
      </c>
      <c r="E1167" s="2" t="s">
        <v>8</v>
      </c>
      <c r="F1167" s="3" t="str">
        <f>IFERROR(__xludf.DUMMYFUNCTION("GOOGLETRANSLATE(D1167,$D$1,$F$1)"),"bức tượng")</f>
        <v>bức tượng</v>
      </c>
      <c r="G1167" s="3" t="s">
        <v>2308</v>
      </c>
    </row>
    <row r="1168">
      <c r="A1168" s="3">
        <v>15.0</v>
      </c>
      <c r="B1168" s="3" t="s">
        <v>2309</v>
      </c>
      <c r="C1168" s="3" t="str">
        <f t="shared" si="1"/>
        <v>128 </v>
      </c>
      <c r="D1168" s="3" t="str">
        <f t="shared" si="2"/>
        <v>park</v>
      </c>
      <c r="E1168" s="2" t="s">
        <v>8</v>
      </c>
      <c r="F1168" s="3" t="str">
        <f>IFERROR(__xludf.DUMMYFUNCTION("GOOGLETRANSLATE(D1168,$D$1,$F$1)"),"công viên")</f>
        <v>công viên</v>
      </c>
      <c r="G1168" s="3" t="s">
        <v>1331</v>
      </c>
    </row>
    <row r="1169">
      <c r="A1169" s="3">
        <v>15.0</v>
      </c>
      <c r="B1169" s="3" t="s">
        <v>2310</v>
      </c>
      <c r="C1169" s="3" t="str">
        <f t="shared" si="1"/>
        <v>129 </v>
      </c>
      <c r="D1169" s="3" t="str">
        <f t="shared" si="2"/>
        <v>religious</v>
      </c>
      <c r="E1169" s="2" t="s">
        <v>8</v>
      </c>
      <c r="F1169" s="3" t="str">
        <f>IFERROR(__xludf.DUMMYFUNCTION("GOOGLETRANSLATE(D1169,$D$1,$F$1)"),"Tôn giáo")</f>
        <v>Tôn giáo</v>
      </c>
      <c r="G1169" s="3" t="s">
        <v>2311</v>
      </c>
    </row>
    <row r="1170">
      <c r="A1170" s="3">
        <v>15.0</v>
      </c>
      <c r="B1170" s="3" t="s">
        <v>2312</v>
      </c>
      <c r="C1170" s="3" t="str">
        <f t="shared" si="1"/>
        <v>129 </v>
      </c>
      <c r="D1170" s="3" t="str">
        <f t="shared" si="2"/>
        <v>reformer</v>
      </c>
      <c r="E1170" s="2" t="s">
        <v>8</v>
      </c>
      <c r="F1170" s="3" t="str">
        <f>IFERROR(__xludf.DUMMYFUNCTION("GOOGLETRANSLATE(D1170,$D$1,$F$1)"),"nhà cải cách")</f>
        <v>nhà cải cách</v>
      </c>
      <c r="G1170" s="3" t="s">
        <v>2313</v>
      </c>
    </row>
    <row r="1171">
      <c r="A1171" s="3">
        <v>15.0</v>
      </c>
      <c r="B1171" s="3" t="s">
        <v>2314</v>
      </c>
      <c r="C1171" s="3" t="str">
        <f t="shared" si="1"/>
        <v>129 </v>
      </c>
      <c r="D1171" s="3" t="str">
        <f t="shared" si="2"/>
        <v>painting</v>
      </c>
      <c r="E1171" s="2" t="s">
        <v>8</v>
      </c>
      <c r="F1171" s="3" t="str">
        <f>IFERROR(__xludf.DUMMYFUNCTION("GOOGLETRANSLATE(D1171,$D$1,$F$1)"),"bức vẽ")</f>
        <v>bức vẽ</v>
      </c>
      <c r="G1171" s="3" t="s">
        <v>2315</v>
      </c>
    </row>
    <row r="1172">
      <c r="A1172" s="3">
        <v>15.0</v>
      </c>
      <c r="B1172" s="3" t="s">
        <v>2316</v>
      </c>
      <c r="C1172" s="3" t="str">
        <f t="shared" si="1"/>
        <v>129 </v>
      </c>
      <c r="D1172" s="3" t="str">
        <f t="shared" si="2"/>
        <v>National Gallery</v>
      </c>
      <c r="E1172" s="2" t="s">
        <v>8</v>
      </c>
      <c r="F1172" s="3" t="str">
        <f>IFERROR(__xludf.DUMMYFUNCTION("GOOGLETRANSLATE(D1172,$D$1,$F$1)"),"Thư viện Quốc gia")</f>
        <v>Thư viện Quốc gia</v>
      </c>
      <c r="G1172" s="3" t="s">
        <v>2317</v>
      </c>
    </row>
    <row r="1173">
      <c r="A1173" s="3">
        <v>15.0</v>
      </c>
      <c r="B1173" s="3" t="s">
        <v>2318</v>
      </c>
      <c r="C1173" s="3" t="str">
        <f t="shared" si="1"/>
        <v>130 </v>
      </c>
      <c r="D1173" s="3" t="str">
        <f t="shared" si="2"/>
        <v>step</v>
      </c>
      <c r="E1173" s="2" t="s">
        <v>8</v>
      </c>
      <c r="F1173" s="3" t="str">
        <f>IFERROR(__xludf.DUMMYFUNCTION("GOOGLETRANSLATE(D1173,$D$1,$F$1)"),"bươc")</f>
        <v>bươc</v>
      </c>
      <c r="G1173" s="3" t="s">
        <v>2319</v>
      </c>
    </row>
    <row r="1174">
      <c r="A1174" s="3">
        <v>15.0</v>
      </c>
      <c r="B1174" s="3" t="s">
        <v>2320</v>
      </c>
      <c r="C1174" s="3" t="str">
        <f t="shared" si="1"/>
        <v>130 </v>
      </c>
      <c r="D1174" s="3" t="str">
        <f t="shared" si="2"/>
        <v>up</v>
      </c>
      <c r="E1174" s="2" t="s">
        <v>8</v>
      </c>
      <c r="F1174" s="3" t="str">
        <f>IFERROR(__xludf.DUMMYFUNCTION("GOOGLETRANSLATE(D1174,$D$1,$F$1)"),"lên")</f>
        <v>lên</v>
      </c>
      <c r="G1174" s="3" t="s">
        <v>2321</v>
      </c>
    </row>
    <row r="1175">
      <c r="A1175" s="3">
        <v>15.0</v>
      </c>
      <c r="B1175" s="3" t="s">
        <v>2322</v>
      </c>
      <c r="C1175" s="3" t="str">
        <f t="shared" si="1"/>
        <v>130 </v>
      </c>
      <c r="D1175" s="3" t="str">
        <f t="shared" si="2"/>
        <v>across</v>
      </c>
      <c r="E1175" s="2" t="s">
        <v>8</v>
      </c>
      <c r="F1175" s="3" t="str">
        <f>IFERROR(__xludf.DUMMYFUNCTION("GOOGLETRANSLATE(D1175,$D$1,$F$1)"),"băng qua")</f>
        <v>băng qua</v>
      </c>
      <c r="G1175" s="3" t="s">
        <v>2323</v>
      </c>
    </row>
    <row r="1176">
      <c r="A1176" s="3">
        <v>15.0</v>
      </c>
      <c r="B1176" s="3" t="s">
        <v>2324</v>
      </c>
      <c r="C1176" s="3" t="str">
        <f t="shared" si="1"/>
        <v>130 </v>
      </c>
      <c r="D1176" s="3" t="str">
        <f t="shared" si="2"/>
        <v>out of</v>
      </c>
      <c r="E1176" s="2" t="s">
        <v>8</v>
      </c>
      <c r="F1176" s="3" t="str">
        <f>IFERROR(__xludf.DUMMYFUNCTION("GOOGLETRANSLATE(D1176,$D$1,$F$1)"),"ra khỏi")</f>
        <v>ra khỏi</v>
      </c>
      <c r="G1176" s="3" t="s">
        <v>2325</v>
      </c>
    </row>
    <row r="1177">
      <c r="A1177" s="3">
        <v>15.0</v>
      </c>
      <c r="B1177" s="3" t="s">
        <v>2326</v>
      </c>
      <c r="C1177" s="3" t="str">
        <f t="shared" si="1"/>
        <v>130 </v>
      </c>
      <c r="D1177" s="3" t="str">
        <f t="shared" si="2"/>
        <v>down</v>
      </c>
      <c r="E1177" s="2" t="s">
        <v>8</v>
      </c>
      <c r="F1177" s="3" t="str">
        <f>IFERROR(__xludf.DUMMYFUNCTION("GOOGLETRANSLATE(D1177,$D$1,$F$1)"),"xuống")</f>
        <v>xuống</v>
      </c>
      <c r="G1177" s="3" t="s">
        <v>2327</v>
      </c>
    </row>
    <row r="1178">
      <c r="A1178" s="3">
        <v>15.0</v>
      </c>
      <c r="B1178" s="3" t="s">
        <v>2328</v>
      </c>
      <c r="C1178" s="3" t="str">
        <f t="shared" si="1"/>
        <v>130 </v>
      </c>
      <c r="D1178" s="3" t="str">
        <f t="shared" si="2"/>
        <v>past</v>
      </c>
      <c r="E1178" s="2" t="s">
        <v>8</v>
      </c>
      <c r="F1178" s="3" t="str">
        <f>IFERROR(__xludf.DUMMYFUNCTION("GOOGLETRANSLATE(D1178,$D$1,$F$1)"),"quá khứ")</f>
        <v>quá khứ</v>
      </c>
      <c r="G1178" s="3" t="s">
        <v>2329</v>
      </c>
    </row>
    <row r="1179">
      <c r="A1179" s="3">
        <v>15.0</v>
      </c>
      <c r="B1179" s="3" t="s">
        <v>2330</v>
      </c>
      <c r="C1179" s="3" t="str">
        <f t="shared" si="1"/>
        <v>130 </v>
      </c>
      <c r="D1179" s="3" t="str">
        <f t="shared" si="2"/>
        <v>into</v>
      </c>
      <c r="E1179" s="2" t="s">
        <v>8</v>
      </c>
      <c r="F1179" s="3" t="str">
        <f>IFERROR(__xludf.DUMMYFUNCTION("GOOGLETRANSLATE(D1179,$D$1,$F$1)"),"trong")</f>
        <v>trong</v>
      </c>
      <c r="G1179" s="3" t="s">
        <v>2331</v>
      </c>
    </row>
    <row r="1180">
      <c r="A1180" s="3">
        <v>15.0</v>
      </c>
      <c r="B1180" s="3" t="s">
        <v>2332</v>
      </c>
      <c r="C1180" s="3" t="str">
        <f t="shared" si="1"/>
        <v>130 </v>
      </c>
      <c r="D1180" s="3" t="str">
        <f t="shared" si="2"/>
        <v>from</v>
      </c>
      <c r="E1180" s="2" t="s">
        <v>8</v>
      </c>
      <c r="F1180" s="3" t="str">
        <f>IFERROR(__xludf.DUMMYFUNCTION("GOOGLETRANSLATE(D1180,$D$1,$F$1)"),"từ")</f>
        <v>từ</v>
      </c>
      <c r="G1180" s="3" t="s">
        <v>2333</v>
      </c>
    </row>
    <row r="1181">
      <c r="A1181" s="3">
        <v>15.0</v>
      </c>
      <c r="B1181" s="3" t="s">
        <v>2334</v>
      </c>
      <c r="C1181" s="3" t="str">
        <f t="shared" si="1"/>
        <v>130 </v>
      </c>
      <c r="D1181" s="3" t="str">
        <f t="shared" si="2"/>
        <v>along</v>
      </c>
      <c r="E1181" s="2" t="s">
        <v>8</v>
      </c>
      <c r="F1181" s="3" t="str">
        <f>IFERROR(__xludf.DUMMYFUNCTION("GOOGLETRANSLATE(D1181,$D$1,$F$1)"),"dọc theo")</f>
        <v>dọc theo</v>
      </c>
      <c r="G1181" s="3" t="s">
        <v>2335</v>
      </c>
    </row>
    <row r="1182">
      <c r="A1182" s="3">
        <v>15.0</v>
      </c>
      <c r="B1182" s="3" t="s">
        <v>2336</v>
      </c>
      <c r="C1182" s="3" t="str">
        <f t="shared" si="1"/>
        <v>131 </v>
      </c>
      <c r="D1182" s="3" t="str">
        <f t="shared" si="2"/>
        <v>ladder</v>
      </c>
      <c r="E1182" s="2" t="s">
        <v>8</v>
      </c>
      <c r="F1182" s="3" t="str">
        <f>IFERROR(__xludf.DUMMYFUNCTION("GOOGLETRANSLATE(D1182,$D$1,$F$1)"),"thang")</f>
        <v>thang</v>
      </c>
      <c r="G1182" s="3" t="s">
        <v>2337</v>
      </c>
    </row>
    <row r="1183">
      <c r="A1183" s="3">
        <v>15.0</v>
      </c>
      <c r="B1183" s="3" t="s">
        <v>2338</v>
      </c>
      <c r="C1183" s="3" t="str">
        <f t="shared" si="1"/>
        <v>131 </v>
      </c>
      <c r="D1183" s="3" t="str">
        <f t="shared" si="2"/>
        <v>field</v>
      </c>
      <c r="E1183" s="2" t="s">
        <v>8</v>
      </c>
      <c r="F1183" s="3" t="str">
        <f>IFERROR(__xludf.DUMMYFUNCTION("GOOGLETRANSLATE(D1183,$D$1,$F$1)"),"cánh đồng")</f>
        <v>cánh đồng</v>
      </c>
      <c r="G1183" s="3" t="s">
        <v>2339</v>
      </c>
    </row>
    <row r="1184">
      <c r="A1184" s="3">
        <v>15.0</v>
      </c>
      <c r="B1184" s="3" t="s">
        <v>2340</v>
      </c>
      <c r="C1184" s="3" t="str">
        <f t="shared" si="1"/>
        <v>131 </v>
      </c>
      <c r="D1184" s="3" t="str">
        <f t="shared" si="2"/>
        <v>scenery</v>
      </c>
      <c r="E1184" s="2" t="s">
        <v>8</v>
      </c>
      <c r="F1184" s="3" t="str">
        <f>IFERROR(__xludf.DUMMYFUNCTION("GOOGLETRANSLATE(D1184,$D$1,$F$1)"),"phong cảnh")</f>
        <v>phong cảnh</v>
      </c>
      <c r="G1184" s="3" t="s">
        <v>2341</v>
      </c>
    </row>
    <row r="1185">
      <c r="A1185" s="3">
        <v>15.0</v>
      </c>
      <c r="B1185" s="3" t="s">
        <v>2342</v>
      </c>
      <c r="C1185" s="3" t="str">
        <f t="shared" si="1"/>
        <v>131 </v>
      </c>
      <c r="D1185" s="3" t="str">
        <f t="shared" si="2"/>
        <v>track</v>
      </c>
      <c r="E1185" s="2" t="s">
        <v>8</v>
      </c>
      <c r="F1185" s="3" t="str">
        <f>IFERROR(__xludf.DUMMYFUNCTION("GOOGLETRANSLATE(D1185,$D$1,$F$1)"),"theo dõi")</f>
        <v>theo dõi</v>
      </c>
      <c r="G1185" s="3" t="s">
        <v>2343</v>
      </c>
    </row>
    <row r="1186">
      <c r="A1186" s="3">
        <v>15.0</v>
      </c>
      <c r="B1186" s="3" t="s">
        <v>2344</v>
      </c>
      <c r="C1186" s="3" t="str">
        <f t="shared" si="1"/>
        <v>131 </v>
      </c>
      <c r="D1186" s="3" t="str">
        <f t="shared" si="2"/>
        <v>tunnel</v>
      </c>
      <c r="E1186" s="2" t="s">
        <v>8</v>
      </c>
      <c r="F1186" s="3" t="str">
        <f>IFERROR(__xludf.DUMMYFUNCTION("GOOGLETRANSLATE(D1186,$D$1,$F$1)"),"đường hầm")</f>
        <v>đường hầm</v>
      </c>
      <c r="G1186" s="3" t="s">
        <v>2345</v>
      </c>
    </row>
    <row r="1187">
      <c r="A1187" s="3">
        <v>15.0</v>
      </c>
      <c r="B1187" s="3" t="s">
        <v>2346</v>
      </c>
      <c r="C1187" s="3" t="str">
        <f t="shared" si="1"/>
        <v>131 </v>
      </c>
      <c r="D1187" s="3" t="str">
        <f t="shared" si="2"/>
        <v>ski resort</v>
      </c>
      <c r="E1187" s="2" t="s">
        <v>8</v>
      </c>
      <c r="F1187" s="3" t="str">
        <f>IFERROR(__xludf.DUMMYFUNCTION("GOOGLETRANSLATE(D1187,$D$1,$F$1)"),"Khu nghỉ dưỡng trượt tuyết")</f>
        <v>Khu nghỉ dưỡng trượt tuyết</v>
      </c>
      <c r="G1187" s="3" t="s">
        <v>2347</v>
      </c>
    </row>
    <row r="1188">
      <c r="A1188" s="3">
        <v>15.0</v>
      </c>
      <c r="B1188" s="3" t="s">
        <v>2348</v>
      </c>
      <c r="C1188" s="3" t="str">
        <f t="shared" si="1"/>
        <v>131 </v>
      </c>
      <c r="D1188" s="3" t="str">
        <f t="shared" si="2"/>
        <v>height</v>
      </c>
      <c r="E1188" s="2" t="s">
        <v>8</v>
      </c>
      <c r="F1188" s="3" t="str">
        <f>IFERROR(__xludf.DUMMYFUNCTION("GOOGLETRANSLATE(D1188,$D$1,$F$1)"),"Chiều cao")</f>
        <v>Chiều cao</v>
      </c>
      <c r="G1188" s="3" t="s">
        <v>2349</v>
      </c>
    </row>
    <row r="1189">
      <c r="A1189" s="3">
        <v>15.0</v>
      </c>
      <c r="B1189" s="3" t="s">
        <v>2350</v>
      </c>
      <c r="C1189" s="3" t="str">
        <f t="shared" si="1"/>
        <v>131 </v>
      </c>
      <c r="D1189" s="3" t="str">
        <f t="shared" si="2"/>
        <v>glacier</v>
      </c>
      <c r="E1189" s="2" t="s">
        <v>8</v>
      </c>
      <c r="F1189" s="3" t="str">
        <f>IFERROR(__xludf.DUMMYFUNCTION("GOOGLETRANSLATE(D1189,$D$1,$F$1)"),"băng hà")</f>
        <v>băng hà</v>
      </c>
      <c r="G1189" s="3" t="s">
        <v>2351</v>
      </c>
    </row>
    <row r="1190">
      <c r="A1190" s="3">
        <v>15.0</v>
      </c>
      <c r="B1190" s="3" t="s">
        <v>2352</v>
      </c>
      <c r="C1190" s="3" t="str">
        <f t="shared" si="1"/>
        <v>131 </v>
      </c>
      <c r="D1190" s="3" t="str">
        <f t="shared" si="2"/>
        <v>pass (v)</v>
      </c>
      <c r="E1190" s="2" t="s">
        <v>8</v>
      </c>
      <c r="F1190" s="3" t="str">
        <f>IFERROR(__xludf.DUMMYFUNCTION("GOOGLETRANSLATE(D1190,$D$1,$F$1)"),"vượt qua (v)")</f>
        <v>vượt qua (v)</v>
      </c>
      <c r="G1190" s="3" t="s">
        <v>2353</v>
      </c>
    </row>
    <row r="1191">
      <c r="A1191" s="3">
        <v>15.0</v>
      </c>
      <c r="B1191" s="3" t="s">
        <v>2354</v>
      </c>
      <c r="C1191" s="3" t="str">
        <f t="shared" si="1"/>
        <v>132 </v>
      </c>
      <c r="D1191" s="3" t="str">
        <f t="shared" si="2"/>
        <v>smoking area</v>
      </c>
      <c r="E1191" s="2" t="s">
        <v>8</v>
      </c>
      <c r="F1191" s="3" t="str">
        <f>IFERROR(__xludf.DUMMYFUNCTION("GOOGLETRANSLATE(D1191,$D$1,$F$1)"),"khu vực hút thuốc")</f>
        <v>khu vực hút thuốc</v>
      </c>
      <c r="G1191" s="3" t="s">
        <v>2355</v>
      </c>
    </row>
    <row r="1192">
      <c r="A1192" s="3">
        <v>15.0</v>
      </c>
      <c r="B1192" s="3" t="s">
        <v>2356</v>
      </c>
      <c r="C1192" s="3" t="str">
        <f t="shared" si="1"/>
        <v>132 </v>
      </c>
      <c r="D1192" s="3" t="str">
        <f t="shared" si="2"/>
        <v>entry fees</v>
      </c>
      <c r="E1192" s="2" t="s">
        <v>8</v>
      </c>
      <c r="F1192" s="3" t="str">
        <f>IFERROR(__xludf.DUMMYFUNCTION("GOOGLETRANSLATE(D1192,$D$1,$F$1)"),"lệ phí nhập cảnh")</f>
        <v>lệ phí nhập cảnh</v>
      </c>
      <c r="G1192" s="3" t="s">
        <v>2357</v>
      </c>
    </row>
    <row r="1193">
      <c r="A1193" s="3">
        <v>15.0</v>
      </c>
      <c r="B1193" s="3" t="s">
        <v>2358</v>
      </c>
      <c r="C1193" s="3" t="str">
        <f t="shared" si="1"/>
        <v>132 </v>
      </c>
      <c r="D1193" s="3" t="str">
        <f t="shared" si="2"/>
        <v>passport control</v>
      </c>
      <c r="E1193" s="2" t="s">
        <v>8</v>
      </c>
      <c r="F1193" s="3" t="str">
        <f>IFERROR(__xludf.DUMMYFUNCTION("GOOGLETRANSLATE(D1193,$D$1,$F$1)"),"kiểm tra hộ chiếu")</f>
        <v>kiểm tra hộ chiếu</v>
      </c>
      <c r="G1193" s="3" t="s">
        <v>2359</v>
      </c>
    </row>
    <row r="1194">
      <c r="A1194" s="3">
        <v>15.0</v>
      </c>
      <c r="B1194" s="3" t="s">
        <v>2360</v>
      </c>
      <c r="C1194" s="3" t="str">
        <f t="shared" si="1"/>
        <v>132 </v>
      </c>
      <c r="D1194" s="3" t="str">
        <f t="shared" si="2"/>
        <v>out of order</v>
      </c>
      <c r="E1194" s="2" t="s">
        <v>8</v>
      </c>
      <c r="F1194" s="3" t="str">
        <f>IFERROR(__xludf.DUMMYFUNCTION("GOOGLETRANSLATE(D1194,$D$1,$F$1)"),"không sử dụng được")</f>
        <v>không sử dụng được</v>
      </c>
      <c r="G1194" s="3" t="s">
        <v>2361</v>
      </c>
    </row>
    <row r="1195">
      <c r="A1195" s="3">
        <v>15.0</v>
      </c>
      <c r="B1195" s="3" t="s">
        <v>2362</v>
      </c>
      <c r="C1195" s="3" t="str">
        <f t="shared" si="1"/>
        <v>132 </v>
      </c>
      <c r="D1195" s="3" t="str">
        <f t="shared" si="2"/>
        <v>grass</v>
      </c>
      <c r="E1195" s="2" t="s">
        <v>8</v>
      </c>
      <c r="F1195" s="3" t="str">
        <f>IFERROR(__xludf.DUMMYFUNCTION("GOOGLETRANSLATE(D1195,$D$1,$F$1)"),"cỏ")</f>
        <v>cỏ</v>
      </c>
      <c r="G1195" s="3" t="s">
        <v>2363</v>
      </c>
    </row>
    <row r="1196">
      <c r="A1196" s="3">
        <v>15.0</v>
      </c>
      <c r="B1196" s="3" t="s">
        <v>2364</v>
      </c>
      <c r="C1196" s="3" t="str">
        <f t="shared" si="1"/>
        <v>133 </v>
      </c>
      <c r="D1196" s="3" t="str">
        <f t="shared" si="2"/>
        <v>wear</v>
      </c>
      <c r="E1196" s="2" t="s">
        <v>8</v>
      </c>
      <c r="F1196" s="3" t="str">
        <f>IFERROR(__xludf.DUMMYFUNCTION("GOOGLETRANSLATE(D1196,$D$1,$F$1)"),"mặc")</f>
        <v>mặc</v>
      </c>
      <c r="G1196" s="3" t="s">
        <v>1211</v>
      </c>
    </row>
    <row r="1197">
      <c r="A1197" s="3">
        <v>15.0</v>
      </c>
      <c r="B1197" s="3" t="s">
        <v>2365</v>
      </c>
      <c r="C1197" s="3" t="str">
        <f t="shared" si="1"/>
        <v>133 </v>
      </c>
      <c r="D1197" s="3" t="str">
        <f t="shared" si="2"/>
        <v>obey</v>
      </c>
      <c r="E1197" s="2" t="s">
        <v>8</v>
      </c>
      <c r="F1197" s="3" t="str">
        <f>IFERROR(__xludf.DUMMYFUNCTION("GOOGLETRANSLATE(D1197,$D$1,$F$1)"),"tuân theo")</f>
        <v>tuân theo</v>
      </c>
      <c r="G1197" s="3" t="s">
        <v>2366</v>
      </c>
    </row>
    <row r="1198">
      <c r="A1198" s="3">
        <v>15.0</v>
      </c>
      <c r="B1198" s="3" t="s">
        <v>2367</v>
      </c>
      <c r="C1198" s="3" t="str">
        <f t="shared" si="1"/>
        <v>133 </v>
      </c>
      <c r="D1198" s="3" t="str">
        <f t="shared" si="2"/>
        <v>instruction</v>
      </c>
      <c r="E1198" s="2" t="s">
        <v>8</v>
      </c>
      <c r="F1198" s="3" t="str">
        <f>IFERROR(__xludf.DUMMYFUNCTION("GOOGLETRANSLATE(D1198,$D$1,$F$1)"),"chỉ dẫn")</f>
        <v>chỉ dẫn</v>
      </c>
      <c r="G1198" s="3" t="s">
        <v>2368</v>
      </c>
    </row>
    <row r="1199">
      <c r="A1199" s="3">
        <v>15.0</v>
      </c>
      <c r="B1199" s="3" t="s">
        <v>2369</v>
      </c>
      <c r="C1199" s="3" t="str">
        <f t="shared" si="1"/>
        <v>133 </v>
      </c>
      <c r="D1199" s="3" t="str">
        <f t="shared" si="2"/>
        <v>earn a living</v>
      </c>
      <c r="E1199" s="2" t="s">
        <v>8</v>
      </c>
      <c r="F1199" s="3" t="str">
        <f>IFERROR(__xludf.DUMMYFUNCTION("GOOGLETRANSLATE(D1199,$D$1,$F$1)"),"kiếm sống")</f>
        <v>kiếm sống</v>
      </c>
      <c r="G1199" s="3" t="s">
        <v>2370</v>
      </c>
    </row>
    <row r="1200">
      <c r="A1200" s="3">
        <v>15.0</v>
      </c>
      <c r="B1200" s="3" t="s">
        <v>2371</v>
      </c>
      <c r="C1200" s="3" t="str">
        <f t="shared" si="1"/>
        <v>133 </v>
      </c>
      <c r="D1200" s="3" t="str">
        <f t="shared" si="2"/>
        <v>prison</v>
      </c>
      <c r="E1200" s="2" t="s">
        <v>8</v>
      </c>
      <c r="F1200" s="3" t="str">
        <f>IFERROR(__xludf.DUMMYFUNCTION("GOOGLETRANSLATE(D1200,$D$1,$F$1)"),"nhà tù")</f>
        <v>nhà tù</v>
      </c>
      <c r="G1200" s="3" t="s">
        <v>2372</v>
      </c>
    </row>
    <row r="1201">
      <c r="A1201" s="3">
        <v>15.0</v>
      </c>
      <c r="B1201" s="3" t="s">
        <v>2373</v>
      </c>
      <c r="C1201" s="3" t="str">
        <f t="shared" si="1"/>
        <v>133 </v>
      </c>
      <c r="D1201" s="3" t="str">
        <f t="shared" si="2"/>
        <v>sense of direction</v>
      </c>
      <c r="E1201" s="2" t="s">
        <v>8</v>
      </c>
      <c r="F1201" s="3" t="str">
        <f>IFERROR(__xludf.DUMMYFUNCTION("GOOGLETRANSLATE(D1201,$D$1,$F$1)"),"cảm giác hướng")</f>
        <v>cảm giác hướng</v>
      </c>
      <c r="G1201" s="3" t="s">
        <v>2374</v>
      </c>
    </row>
    <row r="1202">
      <c r="A1202" s="3">
        <v>15.0</v>
      </c>
      <c r="B1202" s="3" t="s">
        <v>2375</v>
      </c>
      <c r="C1202" s="3" t="str">
        <f t="shared" si="1"/>
        <v>133 </v>
      </c>
      <c r="D1202" s="3" t="str">
        <f t="shared" si="2"/>
        <v>straight on</v>
      </c>
      <c r="E1202" s="2" t="s">
        <v>8</v>
      </c>
      <c r="F1202" s="3" t="str">
        <f>IFERROR(__xludf.DUMMYFUNCTION("GOOGLETRANSLATE(D1202,$D$1,$F$1)"),"trên thẳng")</f>
        <v>trên thẳng</v>
      </c>
      <c r="G1202" s="3" t="s">
        <v>2376</v>
      </c>
    </row>
    <row r="1203">
      <c r="A1203" s="3">
        <v>15.0</v>
      </c>
      <c r="B1203" s="3" t="s">
        <v>2377</v>
      </c>
      <c r="C1203" s="3" t="str">
        <f t="shared" si="1"/>
        <v>134 </v>
      </c>
      <c r="D1203" s="3" t="str">
        <f t="shared" si="2"/>
        <v>guidebook</v>
      </c>
      <c r="E1203" s="2" t="s">
        <v>8</v>
      </c>
      <c r="F1203" s="3" t="str">
        <f>IFERROR(__xludf.DUMMYFUNCTION("GOOGLETRANSLATE(D1203,$D$1,$F$1)"),"quyển sách hướng dẫn")</f>
        <v>quyển sách hướng dẫn</v>
      </c>
      <c r="G1203" s="3" t="s">
        <v>2378</v>
      </c>
    </row>
    <row r="1204">
      <c r="A1204" s="3">
        <v>15.0</v>
      </c>
      <c r="B1204" s="3" t="s">
        <v>2379</v>
      </c>
      <c r="C1204" s="3" t="str">
        <f t="shared" si="1"/>
        <v>134 </v>
      </c>
      <c r="D1204" s="3" t="str">
        <f t="shared" si="2"/>
        <v>tourist information</v>
      </c>
      <c r="E1204" s="2" t="s">
        <v>8</v>
      </c>
      <c r="F1204" s="3" t="str">
        <f>IFERROR(__xludf.DUMMYFUNCTION("GOOGLETRANSLATE(D1204,$D$1,$F$1)"),"thông tin du lịch")</f>
        <v>thông tin du lịch</v>
      </c>
      <c r="G1204" s="3" t="s">
        <v>2380</v>
      </c>
    </row>
    <row r="1205">
      <c r="A1205" s="3">
        <v>15.0</v>
      </c>
      <c r="B1205" s="3" t="s">
        <v>2381</v>
      </c>
      <c r="C1205" s="3" t="str">
        <f t="shared" si="1"/>
        <v>134 </v>
      </c>
      <c r="D1205" s="3" t="str">
        <f t="shared" si="2"/>
        <v>value</v>
      </c>
      <c r="E1205" s="2" t="s">
        <v>8</v>
      </c>
      <c r="F1205" s="3" t="str">
        <f>IFERROR(__xludf.DUMMYFUNCTION("GOOGLETRANSLATE(D1205,$D$1,$F$1)"),"giá trị")</f>
        <v>giá trị</v>
      </c>
      <c r="G1205" s="3" t="s">
        <v>2382</v>
      </c>
    </row>
    <row r="1206">
      <c r="A1206" s="3">
        <v>15.0</v>
      </c>
      <c r="B1206" s="3" t="s">
        <v>2383</v>
      </c>
      <c r="C1206" s="3" t="str">
        <f t="shared" si="1"/>
        <v>134 </v>
      </c>
      <c r="D1206" s="3" t="str">
        <f t="shared" si="2"/>
        <v>delicious</v>
      </c>
      <c r="E1206" s="2" t="s">
        <v>8</v>
      </c>
      <c r="F1206" s="3" t="str">
        <f>IFERROR(__xludf.DUMMYFUNCTION("GOOGLETRANSLATE(D1206,$D$1,$F$1)"),"thơm ngon")</f>
        <v>thơm ngon</v>
      </c>
      <c r="G1206" s="3" t="s">
        <v>2384</v>
      </c>
    </row>
    <row r="1207">
      <c r="A1207" s="3">
        <v>15.0</v>
      </c>
      <c r="B1207" s="3" t="s">
        <v>2385</v>
      </c>
      <c r="C1207" s="3" t="str">
        <f t="shared" si="1"/>
        <v>134 </v>
      </c>
      <c r="D1207" s="3" t="str">
        <f t="shared" si="2"/>
        <v>peaceful</v>
      </c>
      <c r="E1207" s="2" t="s">
        <v>8</v>
      </c>
      <c r="F1207" s="3" t="str">
        <f>IFERROR(__xludf.DUMMYFUNCTION("GOOGLETRANSLATE(D1207,$D$1,$F$1)"),"bình yên")</f>
        <v>bình yên</v>
      </c>
      <c r="G1207" s="3" t="s">
        <v>2386</v>
      </c>
    </row>
    <row r="1208">
      <c r="A1208" s="3">
        <v>15.0</v>
      </c>
      <c r="B1208" s="3" t="s">
        <v>2387</v>
      </c>
      <c r="C1208" s="3" t="str">
        <f t="shared" si="1"/>
        <v>134 </v>
      </c>
      <c r="D1208" s="3" t="str">
        <f t="shared" si="2"/>
        <v>fun</v>
      </c>
      <c r="E1208" s="2" t="s">
        <v>8</v>
      </c>
      <c r="F1208" s="3" t="str">
        <f>IFERROR(__xludf.DUMMYFUNCTION("GOOGLETRANSLATE(D1208,$D$1,$F$1)"),"vui vẻ")</f>
        <v>vui vẻ</v>
      </c>
      <c r="G1208" s="3" t="s">
        <v>2388</v>
      </c>
    </row>
    <row r="1209">
      <c r="A1209" s="2">
        <v>15.0</v>
      </c>
      <c r="B1209" s="2" t="s">
        <v>2389</v>
      </c>
      <c r="C1209" s="3" t="str">
        <f t="shared" si="1"/>
        <v>134 </v>
      </c>
      <c r="D1209" s="3" t="str">
        <f t="shared" si="2"/>
        <v>recommend</v>
      </c>
      <c r="E1209" s="2" t="s">
        <v>8</v>
      </c>
      <c r="F1209" s="3" t="str">
        <f>IFERROR(__xludf.DUMMYFUNCTION("GOOGLETRANSLATE(D1209,$D$1,$F$1)"),"giới thiệu")</f>
        <v>giới thiệu</v>
      </c>
      <c r="G1209" s="3" t="s">
        <v>2390</v>
      </c>
    </row>
    <row r="1210">
      <c r="A1210" s="2">
        <v>15.0</v>
      </c>
      <c r="B1210" s="4" t="s">
        <v>2391</v>
      </c>
      <c r="C1210" s="3" t="str">
        <f t="shared" si="1"/>
        <v>134 </v>
      </c>
      <c r="D1210" s="3" t="str">
        <f t="shared" si="2"/>
        <v>service</v>
      </c>
      <c r="E1210" s="2" t="s">
        <v>8</v>
      </c>
      <c r="F1210" s="3" t="str">
        <f>IFERROR(__xludf.DUMMYFUNCTION("GOOGLETRANSLATE(D1210,$D$1,$F$1)"),"dịch vụ")</f>
        <v>dịch vụ</v>
      </c>
      <c r="G1210" s="3" t="s">
        <v>2392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29"/>
  </cols>
  <sheetData>
    <row r="1">
      <c r="A1" s="5" t="s">
        <v>0</v>
      </c>
      <c r="B1" s="2" t="s">
        <v>1</v>
      </c>
      <c r="C1" s="6" t="s">
        <v>2393</v>
      </c>
      <c r="D1" s="2" t="s">
        <v>2394</v>
      </c>
      <c r="E1" s="2" t="s">
        <v>2395</v>
      </c>
      <c r="F1" s="4" t="s">
        <v>6</v>
      </c>
    </row>
    <row r="2">
      <c r="A2" s="7">
        <f t="array" ref="A2:F1271">{'page 1'!A4:F48; 'page 2'!A2:F50; 'page 3'!A2:F50; 'page 4'!A2:F50; 'page 5'!A2:F50; 'page 6'!A2:F50; 'page 7'!A2:F50; 'page 8'!A2:F50; 'page 9'!A2:F50; 'page 10'!A2:F50; 'page 11'!A2:F50; 'page 12'!A2:F50; 'page 13'!A2:F50; 'page 14'!A2:F50; 'page 15'!A2:F50; 'page 16'!A2:F50; 'page 17'!A2:F50; 'page 18'!A2:F50; 'page 19'!A2:F50; 'page 20'!A2:F50; 'page 21'!A2:F50; 'page 22'!A2:F50; 'page 23'!A2:F50; 'page 24'!A2:F50; 'page 25'!A2:F50; 'page 26'!A2:F50}</f>
        <v>1</v>
      </c>
      <c r="B2" s="3"/>
      <c r="C2" s="3"/>
      <c r="D2" s="3"/>
      <c r="E2" s="3"/>
      <c r="F2" s="3"/>
    </row>
    <row r="3">
      <c r="A3" s="7"/>
      <c r="B3" s="3"/>
      <c r="C3" s="3"/>
      <c r="D3" s="3"/>
      <c r="E3" s="3"/>
      <c r="F3" s="3"/>
    </row>
    <row r="4">
      <c r="A4" s="7"/>
      <c r="B4" s="3"/>
      <c r="C4" s="3"/>
      <c r="D4" s="3"/>
      <c r="E4" s="3"/>
      <c r="F4" s="3"/>
    </row>
    <row r="5">
      <c r="A5" s="7"/>
      <c r="B5" s="3"/>
      <c r="C5" s="3"/>
      <c r="D5" s="3"/>
      <c r="E5" s="3"/>
      <c r="F5" s="3"/>
    </row>
    <row r="6">
      <c r="A6" s="7"/>
      <c r="B6" s="3"/>
      <c r="C6" s="3"/>
      <c r="D6" s="3"/>
      <c r="E6" s="3"/>
      <c r="F6" s="3"/>
    </row>
    <row r="7">
      <c r="A7" s="7"/>
      <c r="B7" s="3"/>
      <c r="C7" s="3"/>
      <c r="D7" s="3"/>
      <c r="E7" s="3"/>
      <c r="F7" s="3"/>
    </row>
    <row r="8">
      <c r="A8" s="7"/>
      <c r="B8" s="3"/>
      <c r="C8" s="3"/>
      <c r="D8" s="3"/>
      <c r="E8" s="3"/>
      <c r="F8" s="3"/>
    </row>
    <row r="9">
      <c r="A9" s="7"/>
      <c r="B9" s="3"/>
      <c r="C9" s="3"/>
      <c r="D9" s="3"/>
      <c r="E9" s="3"/>
      <c r="F9" s="3"/>
    </row>
    <row r="10">
      <c r="A10" s="7"/>
      <c r="B10" s="3"/>
      <c r="C10" s="3"/>
      <c r="D10" s="3"/>
      <c r="E10" s="3"/>
      <c r="F10" s="3"/>
    </row>
    <row r="11">
      <c r="A11" s="7"/>
      <c r="B11" s="3"/>
      <c r="C11" s="3"/>
      <c r="D11" s="3"/>
      <c r="E11" s="3"/>
      <c r="F11" s="3"/>
    </row>
    <row r="12">
      <c r="A12" s="7"/>
      <c r="B12" s="3"/>
      <c r="C12" s="3"/>
      <c r="D12" s="3"/>
      <c r="E12" s="3"/>
      <c r="F12" s="3"/>
    </row>
    <row r="13">
      <c r="A13" s="7"/>
      <c r="B13" s="3"/>
      <c r="C13" s="3"/>
      <c r="D13" s="3"/>
      <c r="E13" s="3"/>
      <c r="F13" s="3"/>
    </row>
    <row r="14">
      <c r="A14" s="7"/>
      <c r="B14" s="3"/>
      <c r="C14" s="3"/>
      <c r="D14" s="3"/>
      <c r="E14" s="3"/>
      <c r="F14" s="3"/>
    </row>
    <row r="15">
      <c r="A15" s="7"/>
      <c r="B15" s="3"/>
      <c r="C15" s="3"/>
      <c r="D15" s="3"/>
      <c r="E15" s="3"/>
      <c r="F15" s="3"/>
    </row>
    <row r="16">
      <c r="A16" s="7"/>
      <c r="B16" s="3"/>
      <c r="C16" s="3"/>
      <c r="D16" s="3"/>
      <c r="E16" s="3"/>
      <c r="F16" s="3"/>
    </row>
    <row r="17">
      <c r="A17" s="7"/>
      <c r="B17" s="3"/>
      <c r="C17" s="3"/>
      <c r="D17" s="3"/>
      <c r="E17" s="3"/>
      <c r="F17" s="3"/>
    </row>
    <row r="18">
      <c r="A18" s="7"/>
      <c r="B18" s="3"/>
      <c r="C18" s="3"/>
      <c r="D18" s="3"/>
      <c r="E18" s="3"/>
      <c r="F18" s="3"/>
    </row>
    <row r="19">
      <c r="A19" s="7"/>
      <c r="B19" s="3"/>
      <c r="C19" s="3"/>
      <c r="D19" s="3"/>
      <c r="E19" s="3"/>
      <c r="F19" s="3"/>
    </row>
    <row r="20">
      <c r="A20" s="7"/>
      <c r="B20" s="3"/>
      <c r="C20" s="3"/>
      <c r="D20" s="3"/>
      <c r="E20" s="3"/>
      <c r="F20" s="3"/>
    </row>
    <row r="21">
      <c r="A21" s="7"/>
      <c r="B21" s="3"/>
      <c r="C21" s="3"/>
      <c r="D21" s="3"/>
      <c r="E21" s="3"/>
      <c r="F21" s="3"/>
    </row>
    <row r="22">
      <c r="A22" s="7"/>
      <c r="B22" s="3"/>
      <c r="C22" s="3"/>
      <c r="D22" s="3"/>
      <c r="E22" s="3"/>
      <c r="F22" s="3"/>
    </row>
    <row r="23">
      <c r="A23" s="7"/>
      <c r="B23" s="3"/>
      <c r="C23" s="3"/>
      <c r="D23" s="3"/>
      <c r="E23" s="3"/>
      <c r="F23" s="3"/>
    </row>
    <row r="24">
      <c r="A24" s="7"/>
      <c r="B24" s="3"/>
      <c r="C24" s="3"/>
      <c r="D24" s="3"/>
      <c r="E24" s="3"/>
      <c r="F24" s="3"/>
    </row>
    <row r="25">
      <c r="A25" s="7"/>
      <c r="B25" s="3"/>
      <c r="C25" s="3"/>
      <c r="D25" s="3"/>
      <c r="E25" s="3"/>
      <c r="F25" s="3"/>
    </row>
    <row r="26">
      <c r="A26" s="7"/>
      <c r="B26" s="3"/>
      <c r="C26" s="3"/>
      <c r="D26" s="3"/>
      <c r="E26" s="3"/>
      <c r="F26" s="3"/>
    </row>
    <row r="27">
      <c r="A27" s="7"/>
      <c r="B27" s="3"/>
      <c r="C27" s="3"/>
      <c r="D27" s="3"/>
      <c r="E27" s="3"/>
      <c r="F27" s="3"/>
    </row>
    <row r="28">
      <c r="A28" s="7"/>
      <c r="B28" s="3"/>
      <c r="C28" s="3"/>
      <c r="D28" s="3"/>
      <c r="E28" s="3"/>
      <c r="F28" s="3"/>
    </row>
    <row r="29">
      <c r="A29" s="7"/>
      <c r="B29" s="3"/>
      <c r="C29" s="3"/>
      <c r="D29" s="3"/>
      <c r="E29" s="3"/>
      <c r="F29" s="3"/>
    </row>
    <row r="30">
      <c r="A30" s="7"/>
      <c r="B30" s="3"/>
      <c r="C30" s="3"/>
      <c r="D30" s="3"/>
      <c r="E30" s="3"/>
      <c r="F30" s="3"/>
    </row>
    <row r="31">
      <c r="A31" s="7"/>
      <c r="B31" s="3"/>
      <c r="C31" s="3"/>
      <c r="D31" s="3"/>
      <c r="E31" s="3"/>
      <c r="F31" s="3"/>
    </row>
    <row r="32">
      <c r="A32" s="7"/>
      <c r="B32" s="3"/>
      <c r="C32" s="3"/>
      <c r="D32" s="3"/>
      <c r="E32" s="3"/>
      <c r="F32" s="3"/>
    </row>
    <row r="33">
      <c r="A33" s="7"/>
      <c r="B33" s="3"/>
      <c r="C33" s="3"/>
      <c r="D33" s="3"/>
      <c r="E33" s="3"/>
      <c r="F33" s="3"/>
    </row>
    <row r="34">
      <c r="A34" s="7"/>
      <c r="B34" s="3"/>
      <c r="C34" s="3"/>
      <c r="D34" s="3"/>
      <c r="E34" s="3"/>
      <c r="F34" s="3"/>
    </row>
    <row r="35">
      <c r="A35" s="7"/>
      <c r="B35" s="3"/>
      <c r="C35" s="3"/>
      <c r="D35" s="3"/>
      <c r="E35" s="3"/>
      <c r="F35" s="3"/>
    </row>
    <row r="36">
      <c r="A36" s="7"/>
      <c r="B36" s="3"/>
      <c r="C36" s="3"/>
      <c r="D36" s="3"/>
      <c r="E36" s="3"/>
      <c r="F36" s="3"/>
    </row>
    <row r="37">
      <c r="A37" s="7"/>
      <c r="B37" s="3"/>
      <c r="C37" s="3"/>
      <c r="D37" s="3"/>
      <c r="E37" s="3"/>
      <c r="F37" s="3"/>
    </row>
    <row r="38">
      <c r="A38" s="7"/>
      <c r="B38" s="3"/>
      <c r="C38" s="3"/>
      <c r="D38" s="3"/>
      <c r="E38" s="3"/>
      <c r="F38" s="3"/>
    </row>
    <row r="39">
      <c r="A39" s="7"/>
      <c r="B39" s="3"/>
      <c r="C39" s="3"/>
      <c r="D39" s="3"/>
      <c r="E39" s="3"/>
      <c r="F39" s="3"/>
    </row>
    <row r="40">
      <c r="A40" s="7"/>
      <c r="B40" s="3"/>
      <c r="C40" s="3"/>
      <c r="D40" s="3"/>
      <c r="E40" s="3"/>
      <c r="F40" s="3"/>
    </row>
    <row r="41">
      <c r="A41" s="7"/>
      <c r="B41" s="3"/>
      <c r="C41" s="3"/>
      <c r="D41" s="3"/>
      <c r="E41" s="3"/>
      <c r="F41" s="3"/>
    </row>
    <row r="42">
      <c r="A42" s="7"/>
      <c r="B42" s="3"/>
      <c r="C42" s="3"/>
      <c r="D42" s="3"/>
      <c r="E42" s="3"/>
      <c r="F42" s="3"/>
    </row>
    <row r="43">
      <c r="A43" s="7"/>
      <c r="B43" s="3"/>
      <c r="C43" s="3"/>
      <c r="D43" s="3"/>
      <c r="E43" s="3"/>
      <c r="F43" s="3"/>
    </row>
    <row r="44">
      <c r="A44" s="7"/>
      <c r="B44" s="3"/>
      <c r="C44" s="3"/>
      <c r="D44" s="3"/>
      <c r="E44" s="3"/>
      <c r="F44" s="3"/>
    </row>
    <row r="45">
      <c r="A45" s="7"/>
      <c r="B45" s="3"/>
      <c r="C45" s="3"/>
      <c r="D45" s="3"/>
      <c r="E45" s="3"/>
      <c r="F45" s="3"/>
    </row>
    <row r="46">
      <c r="A46" s="7"/>
      <c r="B46" s="3"/>
      <c r="C46" s="3"/>
      <c r="D46" s="3"/>
      <c r="E46" s="3"/>
      <c r="F46" s="3"/>
    </row>
    <row r="47">
      <c r="A47" s="7"/>
      <c r="B47" s="3"/>
      <c r="C47" s="3"/>
      <c r="D47" s="3"/>
      <c r="E47" s="3"/>
      <c r="F47" s="3"/>
    </row>
    <row r="48">
      <c r="A48" s="7"/>
      <c r="B48" s="3"/>
      <c r="C48" s="3"/>
      <c r="D48" s="3"/>
      <c r="E48" s="3"/>
      <c r="F48" s="3"/>
    </row>
    <row r="49">
      <c r="A49" s="7"/>
      <c r="B49" s="3"/>
      <c r="C49" s="3"/>
      <c r="D49" s="3"/>
      <c r="E49" s="3"/>
      <c r="F49" s="3"/>
    </row>
    <row r="50">
      <c r="A50" s="7"/>
      <c r="B50" s="3"/>
      <c r="C50" s="3"/>
      <c r="D50" s="3"/>
      <c r="E50" s="3"/>
      <c r="F50" s="3"/>
    </row>
    <row r="51">
      <c r="A51" s="7"/>
      <c r="B51" s="3"/>
      <c r="C51" s="3"/>
      <c r="D51" s="3"/>
      <c r="E51" s="3"/>
      <c r="F51" s="3"/>
    </row>
    <row r="52">
      <c r="A52" s="7"/>
      <c r="B52" s="3"/>
      <c r="C52" s="3"/>
      <c r="D52" s="3"/>
      <c r="E52" s="3"/>
      <c r="F52" s="3"/>
    </row>
    <row r="53">
      <c r="A53" s="7"/>
      <c r="B53" s="3"/>
      <c r="C53" s="3"/>
      <c r="D53" s="3"/>
      <c r="E53" s="3"/>
      <c r="F53" s="3"/>
    </row>
    <row r="54">
      <c r="A54" s="7"/>
      <c r="B54" s="3"/>
      <c r="C54" s="3"/>
      <c r="D54" s="3"/>
      <c r="E54" s="3"/>
      <c r="F54" s="3"/>
    </row>
    <row r="55">
      <c r="A55" s="7"/>
      <c r="B55" s="3"/>
      <c r="C55" s="3"/>
      <c r="D55" s="3"/>
      <c r="E55" s="3"/>
      <c r="F55" s="3"/>
    </row>
    <row r="56">
      <c r="A56" s="7"/>
      <c r="B56" s="3"/>
      <c r="C56" s="3"/>
      <c r="D56" s="3"/>
      <c r="E56" s="3"/>
      <c r="F56" s="3"/>
    </row>
    <row r="57">
      <c r="A57" s="7"/>
      <c r="B57" s="3"/>
      <c r="C57" s="3"/>
      <c r="D57" s="3"/>
      <c r="E57" s="3"/>
      <c r="F57" s="3"/>
    </row>
    <row r="58">
      <c r="A58" s="7"/>
      <c r="B58" s="3"/>
      <c r="C58" s="3"/>
      <c r="D58" s="3"/>
      <c r="E58" s="3"/>
      <c r="F58" s="3"/>
    </row>
    <row r="59">
      <c r="A59" s="7"/>
      <c r="B59" s="3"/>
      <c r="C59" s="3"/>
      <c r="D59" s="3"/>
      <c r="E59" s="3"/>
      <c r="F59" s="3"/>
    </row>
    <row r="60">
      <c r="A60" s="7"/>
      <c r="B60" s="3"/>
      <c r="C60" s="3"/>
      <c r="D60" s="3"/>
      <c r="E60" s="3"/>
      <c r="F60" s="3"/>
    </row>
    <row r="61">
      <c r="A61" s="7"/>
      <c r="B61" s="3"/>
      <c r="C61" s="3"/>
      <c r="D61" s="3"/>
      <c r="E61" s="3"/>
      <c r="F61" s="3"/>
    </row>
    <row r="62">
      <c r="A62" s="7"/>
      <c r="B62" s="3"/>
      <c r="C62" s="3"/>
      <c r="D62" s="3"/>
      <c r="E62" s="3"/>
      <c r="F62" s="3"/>
    </row>
    <row r="63">
      <c r="A63" s="7"/>
      <c r="B63" s="3"/>
      <c r="C63" s="3"/>
      <c r="D63" s="3"/>
      <c r="E63" s="3"/>
      <c r="F63" s="3"/>
    </row>
    <row r="64">
      <c r="A64" s="7"/>
      <c r="B64" s="3"/>
      <c r="C64" s="3"/>
      <c r="D64" s="3"/>
      <c r="E64" s="3"/>
      <c r="F64" s="3"/>
    </row>
    <row r="65">
      <c r="A65" s="7"/>
      <c r="B65" s="3"/>
      <c r="C65" s="3"/>
      <c r="D65" s="3"/>
      <c r="E65" s="3"/>
      <c r="F65" s="3"/>
    </row>
    <row r="66">
      <c r="A66" s="7"/>
      <c r="B66" s="3"/>
      <c r="C66" s="3"/>
      <c r="D66" s="3"/>
      <c r="E66" s="3"/>
      <c r="F66" s="3"/>
    </row>
    <row r="67">
      <c r="A67" s="7"/>
      <c r="B67" s="3"/>
      <c r="C67" s="3"/>
      <c r="D67" s="3"/>
      <c r="E67" s="3"/>
      <c r="F67" s="3"/>
    </row>
    <row r="68">
      <c r="A68" s="7"/>
      <c r="B68" s="3"/>
      <c r="C68" s="3"/>
      <c r="D68" s="3"/>
      <c r="E68" s="3"/>
      <c r="F68" s="3"/>
    </row>
    <row r="69">
      <c r="A69" s="7"/>
      <c r="B69" s="3"/>
      <c r="C69" s="3"/>
      <c r="D69" s="3"/>
      <c r="E69" s="3"/>
      <c r="F69" s="3"/>
    </row>
    <row r="70">
      <c r="A70" s="7"/>
      <c r="B70" s="3"/>
      <c r="C70" s="3"/>
      <c r="D70" s="3"/>
      <c r="E70" s="3"/>
      <c r="F70" s="3"/>
    </row>
    <row r="71">
      <c r="A71" s="7"/>
      <c r="B71" s="3"/>
      <c r="C71" s="3"/>
      <c r="D71" s="3"/>
      <c r="E71" s="3"/>
      <c r="F71" s="3"/>
    </row>
    <row r="72">
      <c r="A72" s="7"/>
      <c r="B72" s="3"/>
      <c r="C72" s="3"/>
      <c r="D72" s="3"/>
      <c r="E72" s="3"/>
      <c r="F72" s="3"/>
    </row>
    <row r="73">
      <c r="A73" s="7"/>
      <c r="B73" s="3"/>
      <c r="C73" s="3"/>
      <c r="D73" s="3"/>
      <c r="E73" s="3"/>
      <c r="F73" s="3"/>
    </row>
    <row r="74">
      <c r="A74" s="7"/>
      <c r="B74" s="3"/>
      <c r="C74" s="3"/>
      <c r="D74" s="3"/>
      <c r="E74" s="3"/>
      <c r="F74" s="3"/>
    </row>
    <row r="75">
      <c r="A75" s="7"/>
      <c r="B75" s="3"/>
      <c r="C75" s="3"/>
      <c r="D75" s="3"/>
      <c r="E75" s="3"/>
      <c r="F75" s="3"/>
    </row>
    <row r="76">
      <c r="A76" s="7"/>
      <c r="B76" s="3"/>
      <c r="C76" s="3"/>
      <c r="D76" s="3"/>
      <c r="E76" s="3"/>
      <c r="F76" s="3"/>
    </row>
    <row r="77">
      <c r="A77" s="7"/>
      <c r="B77" s="3"/>
      <c r="C77" s="3"/>
      <c r="D77" s="3"/>
      <c r="E77" s="3"/>
      <c r="F77" s="3"/>
    </row>
    <row r="78">
      <c r="A78" s="7"/>
      <c r="B78" s="3"/>
      <c r="C78" s="3"/>
      <c r="D78" s="3"/>
      <c r="E78" s="3"/>
      <c r="F78" s="3"/>
    </row>
    <row r="79">
      <c r="A79" s="7"/>
      <c r="B79" s="3"/>
      <c r="C79" s="3"/>
      <c r="D79" s="3"/>
      <c r="E79" s="3"/>
      <c r="F79" s="3"/>
    </row>
    <row r="80">
      <c r="A80" s="7"/>
      <c r="B80" s="3"/>
      <c r="C80" s="3"/>
      <c r="D80" s="3"/>
      <c r="E80" s="3"/>
      <c r="F80" s="3"/>
    </row>
    <row r="81">
      <c r="A81" s="7"/>
      <c r="B81" s="3"/>
      <c r="C81" s="3"/>
      <c r="D81" s="3"/>
      <c r="E81" s="3"/>
      <c r="F81" s="3"/>
    </row>
    <row r="82">
      <c r="A82" s="7"/>
      <c r="B82" s="3"/>
      <c r="C82" s="3"/>
      <c r="D82" s="3"/>
      <c r="E82" s="3"/>
      <c r="F82" s="3"/>
    </row>
    <row r="83">
      <c r="A83" s="7"/>
      <c r="B83" s="3"/>
      <c r="C83" s="3"/>
      <c r="D83" s="3"/>
      <c r="E83" s="3"/>
      <c r="F83" s="3"/>
    </row>
    <row r="84">
      <c r="A84" s="7"/>
      <c r="B84" s="3"/>
      <c r="C84" s="3"/>
      <c r="D84" s="3"/>
      <c r="E84" s="3"/>
      <c r="F84" s="3"/>
    </row>
    <row r="85">
      <c r="A85" s="7"/>
      <c r="B85" s="3"/>
      <c r="C85" s="3"/>
      <c r="D85" s="3"/>
      <c r="E85" s="3"/>
      <c r="F85" s="3"/>
    </row>
    <row r="86">
      <c r="A86" s="7"/>
      <c r="B86" s="3"/>
      <c r="C86" s="3"/>
      <c r="D86" s="3"/>
      <c r="E86" s="3"/>
      <c r="F86" s="3"/>
    </row>
    <row r="87">
      <c r="A87" s="7"/>
      <c r="B87" s="3"/>
      <c r="C87" s="3"/>
      <c r="D87" s="3"/>
      <c r="E87" s="3"/>
      <c r="F87" s="3"/>
    </row>
    <row r="88">
      <c r="A88" s="7"/>
      <c r="B88" s="3"/>
      <c r="C88" s="3"/>
      <c r="D88" s="3"/>
      <c r="E88" s="3"/>
      <c r="F88" s="3"/>
    </row>
    <row r="89">
      <c r="A89" s="7"/>
      <c r="B89" s="3"/>
      <c r="C89" s="3"/>
      <c r="D89" s="3"/>
      <c r="E89" s="3"/>
      <c r="F89" s="3"/>
    </row>
    <row r="90">
      <c r="A90" s="7"/>
      <c r="B90" s="3"/>
      <c r="C90" s="3"/>
      <c r="D90" s="3"/>
      <c r="E90" s="3"/>
      <c r="F90" s="3"/>
    </row>
    <row r="91">
      <c r="A91" s="7"/>
      <c r="B91" s="3"/>
      <c r="C91" s="3"/>
      <c r="D91" s="3"/>
      <c r="E91" s="3"/>
      <c r="F91" s="3"/>
    </row>
    <row r="92">
      <c r="A92" s="7"/>
      <c r="B92" s="3"/>
      <c r="C92" s="3"/>
      <c r="D92" s="3"/>
      <c r="E92" s="3"/>
      <c r="F92" s="3"/>
    </row>
    <row r="93">
      <c r="A93" s="7"/>
      <c r="B93" s="3"/>
      <c r="C93" s="3"/>
      <c r="D93" s="3"/>
      <c r="E93" s="3"/>
      <c r="F93" s="3"/>
    </row>
    <row r="94">
      <c r="A94" s="7"/>
      <c r="B94" s="3"/>
      <c r="C94" s="3"/>
      <c r="D94" s="3"/>
      <c r="E94" s="3"/>
      <c r="F94" s="3"/>
    </row>
    <row r="95">
      <c r="A95" s="7"/>
      <c r="B95" s="3"/>
      <c r="C95" s="3"/>
      <c r="D95" s="3"/>
      <c r="E95" s="3"/>
      <c r="F95" s="3"/>
    </row>
    <row r="96">
      <c r="A96" s="7"/>
      <c r="B96" s="3"/>
      <c r="C96" s="3"/>
      <c r="D96" s="3"/>
      <c r="E96" s="3"/>
      <c r="F96" s="3"/>
    </row>
    <row r="97">
      <c r="A97" s="7"/>
      <c r="B97" s="3"/>
      <c r="C97" s="3"/>
      <c r="D97" s="3"/>
      <c r="E97" s="3"/>
      <c r="F97" s="3"/>
    </row>
    <row r="98">
      <c r="A98" s="7"/>
      <c r="B98" s="3"/>
      <c r="C98" s="3"/>
      <c r="D98" s="3"/>
      <c r="E98" s="3"/>
      <c r="F98" s="3"/>
    </row>
    <row r="99">
      <c r="A99" s="7"/>
      <c r="B99" s="3"/>
      <c r="C99" s="3"/>
      <c r="D99" s="3"/>
      <c r="E99" s="3"/>
      <c r="F99" s="3"/>
    </row>
    <row r="100">
      <c r="A100" s="7"/>
      <c r="B100" s="3"/>
      <c r="C100" s="3"/>
      <c r="D100" s="3"/>
      <c r="E100" s="3"/>
      <c r="F100" s="3"/>
    </row>
    <row r="101">
      <c r="A101" s="7"/>
      <c r="B101" s="3"/>
      <c r="C101" s="3"/>
      <c r="D101" s="3"/>
      <c r="E101" s="3"/>
      <c r="F101" s="3"/>
    </row>
    <row r="102">
      <c r="A102" s="7"/>
      <c r="B102" s="3"/>
      <c r="C102" s="3"/>
      <c r="D102" s="3"/>
      <c r="E102" s="3"/>
      <c r="F102" s="3"/>
    </row>
    <row r="103">
      <c r="A103" s="7"/>
      <c r="B103" s="3"/>
      <c r="C103" s="3"/>
      <c r="D103" s="3"/>
      <c r="E103" s="3"/>
      <c r="F103" s="3"/>
    </row>
    <row r="104">
      <c r="A104" s="7"/>
      <c r="B104" s="3"/>
      <c r="C104" s="3"/>
      <c r="D104" s="3"/>
      <c r="E104" s="3"/>
      <c r="F104" s="3"/>
    </row>
    <row r="105">
      <c r="A105" s="7"/>
      <c r="B105" s="3"/>
      <c r="C105" s="3"/>
      <c r="D105" s="3"/>
      <c r="E105" s="3"/>
      <c r="F105" s="3"/>
    </row>
    <row r="106">
      <c r="A106" s="7"/>
      <c r="B106" s="3"/>
      <c r="C106" s="3"/>
      <c r="D106" s="3"/>
      <c r="E106" s="3"/>
      <c r="F106" s="3"/>
    </row>
    <row r="107">
      <c r="A107" s="7"/>
      <c r="B107" s="3"/>
      <c r="C107" s="3"/>
      <c r="D107" s="3"/>
      <c r="E107" s="3"/>
      <c r="F107" s="3"/>
    </row>
    <row r="108">
      <c r="A108" s="7"/>
      <c r="B108" s="3"/>
      <c r="C108" s="3"/>
      <c r="D108" s="3"/>
      <c r="E108" s="3"/>
      <c r="F108" s="3"/>
    </row>
    <row r="109">
      <c r="A109" s="7"/>
      <c r="B109" s="3"/>
      <c r="C109" s="3"/>
      <c r="D109" s="3"/>
      <c r="E109" s="3"/>
      <c r="F109" s="3"/>
    </row>
    <row r="110">
      <c r="A110" s="7"/>
      <c r="B110" s="3"/>
      <c r="C110" s="3"/>
      <c r="D110" s="3"/>
      <c r="E110" s="3"/>
      <c r="F110" s="3"/>
    </row>
    <row r="111">
      <c r="A111" s="7"/>
      <c r="B111" s="3"/>
      <c r="C111" s="3"/>
      <c r="D111" s="3"/>
      <c r="E111" s="3"/>
      <c r="F111" s="3"/>
    </row>
    <row r="112">
      <c r="A112" s="7"/>
      <c r="B112" s="3"/>
      <c r="C112" s="3"/>
      <c r="D112" s="3"/>
      <c r="E112" s="3"/>
      <c r="F112" s="3"/>
    </row>
    <row r="113">
      <c r="A113" s="7"/>
      <c r="B113" s="3"/>
      <c r="C113" s="3"/>
      <c r="D113" s="3"/>
      <c r="E113" s="3"/>
      <c r="F113" s="3"/>
    </row>
    <row r="114">
      <c r="A114" s="7"/>
      <c r="B114" s="3"/>
      <c r="C114" s="3"/>
      <c r="D114" s="3"/>
      <c r="E114" s="3"/>
      <c r="F114" s="3"/>
    </row>
    <row r="115">
      <c r="A115" s="7"/>
      <c r="B115" s="3"/>
      <c r="C115" s="3"/>
      <c r="D115" s="3"/>
      <c r="E115" s="3"/>
      <c r="F115" s="3"/>
    </row>
    <row r="116">
      <c r="A116" s="7"/>
      <c r="B116" s="3"/>
      <c r="C116" s="3"/>
      <c r="D116" s="3"/>
      <c r="E116" s="3"/>
      <c r="F116" s="3"/>
    </row>
    <row r="117">
      <c r="A117" s="7"/>
      <c r="B117" s="3"/>
      <c r="C117" s="3"/>
      <c r="D117" s="3"/>
      <c r="E117" s="3"/>
      <c r="F117" s="3"/>
    </row>
    <row r="118">
      <c r="A118" s="7"/>
      <c r="B118" s="3"/>
      <c r="C118" s="3"/>
      <c r="D118" s="3"/>
      <c r="E118" s="3"/>
      <c r="F118" s="3"/>
    </row>
    <row r="119">
      <c r="A119" s="7"/>
      <c r="B119" s="3"/>
      <c r="C119" s="3"/>
      <c r="D119" s="3"/>
      <c r="E119" s="3"/>
      <c r="F119" s="3"/>
    </row>
    <row r="120">
      <c r="A120" s="7"/>
      <c r="B120" s="3"/>
      <c r="C120" s="3"/>
      <c r="D120" s="3"/>
      <c r="E120" s="3"/>
      <c r="F120" s="3"/>
    </row>
    <row r="121">
      <c r="A121" s="7"/>
      <c r="B121" s="3"/>
      <c r="C121" s="3"/>
      <c r="D121" s="3"/>
      <c r="E121" s="3"/>
      <c r="F121" s="3"/>
    </row>
    <row r="122">
      <c r="A122" s="7"/>
      <c r="B122" s="3"/>
      <c r="C122" s="3"/>
      <c r="D122" s="3"/>
      <c r="E122" s="3"/>
      <c r="F122" s="3"/>
    </row>
    <row r="123">
      <c r="A123" s="7"/>
      <c r="B123" s="3"/>
      <c r="C123" s="3"/>
      <c r="D123" s="3"/>
      <c r="E123" s="3"/>
      <c r="F123" s="3"/>
    </row>
    <row r="124">
      <c r="A124" s="7"/>
      <c r="B124" s="3"/>
      <c r="C124" s="3"/>
      <c r="D124" s="3"/>
      <c r="E124" s="3"/>
      <c r="F124" s="3"/>
    </row>
    <row r="125">
      <c r="A125" s="7"/>
      <c r="B125" s="3"/>
      <c r="C125" s="3"/>
      <c r="D125" s="3"/>
      <c r="E125" s="3"/>
      <c r="F125" s="3"/>
    </row>
    <row r="126">
      <c r="A126" s="7"/>
      <c r="B126" s="3"/>
      <c r="C126" s="3"/>
      <c r="D126" s="3"/>
      <c r="E126" s="3"/>
      <c r="F126" s="3"/>
    </row>
    <row r="127">
      <c r="A127" s="7"/>
      <c r="B127" s="3"/>
      <c r="C127" s="3"/>
      <c r="D127" s="3"/>
      <c r="E127" s="3"/>
      <c r="F127" s="3"/>
    </row>
    <row r="128">
      <c r="A128" s="7"/>
      <c r="B128" s="3"/>
      <c r="C128" s="3"/>
      <c r="D128" s="3"/>
      <c r="E128" s="3"/>
      <c r="F128" s="3"/>
    </row>
    <row r="129">
      <c r="A129" s="7"/>
      <c r="B129" s="3"/>
      <c r="C129" s="3"/>
      <c r="D129" s="3"/>
      <c r="E129" s="3"/>
      <c r="F129" s="3"/>
    </row>
    <row r="130">
      <c r="A130" s="7"/>
      <c r="B130" s="3"/>
      <c r="C130" s="3"/>
      <c r="D130" s="3"/>
      <c r="E130" s="3"/>
      <c r="F130" s="3"/>
    </row>
    <row r="131">
      <c r="A131" s="7"/>
      <c r="B131" s="3"/>
      <c r="C131" s="3"/>
      <c r="D131" s="3"/>
      <c r="E131" s="3"/>
      <c r="F131" s="3"/>
    </row>
    <row r="132">
      <c r="A132" s="7"/>
      <c r="B132" s="3"/>
      <c r="C132" s="3"/>
      <c r="D132" s="3"/>
      <c r="E132" s="3"/>
      <c r="F132" s="3"/>
    </row>
    <row r="133">
      <c r="A133" s="7"/>
      <c r="B133" s="3"/>
      <c r="C133" s="3"/>
      <c r="D133" s="3"/>
      <c r="E133" s="3"/>
      <c r="F133" s="3"/>
    </row>
    <row r="134">
      <c r="A134" s="7"/>
      <c r="B134" s="3"/>
      <c r="C134" s="3"/>
      <c r="D134" s="3"/>
      <c r="E134" s="3"/>
      <c r="F134" s="3"/>
    </row>
    <row r="135">
      <c r="A135" s="7"/>
      <c r="B135" s="3"/>
      <c r="C135" s="3"/>
      <c r="D135" s="3"/>
      <c r="E135" s="3"/>
      <c r="F135" s="3"/>
    </row>
    <row r="136">
      <c r="A136" s="7"/>
      <c r="B136" s="3"/>
      <c r="C136" s="3"/>
      <c r="D136" s="3"/>
      <c r="E136" s="3"/>
      <c r="F136" s="3"/>
    </row>
    <row r="137">
      <c r="A137" s="7"/>
      <c r="B137" s="3"/>
      <c r="C137" s="3"/>
      <c r="D137" s="3"/>
      <c r="E137" s="3"/>
      <c r="F137" s="3"/>
    </row>
    <row r="138">
      <c r="A138" s="7"/>
      <c r="B138" s="3"/>
      <c r="C138" s="3"/>
      <c r="D138" s="3"/>
      <c r="E138" s="3"/>
      <c r="F138" s="3"/>
    </row>
    <row r="139">
      <c r="A139" s="7"/>
      <c r="B139" s="3"/>
      <c r="C139" s="3"/>
      <c r="D139" s="3"/>
      <c r="E139" s="3"/>
      <c r="F139" s="3"/>
    </row>
    <row r="140">
      <c r="A140" s="7"/>
      <c r="B140" s="3"/>
      <c r="C140" s="3"/>
      <c r="D140" s="3"/>
      <c r="E140" s="3"/>
      <c r="F140" s="3"/>
    </row>
    <row r="141">
      <c r="A141" s="7"/>
      <c r="B141" s="3"/>
      <c r="C141" s="3"/>
      <c r="D141" s="3"/>
      <c r="E141" s="3"/>
      <c r="F141" s="3"/>
    </row>
    <row r="142">
      <c r="A142" s="7"/>
      <c r="B142" s="3"/>
      <c r="C142" s="3"/>
      <c r="D142" s="3"/>
      <c r="E142" s="3"/>
      <c r="F142" s="3"/>
    </row>
    <row r="143">
      <c r="A143" s="7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7"/>
      <c r="B145" s="3"/>
      <c r="C145" s="3"/>
      <c r="D145" s="3"/>
      <c r="E145" s="3"/>
      <c r="F145" s="3"/>
    </row>
    <row r="146">
      <c r="A146" s="7"/>
      <c r="B146" s="3"/>
      <c r="C146" s="3"/>
      <c r="D146" s="3"/>
      <c r="E146" s="3"/>
      <c r="F146" s="3"/>
    </row>
    <row r="147">
      <c r="A147" s="7"/>
      <c r="B147" s="3"/>
      <c r="C147" s="3"/>
      <c r="D147" s="3"/>
      <c r="E147" s="3"/>
      <c r="F147" s="3"/>
    </row>
    <row r="148">
      <c r="A148" s="7"/>
      <c r="B148" s="3"/>
      <c r="C148" s="3"/>
      <c r="D148" s="3"/>
      <c r="E148" s="3"/>
      <c r="F148" s="3"/>
    </row>
    <row r="149">
      <c r="A149" s="7"/>
      <c r="B149" s="3"/>
      <c r="C149" s="3"/>
      <c r="D149" s="3"/>
      <c r="E149" s="3"/>
      <c r="F149" s="3"/>
    </row>
    <row r="150">
      <c r="A150" s="7"/>
      <c r="B150" s="3"/>
      <c r="C150" s="3"/>
      <c r="D150" s="3"/>
      <c r="E150" s="3"/>
      <c r="F150" s="3"/>
    </row>
    <row r="151">
      <c r="A151" s="7"/>
      <c r="B151" s="3"/>
      <c r="C151" s="3"/>
      <c r="D151" s="3"/>
      <c r="E151" s="3"/>
      <c r="F151" s="3"/>
    </row>
    <row r="152">
      <c r="A152" s="7"/>
      <c r="B152" s="3"/>
      <c r="C152" s="3"/>
      <c r="D152" s="3"/>
      <c r="E152" s="3"/>
      <c r="F152" s="3"/>
    </row>
    <row r="153">
      <c r="A153" s="7"/>
      <c r="B153" s="3"/>
      <c r="C153" s="3"/>
      <c r="D153" s="3"/>
      <c r="E153" s="3"/>
      <c r="F153" s="3"/>
    </row>
    <row r="154">
      <c r="A154" s="7"/>
      <c r="B154" s="3"/>
      <c r="C154" s="3"/>
      <c r="D154" s="3"/>
      <c r="E154" s="3"/>
      <c r="F154" s="3"/>
    </row>
    <row r="155">
      <c r="A155" s="7"/>
      <c r="B155" s="3"/>
      <c r="C155" s="3"/>
      <c r="D155" s="3"/>
      <c r="E155" s="3"/>
      <c r="F155" s="3"/>
    </row>
    <row r="156">
      <c r="A156" s="7"/>
      <c r="B156" s="3"/>
      <c r="C156" s="3"/>
      <c r="D156" s="3"/>
      <c r="E156" s="3"/>
      <c r="F156" s="3"/>
    </row>
    <row r="157">
      <c r="A157" s="7"/>
      <c r="B157" s="3"/>
      <c r="C157" s="3"/>
      <c r="D157" s="3"/>
      <c r="E157" s="3"/>
      <c r="F157" s="3"/>
    </row>
    <row r="158">
      <c r="A158" s="7"/>
      <c r="B158" s="3"/>
      <c r="C158" s="3"/>
      <c r="D158" s="3"/>
      <c r="E158" s="3"/>
      <c r="F158" s="3"/>
    </row>
    <row r="159">
      <c r="A159" s="7"/>
      <c r="B159" s="3"/>
      <c r="C159" s="3"/>
      <c r="D159" s="3"/>
      <c r="E159" s="3"/>
      <c r="F159" s="3"/>
    </row>
    <row r="160">
      <c r="A160" s="7"/>
      <c r="B160" s="3"/>
      <c r="C160" s="3"/>
      <c r="D160" s="3"/>
      <c r="E160" s="3"/>
      <c r="F160" s="3"/>
    </row>
    <row r="161">
      <c r="A161" s="7"/>
      <c r="B161" s="3"/>
      <c r="C161" s="3"/>
      <c r="D161" s="3"/>
      <c r="E161" s="3"/>
      <c r="F161" s="3"/>
    </row>
    <row r="162">
      <c r="A162" s="7"/>
      <c r="B162" s="3"/>
      <c r="C162" s="3"/>
      <c r="D162" s="3"/>
      <c r="E162" s="3"/>
      <c r="F162" s="3"/>
    </row>
    <row r="163">
      <c r="A163" s="7"/>
      <c r="B163" s="3"/>
      <c r="C163" s="3"/>
      <c r="D163" s="3"/>
      <c r="E163" s="3"/>
      <c r="F163" s="3"/>
    </row>
    <row r="164">
      <c r="A164" s="7"/>
      <c r="B164" s="3"/>
      <c r="C164" s="3"/>
      <c r="D164" s="3"/>
      <c r="E164" s="3"/>
      <c r="F164" s="3"/>
    </row>
    <row r="165">
      <c r="A165" s="7"/>
      <c r="B165" s="3"/>
      <c r="C165" s="3"/>
      <c r="D165" s="3"/>
      <c r="E165" s="3"/>
      <c r="F165" s="3"/>
    </row>
    <row r="166">
      <c r="A166" s="7"/>
      <c r="B166" s="3"/>
      <c r="C166" s="3"/>
      <c r="D166" s="3"/>
      <c r="E166" s="3"/>
      <c r="F166" s="3"/>
    </row>
    <row r="167">
      <c r="A167" s="7"/>
      <c r="B167" s="3"/>
      <c r="C167" s="3"/>
      <c r="D167" s="3"/>
      <c r="E167" s="3"/>
      <c r="F167" s="3"/>
    </row>
    <row r="168">
      <c r="A168" s="7"/>
      <c r="B168" s="3"/>
      <c r="C168" s="3"/>
      <c r="D168" s="3"/>
      <c r="E168" s="3"/>
      <c r="F168" s="3"/>
    </row>
    <row r="169">
      <c r="A169" s="7"/>
      <c r="B169" s="3"/>
      <c r="C169" s="3"/>
      <c r="D169" s="3"/>
      <c r="E169" s="3"/>
      <c r="F169" s="3"/>
    </row>
    <row r="170">
      <c r="A170" s="7"/>
      <c r="B170" s="3"/>
      <c r="C170" s="3"/>
      <c r="D170" s="3"/>
      <c r="E170" s="3"/>
      <c r="F170" s="3"/>
    </row>
    <row r="171">
      <c r="A171" s="7"/>
      <c r="B171" s="3"/>
      <c r="C171" s="3"/>
      <c r="D171" s="3"/>
      <c r="E171" s="3"/>
      <c r="F171" s="3"/>
    </row>
    <row r="172">
      <c r="A172" s="7"/>
      <c r="B172" s="3"/>
      <c r="C172" s="3"/>
      <c r="D172" s="3"/>
      <c r="E172" s="3"/>
      <c r="F172" s="3"/>
    </row>
    <row r="173">
      <c r="A173" s="7"/>
      <c r="B173" s="3"/>
      <c r="C173" s="3"/>
      <c r="D173" s="3"/>
      <c r="E173" s="3"/>
      <c r="F173" s="3"/>
    </row>
    <row r="174">
      <c r="A174" s="7"/>
      <c r="B174" s="3"/>
      <c r="C174" s="3"/>
      <c r="D174" s="3"/>
      <c r="E174" s="3"/>
      <c r="F174" s="3"/>
    </row>
    <row r="175">
      <c r="A175" s="7"/>
      <c r="B175" s="3"/>
      <c r="C175" s="3"/>
      <c r="D175" s="3"/>
      <c r="E175" s="3"/>
      <c r="F175" s="3"/>
    </row>
    <row r="176">
      <c r="A176" s="7"/>
      <c r="B176" s="3"/>
      <c r="C176" s="3"/>
      <c r="D176" s="3"/>
      <c r="E176" s="3"/>
      <c r="F176" s="3"/>
    </row>
    <row r="177">
      <c r="A177" s="7"/>
      <c r="B177" s="3"/>
      <c r="C177" s="3"/>
      <c r="D177" s="3"/>
      <c r="E177" s="3"/>
      <c r="F177" s="3"/>
    </row>
    <row r="178">
      <c r="A178" s="7"/>
      <c r="B178" s="3"/>
      <c r="C178" s="3"/>
      <c r="D178" s="3"/>
      <c r="E178" s="3"/>
      <c r="F178" s="3"/>
    </row>
    <row r="179">
      <c r="A179" s="7"/>
      <c r="B179" s="3"/>
      <c r="C179" s="3"/>
      <c r="D179" s="3"/>
      <c r="E179" s="3"/>
      <c r="F179" s="3"/>
    </row>
    <row r="180">
      <c r="A180" s="7"/>
      <c r="B180" s="3"/>
      <c r="C180" s="3"/>
      <c r="D180" s="3"/>
      <c r="E180" s="3"/>
      <c r="F180" s="3"/>
    </row>
    <row r="181">
      <c r="A181" s="7"/>
      <c r="B181" s="3"/>
      <c r="C181" s="3"/>
      <c r="D181" s="3"/>
      <c r="E181" s="3"/>
      <c r="F181" s="3"/>
    </row>
    <row r="182">
      <c r="A182" s="7"/>
      <c r="B182" s="3"/>
      <c r="C182" s="3"/>
      <c r="D182" s="3"/>
      <c r="E182" s="3"/>
      <c r="F182" s="3"/>
    </row>
    <row r="183">
      <c r="A183" s="7"/>
      <c r="B183" s="3"/>
      <c r="C183" s="3"/>
      <c r="D183" s="3"/>
      <c r="E183" s="3"/>
      <c r="F183" s="3"/>
    </row>
    <row r="184">
      <c r="A184" s="7"/>
      <c r="B184" s="3"/>
      <c r="C184" s="3"/>
      <c r="D184" s="3"/>
      <c r="E184" s="3"/>
      <c r="F184" s="3"/>
    </row>
    <row r="185">
      <c r="A185" s="7"/>
      <c r="B185" s="3"/>
      <c r="C185" s="3"/>
      <c r="D185" s="3"/>
      <c r="E185" s="3"/>
      <c r="F185" s="3"/>
    </row>
    <row r="186">
      <c r="A186" s="7"/>
      <c r="B186" s="3"/>
      <c r="C186" s="3"/>
      <c r="D186" s="3"/>
      <c r="E186" s="3"/>
      <c r="F186" s="3"/>
    </row>
    <row r="187">
      <c r="A187" s="7"/>
      <c r="B187" s="3"/>
      <c r="C187" s="3"/>
      <c r="D187" s="3"/>
      <c r="E187" s="3"/>
      <c r="F187" s="3"/>
    </row>
    <row r="188">
      <c r="A188" s="7"/>
      <c r="B188" s="3"/>
      <c r="C188" s="3"/>
      <c r="D188" s="3"/>
      <c r="E188" s="3"/>
      <c r="F188" s="3"/>
    </row>
    <row r="189">
      <c r="A189" s="7"/>
      <c r="B189" s="3"/>
      <c r="C189" s="3"/>
      <c r="D189" s="3"/>
      <c r="E189" s="3"/>
      <c r="F189" s="3"/>
    </row>
    <row r="190">
      <c r="A190" s="7"/>
      <c r="B190" s="3"/>
      <c r="C190" s="3"/>
      <c r="D190" s="3"/>
      <c r="E190" s="3"/>
      <c r="F190" s="3"/>
    </row>
    <row r="191">
      <c r="A191" s="7"/>
      <c r="B191" s="3"/>
      <c r="C191" s="3"/>
      <c r="D191" s="3"/>
      <c r="E191" s="3"/>
      <c r="F191" s="3"/>
    </row>
    <row r="192">
      <c r="A192" s="7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7"/>
      <c r="B194" s="3"/>
      <c r="C194" s="3"/>
      <c r="D194" s="3"/>
      <c r="E194" s="3"/>
      <c r="F194" s="3"/>
    </row>
    <row r="195">
      <c r="A195" s="7"/>
      <c r="B195" s="3"/>
      <c r="C195" s="3"/>
      <c r="D195" s="3"/>
      <c r="E195" s="3"/>
      <c r="F195" s="3"/>
    </row>
    <row r="196">
      <c r="A196" s="7"/>
      <c r="B196" s="3"/>
      <c r="C196" s="3"/>
      <c r="D196" s="3"/>
      <c r="E196" s="3"/>
      <c r="F196" s="3"/>
    </row>
    <row r="197">
      <c r="A197" s="7"/>
      <c r="B197" s="3"/>
      <c r="C197" s="3"/>
      <c r="D197" s="3"/>
      <c r="E197" s="3"/>
      <c r="F197" s="3"/>
    </row>
    <row r="198">
      <c r="A198" s="7"/>
      <c r="B198" s="3"/>
      <c r="C198" s="3"/>
      <c r="D198" s="3"/>
      <c r="E198" s="3"/>
      <c r="F198" s="3"/>
    </row>
    <row r="199">
      <c r="A199" s="7"/>
      <c r="B199" s="3"/>
      <c r="C199" s="3"/>
      <c r="D199" s="3"/>
      <c r="E199" s="3"/>
      <c r="F199" s="3"/>
    </row>
    <row r="200">
      <c r="A200" s="7"/>
      <c r="B200" s="3"/>
      <c r="C200" s="3"/>
      <c r="D200" s="3"/>
      <c r="E200" s="3"/>
      <c r="F200" s="3"/>
    </row>
    <row r="201">
      <c r="A201" s="7"/>
      <c r="B201" s="3"/>
      <c r="C201" s="3"/>
      <c r="D201" s="3"/>
      <c r="E201" s="3"/>
      <c r="F201" s="3"/>
    </row>
    <row r="202">
      <c r="A202" s="7"/>
      <c r="B202" s="3"/>
      <c r="C202" s="3"/>
      <c r="D202" s="3"/>
      <c r="E202" s="3"/>
      <c r="F202" s="3"/>
    </row>
    <row r="203">
      <c r="A203" s="7"/>
      <c r="B203" s="3"/>
      <c r="C203" s="3"/>
      <c r="D203" s="3"/>
      <c r="E203" s="3"/>
      <c r="F203" s="3"/>
    </row>
    <row r="204">
      <c r="A204" s="7"/>
      <c r="B204" s="3"/>
      <c r="C204" s="3"/>
      <c r="D204" s="3"/>
      <c r="E204" s="3"/>
      <c r="F204" s="3"/>
    </row>
    <row r="205">
      <c r="A205" s="7"/>
      <c r="B205" s="3"/>
      <c r="C205" s="3"/>
      <c r="D205" s="3"/>
      <c r="E205" s="3"/>
      <c r="F205" s="3"/>
    </row>
    <row r="206">
      <c r="A206" s="7"/>
      <c r="B206" s="3"/>
      <c r="C206" s="3"/>
      <c r="D206" s="3"/>
      <c r="E206" s="3"/>
      <c r="F206" s="3"/>
    </row>
    <row r="207">
      <c r="A207" s="7"/>
      <c r="B207" s="3"/>
      <c r="C207" s="3"/>
      <c r="D207" s="3"/>
      <c r="E207" s="3"/>
      <c r="F207" s="3"/>
    </row>
    <row r="208">
      <c r="A208" s="7"/>
      <c r="B208" s="3"/>
      <c r="C208" s="3"/>
      <c r="D208" s="3"/>
      <c r="E208" s="3"/>
      <c r="F208" s="3"/>
    </row>
    <row r="209">
      <c r="A209" s="7"/>
      <c r="B209" s="3"/>
      <c r="C209" s="3"/>
      <c r="D209" s="3"/>
      <c r="E209" s="3"/>
      <c r="F209" s="3"/>
    </row>
    <row r="210">
      <c r="A210" s="7"/>
      <c r="B210" s="3"/>
      <c r="C210" s="3"/>
      <c r="D210" s="3"/>
      <c r="E210" s="3"/>
      <c r="F210" s="3"/>
    </row>
    <row r="211">
      <c r="A211" s="7"/>
      <c r="B211" s="3"/>
      <c r="C211" s="3"/>
      <c r="D211" s="3"/>
      <c r="E211" s="3"/>
      <c r="F211" s="3"/>
    </row>
    <row r="212">
      <c r="A212" s="7"/>
      <c r="B212" s="3"/>
      <c r="C212" s="3"/>
      <c r="D212" s="3"/>
      <c r="E212" s="3"/>
      <c r="F212" s="3"/>
    </row>
    <row r="213">
      <c r="A213" s="7"/>
      <c r="B213" s="3"/>
      <c r="C213" s="3"/>
      <c r="D213" s="3"/>
      <c r="E213" s="3"/>
      <c r="F213" s="3"/>
    </row>
    <row r="214">
      <c r="A214" s="7"/>
      <c r="B214" s="3"/>
      <c r="C214" s="3"/>
      <c r="D214" s="3"/>
      <c r="E214" s="3"/>
      <c r="F214" s="3"/>
    </row>
    <row r="215">
      <c r="A215" s="7"/>
      <c r="B215" s="3"/>
      <c r="C215" s="3"/>
      <c r="D215" s="3"/>
      <c r="E215" s="3"/>
      <c r="F215" s="3"/>
    </row>
    <row r="216">
      <c r="A216" s="7"/>
      <c r="B216" s="3"/>
      <c r="C216" s="3"/>
      <c r="D216" s="3"/>
      <c r="E216" s="3"/>
      <c r="F216" s="3"/>
    </row>
    <row r="217">
      <c r="A217" s="7"/>
      <c r="B217" s="3"/>
      <c r="C217" s="3"/>
      <c r="D217" s="3"/>
      <c r="E217" s="3"/>
      <c r="F217" s="3"/>
    </row>
    <row r="218">
      <c r="A218" s="7"/>
      <c r="B218" s="3"/>
      <c r="C218" s="3"/>
      <c r="D218" s="3"/>
      <c r="E218" s="3"/>
      <c r="F218" s="3"/>
    </row>
    <row r="219">
      <c r="A219" s="7"/>
      <c r="B219" s="3"/>
      <c r="C219" s="3"/>
      <c r="D219" s="3"/>
      <c r="E219" s="3"/>
      <c r="F219" s="3"/>
    </row>
    <row r="220">
      <c r="A220" s="7"/>
      <c r="B220" s="3"/>
      <c r="C220" s="3"/>
      <c r="D220" s="3"/>
      <c r="E220" s="3"/>
      <c r="F220" s="3"/>
    </row>
    <row r="221">
      <c r="A221" s="7"/>
      <c r="B221" s="3"/>
      <c r="C221" s="3"/>
      <c r="D221" s="3"/>
      <c r="E221" s="3"/>
      <c r="F221" s="3"/>
    </row>
    <row r="222">
      <c r="A222" s="7"/>
      <c r="B222" s="3"/>
      <c r="C222" s="3"/>
      <c r="D222" s="3"/>
      <c r="E222" s="3"/>
      <c r="F222" s="3"/>
    </row>
    <row r="223">
      <c r="A223" s="7"/>
      <c r="B223" s="3"/>
      <c r="C223" s="3"/>
      <c r="D223" s="3"/>
      <c r="E223" s="3"/>
      <c r="F223" s="3"/>
    </row>
    <row r="224">
      <c r="A224" s="7"/>
      <c r="B224" s="3"/>
      <c r="C224" s="3"/>
      <c r="D224" s="3"/>
      <c r="E224" s="3"/>
      <c r="F224" s="3"/>
    </row>
    <row r="225">
      <c r="A225" s="7"/>
      <c r="B225" s="3"/>
      <c r="C225" s="3"/>
      <c r="D225" s="3"/>
      <c r="E225" s="3"/>
      <c r="F225" s="3"/>
    </row>
    <row r="226">
      <c r="A226" s="7"/>
      <c r="B226" s="3"/>
      <c r="C226" s="3"/>
      <c r="D226" s="3"/>
      <c r="E226" s="3"/>
      <c r="F226" s="3"/>
    </row>
    <row r="227">
      <c r="A227" s="7"/>
      <c r="B227" s="3"/>
      <c r="C227" s="3"/>
      <c r="D227" s="3"/>
      <c r="E227" s="3"/>
      <c r="F227" s="3"/>
    </row>
    <row r="228">
      <c r="A228" s="7"/>
      <c r="B228" s="3"/>
      <c r="C228" s="3"/>
      <c r="D228" s="3"/>
      <c r="E228" s="3"/>
      <c r="F228" s="3"/>
    </row>
    <row r="229">
      <c r="A229" s="7"/>
      <c r="B229" s="3"/>
      <c r="C229" s="3"/>
      <c r="D229" s="3"/>
      <c r="E229" s="3"/>
      <c r="F229" s="3"/>
    </row>
    <row r="230">
      <c r="A230" s="7"/>
      <c r="B230" s="3"/>
      <c r="C230" s="3"/>
      <c r="D230" s="3"/>
      <c r="E230" s="3"/>
      <c r="F230" s="3"/>
    </row>
    <row r="231">
      <c r="A231" s="7"/>
      <c r="B231" s="3"/>
      <c r="C231" s="3"/>
      <c r="D231" s="3"/>
      <c r="E231" s="3"/>
      <c r="F231" s="3"/>
    </row>
    <row r="232">
      <c r="A232" s="7"/>
      <c r="B232" s="3"/>
      <c r="C232" s="3"/>
      <c r="D232" s="3"/>
      <c r="E232" s="3"/>
      <c r="F232" s="3"/>
    </row>
    <row r="233">
      <c r="A233" s="7"/>
      <c r="B233" s="3"/>
      <c r="C233" s="3"/>
      <c r="D233" s="3"/>
      <c r="E233" s="3"/>
      <c r="F233" s="3"/>
    </row>
    <row r="234">
      <c r="A234" s="7"/>
      <c r="B234" s="3"/>
      <c r="C234" s="3"/>
      <c r="D234" s="3"/>
      <c r="E234" s="3"/>
      <c r="F234" s="3"/>
    </row>
    <row r="235">
      <c r="A235" s="7"/>
      <c r="B235" s="3"/>
      <c r="C235" s="3"/>
      <c r="D235" s="3"/>
      <c r="E235" s="3"/>
      <c r="F235" s="3"/>
    </row>
    <row r="236">
      <c r="A236" s="7"/>
      <c r="B236" s="3"/>
      <c r="C236" s="3"/>
      <c r="D236" s="3"/>
      <c r="E236" s="3"/>
      <c r="F236" s="3"/>
    </row>
    <row r="237">
      <c r="A237" s="7"/>
      <c r="B237" s="3"/>
      <c r="C237" s="3"/>
      <c r="D237" s="3"/>
      <c r="E237" s="3"/>
      <c r="F237" s="3"/>
    </row>
    <row r="238">
      <c r="A238" s="7"/>
      <c r="B238" s="3"/>
      <c r="C238" s="3"/>
      <c r="D238" s="3"/>
      <c r="E238" s="3"/>
      <c r="F238" s="3"/>
    </row>
    <row r="239">
      <c r="A239" s="7"/>
      <c r="B239" s="3"/>
      <c r="C239" s="3"/>
      <c r="D239" s="3"/>
      <c r="E239" s="3"/>
      <c r="F239" s="3"/>
    </row>
    <row r="240">
      <c r="A240" s="7"/>
      <c r="B240" s="3"/>
      <c r="C240" s="3"/>
      <c r="D240" s="3"/>
      <c r="E240" s="3"/>
      <c r="F240" s="3"/>
    </row>
    <row r="241">
      <c r="A241" s="7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7"/>
      <c r="B243" s="3"/>
      <c r="C243" s="3"/>
      <c r="D243" s="3"/>
      <c r="E243" s="3"/>
      <c r="F243" s="3"/>
    </row>
    <row r="244">
      <c r="A244" s="7"/>
      <c r="B244" s="3"/>
      <c r="C244" s="3"/>
      <c r="D244" s="3"/>
      <c r="E244" s="3"/>
      <c r="F244" s="3"/>
    </row>
    <row r="245">
      <c r="A245" s="7"/>
      <c r="B245" s="3"/>
      <c r="C245" s="3"/>
      <c r="D245" s="3"/>
      <c r="E245" s="3"/>
      <c r="F245" s="3"/>
    </row>
    <row r="246">
      <c r="A246" s="7"/>
      <c r="B246" s="3"/>
      <c r="C246" s="3"/>
      <c r="D246" s="3"/>
      <c r="E246" s="3"/>
      <c r="F246" s="3"/>
    </row>
    <row r="247">
      <c r="A247" s="7"/>
      <c r="B247" s="3"/>
      <c r="C247" s="3"/>
      <c r="D247" s="3"/>
      <c r="E247" s="3"/>
      <c r="F247" s="3"/>
    </row>
    <row r="248">
      <c r="A248" s="7"/>
      <c r="B248" s="3"/>
      <c r="C248" s="3"/>
      <c r="D248" s="3"/>
      <c r="E248" s="3"/>
      <c r="F248" s="3"/>
    </row>
    <row r="249">
      <c r="A249" s="7"/>
      <c r="B249" s="3"/>
      <c r="C249" s="3"/>
      <c r="D249" s="3"/>
      <c r="E249" s="3"/>
      <c r="F249" s="3"/>
    </row>
    <row r="250">
      <c r="A250" s="7"/>
      <c r="B250" s="3"/>
      <c r="C250" s="3"/>
      <c r="D250" s="3"/>
      <c r="E250" s="3"/>
      <c r="F250" s="3"/>
    </row>
    <row r="251">
      <c r="A251" s="7"/>
      <c r="B251" s="3"/>
      <c r="C251" s="3"/>
      <c r="D251" s="3"/>
      <c r="E251" s="3"/>
      <c r="F251" s="3"/>
    </row>
    <row r="252">
      <c r="A252" s="7"/>
      <c r="B252" s="3"/>
      <c r="C252" s="3"/>
      <c r="D252" s="3"/>
      <c r="E252" s="3"/>
      <c r="F252" s="3"/>
    </row>
    <row r="253">
      <c r="A253" s="7"/>
      <c r="B253" s="3"/>
      <c r="C253" s="3"/>
      <c r="D253" s="3"/>
      <c r="E253" s="3"/>
      <c r="F253" s="3"/>
    </row>
    <row r="254">
      <c r="A254" s="7"/>
      <c r="B254" s="3"/>
      <c r="C254" s="3"/>
      <c r="D254" s="3"/>
      <c r="E254" s="3"/>
      <c r="F254" s="3"/>
    </row>
    <row r="255">
      <c r="A255" s="7"/>
      <c r="B255" s="3"/>
      <c r="C255" s="3"/>
      <c r="D255" s="3"/>
      <c r="E255" s="3"/>
      <c r="F255" s="3"/>
    </row>
    <row r="256">
      <c r="A256" s="7"/>
      <c r="B256" s="3"/>
      <c r="C256" s="3"/>
      <c r="D256" s="3"/>
      <c r="E256" s="3"/>
      <c r="F256" s="3"/>
    </row>
    <row r="257">
      <c r="A257" s="7"/>
      <c r="B257" s="3"/>
      <c r="C257" s="3"/>
      <c r="D257" s="3"/>
      <c r="E257" s="3"/>
      <c r="F257" s="3"/>
    </row>
    <row r="258">
      <c r="A258" s="7"/>
      <c r="B258" s="3"/>
      <c r="C258" s="3"/>
      <c r="D258" s="3"/>
      <c r="E258" s="3"/>
      <c r="F258" s="3"/>
    </row>
    <row r="259">
      <c r="A259" s="7"/>
      <c r="B259" s="3"/>
      <c r="C259" s="3"/>
      <c r="D259" s="3"/>
      <c r="E259" s="3"/>
      <c r="F259" s="3"/>
    </row>
    <row r="260">
      <c r="A260" s="7"/>
      <c r="B260" s="3"/>
      <c r="C260" s="3"/>
      <c r="D260" s="3"/>
      <c r="E260" s="3"/>
      <c r="F260" s="3"/>
    </row>
    <row r="261">
      <c r="A261" s="7"/>
      <c r="B261" s="3"/>
      <c r="C261" s="3"/>
      <c r="D261" s="3"/>
      <c r="E261" s="3"/>
      <c r="F261" s="3"/>
    </row>
    <row r="262">
      <c r="A262" s="7"/>
      <c r="B262" s="3"/>
      <c r="C262" s="3"/>
      <c r="D262" s="3"/>
      <c r="E262" s="3"/>
      <c r="F262" s="3"/>
    </row>
    <row r="263">
      <c r="A263" s="7"/>
      <c r="B263" s="3"/>
      <c r="C263" s="3"/>
      <c r="D263" s="3"/>
      <c r="E263" s="3"/>
      <c r="F263" s="3"/>
    </row>
    <row r="264">
      <c r="A264" s="7"/>
      <c r="B264" s="3"/>
      <c r="C264" s="3"/>
      <c r="D264" s="3"/>
      <c r="E264" s="3"/>
      <c r="F264" s="3"/>
    </row>
    <row r="265">
      <c r="A265" s="7"/>
      <c r="B265" s="3"/>
      <c r="C265" s="3"/>
      <c r="D265" s="3"/>
      <c r="E265" s="3"/>
      <c r="F265" s="3"/>
    </row>
    <row r="266">
      <c r="A266" s="7"/>
      <c r="B266" s="3"/>
      <c r="C266" s="3"/>
      <c r="D266" s="3"/>
      <c r="E266" s="3"/>
      <c r="F266" s="3"/>
    </row>
    <row r="267">
      <c r="A267" s="7"/>
      <c r="B267" s="3"/>
      <c r="C267" s="3"/>
      <c r="D267" s="3"/>
      <c r="E267" s="3"/>
      <c r="F267" s="3"/>
    </row>
    <row r="268">
      <c r="A268" s="7"/>
      <c r="B268" s="3"/>
      <c r="C268" s="3"/>
      <c r="D268" s="3"/>
      <c r="E268" s="3"/>
      <c r="F268" s="3"/>
    </row>
    <row r="269">
      <c r="A269" s="7"/>
      <c r="B269" s="3"/>
      <c r="C269" s="3"/>
      <c r="D269" s="3"/>
      <c r="E269" s="3"/>
      <c r="F269" s="3"/>
    </row>
    <row r="270">
      <c r="A270" s="7"/>
      <c r="B270" s="3"/>
      <c r="C270" s="3"/>
      <c r="D270" s="3"/>
      <c r="E270" s="3"/>
      <c r="F270" s="3"/>
    </row>
    <row r="271">
      <c r="A271" s="7"/>
      <c r="B271" s="3"/>
      <c r="C271" s="3"/>
      <c r="D271" s="3"/>
      <c r="E271" s="3"/>
      <c r="F271" s="3"/>
    </row>
    <row r="272">
      <c r="A272" s="7"/>
      <c r="B272" s="3"/>
      <c r="C272" s="3"/>
      <c r="D272" s="3"/>
      <c r="E272" s="3"/>
      <c r="F272" s="3"/>
    </row>
    <row r="273">
      <c r="A273" s="7"/>
      <c r="B273" s="3"/>
      <c r="C273" s="3"/>
      <c r="D273" s="3"/>
      <c r="E273" s="3"/>
      <c r="F273" s="3"/>
    </row>
    <row r="274">
      <c r="A274" s="7"/>
      <c r="B274" s="3"/>
      <c r="C274" s="3"/>
      <c r="D274" s="3"/>
      <c r="E274" s="3"/>
      <c r="F274" s="3"/>
    </row>
    <row r="275">
      <c r="A275" s="7"/>
      <c r="B275" s="3"/>
      <c r="C275" s="3"/>
      <c r="D275" s="3"/>
      <c r="E275" s="3"/>
      <c r="F275" s="3"/>
    </row>
    <row r="276">
      <c r="A276" s="7"/>
      <c r="B276" s="3"/>
      <c r="C276" s="3"/>
      <c r="D276" s="3"/>
      <c r="E276" s="3"/>
      <c r="F276" s="3"/>
    </row>
    <row r="277">
      <c r="A277" s="7"/>
      <c r="B277" s="3"/>
      <c r="C277" s="3"/>
      <c r="D277" s="3"/>
      <c r="E277" s="3"/>
      <c r="F277" s="3"/>
    </row>
    <row r="278">
      <c r="A278" s="7"/>
      <c r="B278" s="3"/>
      <c r="C278" s="3"/>
      <c r="D278" s="3"/>
      <c r="E278" s="3"/>
      <c r="F278" s="3"/>
    </row>
    <row r="279">
      <c r="A279" s="7"/>
      <c r="B279" s="3"/>
      <c r="C279" s="3"/>
      <c r="D279" s="3"/>
      <c r="E279" s="3"/>
      <c r="F279" s="3"/>
    </row>
    <row r="280">
      <c r="A280" s="7"/>
      <c r="B280" s="3"/>
      <c r="C280" s="3"/>
      <c r="D280" s="3"/>
      <c r="E280" s="3"/>
      <c r="F280" s="3"/>
    </row>
    <row r="281">
      <c r="A281" s="7"/>
      <c r="B281" s="3"/>
      <c r="C281" s="3"/>
      <c r="D281" s="3"/>
      <c r="E281" s="3"/>
      <c r="F281" s="3"/>
    </row>
    <row r="282">
      <c r="A282" s="7"/>
      <c r="B282" s="3"/>
      <c r="C282" s="3"/>
      <c r="D282" s="3"/>
      <c r="E282" s="3"/>
      <c r="F282" s="3"/>
    </row>
    <row r="283">
      <c r="A283" s="7"/>
      <c r="B283" s="3"/>
      <c r="C283" s="3"/>
      <c r="D283" s="3"/>
      <c r="E283" s="3"/>
      <c r="F283" s="3"/>
    </row>
    <row r="284">
      <c r="A284" s="7"/>
      <c r="B284" s="3"/>
      <c r="C284" s="3"/>
      <c r="D284" s="3"/>
      <c r="E284" s="3"/>
      <c r="F284" s="3"/>
    </row>
    <row r="285">
      <c r="A285" s="7"/>
      <c r="B285" s="3"/>
      <c r="C285" s="3"/>
      <c r="D285" s="3"/>
      <c r="E285" s="3"/>
      <c r="F285" s="3"/>
    </row>
    <row r="286">
      <c r="A286" s="7"/>
      <c r="B286" s="3"/>
      <c r="C286" s="3"/>
      <c r="D286" s="3"/>
      <c r="E286" s="3"/>
      <c r="F286" s="3"/>
    </row>
    <row r="287">
      <c r="A287" s="7"/>
      <c r="B287" s="3"/>
      <c r="C287" s="3"/>
      <c r="D287" s="3"/>
      <c r="E287" s="3"/>
      <c r="F287" s="3"/>
    </row>
    <row r="288">
      <c r="A288" s="7"/>
      <c r="B288" s="3"/>
      <c r="C288" s="3"/>
      <c r="D288" s="3"/>
      <c r="E288" s="3"/>
      <c r="F288" s="3"/>
    </row>
    <row r="289">
      <c r="A289" s="7"/>
      <c r="B289" s="3"/>
      <c r="C289" s="3"/>
      <c r="D289" s="3"/>
      <c r="E289" s="3"/>
      <c r="F289" s="3"/>
    </row>
    <row r="290">
      <c r="A290" s="7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7"/>
      <c r="B292" s="3"/>
      <c r="C292" s="3"/>
      <c r="D292" s="3"/>
      <c r="E292" s="3"/>
      <c r="F292" s="3"/>
    </row>
    <row r="293">
      <c r="A293" s="7"/>
      <c r="B293" s="3"/>
      <c r="C293" s="3"/>
      <c r="D293" s="3"/>
      <c r="E293" s="3"/>
      <c r="F293" s="3"/>
    </row>
    <row r="294">
      <c r="A294" s="7"/>
      <c r="B294" s="3"/>
      <c r="C294" s="3"/>
      <c r="D294" s="3"/>
      <c r="E294" s="3"/>
      <c r="F294" s="3"/>
    </row>
    <row r="295">
      <c r="A295" s="7"/>
      <c r="B295" s="3"/>
      <c r="C295" s="3"/>
      <c r="D295" s="3"/>
      <c r="E295" s="3"/>
      <c r="F295" s="3"/>
    </row>
    <row r="296">
      <c r="A296" s="7"/>
      <c r="B296" s="3"/>
      <c r="C296" s="3"/>
      <c r="D296" s="3"/>
      <c r="E296" s="3"/>
      <c r="F296" s="3"/>
    </row>
    <row r="297">
      <c r="A297" s="7"/>
      <c r="B297" s="3"/>
      <c r="C297" s="3"/>
      <c r="D297" s="3"/>
      <c r="E297" s="3"/>
      <c r="F297" s="3"/>
    </row>
    <row r="298">
      <c r="A298" s="7"/>
      <c r="B298" s="3"/>
      <c r="C298" s="3"/>
      <c r="D298" s="3"/>
      <c r="E298" s="3"/>
      <c r="F298" s="3"/>
    </row>
    <row r="299">
      <c r="A299" s="7"/>
      <c r="B299" s="3"/>
      <c r="C299" s="3"/>
      <c r="D299" s="3"/>
      <c r="E299" s="3"/>
      <c r="F299" s="3"/>
    </row>
    <row r="300">
      <c r="A300" s="7"/>
      <c r="B300" s="3"/>
      <c r="C300" s="3"/>
      <c r="D300" s="3"/>
      <c r="E300" s="3"/>
      <c r="F300" s="3"/>
    </row>
    <row r="301">
      <c r="A301" s="7"/>
      <c r="B301" s="3"/>
      <c r="C301" s="3"/>
      <c r="D301" s="3"/>
      <c r="E301" s="3"/>
      <c r="F301" s="3"/>
    </row>
    <row r="302">
      <c r="A302" s="7"/>
      <c r="B302" s="3"/>
      <c r="C302" s="3"/>
      <c r="D302" s="3"/>
      <c r="E302" s="3"/>
      <c r="F302" s="3"/>
    </row>
    <row r="303">
      <c r="A303" s="7"/>
      <c r="B303" s="3"/>
      <c r="C303" s="3"/>
      <c r="D303" s="3"/>
      <c r="E303" s="3"/>
      <c r="F303" s="3"/>
    </row>
    <row r="304">
      <c r="A304" s="7"/>
      <c r="B304" s="3"/>
      <c r="C304" s="3"/>
      <c r="D304" s="3"/>
      <c r="E304" s="3"/>
      <c r="F304" s="3"/>
    </row>
    <row r="305">
      <c r="A305" s="7"/>
      <c r="B305" s="3"/>
      <c r="C305" s="3"/>
      <c r="D305" s="3"/>
      <c r="E305" s="3"/>
      <c r="F305" s="3"/>
    </row>
    <row r="306">
      <c r="A306" s="7"/>
      <c r="B306" s="3"/>
      <c r="C306" s="3"/>
      <c r="D306" s="3"/>
      <c r="E306" s="3"/>
      <c r="F306" s="3"/>
    </row>
    <row r="307">
      <c r="A307" s="7"/>
      <c r="B307" s="3"/>
      <c r="C307" s="3"/>
      <c r="D307" s="3"/>
      <c r="E307" s="3"/>
      <c r="F307" s="3"/>
    </row>
    <row r="308">
      <c r="A308" s="7"/>
      <c r="B308" s="3"/>
      <c r="C308" s="3"/>
      <c r="D308" s="3"/>
      <c r="E308" s="3"/>
      <c r="F308" s="3"/>
    </row>
    <row r="309">
      <c r="A309" s="7"/>
      <c r="B309" s="3"/>
      <c r="C309" s="3"/>
      <c r="D309" s="3"/>
      <c r="E309" s="3"/>
      <c r="F309" s="3"/>
    </row>
    <row r="310">
      <c r="A310" s="7"/>
      <c r="B310" s="3"/>
      <c r="C310" s="3"/>
      <c r="D310" s="3"/>
      <c r="E310" s="3"/>
      <c r="F310" s="3"/>
    </row>
    <row r="311">
      <c r="A311" s="7"/>
      <c r="B311" s="3"/>
      <c r="C311" s="3"/>
      <c r="D311" s="3"/>
      <c r="E311" s="3"/>
      <c r="F311" s="3"/>
    </row>
    <row r="312">
      <c r="A312" s="7"/>
      <c r="B312" s="3"/>
      <c r="C312" s="3"/>
      <c r="D312" s="3"/>
      <c r="E312" s="3"/>
      <c r="F312" s="3"/>
    </row>
    <row r="313">
      <c r="A313" s="7"/>
      <c r="B313" s="3"/>
      <c r="C313" s="3"/>
      <c r="D313" s="3"/>
      <c r="E313" s="3"/>
      <c r="F313" s="3"/>
    </row>
    <row r="314">
      <c r="A314" s="7"/>
      <c r="B314" s="3"/>
      <c r="C314" s="3"/>
      <c r="D314" s="3"/>
      <c r="E314" s="3"/>
      <c r="F314" s="3"/>
    </row>
    <row r="315">
      <c r="A315" s="7"/>
      <c r="B315" s="3"/>
      <c r="C315" s="3"/>
      <c r="D315" s="3"/>
      <c r="E315" s="3"/>
      <c r="F315" s="3"/>
    </row>
    <row r="316">
      <c r="A316" s="7"/>
      <c r="B316" s="3"/>
      <c r="C316" s="3"/>
      <c r="D316" s="3"/>
      <c r="E316" s="3"/>
      <c r="F316" s="3"/>
    </row>
    <row r="317">
      <c r="A317" s="7"/>
      <c r="B317" s="3"/>
      <c r="C317" s="3"/>
      <c r="D317" s="3"/>
      <c r="E317" s="3"/>
      <c r="F317" s="3"/>
    </row>
    <row r="318">
      <c r="A318" s="7"/>
      <c r="B318" s="3"/>
      <c r="C318" s="3"/>
      <c r="D318" s="3"/>
      <c r="E318" s="3"/>
      <c r="F318" s="3"/>
    </row>
    <row r="319">
      <c r="A319" s="7"/>
      <c r="B319" s="3"/>
      <c r="C319" s="3"/>
      <c r="D319" s="3"/>
      <c r="E319" s="3"/>
      <c r="F319" s="3"/>
    </row>
    <row r="320">
      <c r="A320" s="7"/>
      <c r="B320" s="3"/>
      <c r="C320" s="3"/>
      <c r="D320" s="3"/>
      <c r="E320" s="3"/>
      <c r="F320" s="3"/>
    </row>
    <row r="321">
      <c r="A321" s="7"/>
      <c r="B321" s="3"/>
      <c r="C321" s="3"/>
      <c r="D321" s="3"/>
      <c r="E321" s="3"/>
      <c r="F321" s="3"/>
    </row>
    <row r="322">
      <c r="A322" s="7"/>
      <c r="B322" s="3"/>
      <c r="C322" s="3"/>
      <c r="D322" s="3"/>
      <c r="E322" s="3"/>
      <c r="F322" s="3"/>
    </row>
    <row r="323">
      <c r="A323" s="7"/>
      <c r="B323" s="3"/>
      <c r="C323" s="3"/>
      <c r="D323" s="3"/>
      <c r="E323" s="3"/>
      <c r="F323" s="3"/>
    </row>
    <row r="324">
      <c r="A324" s="7"/>
      <c r="B324" s="3"/>
      <c r="C324" s="3"/>
      <c r="D324" s="3"/>
      <c r="E324" s="3"/>
      <c r="F324" s="3"/>
    </row>
    <row r="325">
      <c r="A325" s="7"/>
      <c r="B325" s="3"/>
      <c r="C325" s="3"/>
      <c r="D325" s="3"/>
      <c r="E325" s="3"/>
      <c r="F325" s="3"/>
    </row>
    <row r="326">
      <c r="A326" s="7"/>
      <c r="B326" s="3"/>
      <c r="C326" s="3"/>
      <c r="D326" s="3"/>
      <c r="E326" s="3"/>
      <c r="F326" s="3"/>
    </row>
    <row r="327">
      <c r="A327" s="7"/>
      <c r="B327" s="3"/>
      <c r="C327" s="3"/>
      <c r="D327" s="3"/>
      <c r="E327" s="3"/>
      <c r="F327" s="3"/>
    </row>
    <row r="328">
      <c r="A328" s="7"/>
      <c r="B328" s="3"/>
      <c r="C328" s="3"/>
      <c r="D328" s="3"/>
      <c r="E328" s="3"/>
      <c r="F328" s="3"/>
    </row>
    <row r="329">
      <c r="A329" s="7"/>
      <c r="B329" s="3"/>
      <c r="C329" s="3"/>
      <c r="D329" s="3"/>
      <c r="E329" s="3"/>
      <c r="F329" s="3"/>
    </row>
    <row r="330">
      <c r="A330" s="7"/>
      <c r="B330" s="3"/>
      <c r="C330" s="3"/>
      <c r="D330" s="3"/>
      <c r="E330" s="3"/>
      <c r="F330" s="3"/>
    </row>
    <row r="331">
      <c r="A331" s="7"/>
      <c r="B331" s="3"/>
      <c r="C331" s="3"/>
      <c r="D331" s="3"/>
      <c r="E331" s="3"/>
      <c r="F331" s="3"/>
    </row>
    <row r="332">
      <c r="A332" s="7"/>
      <c r="B332" s="3"/>
      <c r="C332" s="3"/>
      <c r="D332" s="3"/>
      <c r="E332" s="3"/>
      <c r="F332" s="3"/>
    </row>
    <row r="333">
      <c r="A333" s="7"/>
      <c r="B333" s="3"/>
      <c r="C333" s="3"/>
      <c r="D333" s="3"/>
      <c r="E333" s="3"/>
      <c r="F333" s="3"/>
    </row>
    <row r="334">
      <c r="A334" s="7"/>
      <c r="B334" s="3"/>
      <c r="C334" s="3"/>
      <c r="D334" s="3"/>
      <c r="E334" s="3"/>
      <c r="F334" s="3"/>
    </row>
    <row r="335">
      <c r="A335" s="7"/>
      <c r="B335" s="3"/>
      <c r="C335" s="3"/>
      <c r="D335" s="3"/>
      <c r="E335" s="3"/>
      <c r="F335" s="3"/>
    </row>
    <row r="336">
      <c r="A336" s="7"/>
      <c r="B336" s="3"/>
      <c r="C336" s="3"/>
      <c r="D336" s="3"/>
      <c r="E336" s="3"/>
      <c r="F336" s="3"/>
    </row>
    <row r="337">
      <c r="A337" s="7"/>
      <c r="B337" s="3"/>
      <c r="C337" s="3"/>
      <c r="D337" s="3"/>
      <c r="E337" s="3"/>
      <c r="F337" s="3"/>
    </row>
    <row r="338">
      <c r="A338" s="7"/>
      <c r="B338" s="3"/>
      <c r="C338" s="3"/>
      <c r="D338" s="3"/>
      <c r="E338" s="3"/>
      <c r="F338" s="3"/>
    </row>
    <row r="339">
      <c r="A339" s="7"/>
      <c r="B339" s="3"/>
      <c r="C339" s="3"/>
      <c r="D339" s="3"/>
      <c r="E339" s="3"/>
      <c r="F339" s="3"/>
    </row>
    <row r="340">
      <c r="A340" s="7"/>
      <c r="B340" s="3"/>
      <c r="C340" s="3"/>
      <c r="D340" s="3"/>
      <c r="E340" s="3"/>
      <c r="F340" s="3"/>
    </row>
    <row r="341">
      <c r="A341" s="7"/>
      <c r="B341" s="3"/>
      <c r="C341" s="3"/>
      <c r="D341" s="3"/>
      <c r="E341" s="3"/>
      <c r="F341" s="3"/>
    </row>
    <row r="342">
      <c r="A342" s="7"/>
      <c r="B342" s="3"/>
      <c r="C342" s="3"/>
      <c r="D342" s="3"/>
      <c r="E342" s="3"/>
      <c r="F342" s="3"/>
    </row>
    <row r="343">
      <c r="A343" s="7"/>
      <c r="B343" s="3"/>
      <c r="C343" s="3"/>
      <c r="D343" s="3"/>
      <c r="E343" s="3"/>
      <c r="F343" s="3"/>
    </row>
    <row r="344">
      <c r="A344" s="7"/>
      <c r="B344" s="3"/>
      <c r="C344" s="3"/>
      <c r="D344" s="3"/>
      <c r="E344" s="3"/>
      <c r="F344" s="3"/>
    </row>
    <row r="345">
      <c r="A345" s="7"/>
      <c r="B345" s="3"/>
      <c r="C345" s="3"/>
      <c r="D345" s="3"/>
      <c r="E345" s="3"/>
      <c r="F345" s="3"/>
    </row>
    <row r="346">
      <c r="A346" s="7"/>
      <c r="B346" s="3"/>
      <c r="C346" s="3"/>
      <c r="D346" s="3"/>
      <c r="E346" s="3"/>
      <c r="F346" s="3"/>
    </row>
    <row r="347">
      <c r="A347" s="7"/>
      <c r="B347" s="3"/>
      <c r="C347" s="3"/>
      <c r="D347" s="3"/>
      <c r="E347" s="3"/>
      <c r="F347" s="3"/>
    </row>
    <row r="348">
      <c r="A348" s="7"/>
      <c r="B348" s="3"/>
      <c r="C348" s="3"/>
      <c r="D348" s="3"/>
      <c r="E348" s="3"/>
      <c r="F348" s="3"/>
    </row>
    <row r="349">
      <c r="A349" s="7"/>
      <c r="B349" s="3"/>
      <c r="C349" s="3"/>
      <c r="D349" s="3"/>
      <c r="E349" s="3"/>
      <c r="F349" s="3"/>
    </row>
    <row r="350">
      <c r="A350" s="7"/>
      <c r="B350" s="3"/>
      <c r="C350" s="3"/>
      <c r="D350" s="3"/>
      <c r="E350" s="3"/>
      <c r="F350" s="3"/>
    </row>
    <row r="351">
      <c r="A351" s="7"/>
      <c r="B351" s="3"/>
      <c r="C351" s="3"/>
      <c r="D351" s="3"/>
      <c r="E351" s="3"/>
      <c r="F351" s="3"/>
    </row>
    <row r="352">
      <c r="A352" s="7"/>
      <c r="B352" s="3"/>
      <c r="C352" s="3"/>
      <c r="D352" s="3"/>
      <c r="E352" s="3"/>
      <c r="F352" s="3"/>
    </row>
    <row r="353">
      <c r="A353" s="7"/>
      <c r="B353" s="3"/>
      <c r="C353" s="3"/>
      <c r="D353" s="3"/>
      <c r="E353" s="3"/>
      <c r="F353" s="3"/>
    </row>
    <row r="354">
      <c r="A354" s="7"/>
      <c r="B354" s="3"/>
      <c r="C354" s="3"/>
      <c r="D354" s="3"/>
      <c r="E354" s="3"/>
      <c r="F354" s="3"/>
    </row>
    <row r="355">
      <c r="A355" s="7"/>
      <c r="B355" s="3"/>
      <c r="C355" s="3"/>
      <c r="D355" s="3"/>
      <c r="E355" s="3"/>
      <c r="F355" s="3"/>
    </row>
    <row r="356">
      <c r="A356" s="7"/>
      <c r="B356" s="3"/>
      <c r="C356" s="3"/>
      <c r="D356" s="3"/>
      <c r="E356" s="3"/>
      <c r="F356" s="3"/>
    </row>
    <row r="357">
      <c r="A357" s="7"/>
      <c r="B357" s="3"/>
      <c r="C357" s="3"/>
      <c r="D357" s="3"/>
      <c r="E357" s="3"/>
      <c r="F357" s="3"/>
    </row>
    <row r="358">
      <c r="A358" s="7"/>
      <c r="B358" s="3"/>
      <c r="C358" s="3"/>
      <c r="D358" s="3"/>
      <c r="E358" s="3"/>
      <c r="F358" s="3"/>
    </row>
    <row r="359">
      <c r="A359" s="7"/>
      <c r="B359" s="3"/>
      <c r="C359" s="3"/>
      <c r="D359" s="3"/>
      <c r="E359" s="3"/>
      <c r="F359" s="3"/>
    </row>
    <row r="360">
      <c r="A360" s="7"/>
      <c r="B360" s="3"/>
      <c r="C360" s="3"/>
      <c r="D360" s="3"/>
      <c r="E360" s="3"/>
      <c r="F360" s="3"/>
    </row>
    <row r="361">
      <c r="A361" s="7"/>
      <c r="B361" s="3"/>
      <c r="C361" s="3"/>
      <c r="D361" s="3"/>
      <c r="E361" s="3"/>
      <c r="F361" s="3"/>
    </row>
    <row r="362">
      <c r="A362" s="7"/>
      <c r="B362" s="3"/>
      <c r="C362" s="3"/>
      <c r="D362" s="3"/>
      <c r="E362" s="3"/>
      <c r="F362" s="3"/>
    </row>
    <row r="363">
      <c r="A363" s="7"/>
      <c r="B363" s="3"/>
      <c r="C363" s="3"/>
      <c r="D363" s="3"/>
      <c r="E363" s="3"/>
      <c r="F363" s="3"/>
    </row>
    <row r="364">
      <c r="A364" s="7"/>
      <c r="B364" s="3"/>
      <c r="C364" s="3"/>
      <c r="D364" s="3"/>
      <c r="E364" s="3"/>
      <c r="F364" s="3"/>
    </row>
    <row r="365">
      <c r="A365" s="7"/>
      <c r="B365" s="3"/>
      <c r="C365" s="3"/>
      <c r="D365" s="3"/>
      <c r="E365" s="3"/>
      <c r="F365" s="3"/>
    </row>
    <row r="366">
      <c r="A366" s="7"/>
      <c r="B366" s="3"/>
      <c r="C366" s="3"/>
      <c r="D366" s="3"/>
      <c r="E366" s="3"/>
      <c r="F366" s="3"/>
    </row>
    <row r="367">
      <c r="A367" s="7"/>
      <c r="B367" s="3"/>
      <c r="C367" s="3"/>
      <c r="D367" s="3"/>
      <c r="E367" s="3"/>
      <c r="F367" s="3"/>
    </row>
    <row r="368">
      <c r="A368" s="7"/>
      <c r="B368" s="3"/>
      <c r="C368" s="3"/>
      <c r="D368" s="3"/>
      <c r="E368" s="3"/>
      <c r="F368" s="3"/>
    </row>
    <row r="369">
      <c r="A369" s="7"/>
      <c r="B369" s="3"/>
      <c r="C369" s="3"/>
      <c r="D369" s="3"/>
      <c r="E369" s="3"/>
      <c r="F369" s="3"/>
    </row>
    <row r="370">
      <c r="A370" s="7"/>
      <c r="B370" s="3"/>
      <c r="C370" s="3"/>
      <c r="D370" s="3"/>
      <c r="E370" s="3"/>
      <c r="F370" s="3"/>
    </row>
    <row r="371">
      <c r="A371" s="7"/>
      <c r="B371" s="3"/>
      <c r="C371" s="3"/>
      <c r="D371" s="3"/>
      <c r="E371" s="3"/>
      <c r="F371" s="3"/>
    </row>
    <row r="372">
      <c r="A372" s="7"/>
      <c r="B372" s="3"/>
      <c r="C372" s="3"/>
      <c r="D372" s="3"/>
      <c r="E372" s="3"/>
      <c r="F372" s="3"/>
    </row>
    <row r="373">
      <c r="A373" s="7"/>
      <c r="B373" s="3"/>
      <c r="C373" s="3"/>
      <c r="D373" s="3"/>
      <c r="E373" s="3"/>
      <c r="F373" s="3"/>
    </row>
    <row r="374">
      <c r="A374" s="7"/>
      <c r="B374" s="3"/>
      <c r="C374" s="3"/>
      <c r="D374" s="3"/>
      <c r="E374" s="3"/>
      <c r="F374" s="3"/>
    </row>
    <row r="375">
      <c r="A375" s="7"/>
      <c r="B375" s="3"/>
      <c r="C375" s="3"/>
      <c r="D375" s="3"/>
      <c r="E375" s="3"/>
      <c r="F375" s="3"/>
    </row>
    <row r="376">
      <c r="A376" s="7"/>
      <c r="B376" s="3"/>
      <c r="C376" s="3"/>
      <c r="D376" s="3"/>
      <c r="E376" s="3"/>
      <c r="F376" s="3"/>
    </row>
    <row r="377">
      <c r="A377" s="7"/>
      <c r="B377" s="3"/>
      <c r="C377" s="3"/>
      <c r="D377" s="3"/>
      <c r="E377" s="3"/>
      <c r="F377" s="3"/>
    </row>
    <row r="378">
      <c r="A378" s="7"/>
      <c r="B378" s="3"/>
      <c r="C378" s="3"/>
      <c r="D378" s="3"/>
      <c r="E378" s="3"/>
      <c r="F378" s="3"/>
    </row>
    <row r="379">
      <c r="A379" s="7"/>
      <c r="B379" s="3"/>
      <c r="C379" s="3"/>
      <c r="D379" s="3"/>
      <c r="E379" s="3"/>
      <c r="F379" s="3"/>
    </row>
    <row r="380">
      <c r="A380" s="7"/>
      <c r="B380" s="3"/>
      <c r="C380" s="3"/>
      <c r="D380" s="3"/>
      <c r="E380" s="3"/>
      <c r="F380" s="3"/>
    </row>
    <row r="381">
      <c r="A381" s="7"/>
      <c r="B381" s="3"/>
      <c r="C381" s="3"/>
      <c r="D381" s="3"/>
      <c r="E381" s="3"/>
      <c r="F381" s="3"/>
    </row>
    <row r="382">
      <c r="A382" s="7"/>
      <c r="B382" s="3"/>
      <c r="C382" s="3"/>
      <c r="D382" s="3"/>
      <c r="E382" s="3"/>
      <c r="F382" s="3"/>
    </row>
    <row r="383">
      <c r="A383" s="7"/>
      <c r="B383" s="3"/>
      <c r="C383" s="3"/>
      <c r="D383" s="3"/>
      <c r="E383" s="3"/>
      <c r="F383" s="3"/>
    </row>
    <row r="384">
      <c r="A384" s="7"/>
      <c r="B384" s="3"/>
      <c r="C384" s="3"/>
      <c r="D384" s="3"/>
      <c r="E384" s="3"/>
      <c r="F384" s="3"/>
    </row>
    <row r="385">
      <c r="A385" s="7"/>
      <c r="B385" s="3"/>
      <c r="C385" s="3"/>
      <c r="D385" s="3"/>
      <c r="E385" s="3"/>
      <c r="F385" s="3"/>
    </row>
    <row r="386">
      <c r="A386" s="7"/>
      <c r="B386" s="3"/>
      <c r="C386" s="3"/>
      <c r="D386" s="3"/>
      <c r="E386" s="3"/>
      <c r="F386" s="3"/>
    </row>
    <row r="387">
      <c r="A387" s="7"/>
      <c r="B387" s="3"/>
      <c r="C387" s="3"/>
      <c r="D387" s="3"/>
      <c r="E387" s="3"/>
      <c r="F387" s="3"/>
    </row>
    <row r="388">
      <c r="A388" s="7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7"/>
      <c r="B390" s="3"/>
      <c r="C390" s="3"/>
      <c r="D390" s="3"/>
      <c r="E390" s="3"/>
      <c r="F390" s="3"/>
    </row>
    <row r="391">
      <c r="A391" s="7"/>
      <c r="B391" s="3"/>
      <c r="C391" s="3"/>
      <c r="D391" s="3"/>
      <c r="E391" s="3"/>
      <c r="F391" s="3"/>
    </row>
    <row r="392">
      <c r="A392" s="7"/>
      <c r="B392" s="3"/>
      <c r="C392" s="3"/>
      <c r="D392" s="3"/>
      <c r="E392" s="3"/>
      <c r="F392" s="3"/>
    </row>
    <row r="393">
      <c r="A393" s="7"/>
      <c r="B393" s="3"/>
      <c r="C393" s="3"/>
      <c r="D393" s="3"/>
      <c r="E393" s="3"/>
      <c r="F393" s="3"/>
    </row>
    <row r="394">
      <c r="A394" s="7"/>
      <c r="B394" s="3"/>
      <c r="C394" s="3"/>
      <c r="D394" s="3"/>
      <c r="E394" s="3"/>
      <c r="F394" s="3"/>
    </row>
    <row r="395">
      <c r="A395" s="7"/>
      <c r="B395" s="3"/>
      <c r="C395" s="3"/>
      <c r="D395" s="3"/>
      <c r="E395" s="3"/>
      <c r="F395" s="3"/>
    </row>
    <row r="396">
      <c r="A396" s="7"/>
      <c r="B396" s="3"/>
      <c r="C396" s="3"/>
      <c r="D396" s="3"/>
      <c r="E396" s="3"/>
      <c r="F396" s="3"/>
    </row>
    <row r="397">
      <c r="A397" s="7"/>
      <c r="B397" s="3"/>
      <c r="C397" s="3"/>
      <c r="D397" s="3"/>
      <c r="E397" s="3"/>
      <c r="F397" s="3"/>
    </row>
    <row r="398">
      <c r="A398" s="7"/>
      <c r="B398" s="3"/>
      <c r="C398" s="3"/>
      <c r="D398" s="3"/>
      <c r="E398" s="3"/>
      <c r="F398" s="3"/>
    </row>
    <row r="399">
      <c r="A399" s="7"/>
      <c r="B399" s="3"/>
      <c r="C399" s="3"/>
      <c r="D399" s="3"/>
      <c r="E399" s="3"/>
      <c r="F399" s="3"/>
    </row>
    <row r="400">
      <c r="A400" s="7"/>
      <c r="B400" s="3"/>
      <c r="C400" s="3"/>
      <c r="D400" s="3"/>
      <c r="E400" s="3"/>
      <c r="F400" s="3"/>
    </row>
    <row r="401">
      <c r="A401" s="7"/>
      <c r="B401" s="3"/>
      <c r="C401" s="3"/>
      <c r="D401" s="3"/>
      <c r="E401" s="3"/>
      <c r="F401" s="3"/>
    </row>
    <row r="402">
      <c r="A402" s="7"/>
      <c r="B402" s="3"/>
      <c r="C402" s="3"/>
      <c r="D402" s="3"/>
      <c r="E402" s="3"/>
      <c r="F402" s="3"/>
    </row>
    <row r="403">
      <c r="A403" s="7"/>
      <c r="B403" s="3"/>
      <c r="C403" s="3"/>
      <c r="D403" s="3"/>
      <c r="E403" s="3"/>
      <c r="F403" s="3"/>
    </row>
    <row r="404">
      <c r="A404" s="7"/>
      <c r="B404" s="3"/>
      <c r="C404" s="3"/>
      <c r="D404" s="3"/>
      <c r="E404" s="3"/>
      <c r="F404" s="3"/>
    </row>
    <row r="405">
      <c r="A405" s="7"/>
      <c r="B405" s="3"/>
      <c r="C405" s="3"/>
      <c r="D405" s="3"/>
      <c r="E405" s="3"/>
      <c r="F405" s="3"/>
    </row>
    <row r="406">
      <c r="A406" s="7"/>
      <c r="B406" s="3"/>
      <c r="C406" s="3"/>
      <c r="D406" s="3"/>
      <c r="E406" s="3"/>
      <c r="F406" s="3"/>
    </row>
    <row r="407">
      <c r="A407" s="7"/>
      <c r="B407" s="3"/>
      <c r="C407" s="3"/>
      <c r="D407" s="3"/>
      <c r="E407" s="3"/>
      <c r="F407" s="3"/>
    </row>
    <row r="408">
      <c r="A408" s="7"/>
      <c r="B408" s="3"/>
      <c r="C408" s="3"/>
      <c r="D408" s="3"/>
      <c r="E408" s="3"/>
      <c r="F408" s="3"/>
    </row>
    <row r="409">
      <c r="A409" s="7"/>
      <c r="B409" s="3"/>
      <c r="C409" s="3"/>
      <c r="D409" s="3"/>
      <c r="E409" s="3"/>
      <c r="F409" s="3"/>
    </row>
    <row r="410">
      <c r="A410" s="7"/>
      <c r="B410" s="3"/>
      <c r="C410" s="3"/>
      <c r="D410" s="3"/>
      <c r="E410" s="3"/>
      <c r="F410" s="3"/>
    </row>
    <row r="411">
      <c r="A411" s="7"/>
      <c r="B411" s="3"/>
      <c r="C411" s="3"/>
      <c r="D411" s="3"/>
      <c r="E411" s="3"/>
      <c r="F411" s="3"/>
    </row>
    <row r="412">
      <c r="A412" s="7"/>
      <c r="B412" s="3"/>
      <c r="C412" s="3"/>
      <c r="D412" s="3"/>
      <c r="E412" s="3"/>
      <c r="F412" s="3"/>
    </row>
    <row r="413">
      <c r="A413" s="7"/>
      <c r="B413" s="3"/>
      <c r="C413" s="3"/>
      <c r="D413" s="3"/>
      <c r="E413" s="3"/>
      <c r="F413" s="3"/>
    </row>
    <row r="414">
      <c r="A414" s="7"/>
      <c r="B414" s="3"/>
      <c r="C414" s="3"/>
      <c r="D414" s="3"/>
      <c r="E414" s="3"/>
      <c r="F414" s="3"/>
    </row>
    <row r="415">
      <c r="A415" s="7"/>
      <c r="B415" s="3"/>
      <c r="C415" s="3"/>
      <c r="D415" s="3"/>
      <c r="E415" s="3"/>
      <c r="F415" s="3"/>
    </row>
    <row r="416">
      <c r="A416" s="7"/>
      <c r="B416" s="3"/>
      <c r="C416" s="3"/>
      <c r="D416" s="3"/>
      <c r="E416" s="3"/>
      <c r="F416" s="3"/>
    </row>
    <row r="417">
      <c r="A417" s="7"/>
      <c r="B417" s="3"/>
      <c r="C417" s="3"/>
      <c r="D417" s="3"/>
      <c r="E417" s="3"/>
      <c r="F417" s="3"/>
    </row>
    <row r="418">
      <c r="A418" s="7"/>
      <c r="B418" s="3"/>
      <c r="C418" s="3"/>
      <c r="D418" s="3"/>
      <c r="E418" s="3"/>
      <c r="F418" s="3"/>
    </row>
    <row r="419">
      <c r="A419" s="7"/>
      <c r="B419" s="3"/>
      <c r="C419" s="3"/>
      <c r="D419" s="3"/>
      <c r="E419" s="3"/>
      <c r="F419" s="3"/>
    </row>
    <row r="420">
      <c r="A420" s="7"/>
      <c r="B420" s="3"/>
      <c r="C420" s="3"/>
      <c r="D420" s="3"/>
      <c r="E420" s="3"/>
      <c r="F420" s="3"/>
    </row>
    <row r="421">
      <c r="A421" s="7"/>
      <c r="B421" s="3"/>
      <c r="C421" s="3"/>
      <c r="D421" s="3"/>
      <c r="E421" s="3"/>
      <c r="F421" s="3"/>
    </row>
    <row r="422">
      <c r="A422" s="7"/>
      <c r="B422" s="3"/>
      <c r="C422" s="3"/>
      <c r="D422" s="3"/>
      <c r="E422" s="3"/>
      <c r="F422" s="3"/>
    </row>
    <row r="423">
      <c r="A423" s="7"/>
      <c r="B423" s="3"/>
      <c r="C423" s="3"/>
      <c r="D423" s="3"/>
      <c r="E423" s="3"/>
      <c r="F423" s="3"/>
    </row>
    <row r="424">
      <c r="A424" s="7"/>
      <c r="B424" s="3"/>
      <c r="C424" s="3"/>
      <c r="D424" s="3"/>
      <c r="E424" s="3"/>
      <c r="F424" s="3"/>
    </row>
    <row r="425">
      <c r="A425" s="7"/>
      <c r="B425" s="3"/>
      <c r="C425" s="3"/>
      <c r="D425" s="3"/>
      <c r="E425" s="3"/>
      <c r="F425" s="3"/>
    </row>
    <row r="426">
      <c r="A426" s="7"/>
      <c r="B426" s="3"/>
      <c r="C426" s="3"/>
      <c r="D426" s="3"/>
      <c r="E426" s="3"/>
      <c r="F426" s="3"/>
    </row>
    <row r="427">
      <c r="A427" s="7"/>
      <c r="B427" s="3"/>
      <c r="C427" s="3"/>
      <c r="D427" s="3"/>
      <c r="E427" s="3"/>
      <c r="F427" s="3"/>
    </row>
    <row r="428">
      <c r="A428" s="7"/>
      <c r="B428" s="3"/>
      <c r="C428" s="3"/>
      <c r="D428" s="3"/>
      <c r="E428" s="3"/>
      <c r="F428" s="3"/>
    </row>
    <row r="429">
      <c r="A429" s="7"/>
      <c r="B429" s="3"/>
      <c r="C429" s="3"/>
      <c r="D429" s="3"/>
      <c r="E429" s="3"/>
      <c r="F429" s="3"/>
    </row>
    <row r="430">
      <c r="A430" s="7"/>
      <c r="B430" s="3"/>
      <c r="C430" s="3"/>
      <c r="D430" s="3"/>
      <c r="E430" s="3"/>
      <c r="F430" s="3"/>
    </row>
    <row r="431">
      <c r="A431" s="7"/>
      <c r="B431" s="3"/>
      <c r="C431" s="3"/>
      <c r="D431" s="3"/>
      <c r="E431" s="3"/>
      <c r="F431" s="3"/>
    </row>
    <row r="432">
      <c r="A432" s="7"/>
      <c r="B432" s="3"/>
      <c r="C432" s="3"/>
      <c r="D432" s="3"/>
      <c r="E432" s="3"/>
      <c r="F432" s="3"/>
    </row>
    <row r="433">
      <c r="A433" s="7"/>
      <c r="B433" s="3"/>
      <c r="C433" s="3"/>
      <c r="D433" s="3"/>
      <c r="E433" s="3"/>
      <c r="F433" s="3"/>
    </row>
    <row r="434">
      <c r="A434" s="7"/>
      <c r="B434" s="3"/>
      <c r="C434" s="3"/>
      <c r="D434" s="3"/>
      <c r="E434" s="3"/>
      <c r="F434" s="3"/>
    </row>
    <row r="435">
      <c r="A435" s="7"/>
      <c r="B435" s="3"/>
      <c r="C435" s="3"/>
      <c r="D435" s="3"/>
      <c r="E435" s="3"/>
      <c r="F435" s="3"/>
    </row>
    <row r="436">
      <c r="A436" s="7"/>
      <c r="B436" s="3"/>
      <c r="C436" s="3"/>
      <c r="D436" s="3"/>
      <c r="E436" s="3"/>
      <c r="F436" s="3"/>
    </row>
    <row r="437">
      <c r="A437" s="7"/>
      <c r="B437" s="3"/>
      <c r="C437" s="3"/>
      <c r="D437" s="3"/>
      <c r="E437" s="3"/>
      <c r="F437" s="3"/>
    </row>
    <row r="438">
      <c r="A438" s="7"/>
      <c r="B438" s="3"/>
      <c r="C438" s="3"/>
      <c r="D438" s="3"/>
      <c r="E438" s="3"/>
      <c r="F438" s="3"/>
    </row>
    <row r="439">
      <c r="A439" s="7"/>
      <c r="B439" s="3"/>
      <c r="C439" s="3"/>
      <c r="D439" s="3"/>
      <c r="E439" s="3"/>
      <c r="F439" s="3"/>
    </row>
    <row r="440">
      <c r="A440" s="7"/>
      <c r="B440" s="3"/>
      <c r="C440" s="3"/>
      <c r="D440" s="3"/>
      <c r="E440" s="3"/>
      <c r="F440" s="3"/>
    </row>
    <row r="441">
      <c r="A441" s="7"/>
      <c r="B441" s="3"/>
      <c r="C441" s="3"/>
      <c r="D441" s="3"/>
      <c r="E441" s="3"/>
      <c r="F441" s="3"/>
    </row>
    <row r="442">
      <c r="A442" s="7"/>
      <c r="B442" s="3"/>
      <c r="C442" s="3"/>
      <c r="D442" s="3"/>
      <c r="E442" s="3"/>
      <c r="F442" s="3"/>
    </row>
    <row r="443">
      <c r="A443" s="7"/>
      <c r="B443" s="3"/>
      <c r="C443" s="3"/>
      <c r="D443" s="3"/>
      <c r="E443" s="3"/>
      <c r="F443" s="3"/>
    </row>
    <row r="444">
      <c r="A444" s="7"/>
      <c r="B444" s="3"/>
      <c r="C444" s="3"/>
      <c r="D444" s="3"/>
      <c r="E444" s="3"/>
      <c r="F444" s="3"/>
    </row>
    <row r="445">
      <c r="A445" s="7"/>
      <c r="B445" s="3"/>
      <c r="C445" s="3"/>
      <c r="D445" s="3"/>
      <c r="E445" s="3"/>
      <c r="F445" s="3"/>
    </row>
    <row r="446">
      <c r="A446" s="7"/>
      <c r="B446" s="3"/>
      <c r="C446" s="3"/>
      <c r="D446" s="3"/>
      <c r="E446" s="3"/>
      <c r="F446" s="3"/>
    </row>
    <row r="447">
      <c r="A447" s="7"/>
      <c r="B447" s="3"/>
      <c r="C447" s="3"/>
      <c r="D447" s="3"/>
      <c r="E447" s="3"/>
      <c r="F447" s="3"/>
    </row>
    <row r="448">
      <c r="A448" s="7"/>
      <c r="B448" s="3"/>
      <c r="C448" s="3"/>
      <c r="D448" s="3"/>
      <c r="E448" s="3"/>
      <c r="F448" s="3"/>
    </row>
    <row r="449">
      <c r="A449" s="7"/>
      <c r="B449" s="3"/>
      <c r="C449" s="3"/>
      <c r="D449" s="3"/>
      <c r="E449" s="3"/>
      <c r="F449" s="3"/>
    </row>
    <row r="450">
      <c r="A450" s="7"/>
      <c r="B450" s="3"/>
      <c r="C450" s="3"/>
      <c r="D450" s="3"/>
      <c r="E450" s="3"/>
      <c r="F450" s="3"/>
    </row>
    <row r="451">
      <c r="A451" s="7"/>
      <c r="B451" s="3"/>
      <c r="C451" s="3"/>
      <c r="D451" s="3"/>
      <c r="E451" s="3"/>
      <c r="F451" s="3"/>
    </row>
    <row r="452">
      <c r="A452" s="7"/>
      <c r="B452" s="3"/>
      <c r="C452" s="3"/>
      <c r="D452" s="3"/>
      <c r="E452" s="3"/>
      <c r="F452" s="3"/>
    </row>
    <row r="453">
      <c r="A453" s="7"/>
      <c r="B453" s="3"/>
      <c r="C453" s="3"/>
      <c r="D453" s="3"/>
      <c r="E453" s="3"/>
      <c r="F453" s="3"/>
    </row>
    <row r="454">
      <c r="A454" s="7"/>
      <c r="B454" s="3"/>
      <c r="C454" s="3"/>
      <c r="D454" s="3"/>
      <c r="E454" s="3"/>
      <c r="F454" s="3"/>
    </row>
    <row r="455">
      <c r="A455" s="7"/>
      <c r="B455" s="3"/>
      <c r="C455" s="3"/>
      <c r="D455" s="3"/>
      <c r="E455" s="3"/>
      <c r="F455" s="3"/>
    </row>
    <row r="456">
      <c r="A456" s="7"/>
      <c r="B456" s="3"/>
      <c r="C456" s="3"/>
      <c r="D456" s="3"/>
      <c r="E456" s="3"/>
      <c r="F456" s="3"/>
    </row>
    <row r="457">
      <c r="A457" s="7"/>
      <c r="B457" s="3"/>
      <c r="C457" s="3"/>
      <c r="D457" s="3"/>
      <c r="E457" s="3"/>
      <c r="F457" s="3"/>
    </row>
    <row r="458">
      <c r="A458" s="7"/>
      <c r="B458" s="3"/>
      <c r="C458" s="3"/>
      <c r="D458" s="3"/>
      <c r="E458" s="3"/>
      <c r="F458" s="3"/>
    </row>
    <row r="459">
      <c r="A459" s="7"/>
      <c r="B459" s="3"/>
      <c r="C459" s="3"/>
      <c r="D459" s="3"/>
      <c r="E459" s="3"/>
      <c r="F459" s="3"/>
    </row>
    <row r="460">
      <c r="A460" s="7"/>
      <c r="B460" s="3"/>
      <c r="C460" s="3"/>
      <c r="D460" s="3"/>
      <c r="E460" s="3"/>
      <c r="F460" s="3"/>
    </row>
    <row r="461">
      <c r="A461" s="7"/>
      <c r="B461" s="3"/>
      <c r="C461" s="3"/>
      <c r="D461" s="3"/>
      <c r="E461" s="3"/>
      <c r="F461" s="3"/>
    </row>
    <row r="462">
      <c r="A462" s="7"/>
      <c r="B462" s="3"/>
      <c r="C462" s="3"/>
      <c r="D462" s="3"/>
      <c r="E462" s="3"/>
      <c r="F462" s="3"/>
    </row>
    <row r="463">
      <c r="A463" s="7"/>
      <c r="B463" s="3"/>
      <c r="C463" s="3"/>
      <c r="D463" s="3"/>
      <c r="E463" s="3"/>
      <c r="F463" s="3"/>
    </row>
    <row r="464">
      <c r="A464" s="7"/>
      <c r="B464" s="3"/>
      <c r="C464" s="3"/>
      <c r="D464" s="3"/>
      <c r="E464" s="3"/>
      <c r="F464" s="3"/>
    </row>
    <row r="465">
      <c r="A465" s="7"/>
      <c r="B465" s="3"/>
      <c r="C465" s="3"/>
      <c r="D465" s="3"/>
      <c r="E465" s="3"/>
      <c r="F465" s="3"/>
    </row>
    <row r="466">
      <c r="A466" s="7"/>
      <c r="B466" s="3"/>
      <c r="C466" s="3"/>
      <c r="D466" s="3"/>
      <c r="E466" s="3"/>
      <c r="F466" s="3"/>
    </row>
    <row r="467">
      <c r="A467" s="7"/>
      <c r="B467" s="3"/>
      <c r="C467" s="3"/>
      <c r="D467" s="3"/>
      <c r="E467" s="3"/>
      <c r="F467" s="3"/>
    </row>
    <row r="468">
      <c r="A468" s="7"/>
      <c r="B468" s="3"/>
      <c r="C468" s="3"/>
      <c r="D468" s="3"/>
      <c r="E468" s="3"/>
      <c r="F468" s="3"/>
    </row>
    <row r="469">
      <c r="A469" s="7"/>
      <c r="B469" s="3"/>
      <c r="C469" s="3"/>
      <c r="D469" s="3"/>
      <c r="E469" s="3"/>
      <c r="F469" s="3"/>
    </row>
    <row r="470">
      <c r="A470" s="7"/>
      <c r="B470" s="3"/>
      <c r="C470" s="3"/>
      <c r="D470" s="3"/>
      <c r="E470" s="3"/>
      <c r="F470" s="3"/>
    </row>
    <row r="471">
      <c r="A471" s="7"/>
      <c r="B471" s="3"/>
      <c r="C471" s="3"/>
      <c r="D471" s="3"/>
      <c r="E471" s="3"/>
      <c r="F471" s="3"/>
    </row>
    <row r="472">
      <c r="A472" s="7"/>
      <c r="B472" s="3"/>
      <c r="C472" s="3"/>
      <c r="D472" s="3"/>
      <c r="E472" s="3"/>
      <c r="F472" s="3"/>
    </row>
    <row r="473">
      <c r="A473" s="7"/>
      <c r="B473" s="3"/>
      <c r="C473" s="3"/>
      <c r="D473" s="3"/>
      <c r="E473" s="3"/>
      <c r="F473" s="3"/>
    </row>
    <row r="474">
      <c r="A474" s="7"/>
      <c r="B474" s="3"/>
      <c r="C474" s="3"/>
      <c r="D474" s="3"/>
      <c r="E474" s="3"/>
      <c r="F474" s="3"/>
    </row>
    <row r="475">
      <c r="A475" s="7"/>
      <c r="B475" s="3"/>
      <c r="C475" s="3"/>
      <c r="D475" s="3"/>
      <c r="E475" s="3"/>
      <c r="F475" s="3"/>
    </row>
    <row r="476">
      <c r="A476" s="7"/>
      <c r="B476" s="3"/>
      <c r="C476" s="3"/>
      <c r="D476" s="3"/>
      <c r="E476" s="3"/>
      <c r="F476" s="3"/>
    </row>
    <row r="477">
      <c r="A477" s="7"/>
      <c r="B477" s="3"/>
      <c r="C477" s="3"/>
      <c r="D477" s="3"/>
      <c r="E477" s="3"/>
      <c r="F477" s="3"/>
    </row>
    <row r="478">
      <c r="A478" s="7"/>
      <c r="B478" s="3"/>
      <c r="C478" s="3"/>
      <c r="D478" s="3"/>
      <c r="E478" s="3"/>
      <c r="F478" s="3"/>
    </row>
    <row r="479">
      <c r="A479" s="7"/>
      <c r="B479" s="3"/>
      <c r="C479" s="3"/>
      <c r="D479" s="3"/>
      <c r="E479" s="3"/>
      <c r="F479" s="3"/>
    </row>
    <row r="480">
      <c r="A480" s="7"/>
      <c r="B480" s="3"/>
      <c r="C480" s="3"/>
      <c r="D480" s="3"/>
      <c r="E480" s="3"/>
      <c r="F480" s="3"/>
    </row>
    <row r="481">
      <c r="A481" s="7"/>
      <c r="B481" s="3"/>
      <c r="C481" s="3"/>
      <c r="D481" s="3"/>
      <c r="E481" s="3"/>
      <c r="F481" s="3"/>
    </row>
    <row r="482">
      <c r="A482" s="7"/>
      <c r="B482" s="3"/>
      <c r="C482" s="3"/>
      <c r="D482" s="3"/>
      <c r="E482" s="3"/>
      <c r="F482" s="3"/>
    </row>
    <row r="483">
      <c r="A483" s="7"/>
      <c r="B483" s="3"/>
      <c r="C483" s="3"/>
      <c r="D483" s="3"/>
      <c r="E483" s="3"/>
      <c r="F483" s="3"/>
    </row>
    <row r="484">
      <c r="A484" s="7"/>
      <c r="B484" s="3"/>
      <c r="C484" s="3"/>
      <c r="D484" s="3"/>
      <c r="E484" s="3"/>
      <c r="F484" s="3"/>
    </row>
    <row r="485">
      <c r="A485" s="7"/>
      <c r="B485" s="3"/>
      <c r="C485" s="3"/>
      <c r="D485" s="3"/>
      <c r="E485" s="3"/>
      <c r="F485" s="3"/>
    </row>
    <row r="486">
      <c r="A486" s="7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7"/>
      <c r="B488" s="3"/>
      <c r="C488" s="3"/>
      <c r="D488" s="3"/>
      <c r="E488" s="3"/>
      <c r="F488" s="3"/>
    </row>
    <row r="489">
      <c r="A489" s="7"/>
      <c r="B489" s="3"/>
      <c r="C489" s="3"/>
      <c r="D489" s="3"/>
      <c r="E489" s="3"/>
      <c r="F489" s="3"/>
    </row>
    <row r="490">
      <c r="A490" s="7"/>
      <c r="B490" s="3"/>
      <c r="C490" s="3"/>
      <c r="D490" s="3"/>
      <c r="E490" s="3"/>
      <c r="F490" s="3"/>
    </row>
    <row r="491">
      <c r="A491" s="7"/>
      <c r="B491" s="3"/>
      <c r="C491" s="3"/>
      <c r="D491" s="3"/>
      <c r="E491" s="3"/>
      <c r="F491" s="3"/>
    </row>
    <row r="492">
      <c r="A492" s="7"/>
      <c r="B492" s="3"/>
      <c r="C492" s="3"/>
      <c r="D492" s="3"/>
      <c r="E492" s="3"/>
      <c r="F492" s="3"/>
    </row>
    <row r="493">
      <c r="A493" s="7"/>
      <c r="B493" s="3"/>
      <c r="C493" s="3"/>
      <c r="D493" s="3"/>
      <c r="E493" s="3"/>
      <c r="F493" s="3"/>
    </row>
    <row r="494">
      <c r="A494" s="7"/>
      <c r="B494" s="3"/>
      <c r="C494" s="3"/>
      <c r="D494" s="3"/>
      <c r="E494" s="3"/>
      <c r="F494" s="3"/>
    </row>
    <row r="495">
      <c r="A495" s="7"/>
      <c r="B495" s="3"/>
      <c r="C495" s="3"/>
      <c r="D495" s="3"/>
      <c r="E495" s="3"/>
      <c r="F495" s="3"/>
    </row>
    <row r="496">
      <c r="A496" s="7"/>
      <c r="B496" s="3"/>
      <c r="C496" s="3"/>
      <c r="D496" s="3"/>
      <c r="E496" s="3"/>
      <c r="F496" s="3"/>
    </row>
    <row r="497">
      <c r="A497" s="7"/>
      <c r="B497" s="3"/>
      <c r="C497" s="3"/>
      <c r="D497" s="3"/>
      <c r="E497" s="3"/>
      <c r="F497" s="3"/>
    </row>
    <row r="498">
      <c r="A498" s="7"/>
      <c r="B498" s="3"/>
      <c r="C498" s="3"/>
      <c r="D498" s="3"/>
      <c r="E498" s="3"/>
      <c r="F498" s="3"/>
    </row>
    <row r="499">
      <c r="A499" s="7"/>
      <c r="B499" s="3"/>
      <c r="C499" s="3"/>
      <c r="D499" s="3"/>
      <c r="E499" s="3"/>
      <c r="F499" s="3"/>
    </row>
    <row r="500">
      <c r="A500" s="7"/>
      <c r="B500" s="3"/>
      <c r="C500" s="3"/>
      <c r="D500" s="3"/>
      <c r="E500" s="3"/>
      <c r="F500" s="3"/>
    </row>
    <row r="501">
      <c r="A501" s="7"/>
      <c r="B501" s="3"/>
      <c r="C501" s="3"/>
      <c r="D501" s="3"/>
      <c r="E501" s="3"/>
      <c r="F501" s="3"/>
    </row>
    <row r="502">
      <c r="A502" s="7"/>
      <c r="B502" s="3"/>
      <c r="C502" s="3"/>
      <c r="D502" s="3"/>
      <c r="E502" s="3"/>
      <c r="F502" s="3"/>
    </row>
    <row r="503">
      <c r="A503" s="7"/>
      <c r="B503" s="3"/>
      <c r="C503" s="3"/>
      <c r="D503" s="3"/>
      <c r="E503" s="3"/>
      <c r="F503" s="3"/>
    </row>
    <row r="504">
      <c r="A504" s="7"/>
      <c r="B504" s="3"/>
      <c r="C504" s="3"/>
      <c r="D504" s="3"/>
      <c r="E504" s="3"/>
      <c r="F504" s="3"/>
    </row>
    <row r="505">
      <c r="A505" s="7"/>
      <c r="B505" s="3"/>
      <c r="C505" s="3"/>
      <c r="D505" s="3"/>
      <c r="E505" s="3"/>
      <c r="F505" s="3"/>
    </row>
    <row r="506">
      <c r="A506" s="7"/>
      <c r="B506" s="3"/>
      <c r="C506" s="3"/>
      <c r="D506" s="3"/>
      <c r="E506" s="3"/>
      <c r="F506" s="3"/>
    </row>
    <row r="507">
      <c r="A507" s="7"/>
      <c r="B507" s="3"/>
      <c r="C507" s="3"/>
      <c r="D507" s="3"/>
      <c r="E507" s="3"/>
      <c r="F507" s="3"/>
    </row>
    <row r="508">
      <c r="A508" s="7"/>
      <c r="B508" s="3"/>
      <c r="C508" s="3"/>
      <c r="D508" s="3"/>
      <c r="E508" s="3"/>
      <c r="F508" s="3"/>
    </row>
    <row r="509">
      <c r="A509" s="7"/>
      <c r="B509" s="3"/>
      <c r="C509" s="3"/>
      <c r="D509" s="3"/>
      <c r="E509" s="3"/>
      <c r="F509" s="3"/>
    </row>
    <row r="510">
      <c r="A510" s="7"/>
      <c r="B510" s="3"/>
      <c r="C510" s="3"/>
      <c r="D510" s="3"/>
      <c r="E510" s="3"/>
      <c r="F510" s="3"/>
    </row>
    <row r="511">
      <c r="A511" s="7"/>
      <c r="B511" s="3"/>
      <c r="C511" s="3"/>
      <c r="D511" s="3"/>
      <c r="E511" s="3"/>
      <c r="F511" s="3"/>
    </row>
    <row r="512">
      <c r="A512" s="7"/>
      <c r="B512" s="3"/>
      <c r="C512" s="3"/>
      <c r="D512" s="3"/>
      <c r="E512" s="3"/>
      <c r="F512" s="3"/>
    </row>
    <row r="513">
      <c r="A513" s="7"/>
      <c r="B513" s="3"/>
      <c r="C513" s="3"/>
      <c r="D513" s="3"/>
      <c r="E513" s="3"/>
      <c r="F513" s="3"/>
    </row>
    <row r="514">
      <c r="A514" s="7"/>
      <c r="B514" s="3"/>
      <c r="C514" s="3"/>
      <c r="D514" s="3"/>
      <c r="E514" s="3"/>
      <c r="F514" s="3"/>
    </row>
    <row r="515">
      <c r="A515" s="7"/>
      <c r="B515" s="3"/>
      <c r="C515" s="3"/>
      <c r="D515" s="3"/>
      <c r="E515" s="3"/>
      <c r="F515" s="3"/>
    </row>
    <row r="516">
      <c r="A516" s="7"/>
      <c r="B516" s="3"/>
      <c r="C516" s="3"/>
      <c r="D516" s="3"/>
      <c r="E516" s="3"/>
      <c r="F516" s="3"/>
    </row>
    <row r="517">
      <c r="A517" s="7"/>
      <c r="B517" s="3"/>
      <c r="C517" s="3"/>
      <c r="D517" s="3"/>
      <c r="E517" s="3"/>
      <c r="F517" s="3"/>
    </row>
    <row r="518">
      <c r="A518" s="7"/>
      <c r="B518" s="3"/>
      <c r="C518" s="3"/>
      <c r="D518" s="3"/>
      <c r="E518" s="3"/>
      <c r="F518" s="3"/>
    </row>
    <row r="519">
      <c r="A519" s="7"/>
      <c r="B519" s="3"/>
      <c r="C519" s="3"/>
      <c r="D519" s="3"/>
      <c r="E519" s="3"/>
      <c r="F519" s="3"/>
    </row>
    <row r="520">
      <c r="A520" s="7"/>
      <c r="B520" s="3"/>
      <c r="C520" s="3"/>
      <c r="D520" s="3"/>
      <c r="E520" s="3"/>
      <c r="F520" s="3"/>
    </row>
    <row r="521">
      <c r="A521" s="7"/>
      <c r="B521" s="3"/>
      <c r="C521" s="3"/>
      <c r="D521" s="3"/>
      <c r="E521" s="3"/>
      <c r="F521" s="3"/>
    </row>
    <row r="522">
      <c r="A522" s="7"/>
      <c r="B522" s="3"/>
      <c r="C522" s="3"/>
      <c r="D522" s="3"/>
      <c r="E522" s="3"/>
      <c r="F522" s="3"/>
    </row>
    <row r="523">
      <c r="A523" s="7"/>
      <c r="B523" s="3"/>
      <c r="C523" s="3"/>
      <c r="D523" s="3"/>
      <c r="E523" s="3"/>
      <c r="F523" s="3"/>
    </row>
    <row r="524">
      <c r="A524" s="7"/>
      <c r="B524" s="3"/>
      <c r="C524" s="3"/>
      <c r="D524" s="3"/>
      <c r="E524" s="3"/>
      <c r="F524" s="3"/>
    </row>
    <row r="525">
      <c r="A525" s="7"/>
      <c r="B525" s="3"/>
      <c r="C525" s="3"/>
      <c r="D525" s="3"/>
      <c r="E525" s="3"/>
      <c r="F525" s="3"/>
    </row>
    <row r="526">
      <c r="A526" s="7"/>
      <c r="B526" s="3"/>
      <c r="C526" s="3"/>
      <c r="D526" s="3"/>
      <c r="E526" s="3"/>
      <c r="F526" s="3"/>
    </row>
    <row r="527">
      <c r="A527" s="7"/>
      <c r="B527" s="3"/>
      <c r="C527" s="3"/>
      <c r="D527" s="3"/>
      <c r="E527" s="3"/>
      <c r="F527" s="3"/>
    </row>
    <row r="528">
      <c r="A528" s="7"/>
      <c r="B528" s="3"/>
      <c r="C528" s="3"/>
      <c r="D528" s="3"/>
      <c r="E528" s="3"/>
      <c r="F528" s="3"/>
    </row>
    <row r="529">
      <c r="A529" s="7"/>
      <c r="B529" s="3"/>
      <c r="C529" s="3"/>
      <c r="D529" s="3"/>
      <c r="E529" s="3"/>
      <c r="F529" s="3"/>
    </row>
    <row r="530">
      <c r="A530" s="7"/>
      <c r="B530" s="3"/>
      <c r="C530" s="3"/>
      <c r="D530" s="3"/>
      <c r="E530" s="3"/>
      <c r="F530" s="3"/>
    </row>
    <row r="531">
      <c r="A531" s="7"/>
      <c r="B531" s="3"/>
      <c r="C531" s="3"/>
      <c r="D531" s="3"/>
      <c r="E531" s="3"/>
      <c r="F531" s="3"/>
    </row>
    <row r="532">
      <c r="A532" s="7"/>
      <c r="B532" s="3"/>
      <c r="C532" s="3"/>
      <c r="D532" s="3"/>
      <c r="E532" s="3"/>
      <c r="F532" s="3"/>
    </row>
    <row r="533">
      <c r="A533" s="7"/>
      <c r="B533" s="3"/>
      <c r="C533" s="3"/>
      <c r="D533" s="3"/>
      <c r="E533" s="3"/>
      <c r="F533" s="3"/>
    </row>
    <row r="534">
      <c r="A534" s="7"/>
      <c r="B534" s="3"/>
      <c r="C534" s="3"/>
      <c r="D534" s="3"/>
      <c r="E534" s="3"/>
      <c r="F534" s="3"/>
    </row>
    <row r="535">
      <c r="A535" s="7"/>
      <c r="B535" s="3"/>
      <c r="C535" s="3"/>
      <c r="D535" s="3"/>
      <c r="E535" s="3"/>
      <c r="F535" s="3"/>
    </row>
    <row r="536">
      <c r="A536" s="7"/>
      <c r="B536" s="3"/>
      <c r="C536" s="3"/>
      <c r="D536" s="3"/>
      <c r="E536" s="3"/>
      <c r="F536" s="3"/>
    </row>
    <row r="537">
      <c r="A537" s="7"/>
      <c r="B537" s="3"/>
      <c r="C537" s="3"/>
      <c r="D537" s="3"/>
      <c r="E537" s="3"/>
      <c r="F537" s="3"/>
    </row>
    <row r="538">
      <c r="A538" s="7"/>
      <c r="B538" s="3"/>
      <c r="C538" s="3"/>
      <c r="D538" s="3"/>
      <c r="E538" s="3"/>
      <c r="F538" s="3"/>
    </row>
    <row r="539">
      <c r="A539" s="7"/>
      <c r="B539" s="3"/>
      <c r="C539" s="3"/>
      <c r="D539" s="3"/>
      <c r="E539" s="3"/>
      <c r="F539" s="3"/>
    </row>
    <row r="540">
      <c r="A540" s="7"/>
      <c r="B540" s="3"/>
      <c r="C540" s="3"/>
      <c r="D540" s="3"/>
      <c r="E540" s="3"/>
      <c r="F540" s="3"/>
    </row>
    <row r="541">
      <c r="A541" s="7"/>
      <c r="B541" s="3"/>
      <c r="C541" s="3"/>
      <c r="D541" s="3"/>
      <c r="E541" s="3"/>
      <c r="F541" s="3"/>
    </row>
    <row r="542">
      <c r="A542" s="7"/>
      <c r="B542" s="3"/>
      <c r="C542" s="3"/>
      <c r="D542" s="3"/>
      <c r="E542" s="3"/>
      <c r="F542" s="3"/>
    </row>
    <row r="543">
      <c r="A543" s="7"/>
      <c r="B543" s="3"/>
      <c r="C543" s="3"/>
      <c r="D543" s="3"/>
      <c r="E543" s="3"/>
      <c r="F543" s="3"/>
    </row>
    <row r="544">
      <c r="A544" s="7"/>
      <c r="B544" s="3"/>
      <c r="C544" s="3"/>
      <c r="D544" s="3"/>
      <c r="E544" s="3"/>
      <c r="F544" s="3"/>
    </row>
    <row r="545">
      <c r="A545" s="7"/>
      <c r="B545" s="3"/>
      <c r="C545" s="3"/>
      <c r="D545" s="3"/>
      <c r="E545" s="3"/>
      <c r="F545" s="3"/>
    </row>
    <row r="546">
      <c r="A546" s="7"/>
      <c r="B546" s="3"/>
      <c r="C546" s="3"/>
      <c r="D546" s="3"/>
      <c r="E546" s="3"/>
      <c r="F546" s="3"/>
    </row>
    <row r="547">
      <c r="A547" s="7"/>
      <c r="B547" s="3"/>
      <c r="C547" s="3"/>
      <c r="D547" s="3"/>
      <c r="E547" s="3"/>
      <c r="F547" s="3"/>
    </row>
    <row r="548">
      <c r="A548" s="7"/>
      <c r="B548" s="3"/>
      <c r="C548" s="3"/>
      <c r="D548" s="3"/>
      <c r="E548" s="3"/>
      <c r="F548" s="3"/>
    </row>
    <row r="549">
      <c r="A549" s="7"/>
      <c r="B549" s="3"/>
      <c r="C549" s="3"/>
      <c r="D549" s="3"/>
      <c r="E549" s="3"/>
      <c r="F549" s="3"/>
    </row>
    <row r="550">
      <c r="A550" s="7"/>
      <c r="B550" s="3"/>
      <c r="C550" s="3"/>
      <c r="D550" s="3"/>
      <c r="E550" s="3"/>
      <c r="F550" s="3"/>
    </row>
    <row r="551">
      <c r="A551" s="7"/>
      <c r="B551" s="3"/>
      <c r="C551" s="3"/>
      <c r="D551" s="3"/>
      <c r="E551" s="3"/>
      <c r="F551" s="3"/>
    </row>
    <row r="552">
      <c r="A552" s="7"/>
      <c r="B552" s="3"/>
      <c r="C552" s="3"/>
      <c r="D552" s="3"/>
      <c r="E552" s="3"/>
      <c r="F552" s="3"/>
    </row>
    <row r="553">
      <c r="A553" s="7"/>
      <c r="B553" s="3"/>
      <c r="C553" s="3"/>
      <c r="D553" s="3"/>
      <c r="E553" s="3"/>
      <c r="F553" s="3"/>
    </row>
    <row r="554">
      <c r="A554" s="7"/>
      <c r="B554" s="3"/>
      <c r="C554" s="3"/>
      <c r="D554" s="3"/>
      <c r="E554" s="3"/>
      <c r="F554" s="3"/>
    </row>
    <row r="555">
      <c r="A555" s="7"/>
      <c r="B555" s="3"/>
      <c r="C555" s="3"/>
      <c r="D555" s="3"/>
      <c r="E555" s="3"/>
      <c r="F555" s="3"/>
    </row>
    <row r="556">
      <c r="A556" s="7"/>
      <c r="B556" s="3"/>
      <c r="C556" s="3"/>
      <c r="D556" s="3"/>
      <c r="E556" s="3"/>
      <c r="F556" s="3"/>
    </row>
    <row r="557">
      <c r="A557" s="7"/>
      <c r="B557" s="3"/>
      <c r="C557" s="3"/>
      <c r="D557" s="3"/>
      <c r="E557" s="3"/>
      <c r="F557" s="3"/>
    </row>
    <row r="558">
      <c r="A558" s="7"/>
      <c r="B558" s="3"/>
      <c r="C558" s="3"/>
      <c r="D558" s="3"/>
      <c r="E558" s="3"/>
      <c r="F558" s="3"/>
    </row>
    <row r="559">
      <c r="A559" s="7"/>
      <c r="B559" s="3"/>
      <c r="C559" s="3"/>
      <c r="D559" s="3"/>
      <c r="E559" s="3"/>
      <c r="F559" s="3"/>
    </row>
    <row r="560">
      <c r="A560" s="7"/>
      <c r="B560" s="3"/>
      <c r="C560" s="3"/>
      <c r="D560" s="3"/>
      <c r="E560" s="3"/>
      <c r="F560" s="3"/>
    </row>
    <row r="561">
      <c r="A561" s="7"/>
      <c r="B561" s="3"/>
      <c r="C561" s="3"/>
      <c r="D561" s="3"/>
      <c r="E561" s="3"/>
      <c r="F561" s="3"/>
    </row>
    <row r="562">
      <c r="A562" s="7"/>
      <c r="B562" s="3"/>
      <c r="C562" s="3"/>
      <c r="D562" s="3"/>
      <c r="E562" s="3"/>
      <c r="F562" s="3"/>
    </row>
    <row r="563">
      <c r="A563" s="7"/>
      <c r="B563" s="3"/>
      <c r="C563" s="3"/>
      <c r="D563" s="3"/>
      <c r="E563" s="3"/>
      <c r="F563" s="3"/>
    </row>
    <row r="564">
      <c r="A564" s="7"/>
      <c r="B564" s="3"/>
      <c r="C564" s="3"/>
      <c r="D564" s="3"/>
      <c r="E564" s="3"/>
      <c r="F564" s="3"/>
    </row>
    <row r="565">
      <c r="A565" s="7"/>
      <c r="B565" s="3"/>
      <c r="C565" s="3"/>
      <c r="D565" s="3"/>
      <c r="E565" s="3"/>
      <c r="F565" s="3"/>
    </row>
    <row r="566">
      <c r="A566" s="7"/>
      <c r="B566" s="3"/>
      <c r="C566" s="3"/>
      <c r="D566" s="3"/>
      <c r="E566" s="3"/>
      <c r="F566" s="3"/>
    </row>
    <row r="567">
      <c r="A567" s="7"/>
      <c r="B567" s="3"/>
      <c r="C567" s="3"/>
      <c r="D567" s="3"/>
      <c r="E567" s="3"/>
      <c r="F567" s="3"/>
    </row>
    <row r="568">
      <c r="A568" s="7"/>
      <c r="B568" s="3"/>
      <c r="C568" s="3"/>
      <c r="D568" s="3"/>
      <c r="E568" s="3"/>
      <c r="F568" s="3"/>
    </row>
    <row r="569">
      <c r="A569" s="7"/>
      <c r="B569" s="3"/>
      <c r="C569" s="3"/>
      <c r="D569" s="3"/>
      <c r="E569" s="3"/>
      <c r="F569" s="3"/>
    </row>
    <row r="570">
      <c r="A570" s="7"/>
      <c r="B570" s="3"/>
      <c r="C570" s="3"/>
      <c r="D570" s="3"/>
      <c r="E570" s="3"/>
      <c r="F570" s="3"/>
    </row>
    <row r="571">
      <c r="A571" s="7"/>
      <c r="B571" s="3"/>
      <c r="C571" s="3"/>
      <c r="D571" s="3"/>
      <c r="E571" s="3"/>
      <c r="F571" s="3"/>
    </row>
    <row r="572">
      <c r="A572" s="7"/>
      <c r="B572" s="3"/>
      <c r="C572" s="3"/>
      <c r="D572" s="3"/>
      <c r="E572" s="3"/>
      <c r="F572" s="3"/>
    </row>
    <row r="573">
      <c r="A573" s="7"/>
      <c r="B573" s="3"/>
      <c r="C573" s="3"/>
      <c r="D573" s="3"/>
      <c r="E573" s="3"/>
      <c r="F573" s="3"/>
    </row>
    <row r="574">
      <c r="A574" s="7"/>
      <c r="B574" s="3"/>
      <c r="C574" s="3"/>
      <c r="D574" s="3"/>
      <c r="E574" s="3"/>
      <c r="F574" s="3"/>
    </row>
    <row r="575">
      <c r="A575" s="7"/>
      <c r="B575" s="3"/>
      <c r="C575" s="3"/>
      <c r="D575" s="3"/>
      <c r="E575" s="3"/>
      <c r="F575" s="3"/>
    </row>
    <row r="576">
      <c r="A576" s="7"/>
      <c r="B576" s="3"/>
      <c r="C576" s="3"/>
      <c r="D576" s="3"/>
      <c r="E576" s="3"/>
      <c r="F576" s="3"/>
    </row>
    <row r="577">
      <c r="A577" s="7"/>
      <c r="B577" s="3"/>
      <c r="C577" s="3"/>
      <c r="D577" s="3"/>
      <c r="E577" s="3"/>
      <c r="F577" s="3"/>
    </row>
    <row r="578">
      <c r="A578" s="7"/>
      <c r="B578" s="3"/>
      <c r="C578" s="3"/>
      <c r="D578" s="3"/>
      <c r="E578" s="3"/>
      <c r="F578" s="3"/>
    </row>
    <row r="579">
      <c r="A579" s="7"/>
      <c r="B579" s="3"/>
      <c r="C579" s="3"/>
      <c r="D579" s="3"/>
      <c r="E579" s="3"/>
      <c r="F579" s="3"/>
    </row>
    <row r="580">
      <c r="A580" s="7"/>
      <c r="B580" s="3"/>
      <c r="C580" s="3"/>
      <c r="D580" s="3"/>
      <c r="E580" s="3"/>
      <c r="F580" s="3"/>
    </row>
    <row r="581">
      <c r="A581" s="7"/>
      <c r="B581" s="3"/>
      <c r="C581" s="3"/>
      <c r="D581" s="3"/>
      <c r="E581" s="3"/>
      <c r="F581" s="3"/>
    </row>
    <row r="582">
      <c r="A582" s="7"/>
      <c r="B582" s="3"/>
      <c r="C582" s="3"/>
      <c r="D582" s="3"/>
      <c r="E582" s="3"/>
      <c r="F582" s="3"/>
    </row>
    <row r="583">
      <c r="A583" s="7"/>
      <c r="B583" s="3"/>
      <c r="C583" s="3"/>
      <c r="D583" s="3"/>
      <c r="E583" s="3"/>
      <c r="F583" s="3"/>
    </row>
    <row r="584">
      <c r="A584" s="7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7"/>
      <c r="B586" s="3"/>
      <c r="C586" s="3"/>
      <c r="D586" s="3"/>
      <c r="E586" s="3"/>
      <c r="F586" s="3"/>
    </row>
    <row r="587">
      <c r="A587" s="7"/>
      <c r="B587" s="3"/>
      <c r="C587" s="3"/>
      <c r="D587" s="3"/>
      <c r="E587" s="3"/>
      <c r="F587" s="3"/>
    </row>
    <row r="588">
      <c r="A588" s="7"/>
      <c r="B588" s="3"/>
      <c r="C588" s="3"/>
      <c r="D588" s="3"/>
      <c r="E588" s="3"/>
      <c r="F588" s="3"/>
    </row>
    <row r="589">
      <c r="A589" s="7"/>
      <c r="B589" s="3"/>
      <c r="C589" s="3"/>
      <c r="D589" s="3"/>
      <c r="E589" s="3"/>
      <c r="F589" s="3"/>
    </row>
    <row r="590">
      <c r="A590" s="7"/>
      <c r="B590" s="3"/>
      <c r="C590" s="3"/>
      <c r="D590" s="3"/>
      <c r="E590" s="3"/>
      <c r="F590" s="3"/>
    </row>
    <row r="591">
      <c r="A591" s="7"/>
      <c r="B591" s="3"/>
      <c r="C591" s="3"/>
      <c r="D591" s="3"/>
      <c r="E591" s="3"/>
      <c r="F591" s="3"/>
    </row>
    <row r="592">
      <c r="A592" s="7"/>
      <c r="B592" s="3"/>
      <c r="C592" s="3"/>
      <c r="D592" s="3"/>
      <c r="E592" s="3"/>
      <c r="F592" s="3"/>
    </row>
    <row r="593">
      <c r="A593" s="7"/>
      <c r="B593" s="3"/>
      <c r="C593" s="3"/>
      <c r="D593" s="3"/>
      <c r="E593" s="3"/>
      <c r="F593" s="3"/>
    </row>
    <row r="594">
      <c r="A594" s="7"/>
      <c r="B594" s="3"/>
      <c r="C594" s="3"/>
      <c r="D594" s="3"/>
      <c r="E594" s="3"/>
      <c r="F594" s="3"/>
    </row>
    <row r="595">
      <c r="A595" s="7"/>
      <c r="B595" s="3"/>
      <c r="C595" s="3"/>
      <c r="D595" s="3"/>
      <c r="E595" s="3"/>
      <c r="F595" s="3"/>
    </row>
    <row r="596">
      <c r="A596" s="7"/>
      <c r="B596" s="3"/>
      <c r="C596" s="3"/>
      <c r="D596" s="3"/>
      <c r="E596" s="3"/>
      <c r="F596" s="3"/>
    </row>
    <row r="597">
      <c r="A597" s="7"/>
      <c r="B597" s="3"/>
      <c r="C597" s="3"/>
      <c r="D597" s="3"/>
      <c r="E597" s="3"/>
      <c r="F597" s="3"/>
    </row>
    <row r="598">
      <c r="A598" s="7"/>
      <c r="B598" s="3"/>
      <c r="C598" s="3"/>
      <c r="D598" s="3"/>
      <c r="E598" s="3"/>
      <c r="F598" s="3"/>
    </row>
    <row r="599">
      <c r="A599" s="7"/>
      <c r="B599" s="3"/>
      <c r="C599" s="3"/>
      <c r="D599" s="3"/>
      <c r="E599" s="3"/>
      <c r="F599" s="3"/>
    </row>
    <row r="600">
      <c r="A600" s="7"/>
      <c r="B600" s="3"/>
      <c r="C600" s="3"/>
      <c r="D600" s="3"/>
      <c r="E600" s="3"/>
      <c r="F600" s="3"/>
    </row>
    <row r="601">
      <c r="A601" s="7"/>
      <c r="B601" s="3"/>
      <c r="C601" s="3"/>
      <c r="D601" s="3"/>
      <c r="E601" s="3"/>
      <c r="F601" s="3"/>
    </row>
    <row r="602">
      <c r="A602" s="7"/>
      <c r="B602" s="3"/>
      <c r="C602" s="3"/>
      <c r="D602" s="3"/>
      <c r="E602" s="3"/>
      <c r="F602" s="3"/>
    </row>
    <row r="603">
      <c r="A603" s="7"/>
      <c r="B603" s="3"/>
      <c r="C603" s="3"/>
      <c r="D603" s="3"/>
      <c r="E603" s="3"/>
      <c r="F603" s="3"/>
    </row>
    <row r="604">
      <c r="A604" s="7"/>
      <c r="B604" s="3"/>
      <c r="C604" s="3"/>
      <c r="D604" s="3"/>
      <c r="E604" s="3"/>
      <c r="F604" s="3"/>
    </row>
    <row r="605">
      <c r="A605" s="7"/>
      <c r="B605" s="3"/>
      <c r="C605" s="3"/>
      <c r="D605" s="3"/>
      <c r="E605" s="3"/>
      <c r="F605" s="3"/>
    </row>
    <row r="606">
      <c r="A606" s="7"/>
      <c r="B606" s="3"/>
      <c r="C606" s="3"/>
      <c r="D606" s="3"/>
      <c r="E606" s="3"/>
      <c r="F606" s="3"/>
    </row>
    <row r="607">
      <c r="A607" s="7"/>
      <c r="B607" s="3"/>
      <c r="C607" s="3"/>
      <c r="D607" s="3"/>
      <c r="E607" s="3"/>
      <c r="F607" s="3"/>
    </row>
    <row r="608">
      <c r="A608" s="7"/>
      <c r="B608" s="3"/>
      <c r="C608" s="3"/>
      <c r="D608" s="3"/>
      <c r="E608" s="3"/>
      <c r="F608" s="3"/>
    </row>
    <row r="609">
      <c r="A609" s="7"/>
      <c r="B609" s="3"/>
      <c r="C609" s="3"/>
      <c r="D609" s="3"/>
      <c r="E609" s="3"/>
      <c r="F609" s="3"/>
    </row>
    <row r="610">
      <c r="A610" s="7"/>
      <c r="B610" s="3"/>
      <c r="C610" s="3"/>
      <c r="D610" s="3"/>
      <c r="E610" s="3"/>
      <c r="F610" s="3"/>
    </row>
    <row r="611">
      <c r="A611" s="7"/>
      <c r="B611" s="3"/>
      <c r="C611" s="3"/>
      <c r="D611" s="3"/>
      <c r="E611" s="3"/>
      <c r="F611" s="3"/>
    </row>
    <row r="612">
      <c r="A612" s="7"/>
      <c r="B612" s="3"/>
      <c r="C612" s="3"/>
      <c r="D612" s="3"/>
      <c r="E612" s="3"/>
      <c r="F612" s="3"/>
    </row>
    <row r="613">
      <c r="A613" s="7"/>
      <c r="B613" s="3"/>
      <c r="C613" s="3"/>
      <c r="D613" s="3"/>
      <c r="E613" s="3"/>
      <c r="F613" s="3"/>
    </row>
    <row r="614">
      <c r="A614" s="7"/>
      <c r="B614" s="3"/>
      <c r="C614" s="3"/>
      <c r="D614" s="3"/>
      <c r="E614" s="3"/>
      <c r="F614" s="3"/>
    </row>
    <row r="615">
      <c r="A615" s="7"/>
      <c r="B615" s="3"/>
      <c r="C615" s="3"/>
      <c r="D615" s="3"/>
      <c r="E615" s="3"/>
      <c r="F615" s="3"/>
    </row>
    <row r="616">
      <c r="A616" s="7"/>
      <c r="B616" s="3"/>
      <c r="C616" s="3"/>
      <c r="D616" s="3"/>
      <c r="E616" s="3"/>
      <c r="F616" s="3"/>
    </row>
    <row r="617">
      <c r="A617" s="7"/>
      <c r="B617" s="3"/>
      <c r="C617" s="3"/>
      <c r="D617" s="3"/>
      <c r="E617" s="3"/>
      <c r="F617" s="3"/>
    </row>
    <row r="618">
      <c r="A618" s="7"/>
      <c r="B618" s="3"/>
      <c r="C618" s="3"/>
      <c r="D618" s="3"/>
      <c r="E618" s="3"/>
      <c r="F618" s="3"/>
    </row>
    <row r="619">
      <c r="A619" s="7"/>
      <c r="B619" s="3"/>
      <c r="C619" s="3"/>
      <c r="D619" s="3"/>
      <c r="E619" s="3"/>
      <c r="F619" s="3"/>
    </row>
    <row r="620">
      <c r="A620" s="7"/>
      <c r="B620" s="3"/>
      <c r="C620" s="3"/>
      <c r="D620" s="3"/>
      <c r="E620" s="3"/>
      <c r="F620" s="3"/>
    </row>
    <row r="621">
      <c r="A621" s="7"/>
      <c r="B621" s="3"/>
      <c r="C621" s="3"/>
      <c r="D621" s="3"/>
      <c r="E621" s="3"/>
      <c r="F621" s="3"/>
    </row>
    <row r="622">
      <c r="A622" s="7"/>
      <c r="B622" s="3"/>
      <c r="C622" s="3"/>
      <c r="D622" s="3"/>
      <c r="E622" s="3"/>
      <c r="F622" s="3"/>
    </row>
    <row r="623">
      <c r="A623" s="7"/>
      <c r="B623" s="3"/>
      <c r="C623" s="3"/>
      <c r="D623" s="3"/>
      <c r="E623" s="3"/>
      <c r="F623" s="3"/>
    </row>
    <row r="624">
      <c r="A624" s="7"/>
      <c r="B624" s="3"/>
      <c r="C624" s="3"/>
      <c r="D624" s="3"/>
      <c r="E624" s="3"/>
      <c r="F624" s="3"/>
    </row>
    <row r="625">
      <c r="A625" s="7"/>
      <c r="B625" s="3"/>
      <c r="C625" s="3"/>
      <c r="D625" s="3"/>
      <c r="E625" s="3"/>
      <c r="F625" s="3"/>
    </row>
    <row r="626">
      <c r="A626" s="7"/>
      <c r="B626" s="3"/>
      <c r="C626" s="3"/>
      <c r="D626" s="3"/>
      <c r="E626" s="3"/>
      <c r="F626" s="3"/>
    </row>
    <row r="627">
      <c r="A627" s="7"/>
      <c r="B627" s="3"/>
      <c r="C627" s="3"/>
      <c r="D627" s="3"/>
      <c r="E627" s="3"/>
      <c r="F627" s="3"/>
    </row>
    <row r="628">
      <c r="A628" s="7"/>
      <c r="B628" s="3"/>
      <c r="C628" s="3"/>
      <c r="D628" s="3"/>
      <c r="E628" s="3"/>
      <c r="F628" s="3"/>
    </row>
    <row r="629">
      <c r="A629" s="7"/>
      <c r="B629" s="3"/>
      <c r="C629" s="3"/>
      <c r="D629" s="3"/>
      <c r="E629" s="3"/>
      <c r="F629" s="3"/>
    </row>
    <row r="630">
      <c r="A630" s="7"/>
      <c r="B630" s="3"/>
      <c r="C630" s="3"/>
      <c r="D630" s="3"/>
      <c r="E630" s="3"/>
      <c r="F630" s="3"/>
    </row>
    <row r="631">
      <c r="A631" s="7"/>
      <c r="B631" s="3"/>
      <c r="C631" s="3"/>
      <c r="D631" s="3"/>
      <c r="E631" s="3"/>
      <c r="F631" s="3"/>
    </row>
    <row r="632">
      <c r="A632" s="7"/>
      <c r="B632" s="3"/>
      <c r="C632" s="3"/>
      <c r="D632" s="3"/>
      <c r="E632" s="3"/>
      <c r="F632" s="3"/>
    </row>
    <row r="633">
      <c r="A633" s="7"/>
      <c r="B633" s="3"/>
      <c r="C633" s="3"/>
      <c r="D633" s="3"/>
      <c r="E633" s="3"/>
      <c r="F633" s="3"/>
    </row>
    <row r="634">
      <c r="A634" s="7"/>
      <c r="B634" s="3"/>
      <c r="C634" s="3"/>
      <c r="D634" s="3"/>
      <c r="E634" s="3"/>
      <c r="F634" s="3"/>
    </row>
    <row r="635">
      <c r="A635" s="7"/>
      <c r="B635" s="3"/>
      <c r="C635" s="3"/>
      <c r="D635" s="3"/>
      <c r="E635" s="3"/>
      <c r="F635" s="3"/>
    </row>
    <row r="636">
      <c r="A636" s="7"/>
      <c r="B636" s="3"/>
      <c r="C636" s="3"/>
      <c r="D636" s="3"/>
      <c r="E636" s="3"/>
      <c r="F636" s="3"/>
    </row>
    <row r="637">
      <c r="A637" s="7"/>
      <c r="B637" s="3"/>
      <c r="C637" s="3"/>
      <c r="D637" s="3"/>
      <c r="E637" s="3"/>
      <c r="F637" s="3"/>
    </row>
    <row r="638">
      <c r="A638" s="7"/>
      <c r="B638" s="3"/>
      <c r="C638" s="3"/>
      <c r="D638" s="3"/>
      <c r="E638" s="3"/>
      <c r="F638" s="3"/>
    </row>
    <row r="639">
      <c r="A639" s="7"/>
      <c r="B639" s="3"/>
      <c r="C639" s="3"/>
      <c r="D639" s="3"/>
      <c r="E639" s="3"/>
      <c r="F639" s="3"/>
    </row>
    <row r="640">
      <c r="A640" s="7"/>
      <c r="B640" s="3"/>
      <c r="C640" s="3"/>
      <c r="D640" s="3"/>
      <c r="E640" s="3"/>
      <c r="F640" s="3"/>
    </row>
    <row r="641">
      <c r="A641" s="7"/>
      <c r="B641" s="3"/>
      <c r="C641" s="3"/>
      <c r="D641" s="3"/>
      <c r="E641" s="3"/>
      <c r="F641" s="3"/>
    </row>
    <row r="642">
      <c r="A642" s="7"/>
      <c r="B642" s="3"/>
      <c r="C642" s="3"/>
      <c r="D642" s="3"/>
      <c r="E642" s="3"/>
      <c r="F642" s="3"/>
    </row>
    <row r="643">
      <c r="A643" s="7"/>
      <c r="B643" s="3"/>
      <c r="C643" s="3"/>
      <c r="D643" s="3"/>
      <c r="E643" s="3"/>
      <c r="F643" s="3"/>
    </row>
    <row r="644">
      <c r="A644" s="7"/>
      <c r="B644" s="3"/>
      <c r="C644" s="3"/>
      <c r="D644" s="3"/>
      <c r="E644" s="3"/>
      <c r="F644" s="3"/>
    </row>
    <row r="645">
      <c r="A645" s="7"/>
      <c r="B645" s="3"/>
      <c r="C645" s="3"/>
      <c r="D645" s="3"/>
      <c r="E645" s="3"/>
      <c r="F645" s="3"/>
    </row>
    <row r="646">
      <c r="A646" s="7"/>
      <c r="B646" s="3"/>
      <c r="C646" s="3"/>
      <c r="D646" s="3"/>
      <c r="E646" s="3"/>
      <c r="F646" s="3"/>
    </row>
    <row r="647">
      <c r="A647" s="7"/>
      <c r="B647" s="3"/>
      <c r="C647" s="3"/>
      <c r="D647" s="3"/>
      <c r="E647" s="3"/>
      <c r="F647" s="3"/>
    </row>
    <row r="648">
      <c r="A648" s="7"/>
      <c r="B648" s="3"/>
      <c r="C648" s="3"/>
      <c r="D648" s="3"/>
      <c r="E648" s="3"/>
      <c r="F648" s="3"/>
    </row>
    <row r="649">
      <c r="A649" s="7"/>
      <c r="B649" s="3"/>
      <c r="C649" s="3"/>
      <c r="D649" s="3"/>
      <c r="E649" s="3"/>
      <c r="F649" s="3"/>
    </row>
    <row r="650">
      <c r="A650" s="7"/>
      <c r="B650" s="3"/>
      <c r="C650" s="3"/>
      <c r="D650" s="3"/>
      <c r="E650" s="3"/>
      <c r="F650" s="3"/>
    </row>
    <row r="651">
      <c r="A651" s="7"/>
      <c r="B651" s="3"/>
      <c r="C651" s="3"/>
      <c r="D651" s="3"/>
      <c r="E651" s="3"/>
      <c r="F651" s="3"/>
    </row>
    <row r="652">
      <c r="A652" s="7"/>
      <c r="B652" s="3"/>
      <c r="C652" s="3"/>
      <c r="D652" s="3"/>
      <c r="E652" s="3"/>
      <c r="F652" s="3"/>
    </row>
    <row r="653">
      <c r="A653" s="7"/>
      <c r="B653" s="3"/>
      <c r="C653" s="3"/>
      <c r="D653" s="3"/>
      <c r="E653" s="3"/>
      <c r="F653" s="3"/>
    </row>
    <row r="654">
      <c r="A654" s="7"/>
      <c r="B654" s="3"/>
      <c r="C654" s="3"/>
      <c r="D654" s="3"/>
      <c r="E654" s="3"/>
      <c r="F654" s="3"/>
    </row>
    <row r="655">
      <c r="A655" s="7"/>
      <c r="B655" s="3"/>
      <c r="C655" s="3"/>
      <c r="D655" s="3"/>
      <c r="E655" s="3"/>
      <c r="F655" s="3"/>
    </row>
    <row r="656">
      <c r="A656" s="7"/>
      <c r="B656" s="3"/>
      <c r="C656" s="3"/>
      <c r="D656" s="3"/>
      <c r="E656" s="3"/>
      <c r="F656" s="3"/>
    </row>
    <row r="657">
      <c r="A657" s="7"/>
      <c r="B657" s="3"/>
      <c r="C657" s="3"/>
      <c r="D657" s="3"/>
      <c r="E657" s="3"/>
      <c r="F657" s="3"/>
    </row>
    <row r="658">
      <c r="A658" s="7"/>
      <c r="B658" s="3"/>
      <c r="C658" s="3"/>
      <c r="D658" s="3"/>
      <c r="E658" s="3"/>
      <c r="F658" s="3"/>
    </row>
    <row r="659">
      <c r="A659" s="7"/>
      <c r="B659" s="3"/>
      <c r="C659" s="3"/>
      <c r="D659" s="3"/>
      <c r="E659" s="3"/>
      <c r="F659" s="3"/>
    </row>
    <row r="660">
      <c r="A660" s="7"/>
      <c r="B660" s="3"/>
      <c r="C660" s="3"/>
      <c r="D660" s="3"/>
      <c r="E660" s="3"/>
      <c r="F660" s="3"/>
    </row>
    <row r="661">
      <c r="A661" s="7"/>
      <c r="B661" s="3"/>
      <c r="C661" s="3"/>
      <c r="D661" s="3"/>
      <c r="E661" s="3"/>
      <c r="F661" s="3"/>
    </row>
    <row r="662">
      <c r="A662" s="7"/>
      <c r="B662" s="3"/>
      <c r="C662" s="3"/>
      <c r="D662" s="3"/>
      <c r="E662" s="3"/>
      <c r="F662" s="3"/>
    </row>
    <row r="663">
      <c r="A663" s="7"/>
      <c r="B663" s="3"/>
      <c r="C663" s="3"/>
      <c r="D663" s="3"/>
      <c r="E663" s="3"/>
      <c r="F663" s="3"/>
    </row>
    <row r="664">
      <c r="A664" s="7"/>
      <c r="B664" s="3"/>
      <c r="C664" s="3"/>
      <c r="D664" s="3"/>
      <c r="E664" s="3"/>
      <c r="F664" s="3"/>
    </row>
    <row r="665">
      <c r="A665" s="7"/>
      <c r="B665" s="3"/>
      <c r="C665" s="3"/>
      <c r="D665" s="3"/>
      <c r="E665" s="3"/>
      <c r="F665" s="3"/>
    </row>
    <row r="666">
      <c r="A666" s="7"/>
      <c r="B666" s="3"/>
      <c r="C666" s="3"/>
      <c r="D666" s="3"/>
      <c r="E666" s="3"/>
      <c r="F666" s="3"/>
    </row>
    <row r="667">
      <c r="A667" s="7"/>
      <c r="B667" s="3"/>
      <c r="C667" s="3"/>
      <c r="D667" s="3"/>
      <c r="E667" s="3"/>
      <c r="F667" s="3"/>
    </row>
    <row r="668">
      <c r="A668" s="7"/>
      <c r="B668" s="3"/>
      <c r="C668" s="3"/>
      <c r="D668" s="3"/>
      <c r="E668" s="3"/>
      <c r="F668" s="3"/>
    </row>
    <row r="669">
      <c r="A669" s="7"/>
      <c r="B669" s="3"/>
      <c r="C669" s="3"/>
      <c r="D669" s="3"/>
      <c r="E669" s="3"/>
      <c r="F669" s="3"/>
    </row>
    <row r="670">
      <c r="A670" s="7"/>
      <c r="B670" s="3"/>
      <c r="C670" s="3"/>
      <c r="D670" s="3"/>
      <c r="E670" s="3"/>
      <c r="F670" s="3"/>
    </row>
    <row r="671">
      <c r="A671" s="7"/>
      <c r="B671" s="3"/>
      <c r="C671" s="3"/>
      <c r="D671" s="3"/>
      <c r="E671" s="3"/>
      <c r="F671" s="3"/>
    </row>
    <row r="672">
      <c r="A672" s="7"/>
      <c r="B672" s="3"/>
      <c r="C672" s="3"/>
      <c r="D672" s="3"/>
      <c r="E672" s="3"/>
      <c r="F672" s="3"/>
    </row>
    <row r="673">
      <c r="A673" s="7"/>
      <c r="B673" s="3"/>
      <c r="C673" s="3"/>
      <c r="D673" s="3"/>
      <c r="E673" s="3"/>
      <c r="F673" s="3"/>
    </row>
    <row r="674">
      <c r="A674" s="7"/>
      <c r="B674" s="3"/>
      <c r="C674" s="3"/>
      <c r="D674" s="3"/>
      <c r="E674" s="3"/>
      <c r="F674" s="3"/>
    </row>
    <row r="675">
      <c r="A675" s="7"/>
      <c r="B675" s="3"/>
      <c r="C675" s="3"/>
      <c r="D675" s="3"/>
      <c r="E675" s="3"/>
      <c r="F675" s="3"/>
    </row>
    <row r="676">
      <c r="A676" s="7"/>
      <c r="B676" s="3"/>
      <c r="C676" s="3"/>
      <c r="D676" s="3"/>
      <c r="E676" s="3"/>
      <c r="F676" s="3"/>
    </row>
    <row r="677">
      <c r="A677" s="7"/>
      <c r="B677" s="3"/>
      <c r="C677" s="3"/>
      <c r="D677" s="3"/>
      <c r="E677" s="3"/>
      <c r="F677" s="3"/>
    </row>
    <row r="678">
      <c r="A678" s="7"/>
      <c r="B678" s="3"/>
      <c r="C678" s="3"/>
      <c r="D678" s="3"/>
      <c r="E678" s="3"/>
      <c r="F678" s="3"/>
    </row>
    <row r="679">
      <c r="A679" s="7"/>
      <c r="B679" s="3"/>
      <c r="C679" s="3"/>
      <c r="D679" s="3"/>
      <c r="E679" s="3"/>
      <c r="F679" s="3"/>
    </row>
    <row r="680">
      <c r="A680" s="7"/>
      <c r="B680" s="3"/>
      <c r="C680" s="3"/>
      <c r="D680" s="3"/>
      <c r="E680" s="3"/>
      <c r="F680" s="3"/>
    </row>
    <row r="681">
      <c r="A681" s="7"/>
      <c r="B681" s="3"/>
      <c r="C681" s="3"/>
      <c r="D681" s="3"/>
      <c r="E681" s="3"/>
      <c r="F681" s="3"/>
    </row>
    <row r="682">
      <c r="A682" s="7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7"/>
      <c r="B684" s="3"/>
      <c r="C684" s="3"/>
      <c r="D684" s="3"/>
      <c r="E684" s="3"/>
      <c r="F684" s="3"/>
    </row>
    <row r="685">
      <c r="A685" s="7"/>
      <c r="B685" s="3"/>
      <c r="C685" s="3"/>
      <c r="D685" s="3"/>
      <c r="E685" s="3"/>
      <c r="F685" s="3"/>
    </row>
    <row r="686">
      <c r="A686" s="7"/>
      <c r="B686" s="3"/>
      <c r="C686" s="3"/>
      <c r="D686" s="3"/>
      <c r="E686" s="3"/>
      <c r="F686" s="3"/>
    </row>
    <row r="687">
      <c r="A687" s="7"/>
      <c r="B687" s="3"/>
      <c r="C687" s="3"/>
      <c r="D687" s="3"/>
      <c r="E687" s="3"/>
      <c r="F687" s="3"/>
    </row>
    <row r="688">
      <c r="A688" s="7"/>
      <c r="B688" s="3"/>
      <c r="C688" s="3"/>
      <c r="D688" s="3"/>
      <c r="E688" s="3"/>
      <c r="F688" s="3"/>
    </row>
    <row r="689">
      <c r="A689" s="7"/>
      <c r="B689" s="3"/>
      <c r="C689" s="3"/>
      <c r="D689" s="3"/>
      <c r="E689" s="3"/>
      <c r="F689" s="3"/>
    </row>
    <row r="690">
      <c r="A690" s="7"/>
      <c r="B690" s="3"/>
      <c r="C690" s="3"/>
      <c r="D690" s="3"/>
      <c r="E690" s="3"/>
      <c r="F690" s="3"/>
    </row>
    <row r="691">
      <c r="A691" s="7"/>
      <c r="B691" s="3"/>
      <c r="C691" s="3"/>
      <c r="D691" s="3"/>
      <c r="E691" s="3"/>
      <c r="F691" s="3"/>
    </row>
    <row r="692">
      <c r="A692" s="7"/>
      <c r="B692" s="3"/>
      <c r="C692" s="3"/>
      <c r="D692" s="3"/>
      <c r="E692" s="3"/>
      <c r="F692" s="3"/>
    </row>
    <row r="693">
      <c r="A693" s="7"/>
      <c r="B693" s="3"/>
      <c r="C693" s="3"/>
      <c r="D693" s="3"/>
      <c r="E693" s="3"/>
      <c r="F693" s="3"/>
    </row>
    <row r="694">
      <c r="A694" s="7"/>
      <c r="B694" s="3"/>
      <c r="C694" s="3"/>
      <c r="D694" s="3"/>
      <c r="E694" s="3"/>
      <c r="F694" s="3"/>
    </row>
    <row r="695">
      <c r="A695" s="7"/>
      <c r="B695" s="3"/>
      <c r="C695" s="3"/>
      <c r="D695" s="3"/>
      <c r="E695" s="3"/>
      <c r="F695" s="3"/>
    </row>
    <row r="696">
      <c r="A696" s="7"/>
      <c r="B696" s="3"/>
      <c r="C696" s="3"/>
      <c r="D696" s="3"/>
      <c r="E696" s="3"/>
      <c r="F696" s="3"/>
    </row>
    <row r="697">
      <c r="A697" s="7"/>
      <c r="B697" s="3"/>
      <c r="C697" s="3"/>
      <c r="D697" s="3"/>
      <c r="E697" s="3"/>
      <c r="F697" s="3"/>
    </row>
    <row r="698">
      <c r="A698" s="7"/>
      <c r="B698" s="3"/>
      <c r="C698" s="3"/>
      <c r="D698" s="3"/>
      <c r="E698" s="3"/>
      <c r="F698" s="3"/>
    </row>
    <row r="699">
      <c r="A699" s="7"/>
      <c r="B699" s="3"/>
      <c r="C699" s="3"/>
      <c r="D699" s="3"/>
      <c r="E699" s="3"/>
      <c r="F699" s="3"/>
    </row>
    <row r="700">
      <c r="A700" s="7"/>
      <c r="B700" s="3"/>
      <c r="C700" s="3"/>
      <c r="D700" s="3"/>
      <c r="E700" s="3"/>
      <c r="F700" s="3"/>
    </row>
    <row r="701">
      <c r="A701" s="7"/>
      <c r="B701" s="3"/>
      <c r="C701" s="3"/>
      <c r="D701" s="3"/>
      <c r="E701" s="3"/>
      <c r="F701" s="3"/>
    </row>
    <row r="702">
      <c r="A702" s="7"/>
      <c r="B702" s="3"/>
      <c r="C702" s="3"/>
      <c r="D702" s="3"/>
      <c r="E702" s="3"/>
      <c r="F702" s="3"/>
    </row>
    <row r="703">
      <c r="A703" s="7"/>
      <c r="B703" s="3"/>
      <c r="C703" s="3"/>
      <c r="D703" s="3"/>
      <c r="E703" s="3"/>
      <c r="F703" s="3"/>
    </row>
    <row r="704">
      <c r="A704" s="7"/>
      <c r="B704" s="3"/>
      <c r="C704" s="3"/>
      <c r="D704" s="3"/>
      <c r="E704" s="3"/>
      <c r="F704" s="3"/>
    </row>
    <row r="705">
      <c r="A705" s="7"/>
      <c r="B705" s="3"/>
      <c r="C705" s="3"/>
      <c r="D705" s="3"/>
      <c r="E705" s="3"/>
      <c r="F705" s="3"/>
    </row>
    <row r="706">
      <c r="A706" s="7"/>
      <c r="B706" s="3"/>
      <c r="C706" s="3"/>
      <c r="D706" s="3"/>
      <c r="E706" s="3"/>
      <c r="F706" s="3"/>
    </row>
    <row r="707">
      <c r="A707" s="7"/>
      <c r="B707" s="3"/>
      <c r="C707" s="3"/>
      <c r="D707" s="3"/>
      <c r="E707" s="3"/>
      <c r="F707" s="3"/>
    </row>
    <row r="708">
      <c r="A708" s="7"/>
      <c r="B708" s="3"/>
      <c r="C708" s="3"/>
      <c r="D708" s="3"/>
      <c r="E708" s="3"/>
      <c r="F708" s="3"/>
    </row>
    <row r="709">
      <c r="A709" s="7"/>
      <c r="B709" s="3"/>
      <c r="C709" s="3"/>
      <c r="D709" s="3"/>
      <c r="E709" s="3"/>
      <c r="F709" s="3"/>
    </row>
    <row r="710">
      <c r="A710" s="7"/>
      <c r="B710" s="3"/>
      <c r="C710" s="3"/>
      <c r="D710" s="3"/>
      <c r="E710" s="3"/>
      <c r="F710" s="3"/>
    </row>
    <row r="711">
      <c r="A711" s="7"/>
      <c r="B711" s="3"/>
      <c r="C711" s="3"/>
      <c r="D711" s="3"/>
      <c r="E711" s="3"/>
      <c r="F711" s="3"/>
    </row>
    <row r="712">
      <c r="A712" s="7"/>
      <c r="B712" s="3"/>
      <c r="C712" s="3"/>
      <c r="D712" s="3"/>
      <c r="E712" s="3"/>
      <c r="F712" s="3"/>
    </row>
    <row r="713">
      <c r="A713" s="7"/>
      <c r="B713" s="3"/>
      <c r="C713" s="3"/>
      <c r="D713" s="3"/>
      <c r="E713" s="3"/>
      <c r="F713" s="3"/>
    </row>
    <row r="714">
      <c r="A714" s="7"/>
      <c r="B714" s="3"/>
      <c r="C714" s="3"/>
      <c r="D714" s="3"/>
      <c r="E714" s="3"/>
      <c r="F714" s="3"/>
    </row>
    <row r="715">
      <c r="A715" s="7"/>
      <c r="B715" s="3"/>
      <c r="C715" s="3"/>
      <c r="D715" s="3"/>
      <c r="E715" s="3"/>
      <c r="F715" s="3"/>
    </row>
    <row r="716">
      <c r="A716" s="7"/>
      <c r="B716" s="3"/>
      <c r="C716" s="3"/>
      <c r="D716" s="3"/>
      <c r="E716" s="3"/>
      <c r="F716" s="3"/>
    </row>
    <row r="717">
      <c r="A717" s="7"/>
      <c r="B717" s="3"/>
      <c r="C717" s="3"/>
      <c r="D717" s="3"/>
      <c r="E717" s="3"/>
      <c r="F717" s="3"/>
    </row>
    <row r="718">
      <c r="A718" s="7"/>
      <c r="B718" s="3"/>
      <c r="C718" s="3"/>
      <c r="D718" s="3"/>
      <c r="E718" s="3"/>
      <c r="F718" s="3"/>
    </row>
    <row r="719">
      <c r="A719" s="7"/>
      <c r="B719" s="3"/>
      <c r="C719" s="3"/>
      <c r="D719" s="3"/>
      <c r="E719" s="3"/>
      <c r="F719" s="3"/>
    </row>
    <row r="720">
      <c r="A720" s="7"/>
      <c r="B720" s="3"/>
      <c r="C720" s="3"/>
      <c r="D720" s="3"/>
      <c r="E720" s="3"/>
      <c r="F720" s="3"/>
    </row>
    <row r="721">
      <c r="A721" s="7"/>
      <c r="B721" s="3"/>
      <c r="C721" s="3"/>
      <c r="D721" s="3"/>
      <c r="E721" s="3"/>
      <c r="F721" s="3"/>
    </row>
    <row r="722">
      <c r="A722" s="7"/>
      <c r="B722" s="3"/>
      <c r="C722" s="3"/>
      <c r="D722" s="3"/>
      <c r="E722" s="3"/>
      <c r="F722" s="3"/>
    </row>
    <row r="723">
      <c r="A723" s="7"/>
      <c r="B723" s="3"/>
      <c r="C723" s="3"/>
      <c r="D723" s="3"/>
      <c r="E723" s="3"/>
      <c r="F723" s="3"/>
    </row>
    <row r="724">
      <c r="A724" s="7"/>
      <c r="B724" s="3"/>
      <c r="C724" s="3"/>
      <c r="D724" s="3"/>
      <c r="E724" s="3"/>
      <c r="F724" s="3"/>
    </row>
    <row r="725">
      <c r="A725" s="7"/>
      <c r="B725" s="3"/>
      <c r="C725" s="3"/>
      <c r="D725" s="3"/>
      <c r="E725" s="3"/>
      <c r="F725" s="3"/>
    </row>
    <row r="726">
      <c r="A726" s="7"/>
      <c r="B726" s="3"/>
      <c r="C726" s="3"/>
      <c r="D726" s="3"/>
      <c r="E726" s="3"/>
      <c r="F726" s="3"/>
    </row>
    <row r="727">
      <c r="A727" s="7"/>
      <c r="B727" s="3"/>
      <c r="C727" s="3"/>
      <c r="D727" s="3"/>
      <c r="E727" s="3"/>
      <c r="F727" s="3"/>
    </row>
    <row r="728">
      <c r="A728" s="7"/>
      <c r="B728" s="3"/>
      <c r="C728" s="3"/>
      <c r="D728" s="3"/>
      <c r="E728" s="3"/>
      <c r="F728" s="3"/>
    </row>
    <row r="729">
      <c r="A729" s="7"/>
      <c r="B729" s="3"/>
      <c r="C729" s="3"/>
      <c r="D729" s="3"/>
      <c r="E729" s="3"/>
      <c r="F729" s="3"/>
    </row>
    <row r="730">
      <c r="A730" s="7"/>
      <c r="B730" s="3"/>
      <c r="C730" s="3"/>
      <c r="D730" s="3"/>
      <c r="E730" s="3"/>
      <c r="F730" s="3"/>
    </row>
    <row r="731">
      <c r="A731" s="7"/>
      <c r="B731" s="3"/>
      <c r="C731" s="3"/>
      <c r="D731" s="3"/>
      <c r="E731" s="3"/>
      <c r="F731" s="3"/>
    </row>
    <row r="732">
      <c r="A732" s="7"/>
      <c r="B732" s="3"/>
      <c r="C732" s="3"/>
      <c r="D732" s="3"/>
      <c r="E732" s="3"/>
      <c r="F732" s="3"/>
    </row>
    <row r="733">
      <c r="A733" s="7"/>
      <c r="B733" s="3"/>
      <c r="C733" s="3"/>
      <c r="D733" s="3"/>
      <c r="E733" s="3"/>
      <c r="F733" s="3"/>
    </row>
    <row r="734">
      <c r="A734" s="7"/>
      <c r="B734" s="3"/>
      <c r="C734" s="3"/>
      <c r="D734" s="3"/>
      <c r="E734" s="3"/>
      <c r="F734" s="3"/>
    </row>
    <row r="735">
      <c r="A735" s="7"/>
      <c r="B735" s="3"/>
      <c r="C735" s="3"/>
      <c r="D735" s="3"/>
      <c r="E735" s="3"/>
      <c r="F735" s="3"/>
    </row>
    <row r="736">
      <c r="A736" s="7"/>
      <c r="B736" s="3"/>
      <c r="C736" s="3"/>
      <c r="D736" s="3"/>
      <c r="E736" s="3"/>
      <c r="F736" s="3"/>
    </row>
    <row r="737">
      <c r="A737" s="7"/>
      <c r="B737" s="3"/>
      <c r="C737" s="3"/>
      <c r="D737" s="3"/>
      <c r="E737" s="3"/>
      <c r="F737" s="3"/>
    </row>
    <row r="738">
      <c r="A738" s="7"/>
      <c r="B738" s="3"/>
      <c r="C738" s="3"/>
      <c r="D738" s="3"/>
      <c r="E738" s="3"/>
      <c r="F738" s="3"/>
    </row>
    <row r="739">
      <c r="A739" s="7"/>
      <c r="B739" s="3"/>
      <c r="C739" s="3"/>
      <c r="D739" s="3"/>
      <c r="E739" s="3"/>
      <c r="F739" s="3"/>
    </row>
    <row r="740">
      <c r="A740" s="7"/>
      <c r="B740" s="3"/>
      <c r="C740" s="3"/>
      <c r="D740" s="3"/>
      <c r="E740" s="3"/>
      <c r="F740" s="3"/>
    </row>
    <row r="741">
      <c r="A741" s="7"/>
      <c r="B741" s="3"/>
      <c r="C741" s="3"/>
      <c r="D741" s="3"/>
      <c r="E741" s="3"/>
      <c r="F741" s="3"/>
    </row>
    <row r="742">
      <c r="A742" s="7"/>
      <c r="B742" s="3"/>
      <c r="C742" s="3"/>
      <c r="D742" s="3"/>
      <c r="E742" s="3"/>
      <c r="F742" s="3"/>
    </row>
    <row r="743">
      <c r="A743" s="7"/>
      <c r="B743" s="3"/>
      <c r="C743" s="3"/>
      <c r="D743" s="3"/>
      <c r="E743" s="3"/>
      <c r="F743" s="3"/>
    </row>
    <row r="744">
      <c r="A744" s="7"/>
      <c r="B744" s="3"/>
      <c r="C744" s="3"/>
      <c r="D744" s="3"/>
      <c r="E744" s="3"/>
      <c r="F744" s="3"/>
    </row>
    <row r="745">
      <c r="A745" s="7"/>
      <c r="B745" s="3"/>
      <c r="C745" s="3"/>
      <c r="D745" s="3"/>
      <c r="E745" s="3"/>
      <c r="F745" s="3"/>
    </row>
    <row r="746">
      <c r="A746" s="7"/>
      <c r="B746" s="3"/>
      <c r="C746" s="3"/>
      <c r="D746" s="3"/>
      <c r="E746" s="3"/>
      <c r="F746" s="3"/>
    </row>
    <row r="747">
      <c r="A747" s="7"/>
      <c r="B747" s="3"/>
      <c r="C747" s="3"/>
      <c r="D747" s="3"/>
      <c r="E747" s="3"/>
      <c r="F747" s="3"/>
    </row>
    <row r="748">
      <c r="A748" s="7"/>
      <c r="B748" s="3"/>
      <c r="C748" s="3"/>
      <c r="D748" s="3"/>
      <c r="E748" s="3"/>
      <c r="F748" s="3"/>
    </row>
    <row r="749">
      <c r="A749" s="7"/>
      <c r="B749" s="3"/>
      <c r="C749" s="3"/>
      <c r="D749" s="3"/>
      <c r="E749" s="3"/>
      <c r="F749" s="3"/>
    </row>
    <row r="750">
      <c r="A750" s="7"/>
      <c r="B750" s="3"/>
      <c r="C750" s="3"/>
      <c r="D750" s="3"/>
      <c r="E750" s="3"/>
      <c r="F750" s="3"/>
    </row>
    <row r="751">
      <c r="A751" s="7"/>
      <c r="B751" s="3"/>
      <c r="C751" s="3"/>
      <c r="D751" s="3"/>
      <c r="E751" s="3"/>
      <c r="F751" s="3"/>
    </row>
    <row r="752">
      <c r="A752" s="7"/>
      <c r="B752" s="3"/>
      <c r="C752" s="3"/>
      <c r="D752" s="3"/>
      <c r="E752" s="3"/>
      <c r="F752" s="3"/>
    </row>
    <row r="753">
      <c r="A753" s="7"/>
      <c r="B753" s="3"/>
      <c r="C753" s="3"/>
      <c r="D753" s="3"/>
      <c r="E753" s="3"/>
      <c r="F753" s="3"/>
    </row>
    <row r="754">
      <c r="A754" s="7"/>
      <c r="B754" s="3"/>
      <c r="C754" s="3"/>
      <c r="D754" s="3"/>
      <c r="E754" s="3"/>
      <c r="F754" s="3"/>
    </row>
    <row r="755">
      <c r="A755" s="7"/>
      <c r="B755" s="3"/>
      <c r="C755" s="3"/>
      <c r="D755" s="3"/>
      <c r="E755" s="3"/>
      <c r="F755" s="3"/>
    </row>
    <row r="756">
      <c r="A756" s="7"/>
      <c r="B756" s="3"/>
      <c r="C756" s="3"/>
      <c r="D756" s="3"/>
      <c r="E756" s="3"/>
      <c r="F756" s="3"/>
    </row>
    <row r="757">
      <c r="A757" s="7"/>
      <c r="B757" s="3"/>
      <c r="C757" s="3"/>
      <c r="D757" s="3"/>
      <c r="E757" s="3"/>
      <c r="F757" s="3"/>
    </row>
    <row r="758">
      <c r="A758" s="7"/>
      <c r="B758" s="3"/>
      <c r="C758" s="3"/>
      <c r="D758" s="3"/>
      <c r="E758" s="3"/>
      <c r="F758" s="3"/>
    </row>
    <row r="759">
      <c r="A759" s="7"/>
      <c r="B759" s="3"/>
      <c r="C759" s="3"/>
      <c r="D759" s="3"/>
      <c r="E759" s="3"/>
      <c r="F759" s="3"/>
    </row>
    <row r="760">
      <c r="A760" s="7"/>
      <c r="B760" s="3"/>
      <c r="C760" s="3"/>
      <c r="D760" s="3"/>
      <c r="E760" s="3"/>
      <c r="F760" s="3"/>
    </row>
    <row r="761">
      <c r="A761" s="7"/>
      <c r="B761" s="3"/>
      <c r="C761" s="3"/>
      <c r="D761" s="3"/>
      <c r="E761" s="3"/>
      <c r="F761" s="3"/>
    </row>
    <row r="762">
      <c r="A762" s="7"/>
      <c r="B762" s="3"/>
      <c r="C762" s="3"/>
      <c r="D762" s="3"/>
      <c r="E762" s="3"/>
      <c r="F762" s="3"/>
    </row>
    <row r="763">
      <c r="A763" s="7"/>
      <c r="B763" s="3"/>
      <c r="C763" s="3"/>
      <c r="D763" s="3"/>
      <c r="E763" s="3"/>
      <c r="F763" s="3"/>
    </row>
    <row r="764">
      <c r="A764" s="7"/>
      <c r="B764" s="3"/>
      <c r="C764" s="3"/>
      <c r="D764" s="3"/>
      <c r="E764" s="3"/>
      <c r="F764" s="3"/>
    </row>
    <row r="765">
      <c r="A765" s="7"/>
      <c r="B765" s="3"/>
      <c r="C765" s="3"/>
      <c r="D765" s="3"/>
      <c r="E765" s="3"/>
      <c r="F765" s="3"/>
    </row>
    <row r="766">
      <c r="A766" s="7"/>
      <c r="B766" s="3"/>
      <c r="C766" s="3"/>
      <c r="D766" s="3"/>
      <c r="E766" s="3"/>
      <c r="F766" s="3"/>
    </row>
    <row r="767">
      <c r="A767" s="7"/>
      <c r="B767" s="3"/>
      <c r="C767" s="3"/>
      <c r="D767" s="3"/>
      <c r="E767" s="3"/>
      <c r="F767" s="3"/>
    </row>
    <row r="768">
      <c r="A768" s="7"/>
      <c r="B768" s="3"/>
      <c r="C768" s="3"/>
      <c r="D768" s="3"/>
      <c r="E768" s="3"/>
      <c r="F768" s="3"/>
    </row>
    <row r="769">
      <c r="A769" s="7"/>
      <c r="B769" s="3"/>
      <c r="C769" s="3"/>
      <c r="D769" s="3"/>
      <c r="E769" s="3"/>
      <c r="F769" s="3"/>
    </row>
    <row r="770">
      <c r="A770" s="7"/>
      <c r="B770" s="3"/>
      <c r="C770" s="3"/>
      <c r="D770" s="3"/>
      <c r="E770" s="3"/>
      <c r="F770" s="3"/>
    </row>
    <row r="771">
      <c r="A771" s="7"/>
      <c r="B771" s="3"/>
      <c r="C771" s="3"/>
      <c r="D771" s="3"/>
      <c r="E771" s="3"/>
      <c r="F771" s="3"/>
    </row>
    <row r="772">
      <c r="A772" s="7"/>
      <c r="B772" s="3"/>
      <c r="C772" s="3"/>
      <c r="D772" s="3"/>
      <c r="E772" s="3"/>
      <c r="F772" s="3"/>
    </row>
    <row r="773">
      <c r="A773" s="7"/>
      <c r="B773" s="3"/>
      <c r="C773" s="3"/>
      <c r="D773" s="3"/>
      <c r="E773" s="3"/>
      <c r="F773" s="3"/>
    </row>
    <row r="774">
      <c r="A774" s="7"/>
      <c r="B774" s="3"/>
      <c r="C774" s="3"/>
      <c r="D774" s="3"/>
      <c r="E774" s="3"/>
      <c r="F774" s="3"/>
    </row>
    <row r="775">
      <c r="A775" s="7"/>
      <c r="B775" s="3"/>
      <c r="C775" s="3"/>
      <c r="D775" s="3"/>
      <c r="E775" s="3"/>
      <c r="F775" s="3"/>
    </row>
    <row r="776">
      <c r="A776" s="7"/>
      <c r="B776" s="3"/>
      <c r="C776" s="3"/>
      <c r="D776" s="3"/>
      <c r="E776" s="3"/>
      <c r="F776" s="3"/>
    </row>
    <row r="777">
      <c r="A777" s="7"/>
      <c r="B777" s="3"/>
      <c r="C777" s="3"/>
      <c r="D777" s="3"/>
      <c r="E777" s="3"/>
      <c r="F777" s="3"/>
    </row>
    <row r="778">
      <c r="A778" s="7"/>
      <c r="B778" s="3"/>
      <c r="C778" s="3"/>
      <c r="D778" s="3"/>
      <c r="E778" s="3"/>
      <c r="F778" s="3"/>
    </row>
    <row r="779">
      <c r="A779" s="7"/>
      <c r="B779" s="3"/>
      <c r="C779" s="3"/>
      <c r="D779" s="3"/>
      <c r="E779" s="3"/>
      <c r="F779" s="3"/>
    </row>
    <row r="780">
      <c r="A780" s="7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7"/>
      <c r="B782" s="3"/>
      <c r="C782" s="3"/>
      <c r="D782" s="3"/>
      <c r="E782" s="3"/>
      <c r="F782" s="3"/>
    </row>
    <row r="783">
      <c r="A783" s="7"/>
      <c r="B783" s="3"/>
      <c r="C783" s="3"/>
      <c r="D783" s="3"/>
      <c r="E783" s="3"/>
      <c r="F783" s="3"/>
    </row>
    <row r="784">
      <c r="A784" s="7"/>
      <c r="B784" s="3"/>
      <c r="C784" s="3"/>
      <c r="D784" s="3"/>
      <c r="E784" s="3"/>
      <c r="F784" s="3"/>
    </row>
    <row r="785">
      <c r="A785" s="7"/>
      <c r="B785" s="3"/>
      <c r="C785" s="3"/>
      <c r="D785" s="3"/>
      <c r="E785" s="3"/>
      <c r="F785" s="3"/>
    </row>
    <row r="786">
      <c r="A786" s="7"/>
      <c r="B786" s="3"/>
      <c r="C786" s="3"/>
      <c r="D786" s="3"/>
      <c r="E786" s="3"/>
      <c r="F786" s="3"/>
    </row>
    <row r="787">
      <c r="A787" s="7"/>
      <c r="B787" s="3"/>
      <c r="C787" s="3"/>
      <c r="D787" s="3"/>
      <c r="E787" s="3"/>
      <c r="F787" s="3"/>
    </row>
    <row r="788">
      <c r="A788" s="7"/>
      <c r="B788" s="3"/>
      <c r="C788" s="3"/>
      <c r="D788" s="3"/>
      <c r="E788" s="3"/>
      <c r="F788" s="3"/>
    </row>
    <row r="789">
      <c r="A789" s="7"/>
      <c r="B789" s="3"/>
      <c r="C789" s="3"/>
      <c r="D789" s="3"/>
      <c r="E789" s="3"/>
      <c r="F789" s="3"/>
    </row>
    <row r="790">
      <c r="A790" s="7"/>
      <c r="B790" s="3"/>
      <c r="C790" s="3"/>
      <c r="D790" s="3"/>
      <c r="E790" s="3"/>
      <c r="F790" s="3"/>
    </row>
    <row r="791">
      <c r="A791" s="7"/>
      <c r="B791" s="3"/>
      <c r="C791" s="3"/>
      <c r="D791" s="3"/>
      <c r="E791" s="3"/>
      <c r="F791" s="3"/>
    </row>
    <row r="792">
      <c r="A792" s="7"/>
      <c r="B792" s="3"/>
      <c r="C792" s="3"/>
      <c r="D792" s="3"/>
      <c r="E792" s="3"/>
      <c r="F792" s="3"/>
    </row>
    <row r="793">
      <c r="A793" s="7"/>
      <c r="B793" s="3"/>
      <c r="C793" s="3"/>
      <c r="D793" s="3"/>
      <c r="E793" s="3"/>
      <c r="F793" s="3"/>
    </row>
    <row r="794">
      <c r="A794" s="7"/>
      <c r="B794" s="3"/>
      <c r="C794" s="3"/>
      <c r="D794" s="3"/>
      <c r="E794" s="3"/>
      <c r="F794" s="3"/>
    </row>
    <row r="795">
      <c r="A795" s="7"/>
      <c r="B795" s="3"/>
      <c r="C795" s="3"/>
      <c r="D795" s="3"/>
      <c r="E795" s="3"/>
      <c r="F795" s="3"/>
    </row>
    <row r="796">
      <c r="A796" s="7"/>
      <c r="B796" s="3"/>
      <c r="C796" s="3"/>
      <c r="D796" s="3"/>
      <c r="E796" s="3"/>
      <c r="F796" s="3"/>
    </row>
    <row r="797">
      <c r="A797" s="7"/>
      <c r="B797" s="3"/>
      <c r="C797" s="3"/>
      <c r="D797" s="3"/>
      <c r="E797" s="3"/>
      <c r="F797" s="3"/>
    </row>
    <row r="798">
      <c r="A798" s="7"/>
      <c r="B798" s="3"/>
      <c r="C798" s="3"/>
      <c r="D798" s="3"/>
      <c r="E798" s="3"/>
      <c r="F798" s="3"/>
    </row>
    <row r="799">
      <c r="A799" s="7"/>
      <c r="B799" s="3"/>
      <c r="C799" s="3"/>
      <c r="D799" s="3"/>
      <c r="E799" s="3"/>
      <c r="F799" s="3"/>
    </row>
    <row r="800">
      <c r="A800" s="7"/>
      <c r="B800" s="3"/>
      <c r="C800" s="3"/>
      <c r="D800" s="3"/>
      <c r="E800" s="3"/>
      <c r="F800" s="3"/>
    </row>
    <row r="801">
      <c r="A801" s="7"/>
      <c r="B801" s="3"/>
      <c r="C801" s="3"/>
      <c r="D801" s="3"/>
      <c r="E801" s="3"/>
      <c r="F801" s="3"/>
    </row>
    <row r="802">
      <c r="A802" s="7"/>
      <c r="B802" s="3"/>
      <c r="C802" s="3"/>
      <c r="D802" s="3"/>
      <c r="E802" s="3"/>
      <c r="F802" s="3"/>
    </row>
    <row r="803">
      <c r="A803" s="7"/>
      <c r="B803" s="3"/>
      <c r="C803" s="3"/>
      <c r="D803" s="3"/>
      <c r="E803" s="3"/>
      <c r="F803" s="3"/>
    </row>
    <row r="804">
      <c r="A804" s="7"/>
      <c r="B804" s="3"/>
      <c r="C804" s="3"/>
      <c r="D804" s="3"/>
      <c r="E804" s="3"/>
      <c r="F804" s="3"/>
    </row>
    <row r="805">
      <c r="A805" s="7"/>
      <c r="B805" s="3"/>
      <c r="C805" s="3"/>
      <c r="D805" s="3"/>
      <c r="E805" s="3"/>
      <c r="F805" s="3"/>
    </row>
    <row r="806">
      <c r="A806" s="7"/>
      <c r="B806" s="3"/>
      <c r="C806" s="3"/>
      <c r="D806" s="3"/>
      <c r="E806" s="3"/>
      <c r="F806" s="3"/>
    </row>
    <row r="807">
      <c r="A807" s="7"/>
      <c r="B807" s="3"/>
      <c r="C807" s="3"/>
      <c r="D807" s="3"/>
      <c r="E807" s="3"/>
      <c r="F807" s="3"/>
    </row>
    <row r="808">
      <c r="A808" s="7"/>
      <c r="B808" s="3"/>
      <c r="C808" s="3"/>
      <c r="D808" s="3"/>
      <c r="E808" s="3"/>
      <c r="F808" s="3"/>
    </row>
    <row r="809">
      <c r="A809" s="7"/>
      <c r="B809" s="3"/>
      <c r="C809" s="3"/>
      <c r="D809" s="3"/>
      <c r="E809" s="3"/>
      <c r="F809" s="3"/>
    </row>
    <row r="810">
      <c r="A810" s="7"/>
      <c r="B810" s="3"/>
      <c r="C810" s="3"/>
      <c r="D810" s="3"/>
      <c r="E810" s="3"/>
      <c r="F810" s="3"/>
    </row>
    <row r="811">
      <c r="A811" s="7"/>
      <c r="B811" s="3"/>
      <c r="C811" s="3"/>
      <c r="D811" s="3"/>
      <c r="E811" s="3"/>
      <c r="F811" s="3"/>
    </row>
    <row r="812">
      <c r="A812" s="7"/>
      <c r="B812" s="3"/>
      <c r="C812" s="3"/>
      <c r="D812" s="3"/>
      <c r="E812" s="3"/>
      <c r="F812" s="3"/>
    </row>
    <row r="813">
      <c r="A813" s="7"/>
      <c r="B813" s="3"/>
      <c r="C813" s="3"/>
      <c r="D813" s="3"/>
      <c r="E813" s="3"/>
      <c r="F813" s="3"/>
    </row>
    <row r="814">
      <c r="A814" s="7"/>
      <c r="B814" s="3"/>
      <c r="C814" s="3"/>
      <c r="D814" s="3"/>
      <c r="E814" s="3"/>
      <c r="F814" s="3"/>
    </row>
    <row r="815">
      <c r="A815" s="7"/>
      <c r="B815" s="3"/>
      <c r="C815" s="3"/>
      <c r="D815" s="3"/>
      <c r="E815" s="3"/>
      <c r="F815" s="3"/>
    </row>
    <row r="816">
      <c r="A816" s="7"/>
      <c r="B816" s="3"/>
      <c r="C816" s="3"/>
      <c r="D816" s="3"/>
      <c r="E816" s="3"/>
      <c r="F816" s="3"/>
    </row>
    <row r="817">
      <c r="A817" s="7"/>
      <c r="B817" s="3"/>
      <c r="C817" s="3"/>
      <c r="D817" s="3"/>
      <c r="E817" s="3"/>
      <c r="F817" s="3"/>
    </row>
    <row r="818">
      <c r="A818" s="7"/>
      <c r="B818" s="3"/>
      <c r="C818" s="3"/>
      <c r="D818" s="3"/>
      <c r="E818" s="3"/>
      <c r="F818" s="3"/>
    </row>
    <row r="819">
      <c r="A819" s="7"/>
      <c r="B819" s="3"/>
      <c r="C819" s="3"/>
      <c r="D819" s="3"/>
      <c r="E819" s="3"/>
      <c r="F819" s="3"/>
    </row>
    <row r="820">
      <c r="A820" s="7"/>
      <c r="B820" s="3"/>
      <c r="C820" s="3"/>
      <c r="D820" s="3"/>
      <c r="E820" s="3"/>
      <c r="F820" s="3"/>
    </row>
    <row r="821">
      <c r="A821" s="7"/>
      <c r="B821" s="3"/>
      <c r="C821" s="3"/>
      <c r="D821" s="3"/>
      <c r="E821" s="3"/>
      <c r="F821" s="3"/>
    </row>
    <row r="822">
      <c r="A822" s="7"/>
      <c r="B822" s="3"/>
      <c r="C822" s="3"/>
      <c r="D822" s="3"/>
      <c r="E822" s="3"/>
      <c r="F822" s="3"/>
    </row>
    <row r="823">
      <c r="A823" s="7"/>
      <c r="B823" s="3"/>
      <c r="C823" s="3"/>
      <c r="D823" s="3"/>
      <c r="E823" s="3"/>
      <c r="F823" s="3"/>
    </row>
    <row r="824">
      <c r="A824" s="7"/>
      <c r="B824" s="3"/>
      <c r="C824" s="3"/>
      <c r="D824" s="3"/>
      <c r="E824" s="3"/>
      <c r="F824" s="3"/>
    </row>
    <row r="825">
      <c r="A825" s="7"/>
      <c r="B825" s="3"/>
      <c r="C825" s="3"/>
      <c r="D825" s="3"/>
      <c r="E825" s="3"/>
      <c r="F825" s="3"/>
    </row>
    <row r="826">
      <c r="A826" s="7"/>
      <c r="B826" s="3"/>
      <c r="C826" s="3"/>
      <c r="D826" s="3"/>
      <c r="E826" s="3"/>
      <c r="F826" s="3"/>
    </row>
    <row r="827">
      <c r="A827" s="7"/>
      <c r="B827" s="3"/>
      <c r="C827" s="3"/>
      <c r="D827" s="3"/>
      <c r="E827" s="3"/>
      <c r="F827" s="3"/>
    </row>
    <row r="828">
      <c r="A828" s="7"/>
      <c r="B828" s="3"/>
      <c r="C828" s="3"/>
      <c r="D828" s="3"/>
      <c r="E828" s="3"/>
      <c r="F828" s="3"/>
    </row>
    <row r="829">
      <c r="A829" s="7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7"/>
      <c r="B831" s="3"/>
      <c r="C831" s="3"/>
      <c r="D831" s="3"/>
      <c r="E831" s="3"/>
      <c r="F831" s="3"/>
    </row>
    <row r="832">
      <c r="A832" s="7"/>
      <c r="B832" s="3"/>
      <c r="C832" s="3"/>
      <c r="D832" s="3"/>
      <c r="E832" s="3"/>
      <c r="F832" s="3"/>
    </row>
    <row r="833">
      <c r="A833" s="7"/>
      <c r="B833" s="3"/>
      <c r="C833" s="3"/>
      <c r="D833" s="3"/>
      <c r="E833" s="3"/>
      <c r="F833" s="3"/>
    </row>
    <row r="834">
      <c r="A834" s="7"/>
      <c r="B834" s="3"/>
      <c r="C834" s="3"/>
      <c r="D834" s="3"/>
      <c r="E834" s="3"/>
      <c r="F834" s="3"/>
    </row>
    <row r="835">
      <c r="A835" s="7"/>
      <c r="B835" s="3"/>
      <c r="C835" s="3"/>
      <c r="D835" s="3"/>
      <c r="E835" s="3"/>
      <c r="F835" s="3"/>
    </row>
    <row r="836">
      <c r="A836" s="7"/>
      <c r="B836" s="3"/>
      <c r="C836" s="3"/>
      <c r="D836" s="3"/>
      <c r="E836" s="3"/>
      <c r="F836" s="3"/>
    </row>
    <row r="837">
      <c r="A837" s="7"/>
      <c r="B837" s="3"/>
      <c r="C837" s="3"/>
      <c r="D837" s="3"/>
      <c r="E837" s="3"/>
      <c r="F837" s="3"/>
    </row>
    <row r="838">
      <c r="A838" s="7"/>
      <c r="B838" s="3"/>
      <c r="C838" s="3"/>
      <c r="D838" s="3"/>
      <c r="E838" s="3"/>
      <c r="F838" s="3"/>
    </row>
    <row r="839">
      <c r="A839" s="7"/>
      <c r="B839" s="3"/>
      <c r="C839" s="3"/>
      <c r="D839" s="3"/>
      <c r="E839" s="3"/>
      <c r="F839" s="3"/>
    </row>
    <row r="840">
      <c r="A840" s="7"/>
      <c r="B840" s="3"/>
      <c r="C840" s="3"/>
      <c r="D840" s="3"/>
      <c r="E840" s="3"/>
      <c r="F840" s="3"/>
    </row>
    <row r="841">
      <c r="A841" s="7"/>
      <c r="B841" s="3"/>
      <c r="C841" s="3"/>
      <c r="D841" s="3"/>
      <c r="E841" s="3"/>
      <c r="F841" s="3"/>
    </row>
    <row r="842">
      <c r="A842" s="7"/>
      <c r="B842" s="3"/>
      <c r="C842" s="3"/>
      <c r="D842" s="3"/>
      <c r="E842" s="3"/>
      <c r="F842" s="3"/>
    </row>
    <row r="843">
      <c r="A843" s="7"/>
      <c r="B843" s="3"/>
      <c r="C843" s="3"/>
      <c r="D843" s="3"/>
      <c r="E843" s="3"/>
      <c r="F843" s="3"/>
    </row>
    <row r="844">
      <c r="A844" s="7"/>
      <c r="B844" s="3"/>
      <c r="C844" s="3"/>
      <c r="D844" s="3"/>
      <c r="E844" s="3"/>
      <c r="F844" s="3"/>
    </row>
    <row r="845">
      <c r="A845" s="7"/>
      <c r="B845" s="3"/>
      <c r="C845" s="3"/>
      <c r="D845" s="3"/>
      <c r="E845" s="3"/>
      <c r="F845" s="3"/>
    </row>
    <row r="846">
      <c r="A846" s="7"/>
      <c r="B846" s="3"/>
      <c r="C846" s="3"/>
      <c r="D846" s="3"/>
      <c r="E846" s="3"/>
      <c r="F846" s="3"/>
    </row>
    <row r="847">
      <c r="A847" s="7"/>
      <c r="B847" s="3"/>
      <c r="C847" s="3"/>
      <c r="D847" s="3"/>
      <c r="E847" s="3"/>
      <c r="F847" s="3"/>
    </row>
    <row r="848">
      <c r="A848" s="7"/>
      <c r="B848" s="3"/>
      <c r="C848" s="3"/>
      <c r="D848" s="3"/>
      <c r="E848" s="3"/>
      <c r="F848" s="3"/>
    </row>
    <row r="849">
      <c r="A849" s="7"/>
      <c r="B849" s="3"/>
      <c r="C849" s="3"/>
      <c r="D849" s="3"/>
      <c r="E849" s="3"/>
      <c r="F849" s="3"/>
    </row>
    <row r="850">
      <c r="A850" s="7"/>
      <c r="B850" s="3"/>
      <c r="C850" s="3"/>
      <c r="D850" s="3"/>
      <c r="E850" s="3"/>
      <c r="F850" s="3"/>
    </row>
    <row r="851">
      <c r="A851" s="7"/>
      <c r="B851" s="3"/>
      <c r="C851" s="3"/>
      <c r="D851" s="3"/>
      <c r="E851" s="3"/>
      <c r="F851" s="3"/>
    </row>
    <row r="852">
      <c r="A852" s="7"/>
      <c r="B852" s="3"/>
      <c r="C852" s="3"/>
      <c r="D852" s="3"/>
      <c r="E852" s="3"/>
      <c r="F852" s="3"/>
    </row>
    <row r="853">
      <c r="A853" s="7"/>
      <c r="B853" s="3"/>
      <c r="C853" s="3"/>
      <c r="D853" s="3"/>
      <c r="E853" s="3"/>
      <c r="F853" s="3"/>
    </row>
    <row r="854">
      <c r="A854" s="7"/>
      <c r="B854" s="3"/>
      <c r="C854" s="3"/>
      <c r="D854" s="3"/>
      <c r="E854" s="3"/>
      <c r="F854" s="3"/>
    </row>
    <row r="855">
      <c r="A855" s="7"/>
      <c r="B855" s="3"/>
      <c r="C855" s="3"/>
      <c r="D855" s="3"/>
      <c r="E855" s="3"/>
      <c r="F855" s="3"/>
    </row>
    <row r="856">
      <c r="A856" s="7"/>
      <c r="B856" s="3"/>
      <c r="C856" s="3"/>
      <c r="D856" s="3"/>
      <c r="E856" s="3"/>
      <c r="F856" s="3"/>
    </row>
    <row r="857">
      <c r="A857" s="7"/>
      <c r="B857" s="3"/>
      <c r="C857" s="3"/>
      <c r="D857" s="3"/>
      <c r="E857" s="3"/>
      <c r="F857" s="3"/>
    </row>
    <row r="858">
      <c r="A858" s="7"/>
      <c r="B858" s="3"/>
      <c r="C858" s="3"/>
      <c r="D858" s="3"/>
      <c r="E858" s="3"/>
      <c r="F858" s="3"/>
    </row>
    <row r="859">
      <c r="A859" s="7"/>
      <c r="B859" s="3"/>
      <c r="C859" s="3"/>
      <c r="D859" s="3"/>
      <c r="E859" s="3"/>
      <c r="F859" s="3"/>
    </row>
    <row r="860">
      <c r="A860" s="7"/>
      <c r="B860" s="3"/>
      <c r="C860" s="3"/>
      <c r="D860" s="3"/>
      <c r="E860" s="3"/>
      <c r="F860" s="3"/>
    </row>
    <row r="861">
      <c r="A861" s="7"/>
      <c r="B861" s="3"/>
      <c r="C861" s="3"/>
      <c r="D861" s="3"/>
      <c r="E861" s="3"/>
      <c r="F861" s="3"/>
    </row>
    <row r="862">
      <c r="A862" s="7"/>
      <c r="B862" s="3"/>
      <c r="C862" s="3"/>
      <c r="D862" s="3"/>
      <c r="E862" s="3"/>
      <c r="F862" s="3"/>
    </row>
    <row r="863">
      <c r="A863" s="7"/>
      <c r="B863" s="3"/>
      <c r="C863" s="3"/>
      <c r="D863" s="3"/>
      <c r="E863" s="3"/>
      <c r="F863" s="3"/>
    </row>
    <row r="864">
      <c r="A864" s="7"/>
      <c r="B864" s="3"/>
      <c r="C864" s="3"/>
      <c r="D864" s="3"/>
      <c r="E864" s="3"/>
      <c r="F864" s="3"/>
    </row>
    <row r="865">
      <c r="A865" s="7"/>
      <c r="B865" s="3"/>
      <c r="C865" s="3"/>
      <c r="D865" s="3"/>
      <c r="E865" s="3"/>
      <c r="F865" s="3"/>
    </row>
    <row r="866">
      <c r="A866" s="7"/>
      <c r="B866" s="3"/>
      <c r="C866" s="3"/>
      <c r="D866" s="3"/>
      <c r="E866" s="3"/>
      <c r="F866" s="3"/>
    </row>
    <row r="867">
      <c r="A867" s="7"/>
      <c r="B867" s="3"/>
      <c r="C867" s="3"/>
      <c r="D867" s="3"/>
      <c r="E867" s="3"/>
      <c r="F867" s="3"/>
    </row>
    <row r="868">
      <c r="A868" s="7"/>
      <c r="B868" s="3"/>
      <c r="C868" s="3"/>
      <c r="D868" s="3"/>
      <c r="E868" s="3"/>
      <c r="F868" s="3"/>
    </row>
    <row r="869">
      <c r="A869" s="7"/>
      <c r="B869" s="3"/>
      <c r="C869" s="3"/>
      <c r="D869" s="3"/>
      <c r="E869" s="3"/>
      <c r="F869" s="3"/>
    </row>
    <row r="870">
      <c r="A870" s="7"/>
      <c r="B870" s="3"/>
      <c r="C870" s="3"/>
      <c r="D870" s="3"/>
      <c r="E870" s="3"/>
      <c r="F870" s="3"/>
    </row>
    <row r="871">
      <c r="A871" s="7"/>
      <c r="B871" s="3"/>
      <c r="C871" s="3"/>
      <c r="D871" s="3"/>
      <c r="E871" s="3"/>
      <c r="F871" s="3"/>
    </row>
    <row r="872">
      <c r="A872" s="7"/>
      <c r="B872" s="3"/>
      <c r="C872" s="3"/>
      <c r="D872" s="3"/>
      <c r="E872" s="3"/>
      <c r="F872" s="3"/>
    </row>
    <row r="873">
      <c r="A873" s="7"/>
      <c r="B873" s="3"/>
      <c r="C873" s="3"/>
      <c r="D873" s="3"/>
      <c r="E873" s="3"/>
      <c r="F873" s="3"/>
    </row>
    <row r="874">
      <c r="A874" s="7"/>
      <c r="B874" s="3"/>
      <c r="C874" s="3"/>
      <c r="D874" s="3"/>
      <c r="E874" s="3"/>
      <c r="F874" s="3"/>
    </row>
    <row r="875">
      <c r="A875" s="7"/>
      <c r="B875" s="3"/>
      <c r="C875" s="3"/>
      <c r="D875" s="3"/>
      <c r="E875" s="3"/>
      <c r="F875" s="3"/>
    </row>
    <row r="876">
      <c r="A876" s="7"/>
      <c r="B876" s="3"/>
      <c r="C876" s="3"/>
      <c r="D876" s="3"/>
      <c r="E876" s="3"/>
      <c r="F876" s="3"/>
    </row>
    <row r="877">
      <c r="A877" s="7"/>
      <c r="B877" s="3"/>
      <c r="C877" s="3"/>
      <c r="D877" s="3"/>
      <c r="E877" s="3"/>
      <c r="F877" s="3"/>
    </row>
    <row r="878">
      <c r="A878" s="7"/>
      <c r="B878" s="3"/>
      <c r="C878" s="3"/>
      <c r="D878" s="3"/>
      <c r="E878" s="3"/>
      <c r="F878" s="3"/>
    </row>
    <row r="879">
      <c r="A879" s="7"/>
      <c r="B879" s="3"/>
      <c r="C879" s="3"/>
      <c r="D879" s="3"/>
      <c r="E879" s="3"/>
      <c r="F879" s="3"/>
    </row>
    <row r="880">
      <c r="A880" s="7"/>
      <c r="B880" s="3"/>
      <c r="C880" s="3"/>
      <c r="D880" s="3"/>
      <c r="E880" s="3"/>
      <c r="F880" s="3"/>
    </row>
    <row r="881">
      <c r="A881" s="7"/>
      <c r="B881" s="3"/>
      <c r="C881" s="3"/>
      <c r="D881" s="3"/>
      <c r="E881" s="3"/>
      <c r="F881" s="3"/>
    </row>
    <row r="882">
      <c r="A882" s="7"/>
      <c r="B882" s="3"/>
      <c r="C882" s="3"/>
      <c r="D882" s="3"/>
      <c r="E882" s="3"/>
      <c r="F882" s="3"/>
    </row>
    <row r="883">
      <c r="A883" s="7"/>
      <c r="B883" s="3"/>
      <c r="C883" s="3"/>
      <c r="D883" s="3"/>
      <c r="E883" s="3"/>
      <c r="F883" s="3"/>
    </row>
    <row r="884">
      <c r="A884" s="7"/>
      <c r="B884" s="3"/>
      <c r="C884" s="3"/>
      <c r="D884" s="3"/>
      <c r="E884" s="3"/>
      <c r="F884" s="3"/>
    </row>
    <row r="885">
      <c r="A885" s="7"/>
      <c r="B885" s="3"/>
      <c r="C885" s="3"/>
      <c r="D885" s="3"/>
      <c r="E885" s="3"/>
      <c r="F885" s="3"/>
    </row>
    <row r="886">
      <c r="A886" s="7"/>
      <c r="B886" s="3"/>
      <c r="C886" s="3"/>
      <c r="D886" s="3"/>
      <c r="E886" s="3"/>
      <c r="F886" s="3"/>
    </row>
    <row r="887">
      <c r="A887" s="7"/>
      <c r="B887" s="3"/>
      <c r="C887" s="3"/>
      <c r="D887" s="3"/>
      <c r="E887" s="3"/>
      <c r="F887" s="3"/>
    </row>
    <row r="888">
      <c r="A888" s="7"/>
      <c r="B888" s="3"/>
      <c r="C888" s="3"/>
      <c r="D888" s="3"/>
      <c r="E888" s="3"/>
      <c r="F888" s="3"/>
    </row>
    <row r="889">
      <c r="A889" s="7"/>
      <c r="B889" s="3"/>
      <c r="C889" s="3"/>
      <c r="D889" s="3"/>
      <c r="E889" s="3"/>
      <c r="F889" s="3"/>
    </row>
    <row r="890">
      <c r="A890" s="7"/>
      <c r="B890" s="3"/>
      <c r="C890" s="3"/>
      <c r="D890" s="3"/>
      <c r="E890" s="3"/>
      <c r="F890" s="3"/>
    </row>
    <row r="891">
      <c r="A891" s="7"/>
      <c r="B891" s="3"/>
      <c r="C891" s="3"/>
      <c r="D891" s="3"/>
      <c r="E891" s="3"/>
      <c r="F891" s="3"/>
    </row>
    <row r="892">
      <c r="A892" s="7"/>
      <c r="B892" s="3"/>
      <c r="C892" s="3"/>
      <c r="D892" s="3"/>
      <c r="E892" s="3"/>
      <c r="F892" s="3"/>
    </row>
    <row r="893">
      <c r="A893" s="7"/>
      <c r="B893" s="3"/>
      <c r="C893" s="3"/>
      <c r="D893" s="3"/>
      <c r="E893" s="3"/>
      <c r="F893" s="3"/>
    </row>
    <row r="894">
      <c r="A894" s="7"/>
      <c r="B894" s="3"/>
      <c r="C894" s="3"/>
      <c r="D894" s="3"/>
      <c r="E894" s="3"/>
      <c r="F894" s="3"/>
    </row>
    <row r="895">
      <c r="A895" s="7"/>
      <c r="B895" s="3"/>
      <c r="C895" s="3"/>
      <c r="D895" s="3"/>
      <c r="E895" s="3"/>
      <c r="F895" s="3"/>
    </row>
    <row r="896">
      <c r="A896" s="7"/>
      <c r="B896" s="3"/>
      <c r="C896" s="3"/>
      <c r="D896" s="3"/>
      <c r="E896" s="3"/>
      <c r="F896" s="3"/>
    </row>
    <row r="897">
      <c r="A897" s="7"/>
      <c r="B897" s="3"/>
      <c r="C897" s="3"/>
      <c r="D897" s="3"/>
      <c r="E897" s="3"/>
      <c r="F897" s="3"/>
    </row>
    <row r="898">
      <c r="A898" s="7"/>
      <c r="B898" s="3"/>
      <c r="C898" s="3"/>
      <c r="D898" s="3"/>
      <c r="E898" s="3"/>
      <c r="F898" s="3"/>
    </row>
    <row r="899">
      <c r="A899" s="7"/>
      <c r="B899" s="3"/>
      <c r="C899" s="3"/>
      <c r="D899" s="3"/>
      <c r="E899" s="3"/>
      <c r="F899" s="3"/>
    </row>
    <row r="900">
      <c r="A900" s="7"/>
      <c r="B900" s="3"/>
      <c r="C900" s="3"/>
      <c r="D900" s="3"/>
      <c r="E900" s="3"/>
      <c r="F900" s="3"/>
    </row>
    <row r="901">
      <c r="A901" s="7"/>
      <c r="B901" s="3"/>
      <c r="C901" s="3"/>
      <c r="D901" s="3"/>
      <c r="E901" s="3"/>
      <c r="F901" s="3"/>
    </row>
    <row r="902">
      <c r="A902" s="7"/>
      <c r="B902" s="3"/>
      <c r="C902" s="3"/>
      <c r="D902" s="3"/>
      <c r="E902" s="3"/>
      <c r="F902" s="3"/>
    </row>
    <row r="903">
      <c r="A903" s="7"/>
      <c r="B903" s="3"/>
      <c r="C903" s="3"/>
      <c r="D903" s="3"/>
      <c r="E903" s="3"/>
      <c r="F903" s="3"/>
    </row>
    <row r="904">
      <c r="A904" s="7"/>
      <c r="B904" s="3"/>
      <c r="C904" s="3"/>
      <c r="D904" s="3"/>
      <c r="E904" s="3"/>
      <c r="F904" s="3"/>
    </row>
    <row r="905">
      <c r="A905" s="7"/>
      <c r="B905" s="3"/>
      <c r="C905" s="3"/>
      <c r="D905" s="3"/>
      <c r="E905" s="3"/>
      <c r="F905" s="3"/>
    </row>
    <row r="906">
      <c r="A906" s="7"/>
      <c r="B906" s="3"/>
      <c r="C906" s="3"/>
      <c r="D906" s="3"/>
      <c r="E906" s="3"/>
      <c r="F906" s="3"/>
    </row>
    <row r="907">
      <c r="A907" s="7"/>
      <c r="B907" s="3"/>
      <c r="C907" s="3"/>
      <c r="D907" s="3"/>
      <c r="E907" s="3"/>
      <c r="F907" s="3"/>
    </row>
    <row r="908">
      <c r="A908" s="7"/>
      <c r="B908" s="3"/>
      <c r="C908" s="3"/>
      <c r="D908" s="3"/>
      <c r="E908" s="3"/>
      <c r="F908" s="3"/>
    </row>
    <row r="909">
      <c r="A909" s="7"/>
      <c r="B909" s="3"/>
      <c r="C909" s="3"/>
      <c r="D909" s="3"/>
      <c r="E909" s="3"/>
      <c r="F909" s="3"/>
    </row>
    <row r="910">
      <c r="A910" s="7"/>
      <c r="B910" s="3"/>
      <c r="C910" s="3"/>
      <c r="D910" s="3"/>
      <c r="E910" s="3"/>
      <c r="F910" s="3"/>
    </row>
    <row r="911">
      <c r="A911" s="7"/>
      <c r="B911" s="3"/>
      <c r="C911" s="3"/>
      <c r="D911" s="3"/>
      <c r="E911" s="3"/>
      <c r="F911" s="3"/>
    </row>
    <row r="912">
      <c r="A912" s="7"/>
      <c r="B912" s="3"/>
      <c r="C912" s="3"/>
      <c r="D912" s="3"/>
      <c r="E912" s="3"/>
      <c r="F912" s="3"/>
    </row>
    <row r="913">
      <c r="A913" s="7"/>
      <c r="B913" s="3"/>
      <c r="C913" s="3"/>
      <c r="D913" s="3"/>
      <c r="E913" s="3"/>
      <c r="F913" s="3"/>
    </row>
    <row r="914">
      <c r="A914" s="7"/>
      <c r="B914" s="3"/>
      <c r="C914" s="3"/>
      <c r="D914" s="3"/>
      <c r="E914" s="3"/>
      <c r="F914" s="3"/>
    </row>
    <row r="915">
      <c r="A915" s="7"/>
      <c r="B915" s="3"/>
      <c r="C915" s="3"/>
      <c r="D915" s="3"/>
      <c r="E915" s="3"/>
      <c r="F915" s="3"/>
    </row>
    <row r="916">
      <c r="A916" s="7"/>
      <c r="B916" s="3"/>
      <c r="C916" s="3"/>
      <c r="D916" s="3"/>
      <c r="E916" s="3"/>
      <c r="F916" s="3"/>
    </row>
    <row r="917">
      <c r="A917" s="7"/>
      <c r="B917" s="3"/>
      <c r="C917" s="3"/>
      <c r="D917" s="3"/>
      <c r="E917" s="3"/>
      <c r="F917" s="3"/>
    </row>
    <row r="918">
      <c r="A918" s="7"/>
      <c r="B918" s="3"/>
      <c r="C918" s="3"/>
      <c r="D918" s="3"/>
      <c r="E918" s="3"/>
      <c r="F918" s="3"/>
    </row>
    <row r="919">
      <c r="A919" s="7"/>
      <c r="B919" s="3"/>
      <c r="C919" s="3"/>
      <c r="D919" s="3"/>
      <c r="E919" s="3"/>
      <c r="F919" s="3"/>
    </row>
    <row r="920">
      <c r="A920" s="7"/>
      <c r="B920" s="3"/>
      <c r="C920" s="3"/>
      <c r="D920" s="3"/>
      <c r="E920" s="3"/>
      <c r="F920" s="3"/>
    </row>
    <row r="921">
      <c r="A921" s="7"/>
      <c r="B921" s="3"/>
      <c r="C921" s="3"/>
      <c r="D921" s="3"/>
      <c r="E921" s="3"/>
      <c r="F921" s="3"/>
    </row>
    <row r="922">
      <c r="A922" s="7"/>
      <c r="B922" s="3"/>
      <c r="C922" s="3"/>
      <c r="D922" s="3"/>
      <c r="E922" s="3"/>
      <c r="F922" s="3"/>
    </row>
    <row r="923">
      <c r="A923" s="7"/>
      <c r="B923" s="3"/>
      <c r="C923" s="3"/>
      <c r="D923" s="3"/>
      <c r="E923" s="3"/>
      <c r="F923" s="3"/>
    </row>
    <row r="924">
      <c r="A924" s="7"/>
      <c r="B924" s="3"/>
      <c r="C924" s="3"/>
      <c r="D924" s="3"/>
      <c r="E924" s="3"/>
      <c r="F924" s="3"/>
    </row>
    <row r="925">
      <c r="A925" s="7"/>
      <c r="B925" s="3"/>
      <c r="C925" s="3"/>
      <c r="D925" s="3"/>
      <c r="E925" s="3"/>
      <c r="F925" s="3"/>
    </row>
    <row r="926">
      <c r="A926" s="7"/>
      <c r="B926" s="3"/>
      <c r="C926" s="3"/>
      <c r="D926" s="3"/>
      <c r="E926" s="3"/>
      <c r="F926" s="3"/>
    </row>
    <row r="927">
      <c r="A927" s="7"/>
      <c r="B927" s="3"/>
      <c r="C927" s="3"/>
      <c r="D927" s="3"/>
      <c r="E927" s="3"/>
      <c r="F927" s="3"/>
    </row>
    <row r="928">
      <c r="A928" s="7"/>
      <c r="B928" s="3"/>
      <c r="C928" s="3"/>
      <c r="D928" s="3"/>
      <c r="E928" s="3"/>
      <c r="F928" s="3"/>
    </row>
    <row r="929">
      <c r="A929" s="7"/>
      <c r="B929" s="3"/>
      <c r="C929" s="3"/>
      <c r="D929" s="3"/>
      <c r="E929" s="3"/>
      <c r="F929" s="3"/>
    </row>
    <row r="930">
      <c r="A930" s="7"/>
      <c r="B930" s="3"/>
      <c r="C930" s="3"/>
      <c r="D930" s="3"/>
      <c r="E930" s="3"/>
      <c r="F930" s="3"/>
    </row>
    <row r="931">
      <c r="A931" s="7"/>
      <c r="B931" s="3"/>
      <c r="C931" s="3"/>
      <c r="D931" s="3"/>
      <c r="E931" s="3"/>
      <c r="F931" s="3"/>
    </row>
    <row r="932">
      <c r="A932" s="7"/>
      <c r="B932" s="3"/>
      <c r="C932" s="3"/>
      <c r="D932" s="3"/>
      <c r="E932" s="3"/>
      <c r="F932" s="3"/>
    </row>
    <row r="933">
      <c r="A933" s="7"/>
      <c r="B933" s="3"/>
      <c r="C933" s="3"/>
      <c r="D933" s="3"/>
      <c r="E933" s="3"/>
      <c r="F933" s="3"/>
    </row>
    <row r="934">
      <c r="A934" s="7"/>
      <c r="B934" s="3"/>
      <c r="C934" s="3"/>
      <c r="D934" s="3"/>
      <c r="E934" s="3"/>
      <c r="F934" s="3"/>
    </row>
    <row r="935">
      <c r="A935" s="7"/>
      <c r="B935" s="3"/>
      <c r="C935" s="3"/>
      <c r="D935" s="3"/>
      <c r="E935" s="3"/>
      <c r="F935" s="3"/>
    </row>
    <row r="936">
      <c r="A936" s="7"/>
      <c r="B936" s="3"/>
      <c r="C936" s="3"/>
      <c r="D936" s="3"/>
      <c r="E936" s="3"/>
      <c r="F936" s="3"/>
    </row>
    <row r="937">
      <c r="A937" s="7"/>
      <c r="B937" s="3"/>
      <c r="C937" s="3"/>
      <c r="D937" s="3"/>
      <c r="E937" s="3"/>
      <c r="F937" s="3"/>
    </row>
    <row r="938">
      <c r="A938" s="7"/>
      <c r="B938" s="3"/>
      <c r="C938" s="3"/>
      <c r="D938" s="3"/>
      <c r="E938" s="3"/>
      <c r="F938" s="3"/>
    </row>
    <row r="939">
      <c r="A939" s="7"/>
      <c r="B939" s="3"/>
      <c r="C939" s="3"/>
      <c r="D939" s="3"/>
      <c r="E939" s="3"/>
      <c r="F939" s="3"/>
    </row>
    <row r="940">
      <c r="A940" s="7"/>
      <c r="B940" s="3"/>
      <c r="C940" s="3"/>
      <c r="D940" s="3"/>
      <c r="E940" s="3"/>
      <c r="F940" s="3"/>
    </row>
    <row r="941">
      <c r="A941" s="7"/>
      <c r="B941" s="3"/>
      <c r="C941" s="3"/>
      <c r="D941" s="3"/>
      <c r="E941" s="3"/>
      <c r="F941" s="3"/>
    </row>
    <row r="942">
      <c r="A942" s="7"/>
      <c r="B942" s="3"/>
      <c r="C942" s="3"/>
      <c r="D942" s="3"/>
      <c r="E942" s="3"/>
      <c r="F942" s="3"/>
    </row>
    <row r="943">
      <c r="A943" s="7"/>
      <c r="B943" s="3"/>
      <c r="C943" s="3"/>
      <c r="D943" s="3"/>
      <c r="E943" s="3"/>
      <c r="F943" s="3"/>
    </row>
    <row r="944">
      <c r="A944" s="7"/>
      <c r="B944" s="3"/>
      <c r="C944" s="3"/>
      <c r="D944" s="3"/>
      <c r="E944" s="3"/>
      <c r="F944" s="3"/>
    </row>
    <row r="945">
      <c r="A945" s="7"/>
      <c r="B945" s="3"/>
      <c r="C945" s="3"/>
      <c r="D945" s="3"/>
      <c r="E945" s="3"/>
      <c r="F945" s="3"/>
    </row>
    <row r="946">
      <c r="A946" s="7"/>
      <c r="B946" s="3"/>
      <c r="C946" s="3"/>
      <c r="D946" s="3"/>
      <c r="E946" s="3"/>
      <c r="F946" s="3"/>
    </row>
    <row r="947">
      <c r="A947" s="7"/>
      <c r="B947" s="3"/>
      <c r="C947" s="3"/>
      <c r="D947" s="3"/>
      <c r="E947" s="3"/>
      <c r="F947" s="3"/>
    </row>
    <row r="948">
      <c r="A948" s="7"/>
      <c r="B948" s="3"/>
      <c r="C948" s="3"/>
      <c r="D948" s="3"/>
      <c r="E948" s="3"/>
      <c r="F948" s="3"/>
    </row>
    <row r="949">
      <c r="A949" s="7"/>
      <c r="B949" s="3"/>
      <c r="C949" s="3"/>
      <c r="D949" s="3"/>
      <c r="E949" s="3"/>
      <c r="F949" s="3"/>
    </row>
    <row r="950">
      <c r="A950" s="7"/>
      <c r="B950" s="3"/>
      <c r="C950" s="3"/>
      <c r="D950" s="3"/>
      <c r="E950" s="3"/>
      <c r="F950" s="3"/>
    </row>
    <row r="951">
      <c r="A951" s="7"/>
      <c r="B951" s="3"/>
      <c r="C951" s="3"/>
      <c r="D951" s="3"/>
      <c r="E951" s="3"/>
      <c r="F951" s="3"/>
    </row>
    <row r="952">
      <c r="A952" s="7"/>
      <c r="B952" s="3"/>
      <c r="C952" s="3"/>
      <c r="D952" s="3"/>
      <c r="E952" s="3"/>
      <c r="F952" s="3"/>
    </row>
    <row r="953">
      <c r="A953" s="7"/>
      <c r="B953" s="3"/>
      <c r="C953" s="3"/>
      <c r="D953" s="3"/>
      <c r="E953" s="3"/>
      <c r="F953" s="3"/>
    </row>
    <row r="954">
      <c r="A954" s="7"/>
      <c r="B954" s="3"/>
      <c r="C954" s="3"/>
      <c r="D954" s="3"/>
      <c r="E954" s="3"/>
      <c r="F954" s="3"/>
    </row>
    <row r="955">
      <c r="A955" s="7"/>
      <c r="B955" s="3"/>
      <c r="C955" s="3"/>
      <c r="D955" s="3"/>
      <c r="E955" s="3"/>
      <c r="F955" s="3"/>
    </row>
    <row r="956">
      <c r="A956" s="7"/>
      <c r="B956" s="3"/>
      <c r="C956" s="3"/>
      <c r="D956" s="3"/>
      <c r="E956" s="3"/>
      <c r="F956" s="3"/>
    </row>
    <row r="957">
      <c r="A957" s="7"/>
      <c r="B957" s="3"/>
      <c r="C957" s="3"/>
      <c r="D957" s="3"/>
      <c r="E957" s="3"/>
      <c r="F957" s="3"/>
    </row>
    <row r="958">
      <c r="A958" s="7"/>
      <c r="B958" s="3"/>
      <c r="C958" s="3"/>
      <c r="D958" s="3"/>
      <c r="E958" s="3"/>
      <c r="F958" s="3"/>
    </row>
    <row r="959">
      <c r="A959" s="7"/>
      <c r="B959" s="3"/>
      <c r="C959" s="3"/>
      <c r="D959" s="3"/>
      <c r="E959" s="3"/>
      <c r="F959" s="3"/>
    </row>
    <row r="960">
      <c r="A960" s="7"/>
      <c r="B960" s="3"/>
      <c r="C960" s="3"/>
      <c r="D960" s="3"/>
      <c r="E960" s="3"/>
      <c r="F960" s="3"/>
    </row>
    <row r="961">
      <c r="A961" s="7"/>
      <c r="B961" s="3"/>
      <c r="C961" s="3"/>
      <c r="D961" s="3"/>
      <c r="E961" s="3"/>
      <c r="F961" s="3"/>
    </row>
    <row r="962">
      <c r="A962" s="7"/>
      <c r="B962" s="3"/>
      <c r="C962" s="3"/>
      <c r="D962" s="3"/>
      <c r="E962" s="3"/>
      <c r="F962" s="3"/>
    </row>
    <row r="963">
      <c r="A963" s="7"/>
      <c r="B963" s="3"/>
      <c r="C963" s="3"/>
      <c r="D963" s="3"/>
      <c r="E963" s="3"/>
      <c r="F963" s="3"/>
    </row>
    <row r="964">
      <c r="A964" s="7"/>
      <c r="B964" s="3"/>
      <c r="C964" s="3"/>
      <c r="D964" s="3"/>
      <c r="E964" s="3"/>
      <c r="F964" s="3"/>
    </row>
    <row r="965">
      <c r="A965" s="7"/>
      <c r="B965" s="3"/>
      <c r="C965" s="3"/>
      <c r="D965" s="3"/>
      <c r="E965" s="3"/>
      <c r="F965" s="3"/>
    </row>
    <row r="966">
      <c r="A966" s="7"/>
      <c r="B966" s="3"/>
      <c r="C966" s="3"/>
      <c r="D966" s="3"/>
      <c r="E966" s="3"/>
      <c r="F966" s="3"/>
    </row>
    <row r="967">
      <c r="A967" s="7"/>
      <c r="B967" s="3"/>
      <c r="C967" s="3"/>
      <c r="D967" s="3"/>
      <c r="E967" s="3"/>
      <c r="F967" s="3"/>
    </row>
    <row r="968">
      <c r="A968" s="7"/>
      <c r="B968" s="3"/>
      <c r="C968" s="3"/>
      <c r="D968" s="3"/>
      <c r="E968" s="3"/>
      <c r="F968" s="3"/>
    </row>
    <row r="969">
      <c r="A969" s="7"/>
      <c r="B969" s="3"/>
      <c r="C969" s="3"/>
      <c r="D969" s="3"/>
      <c r="E969" s="3"/>
      <c r="F969" s="3"/>
    </row>
    <row r="970">
      <c r="A970" s="7"/>
      <c r="B970" s="3"/>
      <c r="C970" s="3"/>
      <c r="D970" s="3"/>
      <c r="E970" s="3"/>
      <c r="F970" s="3"/>
    </row>
    <row r="971">
      <c r="A971" s="7"/>
      <c r="B971" s="3"/>
      <c r="C971" s="3"/>
      <c r="D971" s="3"/>
      <c r="E971" s="3"/>
      <c r="F971" s="3"/>
    </row>
    <row r="972">
      <c r="A972" s="7"/>
      <c r="B972" s="3"/>
      <c r="C972" s="3"/>
      <c r="D972" s="3"/>
      <c r="E972" s="3"/>
      <c r="F972" s="3"/>
    </row>
    <row r="973">
      <c r="A973" s="7"/>
      <c r="B973" s="3"/>
      <c r="C973" s="3"/>
      <c r="D973" s="3"/>
      <c r="E973" s="3"/>
      <c r="F973" s="3"/>
    </row>
    <row r="974">
      <c r="A974" s="7"/>
      <c r="B974" s="3"/>
      <c r="C974" s="3"/>
      <c r="D974" s="3"/>
      <c r="E974" s="3"/>
      <c r="F974" s="3"/>
    </row>
    <row r="975">
      <c r="A975" s="7"/>
      <c r="B975" s="3"/>
      <c r="C975" s="3"/>
      <c r="D975" s="3"/>
      <c r="E975" s="3"/>
      <c r="F975" s="3"/>
    </row>
    <row r="976">
      <c r="A976" s="7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7"/>
      <c r="B978" s="3"/>
      <c r="C978" s="3"/>
      <c r="D978" s="3"/>
      <c r="E978" s="3"/>
      <c r="F978" s="3"/>
    </row>
    <row r="979">
      <c r="A979" s="7"/>
      <c r="B979" s="3"/>
      <c r="C979" s="3"/>
      <c r="D979" s="3"/>
      <c r="E979" s="3"/>
      <c r="F979" s="3"/>
    </row>
    <row r="980">
      <c r="A980" s="7"/>
      <c r="B980" s="3"/>
      <c r="C980" s="3"/>
      <c r="D980" s="3"/>
      <c r="E980" s="3"/>
      <c r="F980" s="3"/>
    </row>
    <row r="981">
      <c r="A981" s="7"/>
      <c r="B981" s="3"/>
      <c r="C981" s="3"/>
      <c r="D981" s="3"/>
      <c r="E981" s="3"/>
      <c r="F981" s="3"/>
    </row>
    <row r="982">
      <c r="A982" s="7"/>
      <c r="B982" s="3"/>
      <c r="C982" s="3"/>
      <c r="D982" s="3"/>
      <c r="E982" s="3"/>
      <c r="F982" s="3"/>
    </row>
    <row r="983">
      <c r="A983" s="7"/>
      <c r="B983" s="3"/>
      <c r="C983" s="3"/>
      <c r="D983" s="3"/>
      <c r="E983" s="3"/>
      <c r="F983" s="3"/>
    </row>
    <row r="984">
      <c r="A984" s="7"/>
      <c r="B984" s="3"/>
      <c r="C984" s="3"/>
      <c r="D984" s="3"/>
      <c r="E984" s="3"/>
      <c r="F984" s="3"/>
    </row>
    <row r="985">
      <c r="A985" s="7"/>
      <c r="B985" s="3"/>
      <c r="C985" s="3"/>
      <c r="D985" s="3"/>
      <c r="E985" s="3"/>
      <c r="F985" s="3"/>
    </row>
    <row r="986">
      <c r="A986" s="7"/>
      <c r="B986" s="3"/>
      <c r="C986" s="3"/>
      <c r="D986" s="3"/>
      <c r="E986" s="3"/>
      <c r="F986" s="3"/>
    </row>
    <row r="987">
      <c r="A987" s="7"/>
      <c r="B987" s="3"/>
      <c r="C987" s="3"/>
      <c r="D987" s="3"/>
      <c r="E987" s="3"/>
      <c r="F987" s="3"/>
    </row>
    <row r="988">
      <c r="A988" s="7"/>
      <c r="B988" s="3"/>
      <c r="C988" s="3"/>
      <c r="D988" s="3"/>
      <c r="E988" s="3"/>
      <c r="F988" s="3"/>
    </row>
    <row r="989">
      <c r="A989" s="7"/>
      <c r="B989" s="3"/>
      <c r="C989" s="3"/>
      <c r="D989" s="3"/>
      <c r="E989" s="3"/>
      <c r="F989" s="3"/>
    </row>
    <row r="990">
      <c r="A990" s="7"/>
      <c r="B990" s="3"/>
      <c r="C990" s="3"/>
      <c r="D990" s="3"/>
      <c r="E990" s="3"/>
      <c r="F990" s="3"/>
    </row>
    <row r="991">
      <c r="A991" s="7"/>
      <c r="B991" s="3"/>
      <c r="C991" s="3"/>
      <c r="D991" s="3"/>
      <c r="E991" s="3"/>
      <c r="F991" s="3"/>
    </row>
    <row r="992">
      <c r="A992" s="7"/>
      <c r="B992" s="3"/>
      <c r="C992" s="3"/>
      <c r="D992" s="3"/>
      <c r="E992" s="3"/>
      <c r="F992" s="3"/>
    </row>
    <row r="993">
      <c r="A993" s="7"/>
      <c r="B993" s="3"/>
      <c r="C993" s="3"/>
      <c r="D993" s="3"/>
      <c r="E993" s="3"/>
      <c r="F993" s="3"/>
    </row>
    <row r="994">
      <c r="A994" s="7"/>
      <c r="B994" s="3"/>
      <c r="C994" s="3"/>
      <c r="D994" s="3"/>
      <c r="E994" s="3"/>
      <c r="F994" s="3"/>
    </row>
    <row r="995">
      <c r="A995" s="7"/>
      <c r="B995" s="3"/>
      <c r="C995" s="3"/>
      <c r="D995" s="3"/>
      <c r="E995" s="3"/>
      <c r="F995" s="3"/>
    </row>
    <row r="996">
      <c r="A996" s="7"/>
      <c r="B996" s="3"/>
      <c r="C996" s="3"/>
      <c r="D996" s="3"/>
      <c r="E996" s="3"/>
      <c r="F996" s="3"/>
    </row>
    <row r="997">
      <c r="A997" s="7"/>
      <c r="B997" s="3"/>
      <c r="C997" s="3"/>
      <c r="D997" s="3"/>
      <c r="E997" s="3"/>
      <c r="F997" s="3"/>
    </row>
    <row r="998">
      <c r="A998" s="7"/>
      <c r="B998" s="3"/>
      <c r="C998" s="3"/>
      <c r="D998" s="3"/>
      <c r="E998" s="3"/>
      <c r="F998" s="3"/>
    </row>
    <row r="999">
      <c r="A999" s="7"/>
      <c r="B999" s="3"/>
      <c r="C999" s="3"/>
      <c r="D999" s="3"/>
      <c r="E999" s="3"/>
      <c r="F999" s="3"/>
    </row>
    <row r="1000">
      <c r="A1000" s="7"/>
      <c r="B1000" s="3"/>
      <c r="C1000" s="3"/>
      <c r="D1000" s="3"/>
      <c r="E1000" s="3"/>
      <c r="F1000" s="3"/>
    </row>
    <row r="1001">
      <c r="A1001" s="7"/>
      <c r="B1001" s="3"/>
      <c r="C1001" s="3"/>
      <c r="D1001" s="3"/>
      <c r="E1001" s="3"/>
      <c r="F1001" s="3"/>
    </row>
    <row r="1002">
      <c r="A1002" s="7"/>
      <c r="B1002" s="3"/>
      <c r="C1002" s="3"/>
      <c r="D1002" s="3"/>
      <c r="E1002" s="3"/>
      <c r="F1002" s="3"/>
    </row>
    <row r="1003">
      <c r="A1003" s="7"/>
      <c r="B1003" s="3"/>
      <c r="C1003" s="3"/>
      <c r="D1003" s="3"/>
      <c r="E1003" s="3"/>
      <c r="F1003" s="3"/>
    </row>
    <row r="1004">
      <c r="A1004" s="7"/>
      <c r="B1004" s="3"/>
      <c r="C1004" s="3"/>
      <c r="D1004" s="3"/>
      <c r="E1004" s="3"/>
      <c r="F1004" s="3"/>
    </row>
    <row r="1005">
      <c r="A1005" s="7"/>
      <c r="B1005" s="3"/>
      <c r="C1005" s="3"/>
      <c r="D1005" s="3"/>
      <c r="E1005" s="3"/>
      <c r="F1005" s="3"/>
    </row>
    <row r="1006">
      <c r="A1006" s="7"/>
      <c r="B1006" s="3"/>
      <c r="C1006" s="3"/>
      <c r="D1006" s="3"/>
      <c r="E1006" s="3"/>
      <c r="F1006" s="3"/>
    </row>
    <row r="1007">
      <c r="A1007" s="7"/>
      <c r="B1007" s="3"/>
      <c r="C1007" s="3"/>
      <c r="D1007" s="3"/>
      <c r="E1007" s="3"/>
      <c r="F1007" s="3"/>
    </row>
    <row r="1008">
      <c r="A1008" s="7"/>
      <c r="B1008" s="3"/>
      <c r="C1008" s="3"/>
      <c r="D1008" s="3"/>
      <c r="E1008" s="3"/>
      <c r="F1008" s="3"/>
    </row>
    <row r="1009">
      <c r="A1009" s="7"/>
      <c r="B1009" s="3"/>
      <c r="C1009" s="3"/>
      <c r="D1009" s="3"/>
      <c r="E1009" s="3"/>
      <c r="F1009" s="3"/>
    </row>
    <row r="1010">
      <c r="A1010" s="7"/>
      <c r="B1010" s="3"/>
      <c r="C1010" s="3"/>
      <c r="D1010" s="3"/>
      <c r="E1010" s="3"/>
      <c r="F1010" s="3"/>
    </row>
    <row r="1011">
      <c r="A1011" s="7"/>
      <c r="B1011" s="3"/>
      <c r="C1011" s="3"/>
      <c r="D1011" s="3"/>
      <c r="E1011" s="3"/>
      <c r="F1011" s="3"/>
    </row>
    <row r="1012">
      <c r="A1012" s="7"/>
      <c r="B1012" s="3"/>
      <c r="C1012" s="3"/>
      <c r="D1012" s="3"/>
      <c r="E1012" s="3"/>
      <c r="F1012" s="3"/>
    </row>
    <row r="1013">
      <c r="A1013" s="7"/>
      <c r="B1013" s="3"/>
      <c r="C1013" s="3"/>
      <c r="D1013" s="3"/>
      <c r="E1013" s="3"/>
      <c r="F1013" s="3"/>
    </row>
    <row r="1014">
      <c r="A1014" s="7"/>
      <c r="B1014" s="3"/>
      <c r="C1014" s="3"/>
      <c r="D1014" s="3"/>
      <c r="E1014" s="3"/>
      <c r="F1014" s="3"/>
    </row>
    <row r="1015">
      <c r="A1015" s="7"/>
      <c r="B1015" s="3"/>
      <c r="C1015" s="3"/>
      <c r="D1015" s="3"/>
      <c r="E1015" s="3"/>
      <c r="F1015" s="3"/>
    </row>
    <row r="1016">
      <c r="A1016" s="7"/>
      <c r="B1016" s="3"/>
      <c r="C1016" s="3"/>
      <c r="D1016" s="3"/>
      <c r="E1016" s="3"/>
      <c r="F1016" s="3"/>
    </row>
    <row r="1017">
      <c r="A1017" s="7"/>
      <c r="B1017" s="3"/>
      <c r="C1017" s="3"/>
      <c r="D1017" s="3"/>
      <c r="E1017" s="3"/>
      <c r="F1017" s="3"/>
    </row>
    <row r="1018">
      <c r="A1018" s="7"/>
      <c r="B1018" s="3"/>
      <c r="C1018" s="3"/>
      <c r="D1018" s="3"/>
      <c r="E1018" s="3"/>
      <c r="F1018" s="3"/>
    </row>
    <row r="1019">
      <c r="A1019" s="7"/>
      <c r="B1019" s="3"/>
      <c r="C1019" s="3"/>
      <c r="D1019" s="3"/>
      <c r="E1019" s="3"/>
      <c r="F1019" s="3"/>
    </row>
    <row r="1020">
      <c r="A1020" s="7"/>
      <c r="B1020" s="3"/>
      <c r="C1020" s="3"/>
      <c r="D1020" s="3"/>
      <c r="E1020" s="3"/>
      <c r="F1020" s="3"/>
    </row>
    <row r="1021">
      <c r="A1021" s="7"/>
      <c r="B1021" s="3"/>
      <c r="C1021" s="3"/>
      <c r="D1021" s="3"/>
      <c r="E1021" s="3"/>
      <c r="F1021" s="3"/>
    </row>
    <row r="1022">
      <c r="A1022" s="7"/>
      <c r="B1022" s="3"/>
      <c r="C1022" s="3"/>
      <c r="D1022" s="3"/>
      <c r="E1022" s="3"/>
      <c r="F1022" s="3"/>
    </row>
    <row r="1023">
      <c r="A1023" s="7"/>
      <c r="B1023" s="3"/>
      <c r="C1023" s="3"/>
      <c r="D1023" s="3"/>
      <c r="E1023" s="3"/>
      <c r="F1023" s="3"/>
    </row>
    <row r="1024">
      <c r="A1024" s="7"/>
      <c r="B1024" s="3"/>
      <c r="C1024" s="3"/>
      <c r="D1024" s="3"/>
      <c r="E1024" s="3"/>
      <c r="F1024" s="3"/>
    </row>
    <row r="1025">
      <c r="A1025" s="7"/>
      <c r="B1025" s="3"/>
      <c r="C1025" s="3"/>
      <c r="D1025" s="3"/>
      <c r="E1025" s="3"/>
      <c r="F1025" s="3"/>
    </row>
    <row r="1026">
      <c r="A1026" s="3"/>
      <c r="B1026" s="3"/>
      <c r="C1026" s="3"/>
      <c r="D1026" s="3"/>
      <c r="E1026" s="3"/>
      <c r="F1026" s="3"/>
    </row>
    <row r="1027">
      <c r="A1027" s="3"/>
      <c r="B1027" s="3"/>
      <c r="C1027" s="3"/>
      <c r="D1027" s="3"/>
      <c r="E1027" s="3"/>
      <c r="F1027" s="3"/>
    </row>
    <row r="1028">
      <c r="A1028" s="3"/>
      <c r="B1028" s="3"/>
      <c r="C1028" s="3"/>
      <c r="D1028" s="3"/>
      <c r="E1028" s="3"/>
      <c r="F1028" s="3"/>
    </row>
    <row r="1029">
      <c r="A1029" s="3"/>
      <c r="B1029" s="3"/>
      <c r="C1029" s="3"/>
      <c r="D1029" s="3"/>
      <c r="E1029" s="3"/>
      <c r="F1029" s="3"/>
    </row>
    <row r="1030">
      <c r="A1030" s="3"/>
      <c r="B1030" s="3"/>
      <c r="C1030" s="3"/>
      <c r="D1030" s="3"/>
      <c r="E1030" s="3"/>
      <c r="F1030" s="3"/>
    </row>
    <row r="1031">
      <c r="A1031" s="3"/>
      <c r="B1031" s="3"/>
      <c r="C1031" s="3"/>
      <c r="D1031" s="3"/>
      <c r="E1031" s="3"/>
      <c r="F1031" s="3"/>
    </row>
    <row r="1032">
      <c r="A1032" s="3"/>
      <c r="B1032" s="3"/>
      <c r="C1032" s="3"/>
      <c r="D1032" s="3"/>
      <c r="E1032" s="3"/>
      <c r="F1032" s="3"/>
    </row>
    <row r="1033">
      <c r="A1033" s="3"/>
      <c r="B1033" s="3"/>
      <c r="C1033" s="3"/>
      <c r="D1033" s="3"/>
      <c r="E1033" s="3"/>
      <c r="F1033" s="3"/>
    </row>
    <row r="1034">
      <c r="A1034" s="3"/>
      <c r="B1034" s="3"/>
      <c r="C1034" s="3"/>
      <c r="D1034" s="3"/>
      <c r="E1034" s="3"/>
      <c r="F1034" s="3"/>
    </row>
    <row r="1035">
      <c r="A1035" s="3"/>
      <c r="B1035" s="3"/>
      <c r="C1035" s="3"/>
      <c r="D1035" s="3"/>
      <c r="E1035" s="3"/>
      <c r="F1035" s="3"/>
    </row>
    <row r="1036">
      <c r="A1036" s="3"/>
      <c r="B1036" s="3"/>
      <c r="C1036" s="3"/>
      <c r="D1036" s="3"/>
      <c r="E1036" s="3"/>
      <c r="F1036" s="3"/>
    </row>
    <row r="1037">
      <c r="A1037" s="3"/>
      <c r="B1037" s="3"/>
      <c r="C1037" s="3"/>
      <c r="D1037" s="3"/>
      <c r="E1037" s="3"/>
      <c r="F1037" s="3"/>
    </row>
    <row r="1038">
      <c r="A1038" s="3"/>
      <c r="B1038" s="3"/>
      <c r="C1038" s="3"/>
      <c r="D1038" s="3"/>
      <c r="E1038" s="3"/>
      <c r="F1038" s="3"/>
    </row>
    <row r="1039">
      <c r="A1039" s="3"/>
      <c r="B1039" s="3"/>
      <c r="C1039" s="3"/>
      <c r="D1039" s="3"/>
      <c r="E1039" s="3"/>
      <c r="F1039" s="3"/>
    </row>
    <row r="1040">
      <c r="A1040" s="3"/>
      <c r="B1040" s="3"/>
      <c r="C1040" s="3"/>
      <c r="D1040" s="3"/>
      <c r="E1040" s="3"/>
      <c r="F1040" s="3"/>
    </row>
    <row r="1041">
      <c r="A1041" s="3"/>
      <c r="B1041" s="3"/>
      <c r="C1041" s="3"/>
      <c r="D1041" s="3"/>
      <c r="E1041" s="3"/>
      <c r="F1041" s="3"/>
    </row>
    <row r="1042">
      <c r="A1042" s="3"/>
      <c r="B1042" s="3"/>
      <c r="C1042" s="3"/>
      <c r="D1042" s="3"/>
      <c r="E1042" s="3"/>
      <c r="F1042" s="3"/>
    </row>
    <row r="1043">
      <c r="A1043" s="3"/>
      <c r="B1043" s="3"/>
      <c r="C1043" s="3"/>
      <c r="D1043" s="3"/>
      <c r="E1043" s="3"/>
      <c r="F1043" s="3"/>
    </row>
    <row r="1044">
      <c r="A1044" s="3"/>
      <c r="B1044" s="3"/>
      <c r="C1044" s="3"/>
      <c r="D1044" s="3"/>
      <c r="E1044" s="3"/>
      <c r="F1044" s="3"/>
    </row>
    <row r="1045">
      <c r="A1045" s="3"/>
      <c r="B1045" s="3"/>
      <c r="C1045" s="3"/>
      <c r="D1045" s="3"/>
      <c r="E1045" s="3"/>
      <c r="F1045" s="3"/>
    </row>
    <row r="1046">
      <c r="A1046" s="3"/>
      <c r="B1046" s="3"/>
      <c r="C1046" s="3"/>
      <c r="D1046" s="3"/>
      <c r="E1046" s="3"/>
      <c r="F1046" s="3"/>
    </row>
    <row r="1047">
      <c r="A1047" s="3"/>
      <c r="B1047" s="3"/>
      <c r="C1047" s="3"/>
      <c r="D1047" s="3"/>
      <c r="E1047" s="3"/>
      <c r="F1047" s="3"/>
    </row>
    <row r="1048">
      <c r="A1048" s="3"/>
      <c r="B1048" s="3"/>
      <c r="C1048" s="3"/>
      <c r="D1048" s="3"/>
      <c r="E1048" s="3"/>
      <c r="F1048" s="3"/>
    </row>
    <row r="1049">
      <c r="A1049" s="3"/>
      <c r="B1049" s="3"/>
      <c r="C1049" s="3"/>
      <c r="D1049" s="3"/>
      <c r="E1049" s="3"/>
      <c r="F1049" s="3"/>
    </row>
    <row r="1050">
      <c r="A1050" s="3"/>
      <c r="B1050" s="3"/>
      <c r="C1050" s="3"/>
      <c r="D1050" s="3"/>
      <c r="E1050" s="3"/>
      <c r="F1050" s="3"/>
    </row>
    <row r="1051">
      <c r="A1051" s="3"/>
      <c r="B1051" s="3"/>
      <c r="C1051" s="3"/>
      <c r="D1051" s="3"/>
      <c r="E1051" s="3"/>
      <c r="F1051" s="3"/>
    </row>
    <row r="1052">
      <c r="A1052" s="3"/>
      <c r="B1052" s="3"/>
      <c r="C1052" s="3"/>
      <c r="D1052" s="3"/>
      <c r="E1052" s="3"/>
      <c r="F1052" s="3"/>
    </row>
    <row r="1053">
      <c r="A1053" s="3"/>
      <c r="B1053" s="3"/>
      <c r="C1053" s="3"/>
      <c r="D1053" s="3"/>
      <c r="E1053" s="3"/>
      <c r="F1053" s="3"/>
    </row>
    <row r="1054">
      <c r="A1054" s="3"/>
      <c r="B1054" s="3"/>
      <c r="C1054" s="3"/>
      <c r="D1054" s="3"/>
      <c r="E1054" s="3"/>
      <c r="F1054" s="3"/>
    </row>
    <row r="1055">
      <c r="A1055" s="3"/>
      <c r="B1055" s="3"/>
      <c r="C1055" s="3"/>
      <c r="D1055" s="3"/>
      <c r="E1055" s="3"/>
      <c r="F1055" s="3"/>
    </row>
    <row r="1056">
      <c r="A1056" s="3"/>
      <c r="B1056" s="3"/>
      <c r="C1056" s="3"/>
      <c r="D1056" s="3"/>
      <c r="E1056" s="3"/>
      <c r="F1056" s="3"/>
    </row>
    <row r="1057">
      <c r="A1057" s="3"/>
      <c r="B1057" s="3"/>
      <c r="C1057" s="3"/>
      <c r="D1057" s="3"/>
      <c r="E1057" s="3"/>
      <c r="F1057" s="3"/>
    </row>
    <row r="1058">
      <c r="A1058" s="3"/>
      <c r="B1058" s="3"/>
      <c r="C1058" s="3"/>
      <c r="D1058" s="3"/>
      <c r="E1058" s="3"/>
      <c r="F1058" s="3"/>
    </row>
    <row r="1059">
      <c r="A1059" s="3"/>
      <c r="B1059" s="3"/>
      <c r="C1059" s="3"/>
      <c r="D1059" s="3"/>
      <c r="E1059" s="3"/>
      <c r="F1059" s="3"/>
    </row>
    <row r="1060">
      <c r="A1060" s="3"/>
      <c r="B1060" s="3"/>
      <c r="C1060" s="3"/>
      <c r="D1060" s="3"/>
      <c r="E1060" s="3"/>
      <c r="F1060" s="3"/>
    </row>
    <row r="1061">
      <c r="A1061" s="3"/>
      <c r="B1061" s="3"/>
      <c r="C1061" s="3"/>
      <c r="D1061" s="3"/>
      <c r="E1061" s="3"/>
      <c r="F1061" s="3"/>
    </row>
    <row r="1062">
      <c r="A1062" s="3"/>
      <c r="B1062" s="3"/>
      <c r="C1062" s="3"/>
      <c r="D1062" s="3"/>
      <c r="E1062" s="3"/>
      <c r="F1062" s="3"/>
    </row>
    <row r="1063">
      <c r="A1063" s="3"/>
      <c r="B1063" s="3"/>
      <c r="C1063" s="3"/>
      <c r="D1063" s="3"/>
      <c r="E1063" s="3"/>
      <c r="F1063" s="3"/>
    </row>
    <row r="1064">
      <c r="A1064" s="3"/>
      <c r="B1064" s="3"/>
      <c r="C1064" s="3"/>
      <c r="D1064" s="3"/>
      <c r="E1064" s="3"/>
      <c r="F1064" s="3"/>
    </row>
    <row r="1065">
      <c r="A1065" s="3"/>
      <c r="B1065" s="3"/>
      <c r="C1065" s="3"/>
      <c r="D1065" s="3"/>
      <c r="E1065" s="3"/>
      <c r="F1065" s="3"/>
    </row>
    <row r="1066">
      <c r="A1066" s="3"/>
      <c r="B1066" s="3"/>
      <c r="C1066" s="3"/>
      <c r="D1066" s="3"/>
      <c r="E1066" s="3"/>
      <c r="F1066" s="3"/>
    </row>
    <row r="1067">
      <c r="A1067" s="3"/>
      <c r="B1067" s="3"/>
      <c r="C1067" s="3"/>
      <c r="D1067" s="3"/>
      <c r="E1067" s="3"/>
      <c r="F1067" s="3"/>
    </row>
    <row r="1068">
      <c r="A1068" s="3"/>
      <c r="B1068" s="3"/>
      <c r="C1068" s="3"/>
      <c r="D1068" s="3"/>
      <c r="E1068" s="3"/>
      <c r="F1068" s="3"/>
    </row>
    <row r="1069">
      <c r="A1069" s="3"/>
      <c r="B1069" s="3"/>
      <c r="C1069" s="3"/>
      <c r="D1069" s="3"/>
      <c r="E1069" s="3"/>
      <c r="F1069" s="3"/>
    </row>
    <row r="1070">
      <c r="A1070" s="3"/>
      <c r="B1070" s="3"/>
      <c r="C1070" s="3"/>
      <c r="D1070" s="3"/>
      <c r="E1070" s="3"/>
      <c r="F1070" s="3"/>
    </row>
    <row r="1071">
      <c r="A1071" s="3"/>
      <c r="B1071" s="3"/>
      <c r="C1071" s="3"/>
      <c r="D1071" s="3"/>
      <c r="E1071" s="3"/>
      <c r="F1071" s="3"/>
    </row>
    <row r="1072">
      <c r="A1072" s="3"/>
      <c r="B1072" s="3"/>
      <c r="C1072" s="3"/>
      <c r="D1072" s="3"/>
      <c r="E1072" s="3"/>
      <c r="F1072" s="3"/>
    </row>
    <row r="1073">
      <c r="A1073" s="3"/>
      <c r="B1073" s="3"/>
      <c r="C1073" s="3"/>
      <c r="D1073" s="3"/>
      <c r="E1073" s="3"/>
      <c r="F1073" s="3"/>
    </row>
    <row r="1074">
      <c r="A1074" s="3"/>
      <c r="B1074" s="3"/>
      <c r="C1074" s="3"/>
      <c r="D1074" s="3"/>
      <c r="E1074" s="3"/>
      <c r="F1074" s="3"/>
    </row>
    <row r="1075">
      <c r="A1075" s="3"/>
      <c r="B1075" s="3"/>
      <c r="C1075" s="3"/>
      <c r="D1075" s="3"/>
      <c r="E1075" s="3"/>
      <c r="F1075" s="3"/>
    </row>
    <row r="1076">
      <c r="A1076" s="7"/>
      <c r="B1076" s="3"/>
      <c r="C1076" s="3"/>
      <c r="D1076" s="3"/>
      <c r="E1076" s="3"/>
      <c r="F1076" s="3"/>
    </row>
    <row r="1077">
      <c r="A1077" s="7"/>
      <c r="B1077" s="3"/>
      <c r="C1077" s="3"/>
      <c r="D1077" s="3"/>
      <c r="E1077" s="3"/>
      <c r="F1077" s="3"/>
    </row>
    <row r="1078">
      <c r="A1078" s="7"/>
      <c r="B1078" s="3"/>
      <c r="C1078" s="3"/>
      <c r="D1078" s="3"/>
      <c r="E1078" s="3"/>
      <c r="F1078" s="3"/>
    </row>
    <row r="1079">
      <c r="A1079" s="7"/>
      <c r="B1079" s="3"/>
      <c r="C1079" s="3"/>
      <c r="D1079" s="3"/>
      <c r="E1079" s="3"/>
      <c r="F1079" s="3"/>
    </row>
    <row r="1080">
      <c r="A1080" s="7"/>
      <c r="B1080" s="3"/>
      <c r="C1080" s="3"/>
      <c r="D1080" s="3"/>
      <c r="E1080" s="3"/>
      <c r="F1080" s="3"/>
    </row>
    <row r="1081">
      <c r="A1081" s="7"/>
      <c r="B1081" s="3"/>
      <c r="C1081" s="3"/>
      <c r="D1081" s="3"/>
      <c r="E1081" s="3"/>
      <c r="F1081" s="3"/>
    </row>
    <row r="1082">
      <c r="A1082" s="7"/>
      <c r="B1082" s="3"/>
      <c r="C1082" s="3"/>
      <c r="D1082" s="3"/>
      <c r="E1082" s="3"/>
      <c r="F1082" s="3"/>
    </row>
    <row r="1083">
      <c r="A1083" s="7"/>
      <c r="B1083" s="3"/>
      <c r="C1083" s="3"/>
      <c r="D1083" s="3"/>
      <c r="E1083" s="3"/>
      <c r="F1083" s="3"/>
    </row>
    <row r="1084">
      <c r="A1084" s="7"/>
      <c r="B1084" s="3"/>
      <c r="C1084" s="3"/>
      <c r="D1084" s="3"/>
      <c r="E1084" s="3"/>
      <c r="F1084" s="3"/>
    </row>
    <row r="1085">
      <c r="A1085" s="7"/>
      <c r="B1085" s="3"/>
      <c r="C1085" s="3"/>
      <c r="D1085" s="3"/>
      <c r="E1085" s="3"/>
      <c r="F1085" s="3"/>
    </row>
    <row r="1086">
      <c r="A1086" s="7"/>
      <c r="B1086" s="3"/>
      <c r="C1086" s="3"/>
      <c r="D1086" s="3"/>
      <c r="E1086" s="3"/>
      <c r="F1086" s="3"/>
    </row>
    <row r="1087">
      <c r="A1087" s="7"/>
      <c r="B1087" s="3"/>
      <c r="C1087" s="3"/>
      <c r="D1087" s="3"/>
      <c r="E1087" s="3"/>
      <c r="F1087" s="3"/>
    </row>
    <row r="1088">
      <c r="A1088" s="7"/>
      <c r="B1088" s="3"/>
      <c r="C1088" s="3"/>
      <c r="D1088" s="3"/>
      <c r="E1088" s="3"/>
      <c r="F1088" s="3"/>
    </row>
    <row r="1089">
      <c r="A1089" s="7"/>
      <c r="B1089" s="3"/>
      <c r="C1089" s="3"/>
      <c r="D1089" s="3"/>
      <c r="E1089" s="3"/>
      <c r="F1089" s="3"/>
    </row>
    <row r="1090">
      <c r="A1090" s="7"/>
      <c r="B1090" s="3"/>
      <c r="C1090" s="3"/>
      <c r="D1090" s="3"/>
      <c r="E1090" s="3"/>
      <c r="F1090" s="3"/>
    </row>
    <row r="1091">
      <c r="A1091" s="7"/>
      <c r="B1091" s="3"/>
      <c r="C1091" s="3"/>
      <c r="D1091" s="3"/>
      <c r="E1091" s="3"/>
      <c r="F1091" s="3"/>
    </row>
    <row r="1092">
      <c r="A1092" s="7"/>
      <c r="B1092" s="3"/>
      <c r="C1092" s="3"/>
      <c r="D1092" s="3"/>
      <c r="E1092" s="3"/>
      <c r="F1092" s="3"/>
    </row>
    <row r="1093">
      <c r="A1093" s="7"/>
      <c r="B1093" s="3"/>
      <c r="C1093" s="3"/>
      <c r="D1093" s="3"/>
      <c r="E1093" s="3"/>
      <c r="F1093" s="3"/>
    </row>
    <row r="1094">
      <c r="A1094" s="7"/>
      <c r="B1094" s="3"/>
      <c r="C1094" s="3"/>
      <c r="D1094" s="3"/>
      <c r="E1094" s="3"/>
      <c r="F1094" s="3"/>
    </row>
    <row r="1095">
      <c r="A1095" s="7"/>
      <c r="B1095" s="3"/>
      <c r="C1095" s="3"/>
      <c r="D1095" s="3"/>
      <c r="E1095" s="3"/>
      <c r="F1095" s="3"/>
    </row>
    <row r="1096">
      <c r="A1096" s="7"/>
      <c r="B1096" s="3"/>
      <c r="C1096" s="3"/>
      <c r="D1096" s="3"/>
      <c r="E1096" s="3"/>
      <c r="F1096" s="3"/>
    </row>
    <row r="1097">
      <c r="A1097" s="7"/>
      <c r="B1097" s="3"/>
      <c r="C1097" s="3"/>
      <c r="D1097" s="3"/>
      <c r="E1097" s="3"/>
      <c r="F1097" s="3"/>
    </row>
    <row r="1098">
      <c r="A1098" s="7"/>
      <c r="B1098" s="3"/>
      <c r="C1098" s="3"/>
      <c r="D1098" s="3"/>
      <c r="E1098" s="3"/>
      <c r="F1098" s="3"/>
    </row>
    <row r="1099">
      <c r="A1099" s="7"/>
      <c r="B1099" s="3"/>
      <c r="C1099" s="3"/>
      <c r="D1099" s="3"/>
      <c r="E1099" s="3"/>
      <c r="F1099" s="3"/>
    </row>
    <row r="1100">
      <c r="A1100" s="7"/>
      <c r="B1100" s="3"/>
      <c r="C1100" s="3"/>
      <c r="D1100" s="3"/>
      <c r="E1100" s="3"/>
      <c r="F1100" s="3"/>
    </row>
    <row r="1101">
      <c r="A1101" s="7"/>
      <c r="B1101" s="3"/>
      <c r="C1101" s="3"/>
      <c r="D1101" s="3"/>
      <c r="E1101" s="3"/>
      <c r="F1101" s="3"/>
    </row>
    <row r="1102">
      <c r="A1102" s="7"/>
      <c r="B1102" s="3"/>
      <c r="C1102" s="3"/>
      <c r="D1102" s="3"/>
      <c r="E1102" s="3"/>
      <c r="F1102" s="3"/>
    </row>
    <row r="1103">
      <c r="A1103" s="7"/>
      <c r="B1103" s="3"/>
      <c r="C1103" s="3"/>
      <c r="D1103" s="3"/>
      <c r="E1103" s="3"/>
      <c r="F1103" s="3"/>
    </row>
    <row r="1104">
      <c r="A1104" s="7"/>
      <c r="B1104" s="3"/>
      <c r="C1104" s="3"/>
      <c r="D1104" s="3"/>
      <c r="E1104" s="3"/>
      <c r="F1104" s="3"/>
    </row>
    <row r="1105">
      <c r="A1105" s="7"/>
      <c r="B1105" s="3"/>
      <c r="C1105" s="3"/>
      <c r="D1105" s="3"/>
      <c r="E1105" s="3"/>
      <c r="F1105" s="3"/>
    </row>
    <row r="1106">
      <c r="A1106" s="7"/>
      <c r="B1106" s="3"/>
      <c r="C1106" s="3"/>
      <c r="D1106" s="3"/>
      <c r="E1106" s="3"/>
      <c r="F1106" s="3"/>
    </row>
    <row r="1107">
      <c r="A1107" s="7"/>
      <c r="B1107" s="3"/>
      <c r="C1107" s="3"/>
      <c r="D1107" s="3"/>
      <c r="E1107" s="3"/>
      <c r="F1107" s="3"/>
    </row>
    <row r="1108">
      <c r="A1108" s="7"/>
      <c r="B1108" s="3"/>
      <c r="C1108" s="3"/>
      <c r="D1108" s="3"/>
      <c r="E1108" s="3"/>
      <c r="F1108" s="3"/>
    </row>
    <row r="1109">
      <c r="A1109" s="7"/>
      <c r="B1109" s="3"/>
      <c r="C1109" s="3"/>
      <c r="D1109" s="3"/>
      <c r="E1109" s="3"/>
      <c r="F1109" s="3"/>
    </row>
    <row r="1110">
      <c r="A1110" s="7"/>
      <c r="B1110" s="3"/>
      <c r="C1110" s="3"/>
      <c r="D1110" s="3"/>
      <c r="E1110" s="3"/>
      <c r="F1110" s="3"/>
    </row>
    <row r="1111">
      <c r="A1111" s="7"/>
      <c r="B1111" s="3"/>
      <c r="C1111" s="3"/>
      <c r="D1111" s="3"/>
      <c r="E1111" s="3"/>
      <c r="F1111" s="3"/>
    </row>
    <row r="1112">
      <c r="A1112" s="7"/>
      <c r="B1112" s="3"/>
      <c r="C1112" s="3"/>
      <c r="D1112" s="3"/>
      <c r="E1112" s="3"/>
      <c r="F1112" s="3"/>
    </row>
    <row r="1113">
      <c r="A1113" s="7"/>
      <c r="B1113" s="3"/>
      <c r="C1113" s="3"/>
      <c r="D1113" s="3"/>
      <c r="E1113" s="3"/>
      <c r="F1113" s="3"/>
    </row>
    <row r="1114">
      <c r="A1114" s="7"/>
      <c r="B1114" s="3"/>
      <c r="C1114" s="3"/>
      <c r="D1114" s="3"/>
      <c r="E1114" s="3"/>
      <c r="F1114" s="3"/>
    </row>
    <row r="1115">
      <c r="A1115" s="7"/>
      <c r="B1115" s="3"/>
      <c r="C1115" s="3"/>
      <c r="D1115" s="3"/>
      <c r="E1115" s="3"/>
      <c r="F1115" s="3"/>
    </row>
    <row r="1116">
      <c r="A1116" s="7"/>
      <c r="B1116" s="3"/>
      <c r="C1116" s="3"/>
      <c r="D1116" s="3"/>
      <c r="E1116" s="3"/>
      <c r="F1116" s="3"/>
    </row>
    <row r="1117">
      <c r="A1117" s="7"/>
      <c r="B1117" s="3"/>
      <c r="C1117" s="3"/>
      <c r="D1117" s="3"/>
      <c r="E1117" s="3"/>
      <c r="F1117" s="3"/>
    </row>
    <row r="1118">
      <c r="A1118" s="7"/>
      <c r="B1118" s="3"/>
      <c r="C1118" s="3"/>
      <c r="D1118" s="3"/>
      <c r="E1118" s="3"/>
      <c r="F1118" s="3"/>
    </row>
    <row r="1119">
      <c r="A1119" s="7"/>
      <c r="B1119" s="3"/>
      <c r="C1119" s="3"/>
      <c r="D1119" s="3"/>
      <c r="E1119" s="3"/>
      <c r="F1119" s="3"/>
    </row>
    <row r="1120">
      <c r="A1120" s="7"/>
      <c r="B1120" s="3"/>
      <c r="C1120" s="3"/>
      <c r="D1120" s="3"/>
      <c r="E1120" s="3"/>
      <c r="F1120" s="3"/>
    </row>
    <row r="1121">
      <c r="A1121" s="7"/>
      <c r="B1121" s="3"/>
      <c r="C1121" s="3"/>
      <c r="D1121" s="3"/>
      <c r="E1121" s="3"/>
      <c r="F1121" s="3"/>
    </row>
    <row r="1122">
      <c r="A1122" s="7"/>
      <c r="B1122" s="3"/>
      <c r="C1122" s="3"/>
      <c r="D1122" s="3"/>
      <c r="E1122" s="3"/>
      <c r="F1122" s="3"/>
    </row>
    <row r="1123">
      <c r="A1123" s="7"/>
      <c r="B1123" s="3"/>
      <c r="C1123" s="3"/>
      <c r="D1123" s="3"/>
      <c r="E1123" s="3"/>
      <c r="F1123" s="3"/>
    </row>
    <row r="1124">
      <c r="A1124" s="3"/>
      <c r="B1124" s="3"/>
      <c r="C1124" s="3"/>
      <c r="D1124" s="3"/>
      <c r="E1124" s="3"/>
      <c r="F1124" s="3"/>
    </row>
    <row r="1125">
      <c r="A1125" s="7"/>
      <c r="B1125" s="3"/>
      <c r="C1125" s="3"/>
      <c r="D1125" s="3"/>
      <c r="E1125" s="3"/>
      <c r="F1125" s="3"/>
    </row>
    <row r="1126">
      <c r="A1126" s="7"/>
      <c r="B1126" s="3"/>
      <c r="C1126" s="3"/>
      <c r="D1126" s="3"/>
      <c r="E1126" s="3"/>
      <c r="F1126" s="3"/>
    </row>
    <row r="1127">
      <c r="A1127" s="7"/>
      <c r="B1127" s="3"/>
      <c r="C1127" s="3"/>
      <c r="D1127" s="3"/>
      <c r="E1127" s="3"/>
      <c r="F1127" s="3"/>
    </row>
    <row r="1128">
      <c r="A1128" s="7"/>
      <c r="B1128" s="3"/>
      <c r="C1128" s="3"/>
      <c r="D1128" s="3"/>
      <c r="E1128" s="3"/>
      <c r="F1128" s="3"/>
    </row>
    <row r="1129">
      <c r="A1129" s="7"/>
      <c r="B1129" s="3"/>
      <c r="C1129" s="3"/>
      <c r="D1129" s="3"/>
      <c r="E1129" s="3"/>
      <c r="F1129" s="3"/>
    </row>
    <row r="1130">
      <c r="A1130" s="7"/>
      <c r="B1130" s="3"/>
      <c r="C1130" s="3"/>
      <c r="D1130" s="3"/>
      <c r="E1130" s="3"/>
      <c r="F1130" s="3"/>
    </row>
    <row r="1131">
      <c r="A1131" s="7"/>
      <c r="B1131" s="3"/>
      <c r="C1131" s="3"/>
      <c r="D1131" s="3"/>
      <c r="E1131" s="3"/>
      <c r="F1131" s="3"/>
    </row>
    <row r="1132">
      <c r="A1132" s="7"/>
      <c r="B1132" s="3"/>
      <c r="C1132" s="3"/>
      <c r="D1132" s="3"/>
      <c r="E1132" s="3"/>
      <c r="F1132" s="3"/>
    </row>
    <row r="1133">
      <c r="A1133" s="7"/>
      <c r="B1133" s="3"/>
      <c r="C1133" s="3"/>
      <c r="D1133" s="3"/>
      <c r="E1133" s="3"/>
      <c r="F1133" s="3"/>
    </row>
    <row r="1134">
      <c r="A1134" s="7"/>
      <c r="B1134" s="3"/>
      <c r="C1134" s="3"/>
      <c r="D1134" s="3"/>
      <c r="E1134" s="3"/>
      <c r="F1134" s="3"/>
    </row>
    <row r="1135">
      <c r="A1135" s="7"/>
      <c r="B1135" s="3"/>
      <c r="C1135" s="3"/>
      <c r="D1135" s="3"/>
      <c r="E1135" s="3"/>
      <c r="F1135" s="3"/>
    </row>
    <row r="1136">
      <c r="A1136" s="7"/>
      <c r="B1136" s="3"/>
      <c r="C1136" s="3"/>
      <c r="D1136" s="3"/>
      <c r="E1136" s="3"/>
      <c r="F1136" s="3"/>
    </row>
    <row r="1137">
      <c r="A1137" s="7"/>
      <c r="B1137" s="3"/>
      <c r="C1137" s="3"/>
      <c r="D1137" s="3"/>
      <c r="E1137" s="3"/>
      <c r="F1137" s="3"/>
    </row>
    <row r="1138">
      <c r="A1138" s="7"/>
      <c r="B1138" s="3"/>
      <c r="C1138" s="3"/>
      <c r="D1138" s="3"/>
      <c r="E1138" s="3"/>
      <c r="F1138" s="3"/>
    </row>
    <row r="1139">
      <c r="A1139" s="7"/>
      <c r="B1139" s="3"/>
      <c r="C1139" s="3"/>
      <c r="D1139" s="3"/>
      <c r="E1139" s="3"/>
      <c r="F1139" s="3"/>
    </row>
    <row r="1140">
      <c r="A1140" s="7"/>
      <c r="B1140" s="3"/>
      <c r="C1140" s="3"/>
      <c r="D1140" s="3"/>
      <c r="E1140" s="3"/>
      <c r="F1140" s="3"/>
    </row>
    <row r="1141">
      <c r="A1141" s="7"/>
      <c r="B1141" s="3"/>
      <c r="C1141" s="3"/>
      <c r="D1141" s="3"/>
      <c r="E1141" s="3"/>
      <c r="F1141" s="3"/>
    </row>
    <row r="1142">
      <c r="A1142" s="7"/>
      <c r="B1142" s="3"/>
      <c r="C1142" s="3"/>
      <c r="D1142" s="3"/>
      <c r="E1142" s="3"/>
      <c r="F1142" s="3"/>
    </row>
    <row r="1143">
      <c r="A1143" s="7"/>
      <c r="B1143" s="3"/>
      <c r="C1143" s="3"/>
      <c r="D1143" s="3"/>
      <c r="E1143" s="3"/>
      <c r="F1143" s="3"/>
    </row>
    <row r="1144">
      <c r="A1144" s="7"/>
      <c r="B1144" s="3"/>
      <c r="C1144" s="3"/>
      <c r="D1144" s="3"/>
      <c r="E1144" s="3"/>
      <c r="F1144" s="3"/>
    </row>
    <row r="1145">
      <c r="A1145" s="7"/>
      <c r="B1145" s="3"/>
      <c r="C1145" s="3"/>
      <c r="D1145" s="3"/>
      <c r="E1145" s="3"/>
      <c r="F1145" s="3"/>
    </row>
    <row r="1146">
      <c r="A1146" s="7"/>
      <c r="B1146" s="3"/>
      <c r="C1146" s="3"/>
      <c r="D1146" s="3"/>
      <c r="E1146" s="3"/>
      <c r="F1146" s="3"/>
    </row>
    <row r="1147">
      <c r="A1147" s="7"/>
      <c r="B1147" s="3"/>
      <c r="C1147" s="3"/>
      <c r="D1147" s="3"/>
      <c r="E1147" s="3"/>
      <c r="F1147" s="3"/>
    </row>
    <row r="1148">
      <c r="A1148" s="7"/>
      <c r="B1148" s="3"/>
      <c r="C1148" s="3"/>
      <c r="D1148" s="3"/>
      <c r="E1148" s="3"/>
      <c r="F1148" s="3"/>
    </row>
    <row r="1149">
      <c r="A1149" s="7"/>
      <c r="B1149" s="3"/>
      <c r="C1149" s="3"/>
      <c r="D1149" s="3"/>
      <c r="E1149" s="3"/>
      <c r="F1149" s="3"/>
    </row>
    <row r="1150">
      <c r="A1150" s="7"/>
      <c r="B1150" s="3"/>
      <c r="C1150" s="3"/>
      <c r="D1150" s="3"/>
      <c r="E1150" s="3"/>
      <c r="F1150" s="3"/>
    </row>
    <row r="1151">
      <c r="A1151" s="7"/>
      <c r="B1151" s="3"/>
      <c r="C1151" s="3"/>
      <c r="D1151" s="3"/>
      <c r="E1151" s="3"/>
      <c r="F1151" s="3"/>
    </row>
    <row r="1152">
      <c r="A1152" s="7"/>
      <c r="B1152" s="3"/>
      <c r="C1152" s="3"/>
      <c r="D1152" s="3"/>
      <c r="E1152" s="3"/>
      <c r="F1152" s="3"/>
    </row>
    <row r="1153">
      <c r="A1153" s="7"/>
      <c r="B1153" s="3"/>
      <c r="C1153" s="3"/>
      <c r="D1153" s="3"/>
      <c r="E1153" s="3"/>
      <c r="F1153" s="3"/>
    </row>
    <row r="1154">
      <c r="A1154" s="7"/>
      <c r="B1154" s="3"/>
      <c r="C1154" s="3"/>
      <c r="D1154" s="3"/>
      <c r="E1154" s="3"/>
      <c r="F1154" s="3"/>
    </row>
    <row r="1155">
      <c r="A1155" s="7"/>
      <c r="B1155" s="3"/>
      <c r="C1155" s="3"/>
      <c r="D1155" s="3"/>
      <c r="E1155" s="3"/>
      <c r="F1155" s="3"/>
    </row>
    <row r="1156">
      <c r="A1156" s="7"/>
      <c r="B1156" s="3"/>
      <c r="C1156" s="3"/>
      <c r="D1156" s="3"/>
      <c r="E1156" s="3"/>
      <c r="F1156" s="3"/>
    </row>
    <row r="1157">
      <c r="A1157" s="7"/>
      <c r="B1157" s="3"/>
      <c r="C1157" s="3"/>
      <c r="D1157" s="3"/>
      <c r="E1157" s="3"/>
      <c r="F1157" s="3"/>
    </row>
    <row r="1158">
      <c r="A1158" s="7"/>
      <c r="B1158" s="3"/>
      <c r="C1158" s="3"/>
      <c r="D1158" s="3"/>
      <c r="E1158" s="3"/>
      <c r="F1158" s="3"/>
    </row>
    <row r="1159">
      <c r="A1159" s="7"/>
      <c r="B1159" s="3"/>
      <c r="C1159" s="3"/>
      <c r="D1159" s="3"/>
      <c r="E1159" s="3"/>
      <c r="F1159" s="3"/>
    </row>
    <row r="1160">
      <c r="A1160" s="7"/>
      <c r="B1160" s="3"/>
      <c r="C1160" s="3"/>
      <c r="D1160" s="3"/>
      <c r="E1160" s="3"/>
      <c r="F1160" s="3"/>
    </row>
    <row r="1161">
      <c r="A1161" s="7"/>
      <c r="B1161" s="3"/>
      <c r="C1161" s="3"/>
      <c r="D1161" s="3"/>
      <c r="E1161" s="3"/>
      <c r="F1161" s="3"/>
    </row>
    <row r="1162">
      <c r="A1162" s="7"/>
      <c r="B1162" s="3"/>
      <c r="C1162" s="3"/>
      <c r="D1162" s="3"/>
      <c r="E1162" s="3"/>
      <c r="F1162" s="3"/>
    </row>
    <row r="1163">
      <c r="A1163" s="7"/>
      <c r="B1163" s="3"/>
      <c r="C1163" s="3"/>
      <c r="D1163" s="3"/>
      <c r="E1163" s="3"/>
      <c r="F1163" s="3"/>
    </row>
    <row r="1164">
      <c r="A1164" s="7"/>
      <c r="B1164" s="3"/>
      <c r="C1164" s="3"/>
      <c r="D1164" s="3"/>
      <c r="E1164" s="3"/>
      <c r="F1164" s="3"/>
    </row>
    <row r="1165">
      <c r="A1165" s="7"/>
      <c r="B1165" s="3"/>
      <c r="C1165" s="3"/>
      <c r="D1165" s="3"/>
      <c r="E1165" s="3"/>
      <c r="F1165" s="3"/>
    </row>
    <row r="1166">
      <c r="A1166" s="7"/>
      <c r="B1166" s="3"/>
      <c r="C1166" s="3"/>
      <c r="D1166" s="3"/>
      <c r="E1166" s="3"/>
      <c r="F1166" s="3"/>
    </row>
    <row r="1167">
      <c r="A1167" s="7"/>
      <c r="B1167" s="3"/>
      <c r="C1167" s="3"/>
      <c r="D1167" s="3"/>
      <c r="E1167" s="3"/>
      <c r="F1167" s="3"/>
    </row>
    <row r="1168">
      <c r="A1168" s="7"/>
      <c r="B1168" s="3"/>
      <c r="C1168" s="3"/>
      <c r="D1168" s="3"/>
      <c r="E1168" s="3"/>
      <c r="F1168" s="3"/>
    </row>
    <row r="1169">
      <c r="A1169" s="7"/>
      <c r="B1169" s="3"/>
      <c r="C1169" s="3"/>
      <c r="D1169" s="3"/>
      <c r="E1169" s="3"/>
      <c r="F1169" s="3"/>
    </row>
    <row r="1170">
      <c r="A1170" s="7"/>
      <c r="B1170" s="3"/>
      <c r="C1170" s="3"/>
      <c r="D1170" s="3"/>
      <c r="E1170" s="3"/>
      <c r="F1170" s="3"/>
    </row>
    <row r="1171">
      <c r="A1171" s="7"/>
      <c r="B1171" s="3"/>
      <c r="C1171" s="3"/>
      <c r="D1171" s="3"/>
      <c r="E1171" s="3"/>
      <c r="F1171" s="3"/>
    </row>
    <row r="1172">
      <c r="A1172" s="7"/>
      <c r="B1172" s="3"/>
      <c r="C1172" s="3"/>
      <c r="D1172" s="3"/>
      <c r="E1172" s="3"/>
      <c r="F1172" s="3"/>
    </row>
    <row r="1173">
      <c r="A1173" s="3"/>
      <c r="B1173" s="3"/>
      <c r="C1173" s="3"/>
      <c r="D1173" s="3"/>
      <c r="E1173" s="3"/>
      <c r="F1173" s="3"/>
    </row>
    <row r="1174">
      <c r="A1174" s="7"/>
      <c r="B1174" s="3"/>
      <c r="C1174" s="3"/>
      <c r="D1174" s="3"/>
      <c r="E1174" s="3"/>
      <c r="F1174" s="3"/>
    </row>
    <row r="1175">
      <c r="A1175" s="7"/>
      <c r="B1175" s="3"/>
      <c r="C1175" s="3"/>
      <c r="D1175" s="3"/>
      <c r="E1175" s="3"/>
      <c r="F1175" s="3"/>
    </row>
    <row r="1176">
      <c r="A1176" s="7"/>
      <c r="B1176" s="3"/>
      <c r="C1176" s="3"/>
      <c r="D1176" s="3"/>
      <c r="E1176" s="3"/>
      <c r="F1176" s="3"/>
    </row>
    <row r="1177">
      <c r="A1177" s="7"/>
      <c r="B1177" s="3"/>
      <c r="C1177" s="3"/>
      <c r="D1177" s="3"/>
      <c r="E1177" s="3"/>
      <c r="F1177" s="3"/>
    </row>
    <row r="1178">
      <c r="A1178" s="7"/>
      <c r="B1178" s="3"/>
      <c r="C1178" s="3"/>
      <c r="D1178" s="3"/>
      <c r="E1178" s="3"/>
      <c r="F1178" s="3"/>
    </row>
    <row r="1179">
      <c r="A1179" s="7"/>
      <c r="B1179" s="3"/>
      <c r="C1179" s="3"/>
      <c r="D1179" s="3"/>
      <c r="E1179" s="3"/>
      <c r="F1179" s="3"/>
    </row>
    <row r="1180">
      <c r="A1180" s="7"/>
      <c r="B1180" s="3"/>
      <c r="C1180" s="3"/>
      <c r="D1180" s="3"/>
      <c r="E1180" s="3"/>
      <c r="F1180" s="3"/>
    </row>
    <row r="1181">
      <c r="A1181" s="7"/>
      <c r="B1181" s="3"/>
      <c r="C1181" s="3"/>
      <c r="D1181" s="3"/>
      <c r="E1181" s="3"/>
      <c r="F1181" s="3"/>
    </row>
    <row r="1182">
      <c r="A1182" s="7"/>
      <c r="B1182" s="3"/>
      <c r="C1182" s="3"/>
      <c r="D1182" s="3"/>
      <c r="E1182" s="3"/>
      <c r="F1182" s="3"/>
    </row>
    <row r="1183">
      <c r="A1183" s="7"/>
      <c r="B1183" s="3"/>
      <c r="C1183" s="3"/>
      <c r="D1183" s="3"/>
      <c r="E1183" s="3"/>
      <c r="F1183" s="3"/>
    </row>
    <row r="1184">
      <c r="A1184" s="7"/>
      <c r="B1184" s="3"/>
      <c r="C1184" s="3"/>
      <c r="D1184" s="3"/>
      <c r="E1184" s="3"/>
      <c r="F1184" s="3"/>
    </row>
    <row r="1185">
      <c r="A1185" s="7"/>
      <c r="B1185" s="3"/>
      <c r="C1185" s="3"/>
      <c r="D1185" s="3"/>
      <c r="E1185" s="3"/>
      <c r="F1185" s="3"/>
    </row>
    <row r="1186">
      <c r="A1186" s="7"/>
      <c r="B1186" s="3"/>
      <c r="C1186" s="3"/>
      <c r="D1186" s="3"/>
      <c r="E1186" s="3"/>
      <c r="F1186" s="3"/>
    </row>
    <row r="1187">
      <c r="A1187" s="7"/>
      <c r="B1187" s="3"/>
      <c r="C1187" s="3"/>
      <c r="D1187" s="3"/>
      <c r="E1187" s="3"/>
      <c r="F1187" s="3"/>
    </row>
    <row r="1188">
      <c r="A1188" s="7"/>
      <c r="B1188" s="3"/>
      <c r="C1188" s="3"/>
      <c r="D1188" s="3"/>
      <c r="E1188" s="3"/>
      <c r="F1188" s="3"/>
    </row>
    <row r="1189">
      <c r="A1189" s="7"/>
      <c r="B1189" s="3"/>
      <c r="C1189" s="3"/>
      <c r="D1189" s="3"/>
      <c r="E1189" s="3"/>
      <c r="F1189" s="3"/>
    </row>
    <row r="1190">
      <c r="A1190" s="7"/>
      <c r="B1190" s="3"/>
      <c r="C1190" s="3"/>
      <c r="D1190" s="3"/>
      <c r="E1190" s="3"/>
      <c r="F1190" s="3"/>
    </row>
    <row r="1191">
      <c r="A1191" s="7"/>
      <c r="B1191" s="3"/>
      <c r="C1191" s="3"/>
      <c r="D1191" s="3"/>
      <c r="E1191" s="3"/>
      <c r="F1191" s="3"/>
    </row>
    <row r="1192">
      <c r="A1192" s="7"/>
      <c r="B1192" s="3"/>
      <c r="C1192" s="3"/>
      <c r="D1192" s="3"/>
      <c r="E1192" s="3"/>
      <c r="F1192" s="3"/>
    </row>
    <row r="1193">
      <c r="A1193" s="7"/>
      <c r="B1193" s="3"/>
      <c r="C1193" s="3"/>
      <c r="D1193" s="3"/>
      <c r="E1193" s="3"/>
      <c r="F1193" s="3"/>
    </row>
    <row r="1194">
      <c r="A1194" s="7"/>
      <c r="B1194" s="3"/>
      <c r="C1194" s="3"/>
      <c r="D1194" s="3"/>
      <c r="E1194" s="3"/>
      <c r="F1194" s="3"/>
    </row>
    <row r="1195">
      <c r="A1195" s="7"/>
      <c r="B1195" s="3"/>
      <c r="C1195" s="3"/>
      <c r="D1195" s="3"/>
      <c r="E1195" s="3"/>
      <c r="F1195" s="3"/>
    </row>
    <row r="1196">
      <c r="A1196" s="7"/>
      <c r="B1196" s="3"/>
      <c r="C1196" s="3"/>
      <c r="D1196" s="3"/>
      <c r="E1196" s="3"/>
      <c r="F1196" s="3"/>
    </row>
    <row r="1197">
      <c r="A1197" s="7"/>
      <c r="B1197" s="3"/>
      <c r="C1197" s="3"/>
      <c r="D1197" s="3"/>
      <c r="E1197" s="3"/>
      <c r="F1197" s="3"/>
    </row>
    <row r="1198">
      <c r="A1198" s="7"/>
      <c r="B1198" s="3"/>
      <c r="C1198" s="3"/>
      <c r="D1198" s="3"/>
      <c r="E1198" s="3"/>
      <c r="F1198" s="3"/>
    </row>
    <row r="1199">
      <c r="A1199" s="7"/>
      <c r="B1199" s="3"/>
      <c r="C1199" s="3"/>
      <c r="D1199" s="3"/>
      <c r="E1199" s="3"/>
      <c r="F1199" s="3"/>
    </row>
    <row r="1200">
      <c r="A1200" s="7"/>
      <c r="B1200" s="3"/>
      <c r="C1200" s="3"/>
      <c r="D1200" s="3"/>
      <c r="E1200" s="3"/>
      <c r="F1200" s="3"/>
    </row>
    <row r="1201">
      <c r="A1201" s="7"/>
      <c r="B1201" s="3"/>
      <c r="C1201" s="3"/>
      <c r="D1201" s="3"/>
      <c r="E1201" s="3"/>
      <c r="F1201" s="3"/>
    </row>
    <row r="1202">
      <c r="A1202" s="7"/>
      <c r="B1202" s="3"/>
      <c r="C1202" s="3"/>
      <c r="D1202" s="3"/>
      <c r="E1202" s="3"/>
      <c r="F1202" s="3"/>
    </row>
    <row r="1203">
      <c r="A1203" s="7"/>
      <c r="B1203" s="3"/>
      <c r="C1203" s="3"/>
      <c r="D1203" s="3"/>
      <c r="E1203" s="3"/>
      <c r="F1203" s="3"/>
    </row>
    <row r="1204">
      <c r="A1204" s="7"/>
      <c r="B1204" s="3"/>
      <c r="C1204" s="3"/>
      <c r="D1204" s="3"/>
      <c r="E1204" s="3"/>
      <c r="F1204" s="3"/>
    </row>
    <row r="1205">
      <c r="A1205" s="7"/>
      <c r="B1205" s="3"/>
      <c r="C1205" s="3"/>
      <c r="D1205" s="3"/>
      <c r="E1205" s="3"/>
      <c r="F1205" s="3"/>
    </row>
    <row r="1206">
      <c r="A1206" s="7"/>
      <c r="B1206" s="3"/>
      <c r="C1206" s="3"/>
      <c r="D1206" s="3"/>
      <c r="E1206" s="3"/>
      <c r="F1206" s="3"/>
    </row>
    <row r="1207">
      <c r="A1207" s="7"/>
      <c r="B1207" s="3"/>
      <c r="C1207" s="3"/>
      <c r="D1207" s="3"/>
      <c r="E1207" s="3"/>
      <c r="F1207" s="3"/>
    </row>
    <row r="1208">
      <c r="A1208" s="7"/>
      <c r="B1208" s="3"/>
      <c r="C1208" s="3"/>
      <c r="D1208" s="3"/>
      <c r="E1208" s="3"/>
      <c r="F1208" s="3"/>
    </row>
    <row r="1209">
      <c r="A1209" s="7"/>
      <c r="B1209" s="3"/>
      <c r="C1209" s="3"/>
      <c r="D1209" s="3"/>
      <c r="E1209" s="3"/>
      <c r="F1209" s="3"/>
    </row>
    <row r="1210">
      <c r="A1210" s="7"/>
      <c r="B1210" s="3"/>
      <c r="C1210" s="3"/>
      <c r="D1210" s="3"/>
      <c r="E1210" s="3"/>
      <c r="F1210" s="3"/>
    </row>
    <row r="1211">
      <c r="A1211" s="7"/>
      <c r="B1211" s="3"/>
      <c r="C1211" s="3"/>
      <c r="D1211" s="3"/>
      <c r="E1211" s="3"/>
      <c r="F1211" s="3"/>
    </row>
    <row r="1212">
      <c r="A1212" s="7"/>
      <c r="B1212" s="3"/>
      <c r="C1212" s="3"/>
      <c r="D1212" s="3"/>
      <c r="E1212" s="3"/>
      <c r="F1212" s="3"/>
    </row>
    <row r="1213">
      <c r="A1213" s="7"/>
      <c r="B1213" s="3"/>
      <c r="C1213" s="3"/>
      <c r="D1213" s="3"/>
      <c r="E1213" s="3"/>
      <c r="F1213" s="3"/>
    </row>
    <row r="1214">
      <c r="A1214" s="7"/>
      <c r="B1214" s="3"/>
      <c r="C1214" s="3"/>
      <c r="D1214" s="3"/>
      <c r="E1214" s="3"/>
      <c r="F1214" s="3"/>
    </row>
    <row r="1215">
      <c r="A1215" s="7"/>
      <c r="B1215" s="3"/>
      <c r="C1215" s="3"/>
      <c r="D1215" s="3"/>
      <c r="E1215" s="3"/>
      <c r="F1215" s="3"/>
    </row>
    <row r="1216">
      <c r="A1216" s="7"/>
      <c r="B1216" s="3"/>
      <c r="C1216" s="3"/>
      <c r="D1216" s="3"/>
      <c r="E1216" s="3"/>
      <c r="F1216" s="3"/>
    </row>
    <row r="1217">
      <c r="A1217" s="7"/>
      <c r="B1217" s="3"/>
      <c r="C1217" s="3"/>
      <c r="D1217" s="3"/>
      <c r="E1217" s="3"/>
      <c r="F1217" s="3"/>
    </row>
    <row r="1218">
      <c r="A1218" s="7"/>
      <c r="B1218" s="3"/>
      <c r="C1218" s="3"/>
      <c r="D1218" s="3"/>
      <c r="E1218" s="3"/>
      <c r="F1218" s="3"/>
    </row>
    <row r="1219">
      <c r="A1219" s="7"/>
      <c r="B1219" s="3"/>
      <c r="C1219" s="3"/>
      <c r="D1219" s="3"/>
      <c r="E1219" s="3"/>
      <c r="F1219" s="3"/>
    </row>
    <row r="1220">
      <c r="A1220" s="7"/>
      <c r="B1220" s="3"/>
      <c r="C1220" s="3"/>
      <c r="D1220" s="3"/>
      <c r="E1220" s="3"/>
      <c r="F1220" s="3"/>
    </row>
    <row r="1221">
      <c r="A1221" s="7"/>
      <c r="B1221" s="3"/>
      <c r="C1221" s="3"/>
      <c r="D1221" s="3"/>
      <c r="E1221" s="3"/>
      <c r="F1221" s="3"/>
    </row>
    <row r="1222">
      <c r="A1222" s="7"/>
      <c r="B1222" s="3"/>
      <c r="C1222" s="3"/>
      <c r="D1222" s="3"/>
      <c r="E1222" s="3"/>
      <c r="F1222" s="3"/>
    </row>
    <row r="1223">
      <c r="A1223" s="3"/>
      <c r="B1223" s="3"/>
      <c r="C1223" s="3"/>
      <c r="D1223" s="3"/>
      <c r="E1223" s="3"/>
      <c r="F1223" s="3"/>
    </row>
    <row r="1224">
      <c r="A1224" s="3"/>
      <c r="B1224" s="3"/>
      <c r="C1224" s="3"/>
      <c r="D1224" s="3"/>
      <c r="E1224" s="3"/>
      <c r="F1224" s="3"/>
    </row>
    <row r="1225">
      <c r="A1225" s="3"/>
      <c r="B1225" s="3"/>
      <c r="C1225" s="3"/>
      <c r="D1225" s="3"/>
      <c r="E1225" s="3"/>
      <c r="F1225" s="3"/>
    </row>
    <row r="1226">
      <c r="A1226" s="3"/>
      <c r="B1226" s="3"/>
      <c r="C1226" s="3"/>
      <c r="D1226" s="3"/>
      <c r="E1226" s="3"/>
      <c r="F1226" s="3"/>
    </row>
    <row r="1227">
      <c r="A1227" s="3"/>
      <c r="B1227" s="3"/>
      <c r="C1227" s="3"/>
      <c r="D1227" s="3"/>
      <c r="E1227" s="3"/>
      <c r="F1227" s="3"/>
    </row>
    <row r="1228">
      <c r="A1228" s="3"/>
      <c r="B1228" s="3"/>
      <c r="C1228" s="3"/>
      <c r="D1228" s="3"/>
      <c r="E1228" s="3"/>
      <c r="F1228" s="3"/>
    </row>
    <row r="1229">
      <c r="A1229" s="3"/>
      <c r="B1229" s="3"/>
      <c r="C1229" s="3"/>
      <c r="D1229" s="3"/>
      <c r="E1229" s="3"/>
      <c r="F1229" s="3"/>
    </row>
    <row r="1230">
      <c r="A1230" s="3"/>
      <c r="B1230" s="3"/>
      <c r="C1230" s="3"/>
      <c r="D1230" s="3"/>
      <c r="E1230" s="3"/>
      <c r="F1230" s="3"/>
    </row>
    <row r="1231">
      <c r="A1231" s="3"/>
      <c r="B1231" s="3"/>
      <c r="C1231" s="3"/>
      <c r="D1231" s="3"/>
      <c r="E1231" s="3"/>
      <c r="F1231" s="3"/>
    </row>
    <row r="1232">
      <c r="A1232" s="3"/>
      <c r="B1232" s="3"/>
      <c r="C1232" s="3"/>
      <c r="D1232" s="3"/>
      <c r="E1232" s="3"/>
      <c r="F1232" s="3"/>
    </row>
    <row r="1233">
      <c r="A1233" s="3"/>
      <c r="B1233" s="3"/>
      <c r="C1233" s="3"/>
      <c r="D1233" s="3"/>
      <c r="E1233" s="3"/>
      <c r="F1233" s="3"/>
    </row>
    <row r="1234">
      <c r="A1234" s="3"/>
      <c r="B1234" s="3"/>
      <c r="C1234" s="3"/>
      <c r="D1234" s="3"/>
      <c r="E1234" s="3"/>
      <c r="F1234" s="3"/>
    </row>
    <row r="1235">
      <c r="A1235" s="3"/>
      <c r="B1235" s="3"/>
      <c r="C1235" s="3"/>
      <c r="D1235" s="3"/>
      <c r="E1235" s="3"/>
      <c r="F1235" s="3"/>
    </row>
    <row r="1236">
      <c r="A1236" s="3"/>
      <c r="B1236" s="3"/>
      <c r="C1236" s="3"/>
      <c r="D1236" s="3"/>
      <c r="E1236" s="3"/>
      <c r="F1236" s="3"/>
    </row>
    <row r="1237">
      <c r="A1237" s="3"/>
      <c r="B1237" s="3"/>
      <c r="C1237" s="3"/>
      <c r="D1237" s="3"/>
      <c r="E1237" s="3"/>
      <c r="F1237" s="3"/>
    </row>
    <row r="1238">
      <c r="A1238" s="3"/>
      <c r="B1238" s="3"/>
      <c r="C1238" s="3"/>
      <c r="D1238" s="3"/>
      <c r="E1238" s="3"/>
      <c r="F1238" s="3"/>
    </row>
    <row r="1239">
      <c r="A1239" s="3"/>
      <c r="B1239" s="3"/>
      <c r="C1239" s="3"/>
      <c r="D1239" s="3"/>
      <c r="E1239" s="3"/>
      <c r="F1239" s="3"/>
    </row>
    <row r="1240">
      <c r="A1240" s="3"/>
      <c r="B1240" s="3"/>
      <c r="C1240" s="3"/>
      <c r="D1240" s="3"/>
      <c r="E1240" s="3"/>
      <c r="F1240" s="3"/>
    </row>
    <row r="1241">
      <c r="A1241" s="3"/>
      <c r="B1241" s="3"/>
      <c r="C1241" s="3"/>
      <c r="D1241" s="3"/>
      <c r="E1241" s="3"/>
      <c r="F1241" s="3"/>
    </row>
    <row r="1242">
      <c r="A1242" s="3"/>
      <c r="B1242" s="3"/>
      <c r="C1242" s="3"/>
      <c r="D1242" s="3"/>
      <c r="E1242" s="3"/>
      <c r="F1242" s="3"/>
    </row>
    <row r="1243">
      <c r="A1243" s="3"/>
      <c r="B1243" s="3"/>
      <c r="C1243" s="3"/>
      <c r="D1243" s="3"/>
      <c r="E1243" s="3"/>
      <c r="F1243" s="3"/>
    </row>
    <row r="1244">
      <c r="A1244" s="3"/>
      <c r="B1244" s="3"/>
      <c r="C1244" s="3"/>
      <c r="D1244" s="3"/>
      <c r="E1244" s="3"/>
      <c r="F1244" s="3"/>
    </row>
    <row r="1245">
      <c r="A1245" s="3"/>
      <c r="B1245" s="3"/>
      <c r="C1245" s="3"/>
      <c r="D1245" s="3"/>
      <c r="E1245" s="3"/>
      <c r="F1245" s="3"/>
    </row>
    <row r="1246">
      <c r="A1246" s="3"/>
      <c r="B1246" s="3"/>
      <c r="C1246" s="3"/>
      <c r="D1246" s="3"/>
      <c r="E1246" s="3"/>
      <c r="F1246" s="3"/>
    </row>
    <row r="1247">
      <c r="A1247" s="3"/>
      <c r="B1247" s="3"/>
      <c r="C1247" s="3"/>
      <c r="D1247" s="3"/>
      <c r="E1247" s="3"/>
      <c r="F1247" s="3"/>
    </row>
    <row r="1248">
      <c r="A1248" s="3"/>
      <c r="B1248" s="3"/>
      <c r="C1248" s="3"/>
      <c r="D1248" s="3"/>
      <c r="E1248" s="3"/>
      <c r="F1248" s="3"/>
    </row>
    <row r="1249">
      <c r="A1249" s="3"/>
      <c r="B1249" s="3"/>
      <c r="C1249" s="3"/>
      <c r="D1249" s="3"/>
      <c r="E1249" s="3"/>
      <c r="F1249" s="3"/>
    </row>
    <row r="1250">
      <c r="A1250" s="3"/>
      <c r="B1250" s="3"/>
      <c r="C1250" s="3"/>
      <c r="D1250" s="3"/>
      <c r="E1250" s="3"/>
      <c r="F1250" s="3"/>
    </row>
    <row r="1251">
      <c r="A1251" s="3"/>
      <c r="B1251" s="3"/>
      <c r="C1251" s="3"/>
      <c r="D1251" s="3"/>
      <c r="E1251" s="3"/>
      <c r="F1251" s="3"/>
    </row>
    <row r="1252">
      <c r="A1252" s="3"/>
      <c r="B1252" s="3"/>
      <c r="C1252" s="3"/>
      <c r="D1252" s="3"/>
      <c r="E1252" s="3"/>
      <c r="F1252" s="3"/>
    </row>
    <row r="1253">
      <c r="A1253" s="3"/>
      <c r="B1253" s="3"/>
      <c r="C1253" s="3"/>
      <c r="D1253" s="3"/>
      <c r="E1253" s="3"/>
      <c r="F1253" s="3"/>
    </row>
    <row r="1254">
      <c r="A1254" s="3"/>
      <c r="B1254" s="3"/>
      <c r="C1254" s="3"/>
      <c r="D1254" s="3"/>
      <c r="E1254" s="3"/>
      <c r="F1254" s="3"/>
    </row>
    <row r="1255">
      <c r="A1255" s="3"/>
      <c r="B1255" s="3"/>
      <c r="C1255" s="3"/>
      <c r="D1255" s="3"/>
      <c r="E1255" s="3"/>
      <c r="F1255" s="3"/>
    </row>
    <row r="1256">
      <c r="A1256" s="3"/>
      <c r="B1256" s="3"/>
      <c r="C1256" s="3"/>
      <c r="D1256" s="3"/>
      <c r="E1256" s="3"/>
      <c r="F1256" s="3"/>
    </row>
    <row r="1257">
      <c r="A1257" s="3"/>
      <c r="B1257" s="3"/>
      <c r="C1257" s="3"/>
      <c r="D1257" s="3"/>
      <c r="E1257" s="3"/>
      <c r="F1257" s="3"/>
    </row>
    <row r="1258">
      <c r="A1258" s="3"/>
      <c r="B1258" s="3"/>
      <c r="C1258" s="3"/>
      <c r="D1258" s="3"/>
      <c r="E1258" s="3"/>
      <c r="F1258" s="3"/>
    </row>
    <row r="1259">
      <c r="A1259" s="3"/>
      <c r="B1259" s="3"/>
      <c r="C1259" s="3"/>
      <c r="D1259" s="3"/>
      <c r="E1259" s="3"/>
      <c r="F1259" s="3"/>
    </row>
    <row r="1260">
      <c r="A1260" s="3"/>
      <c r="B1260" s="3"/>
      <c r="C1260" s="3"/>
      <c r="D1260" s="3"/>
      <c r="E1260" s="3"/>
      <c r="F1260" s="3"/>
    </row>
    <row r="1261">
      <c r="A1261" s="3"/>
      <c r="B1261" s="3"/>
      <c r="C1261" s="3"/>
      <c r="D1261" s="3"/>
      <c r="E1261" s="3"/>
      <c r="F1261" s="3"/>
    </row>
    <row r="1262">
      <c r="A1262" s="3"/>
      <c r="B1262" s="3"/>
      <c r="C1262" s="3"/>
      <c r="D1262" s="3"/>
      <c r="E1262" s="3"/>
      <c r="F1262" s="3"/>
    </row>
    <row r="1263">
      <c r="A1263" s="3"/>
      <c r="B1263" s="3"/>
      <c r="C1263" s="3"/>
      <c r="D1263" s="3"/>
      <c r="E1263" s="3"/>
      <c r="F1263" s="3"/>
    </row>
    <row r="1264">
      <c r="A1264" s="3"/>
      <c r="B1264" s="3"/>
      <c r="C1264" s="3"/>
      <c r="D1264" s="3"/>
      <c r="E1264" s="3"/>
      <c r="F1264" s="3"/>
    </row>
    <row r="1265">
      <c r="A1265" s="3"/>
      <c r="B1265" s="3"/>
      <c r="C1265" s="3"/>
      <c r="D1265" s="3"/>
      <c r="E1265" s="3"/>
      <c r="F1265" s="3"/>
    </row>
    <row r="1266">
      <c r="A1266" s="3"/>
      <c r="B1266" s="3"/>
      <c r="C1266" s="3"/>
      <c r="D1266" s="3"/>
      <c r="E1266" s="3"/>
      <c r="F1266" s="3"/>
    </row>
    <row r="1267">
      <c r="A1267" s="3"/>
      <c r="B1267" s="3"/>
      <c r="C1267" s="3"/>
      <c r="D1267" s="3"/>
      <c r="E1267" s="3"/>
      <c r="F1267" s="3"/>
    </row>
    <row r="1268">
      <c r="A1268" s="3"/>
      <c r="B1268" s="3"/>
      <c r="C1268" s="3"/>
      <c r="D1268" s="3"/>
      <c r="E1268" s="3"/>
      <c r="F1268" s="3"/>
    </row>
    <row r="1269">
      <c r="A1269" s="3"/>
      <c r="B1269" s="3"/>
      <c r="C1269" s="3"/>
      <c r="D1269" s="3"/>
      <c r="E1269" s="3"/>
      <c r="F1269" s="3"/>
    </row>
    <row r="1270">
      <c r="A1270" s="3"/>
      <c r="B1270" s="3"/>
      <c r="C1270" s="3"/>
      <c r="D1270" s="3"/>
      <c r="E1270" s="3"/>
      <c r="F1270" s="3"/>
    </row>
    <row r="1271">
      <c r="A1271" s="3"/>
      <c r="B1271" s="3"/>
      <c r="C1271" s="3"/>
      <c r="D1271" s="3"/>
      <c r="E1271" s="3"/>
      <c r="F127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5.86"/>
    <col customWidth="1" min="3" max="3" width="16.86"/>
    <col customWidth="1" min="4" max="4" width="21.71"/>
    <col customWidth="1" min="5" max="5" width="16.86"/>
    <col customWidth="1" min="6" max="6" width="58.57"/>
    <col customWidth="1" min="7" max="7" width="1.86"/>
    <col customWidth="1" min="8" max="26" width="9.0"/>
  </cols>
  <sheetData>
    <row r="1" ht="6.0" customHeight="1">
      <c r="A1" s="8" t="s">
        <v>2396</v>
      </c>
    </row>
    <row r="2" ht="45.75" customHeight="1">
      <c r="A2" s="9" t="s">
        <v>2397</v>
      </c>
    </row>
    <row r="3" customHeight="1">
      <c r="A3" s="10"/>
    </row>
    <row r="4" ht="12.0" customHeight="1">
      <c r="A4" s="11">
        <v>1.0</v>
      </c>
      <c r="B4" s="12" t="s">
        <v>7</v>
      </c>
      <c r="C4" s="13" t="s">
        <v>2398</v>
      </c>
      <c r="D4" s="12" t="s">
        <v>2399</v>
      </c>
      <c r="E4" s="12" t="s">
        <v>2400</v>
      </c>
      <c r="F4" s="12" t="s">
        <v>9</v>
      </c>
    </row>
    <row r="5" ht="12.0" customHeight="1">
      <c r="A5" s="14">
        <v>1.0</v>
      </c>
      <c r="B5" s="15" t="s">
        <v>10</v>
      </c>
      <c r="C5" s="16" t="s">
        <v>2401</v>
      </c>
      <c r="D5" s="15" t="s">
        <v>2402</v>
      </c>
      <c r="E5" s="15" t="s">
        <v>2403</v>
      </c>
      <c r="F5" s="15" t="s">
        <v>11</v>
      </c>
    </row>
    <row r="6" ht="12.0" customHeight="1">
      <c r="A6" s="14">
        <v>1.0</v>
      </c>
      <c r="B6" s="15" t="s">
        <v>12</v>
      </c>
      <c r="C6" s="16" t="s">
        <v>2404</v>
      </c>
      <c r="D6" s="15" t="s">
        <v>2405</v>
      </c>
      <c r="E6" s="15" t="s">
        <v>2406</v>
      </c>
      <c r="F6" s="15" t="s">
        <v>13</v>
      </c>
    </row>
    <row r="7" ht="12.0" customHeight="1">
      <c r="A7" s="14">
        <v>1.0</v>
      </c>
      <c r="B7" s="15" t="s">
        <v>14</v>
      </c>
      <c r="C7" s="16" t="s">
        <v>2407</v>
      </c>
      <c r="D7" s="15" t="s">
        <v>2408</v>
      </c>
      <c r="E7" s="15" t="s">
        <v>2409</v>
      </c>
      <c r="F7" s="15" t="s">
        <v>15</v>
      </c>
    </row>
    <row r="8" ht="12.0" customHeight="1">
      <c r="A8" s="14">
        <v>1.0</v>
      </c>
      <c r="B8" s="15" t="s">
        <v>16</v>
      </c>
      <c r="C8" s="16" t="s">
        <v>2410</v>
      </c>
      <c r="D8" s="15" t="s">
        <v>2411</v>
      </c>
      <c r="E8" s="15" t="s">
        <v>2412</v>
      </c>
      <c r="F8" s="15" t="s">
        <v>17</v>
      </c>
    </row>
    <row r="9" ht="12.0" customHeight="1">
      <c r="A9" s="14">
        <v>1.0</v>
      </c>
      <c r="B9" s="15" t="s">
        <v>18</v>
      </c>
      <c r="C9" s="16" t="s">
        <v>2413</v>
      </c>
      <c r="D9" s="15" t="s">
        <v>2414</v>
      </c>
      <c r="E9" s="15" t="s">
        <v>2415</v>
      </c>
      <c r="F9" s="15" t="s">
        <v>19</v>
      </c>
    </row>
    <row r="10" ht="11.25" customHeight="1">
      <c r="A10" s="14">
        <v>1.0</v>
      </c>
      <c r="B10" s="15" t="s">
        <v>20</v>
      </c>
      <c r="C10" s="16" t="s">
        <v>2416</v>
      </c>
      <c r="D10" s="15" t="s">
        <v>2417</v>
      </c>
      <c r="E10" s="15" t="s">
        <v>2418</v>
      </c>
      <c r="F10" s="15" t="s">
        <v>21</v>
      </c>
    </row>
    <row r="11" ht="12.0" customHeight="1">
      <c r="A11" s="14">
        <v>1.0</v>
      </c>
      <c r="B11" s="15" t="s">
        <v>22</v>
      </c>
      <c r="C11" s="16" t="s">
        <v>2419</v>
      </c>
      <c r="D11" s="15" t="s">
        <v>2420</v>
      </c>
      <c r="E11" s="15" t="s">
        <v>2421</v>
      </c>
      <c r="F11" s="15" t="s">
        <v>23</v>
      </c>
    </row>
    <row r="12" ht="12.0" customHeight="1">
      <c r="A12" s="14">
        <v>1.0</v>
      </c>
      <c r="B12" s="15" t="s">
        <v>24</v>
      </c>
      <c r="C12" s="16" t="s">
        <v>2422</v>
      </c>
      <c r="D12" s="15" t="s">
        <v>2423</v>
      </c>
      <c r="E12" s="15" t="s">
        <v>2424</v>
      </c>
      <c r="F12" s="15" t="s">
        <v>25</v>
      </c>
    </row>
    <row r="13" ht="12.0" customHeight="1">
      <c r="A13" s="14">
        <v>1.0</v>
      </c>
      <c r="B13" s="15" t="s">
        <v>26</v>
      </c>
      <c r="C13" s="16" t="s">
        <v>2425</v>
      </c>
      <c r="D13" s="15" t="s">
        <v>2426</v>
      </c>
      <c r="E13" s="15" t="s">
        <v>2427</v>
      </c>
      <c r="F13" s="15" t="s">
        <v>27</v>
      </c>
    </row>
    <row r="14" ht="12.0" customHeight="1">
      <c r="A14" s="14">
        <v>1.0</v>
      </c>
      <c r="B14" s="15" t="s">
        <v>28</v>
      </c>
      <c r="C14" s="16" t="s">
        <v>2428</v>
      </c>
      <c r="D14" s="15" t="s">
        <v>2429</v>
      </c>
      <c r="E14" s="15" t="s">
        <v>2430</v>
      </c>
      <c r="F14" s="15" t="s">
        <v>29</v>
      </c>
    </row>
    <row r="15" ht="12.0" customHeight="1">
      <c r="A15" s="14">
        <v>1.0</v>
      </c>
      <c r="B15" s="15" t="s">
        <v>30</v>
      </c>
      <c r="C15" s="16" t="s">
        <v>2431</v>
      </c>
      <c r="D15" s="15" t="s">
        <v>2432</v>
      </c>
      <c r="E15" s="15" t="s">
        <v>2433</v>
      </c>
      <c r="F15" s="15" t="s">
        <v>31</v>
      </c>
    </row>
    <row r="16" ht="12.0" customHeight="1">
      <c r="A16" s="14">
        <v>1.0</v>
      </c>
      <c r="B16" s="15" t="s">
        <v>32</v>
      </c>
      <c r="C16" s="16" t="s">
        <v>2434</v>
      </c>
      <c r="D16" s="15" t="s">
        <v>2435</v>
      </c>
      <c r="E16" s="15" t="s">
        <v>2436</v>
      </c>
      <c r="F16" s="15" t="s">
        <v>33</v>
      </c>
    </row>
    <row r="17" ht="12.0" customHeight="1">
      <c r="A17" s="14">
        <v>1.0</v>
      </c>
      <c r="B17" s="15" t="s">
        <v>34</v>
      </c>
      <c r="C17" s="16" t="s">
        <v>2437</v>
      </c>
      <c r="D17" s="15" t="s">
        <v>2438</v>
      </c>
      <c r="E17" s="15" t="s">
        <v>2439</v>
      </c>
      <c r="F17" s="15" t="s">
        <v>35</v>
      </c>
    </row>
    <row r="18" ht="12.0" customHeight="1">
      <c r="A18" s="14">
        <v>1.0</v>
      </c>
      <c r="B18" s="15" t="s">
        <v>36</v>
      </c>
      <c r="C18" s="16" t="s">
        <v>2440</v>
      </c>
      <c r="D18" s="15" t="s">
        <v>2441</v>
      </c>
      <c r="E18" s="15" t="s">
        <v>2442</v>
      </c>
      <c r="F18" s="15" t="s">
        <v>37</v>
      </c>
    </row>
    <row r="19" ht="12.0" customHeight="1">
      <c r="A19" s="14">
        <v>1.0</v>
      </c>
      <c r="B19" s="15" t="s">
        <v>38</v>
      </c>
      <c r="C19" s="16" t="s">
        <v>2443</v>
      </c>
      <c r="D19" s="15" t="s">
        <v>2444</v>
      </c>
      <c r="E19" s="15" t="s">
        <v>2445</v>
      </c>
      <c r="F19" s="15" t="s">
        <v>39</v>
      </c>
    </row>
    <row r="20" ht="12.0" customHeight="1">
      <c r="A20" s="14">
        <v>1.0</v>
      </c>
      <c r="B20" s="15" t="s">
        <v>40</v>
      </c>
      <c r="C20" s="16" t="s">
        <v>2446</v>
      </c>
      <c r="D20" s="15" t="s">
        <v>2447</v>
      </c>
      <c r="E20" s="15" t="s">
        <v>2448</v>
      </c>
      <c r="F20" s="15" t="s">
        <v>41</v>
      </c>
    </row>
    <row r="21" ht="12.0" customHeight="1">
      <c r="A21" s="14">
        <v>1.0</v>
      </c>
      <c r="B21" s="15" t="s">
        <v>42</v>
      </c>
      <c r="C21" s="16" t="s">
        <v>2449</v>
      </c>
      <c r="D21" s="15" t="s">
        <v>2450</v>
      </c>
      <c r="E21" s="15" t="s">
        <v>2451</v>
      </c>
      <c r="F21" s="15" t="s">
        <v>43</v>
      </c>
    </row>
    <row r="22" ht="12.0" customHeight="1">
      <c r="A22" s="14">
        <v>1.0</v>
      </c>
      <c r="B22" s="15" t="s">
        <v>44</v>
      </c>
      <c r="C22" s="16" t="s">
        <v>2452</v>
      </c>
      <c r="D22" s="15" t="s">
        <v>2453</v>
      </c>
      <c r="E22" s="15" t="s">
        <v>2454</v>
      </c>
      <c r="F22" s="15" t="s">
        <v>45</v>
      </c>
    </row>
    <row r="23" ht="12.0" customHeight="1">
      <c r="A23" s="14">
        <v>1.0</v>
      </c>
      <c r="B23" s="15" t="s">
        <v>46</v>
      </c>
      <c r="C23" s="16" t="s">
        <v>2455</v>
      </c>
      <c r="D23" s="15" t="s">
        <v>2456</v>
      </c>
      <c r="E23" s="15" t="s">
        <v>2457</v>
      </c>
      <c r="F23" s="15" t="s">
        <v>47</v>
      </c>
    </row>
    <row r="24" ht="12.0" customHeight="1">
      <c r="A24" s="14">
        <v>1.0</v>
      </c>
      <c r="B24" s="15" t="s">
        <v>48</v>
      </c>
      <c r="C24" s="16" t="s">
        <v>2458</v>
      </c>
      <c r="D24" s="15" t="s">
        <v>2459</v>
      </c>
      <c r="E24" s="15" t="s">
        <v>2460</v>
      </c>
      <c r="F24" s="15" t="s">
        <v>49</v>
      </c>
    </row>
    <row r="25" ht="12.0" customHeight="1">
      <c r="A25" s="14">
        <v>1.0</v>
      </c>
      <c r="B25" s="15" t="s">
        <v>50</v>
      </c>
      <c r="C25" s="16" t="s">
        <v>2461</v>
      </c>
      <c r="D25" s="15" t="s">
        <v>2462</v>
      </c>
      <c r="E25" s="15" t="s">
        <v>2463</v>
      </c>
      <c r="F25" s="15" t="s">
        <v>51</v>
      </c>
    </row>
    <row r="26" ht="12.0" customHeight="1">
      <c r="A26" s="14">
        <v>1.0</v>
      </c>
      <c r="B26" s="15" t="s">
        <v>52</v>
      </c>
      <c r="C26" s="16" t="s">
        <v>2464</v>
      </c>
      <c r="D26" s="15" t="s">
        <v>2465</v>
      </c>
      <c r="E26" s="15" t="s">
        <v>2466</v>
      </c>
      <c r="F26" s="15" t="s">
        <v>53</v>
      </c>
    </row>
    <row r="27" ht="12.0" customHeight="1">
      <c r="A27" s="14">
        <v>1.0</v>
      </c>
      <c r="B27" s="15" t="s">
        <v>54</v>
      </c>
      <c r="C27" s="16" t="s">
        <v>2467</v>
      </c>
      <c r="D27" s="15" t="s">
        <v>2468</v>
      </c>
      <c r="E27" s="15" t="s">
        <v>2469</v>
      </c>
      <c r="F27" s="15" t="s">
        <v>55</v>
      </c>
    </row>
    <row r="28" ht="12.0" customHeight="1">
      <c r="A28" s="14">
        <v>1.0</v>
      </c>
      <c r="B28" s="15" t="s">
        <v>56</v>
      </c>
      <c r="C28" s="16" t="s">
        <v>2470</v>
      </c>
      <c r="D28" s="15" t="s">
        <v>2471</v>
      </c>
      <c r="E28" s="15" t="s">
        <v>2472</v>
      </c>
      <c r="F28" s="15" t="s">
        <v>57</v>
      </c>
    </row>
    <row r="29" ht="12.0" customHeight="1">
      <c r="A29" s="14">
        <v>1.0</v>
      </c>
      <c r="B29" s="15" t="s">
        <v>58</v>
      </c>
      <c r="C29" s="16" t="s">
        <v>2473</v>
      </c>
      <c r="D29" s="15" t="s">
        <v>2474</v>
      </c>
      <c r="E29" s="15" t="s">
        <v>2475</v>
      </c>
      <c r="F29" s="15" t="s">
        <v>59</v>
      </c>
    </row>
    <row r="30" ht="12.0" customHeight="1">
      <c r="A30" s="14">
        <v>1.0</v>
      </c>
      <c r="B30" s="15" t="s">
        <v>60</v>
      </c>
      <c r="C30" s="16" t="s">
        <v>2476</v>
      </c>
      <c r="D30" s="15" t="s">
        <v>2477</v>
      </c>
      <c r="E30" s="15" t="s">
        <v>2478</v>
      </c>
      <c r="F30" s="15" t="s">
        <v>61</v>
      </c>
    </row>
    <row r="31" ht="12.0" customHeight="1">
      <c r="A31" s="14">
        <v>1.0</v>
      </c>
      <c r="B31" s="15" t="s">
        <v>62</v>
      </c>
      <c r="C31" s="16" t="s">
        <v>2479</v>
      </c>
      <c r="D31" s="15" t="s">
        <v>2480</v>
      </c>
      <c r="E31" s="15" t="s">
        <v>2481</v>
      </c>
      <c r="F31" s="15" t="s">
        <v>63</v>
      </c>
    </row>
    <row r="32" ht="12.0" customHeight="1">
      <c r="A32" s="14">
        <v>1.0</v>
      </c>
      <c r="B32" s="15" t="s">
        <v>64</v>
      </c>
      <c r="C32" s="16" t="s">
        <v>2482</v>
      </c>
      <c r="D32" s="15" t="s">
        <v>2483</v>
      </c>
      <c r="E32" s="15" t="s">
        <v>2484</v>
      </c>
      <c r="F32" s="15" t="s">
        <v>65</v>
      </c>
    </row>
    <row r="33" ht="12.0" customHeight="1">
      <c r="A33" s="14">
        <v>1.0</v>
      </c>
      <c r="B33" s="15" t="s">
        <v>66</v>
      </c>
      <c r="C33" s="16" t="s">
        <v>2485</v>
      </c>
      <c r="D33" s="15" t="s">
        <v>2486</v>
      </c>
      <c r="E33" s="15" t="s">
        <v>2487</v>
      </c>
      <c r="F33" s="15" t="s">
        <v>67</v>
      </c>
    </row>
    <row r="34" ht="12.0" customHeight="1">
      <c r="A34" s="14">
        <v>1.0</v>
      </c>
      <c r="B34" s="15" t="s">
        <v>68</v>
      </c>
      <c r="C34" s="16" t="s">
        <v>2488</v>
      </c>
      <c r="D34" s="15" t="s">
        <v>2489</v>
      </c>
      <c r="E34" s="15" t="s">
        <v>2490</v>
      </c>
      <c r="F34" s="15" t="s">
        <v>69</v>
      </c>
    </row>
    <row r="35" ht="12.0" customHeight="1">
      <c r="A35" s="14">
        <v>1.0</v>
      </c>
      <c r="B35" s="15" t="s">
        <v>70</v>
      </c>
      <c r="C35" s="16" t="s">
        <v>2491</v>
      </c>
      <c r="D35" s="15" t="s">
        <v>2492</v>
      </c>
      <c r="E35" s="15" t="s">
        <v>2493</v>
      </c>
      <c r="F35" s="15" t="s">
        <v>71</v>
      </c>
    </row>
    <row r="36" ht="12.0" customHeight="1">
      <c r="A36" s="14">
        <v>1.0</v>
      </c>
      <c r="B36" s="15" t="s">
        <v>72</v>
      </c>
      <c r="C36" s="16" t="s">
        <v>2494</v>
      </c>
      <c r="D36" s="15" t="s">
        <v>2495</v>
      </c>
      <c r="E36" s="15" t="s">
        <v>2496</v>
      </c>
      <c r="F36" s="15" t="s">
        <v>73</v>
      </c>
    </row>
    <row r="37" ht="12.0" customHeight="1">
      <c r="A37" s="14">
        <v>1.0</v>
      </c>
      <c r="B37" s="15" t="s">
        <v>74</v>
      </c>
      <c r="C37" s="16" t="s">
        <v>2497</v>
      </c>
      <c r="D37" s="15" t="s">
        <v>2498</v>
      </c>
      <c r="E37" s="15" t="s">
        <v>2499</v>
      </c>
      <c r="F37" s="15" t="s">
        <v>75</v>
      </c>
    </row>
    <row r="38" ht="12.0" customHeight="1">
      <c r="A38" s="14">
        <v>1.0</v>
      </c>
      <c r="B38" s="15" t="s">
        <v>76</v>
      </c>
      <c r="C38" s="16" t="s">
        <v>2500</v>
      </c>
      <c r="D38" s="15" t="s">
        <v>2501</v>
      </c>
      <c r="E38" s="15" t="s">
        <v>2502</v>
      </c>
      <c r="F38" s="15" t="s">
        <v>77</v>
      </c>
    </row>
    <row r="39" ht="12.0" customHeight="1">
      <c r="A39" s="14">
        <v>1.0</v>
      </c>
      <c r="B39" s="15" t="s">
        <v>78</v>
      </c>
      <c r="C39" s="16" t="s">
        <v>2503</v>
      </c>
      <c r="D39" s="15" t="s">
        <v>2504</v>
      </c>
      <c r="E39" s="15" t="s">
        <v>2505</v>
      </c>
      <c r="F39" s="15" t="s">
        <v>79</v>
      </c>
    </row>
    <row r="40" ht="12.0" customHeight="1">
      <c r="A40" s="14">
        <v>1.0</v>
      </c>
      <c r="B40" s="15" t="s">
        <v>80</v>
      </c>
      <c r="C40" s="16" t="s">
        <v>2506</v>
      </c>
      <c r="D40" s="15" t="s">
        <v>2507</v>
      </c>
      <c r="E40" s="15" t="s">
        <v>2508</v>
      </c>
      <c r="F40" s="15" t="s">
        <v>81</v>
      </c>
    </row>
    <row r="41" ht="12.0" customHeight="1">
      <c r="A41" s="14">
        <v>1.0</v>
      </c>
      <c r="B41" s="15" t="s">
        <v>82</v>
      </c>
      <c r="C41" s="16" t="s">
        <v>2509</v>
      </c>
      <c r="D41" s="15" t="s">
        <v>2510</v>
      </c>
      <c r="E41" s="15" t="s">
        <v>2511</v>
      </c>
      <c r="F41" s="15" t="s">
        <v>83</v>
      </c>
    </row>
    <row r="42" ht="12.0" customHeight="1">
      <c r="A42" s="14">
        <v>1.0</v>
      </c>
      <c r="B42" s="15" t="s">
        <v>84</v>
      </c>
      <c r="C42" s="16" t="s">
        <v>2512</v>
      </c>
      <c r="D42" s="15" t="s">
        <v>2513</v>
      </c>
      <c r="E42" s="15" t="s">
        <v>2514</v>
      </c>
      <c r="F42" s="15" t="s">
        <v>85</v>
      </c>
    </row>
    <row r="43" ht="12.0" customHeight="1">
      <c r="A43" s="14">
        <v>1.0</v>
      </c>
      <c r="B43" s="15" t="s">
        <v>86</v>
      </c>
      <c r="C43" s="16" t="s">
        <v>2515</v>
      </c>
      <c r="D43" s="15" t="s">
        <v>2516</v>
      </c>
      <c r="E43" s="15" t="s">
        <v>2517</v>
      </c>
      <c r="F43" s="15" t="s">
        <v>87</v>
      </c>
    </row>
    <row r="44" ht="11.25" customHeight="1">
      <c r="A44" s="14">
        <v>1.0</v>
      </c>
      <c r="B44" s="15" t="s">
        <v>88</v>
      </c>
      <c r="C44" s="16" t="s">
        <v>2518</v>
      </c>
      <c r="D44" s="15" t="s">
        <v>2519</v>
      </c>
      <c r="E44" s="15" t="s">
        <v>2519</v>
      </c>
      <c r="F44" s="15" t="s">
        <v>89</v>
      </c>
    </row>
    <row r="45" ht="12.0" customHeight="1">
      <c r="A45" s="14">
        <v>1.0</v>
      </c>
      <c r="B45" s="15" t="s">
        <v>90</v>
      </c>
      <c r="C45" s="16" t="s">
        <v>2520</v>
      </c>
      <c r="D45" s="15" t="s">
        <v>2521</v>
      </c>
      <c r="E45" s="15" t="s">
        <v>2522</v>
      </c>
      <c r="F45" s="15" t="s">
        <v>91</v>
      </c>
    </row>
    <row r="46" ht="12.0" customHeight="1">
      <c r="A46" s="14">
        <v>1.0</v>
      </c>
      <c r="B46" s="15" t="s">
        <v>92</v>
      </c>
      <c r="C46" s="16" t="s">
        <v>2523</v>
      </c>
      <c r="D46" s="15" t="s">
        <v>2524</v>
      </c>
      <c r="E46" s="15" t="s">
        <v>2525</v>
      </c>
      <c r="F46" s="15" t="s">
        <v>93</v>
      </c>
    </row>
    <row r="47" ht="12.0" customHeight="1">
      <c r="A47" s="14">
        <v>1.0</v>
      </c>
      <c r="B47" s="15" t="s">
        <v>94</v>
      </c>
      <c r="C47" s="16" t="s">
        <v>2526</v>
      </c>
      <c r="D47" s="15" t="s">
        <v>2527</v>
      </c>
      <c r="E47" s="15" t="s">
        <v>2528</v>
      </c>
      <c r="F47" s="15" t="s">
        <v>95</v>
      </c>
    </row>
    <row r="48" ht="15.75" customHeight="1">
      <c r="A48" s="14">
        <v>1.0</v>
      </c>
      <c r="B48" s="15" t="s">
        <v>96</v>
      </c>
      <c r="C48" s="16" t="s">
        <v>2529</v>
      </c>
      <c r="D48" s="15" t="s">
        <v>2530</v>
      </c>
      <c r="E48" s="15" t="s">
        <v>2531</v>
      </c>
      <c r="F48" s="15" t="s">
        <v>97</v>
      </c>
    </row>
    <row r="49" ht="7.5" customHeight="1">
      <c r="A49" s="17" t="s">
        <v>2532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G1"/>
    <mergeCell ref="A2:G2"/>
    <mergeCell ref="A3:G3"/>
    <mergeCell ref="A49:G4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6.86"/>
    <col customWidth="1" min="3" max="3" width="16.71"/>
    <col customWidth="1" min="4" max="4" width="21.0"/>
    <col customWidth="1" min="5" max="5" width="19.86"/>
    <col customWidth="1" min="6" max="6" width="39.43"/>
    <col customWidth="1" min="7" max="7" width="18.0"/>
    <col customWidth="1" min="8" max="26" width="9.0"/>
  </cols>
  <sheetData>
    <row r="1" ht="6.0" customHeight="1">
      <c r="A1" s="8" t="s">
        <v>2396</v>
      </c>
    </row>
    <row r="2" ht="15.75" customHeight="1">
      <c r="A2" s="18">
        <v>1.0</v>
      </c>
      <c r="B2" s="15" t="s">
        <v>98</v>
      </c>
      <c r="C2" s="16" t="s">
        <v>2533</v>
      </c>
      <c r="D2" s="15" t="s">
        <v>2534</v>
      </c>
      <c r="E2" s="15" t="s">
        <v>2535</v>
      </c>
      <c r="F2" s="15" t="s">
        <v>99</v>
      </c>
    </row>
    <row r="3" ht="12.0" customHeight="1">
      <c r="A3" s="18">
        <v>1.0</v>
      </c>
      <c r="B3" s="15" t="s">
        <v>100</v>
      </c>
      <c r="C3" s="16" t="s">
        <v>2536</v>
      </c>
      <c r="D3" s="15" t="s">
        <v>2537</v>
      </c>
      <c r="E3" s="15" t="s">
        <v>2538</v>
      </c>
      <c r="F3" s="15" t="s">
        <v>101</v>
      </c>
    </row>
    <row r="4" ht="12.0" customHeight="1">
      <c r="A4" s="18">
        <v>1.0</v>
      </c>
      <c r="B4" s="15" t="s">
        <v>102</v>
      </c>
      <c r="C4" s="16" t="s">
        <v>2539</v>
      </c>
      <c r="D4" s="15" t="s">
        <v>2540</v>
      </c>
      <c r="E4" s="15" t="s">
        <v>2541</v>
      </c>
      <c r="F4" s="15" t="s">
        <v>103</v>
      </c>
    </row>
    <row r="5" ht="12.0" customHeight="1">
      <c r="A5" s="18">
        <v>1.0</v>
      </c>
      <c r="B5" s="15" t="s">
        <v>104</v>
      </c>
      <c r="C5" s="16" t="s">
        <v>2542</v>
      </c>
      <c r="D5" s="15" t="s">
        <v>2543</v>
      </c>
      <c r="E5" s="15" t="s">
        <v>2544</v>
      </c>
      <c r="F5" s="15" t="s">
        <v>105</v>
      </c>
    </row>
    <row r="6" ht="12.0" customHeight="1">
      <c r="A6" s="18">
        <v>1.0</v>
      </c>
      <c r="B6" s="15" t="s">
        <v>106</v>
      </c>
      <c r="C6" s="16" t="s">
        <v>2545</v>
      </c>
      <c r="D6" s="15" t="s">
        <v>2546</v>
      </c>
      <c r="E6" s="15" t="s">
        <v>2547</v>
      </c>
      <c r="F6" s="15" t="s">
        <v>107</v>
      </c>
    </row>
    <row r="7" ht="12.0" customHeight="1">
      <c r="A7" s="18">
        <v>1.0</v>
      </c>
      <c r="B7" s="15" t="s">
        <v>108</v>
      </c>
      <c r="C7" s="16" t="s">
        <v>2548</v>
      </c>
      <c r="D7" s="15" t="s">
        <v>2549</v>
      </c>
      <c r="E7" s="15" t="s">
        <v>2550</v>
      </c>
      <c r="F7" s="15" t="s">
        <v>109</v>
      </c>
    </row>
    <row r="8" ht="12.0" customHeight="1">
      <c r="A8" s="18">
        <v>1.0</v>
      </c>
      <c r="B8" s="15" t="s">
        <v>110</v>
      </c>
      <c r="C8" s="16" t="s">
        <v>2551</v>
      </c>
      <c r="D8" s="15" t="s">
        <v>2552</v>
      </c>
      <c r="E8" s="15" t="s">
        <v>2553</v>
      </c>
      <c r="F8" s="15" t="s">
        <v>111</v>
      </c>
    </row>
    <row r="9" ht="12.0" customHeight="1">
      <c r="A9" s="18">
        <v>1.0</v>
      </c>
      <c r="B9" s="15" t="s">
        <v>112</v>
      </c>
      <c r="C9" s="16" t="s">
        <v>2554</v>
      </c>
      <c r="D9" s="15" t="s">
        <v>2555</v>
      </c>
      <c r="E9" s="15" t="s">
        <v>2556</v>
      </c>
      <c r="F9" s="15" t="s">
        <v>113</v>
      </c>
    </row>
    <row r="10" ht="12.0" customHeight="1">
      <c r="A10" s="18">
        <v>1.0</v>
      </c>
      <c r="B10" s="15" t="s">
        <v>114</v>
      </c>
      <c r="C10" s="16" t="s">
        <v>2557</v>
      </c>
      <c r="D10" s="15" t="s">
        <v>2558</v>
      </c>
      <c r="E10" s="15" t="s">
        <v>2559</v>
      </c>
      <c r="F10" s="15" t="s">
        <v>115</v>
      </c>
    </row>
    <row r="11" ht="12.0" customHeight="1">
      <c r="A11" s="18">
        <v>1.0</v>
      </c>
      <c r="B11" s="15" t="s">
        <v>116</v>
      </c>
      <c r="C11" s="16" t="s">
        <v>2560</v>
      </c>
      <c r="D11" s="15" t="s">
        <v>2561</v>
      </c>
      <c r="E11" s="15" t="s">
        <v>2562</v>
      </c>
      <c r="F11" s="15" t="s">
        <v>117</v>
      </c>
    </row>
    <row r="12" ht="12.0" customHeight="1">
      <c r="A12" s="18">
        <v>1.0</v>
      </c>
      <c r="B12" s="15" t="s">
        <v>118</v>
      </c>
      <c r="C12" s="16" t="s">
        <v>2563</v>
      </c>
      <c r="D12" s="15" t="s">
        <v>2564</v>
      </c>
      <c r="E12" s="15" t="s">
        <v>2565</v>
      </c>
      <c r="F12" s="15" t="s">
        <v>119</v>
      </c>
    </row>
    <row r="13" ht="12.0" customHeight="1">
      <c r="A13" s="18">
        <v>1.0</v>
      </c>
      <c r="B13" s="15" t="s">
        <v>120</v>
      </c>
      <c r="C13" s="16" t="s">
        <v>2566</v>
      </c>
      <c r="D13" s="15" t="s">
        <v>2567</v>
      </c>
      <c r="E13" s="15" t="s">
        <v>2568</v>
      </c>
      <c r="F13" s="15" t="s">
        <v>121</v>
      </c>
    </row>
    <row r="14" ht="12.0" customHeight="1">
      <c r="A14" s="18">
        <v>1.0</v>
      </c>
      <c r="B14" s="15" t="s">
        <v>122</v>
      </c>
      <c r="C14" s="16" t="s">
        <v>2569</v>
      </c>
      <c r="D14" s="15" t="s">
        <v>2570</v>
      </c>
      <c r="E14" s="15" t="s">
        <v>2571</v>
      </c>
      <c r="F14" s="15" t="s">
        <v>123</v>
      </c>
    </row>
    <row r="15" ht="11.25" customHeight="1">
      <c r="A15" s="18">
        <v>1.0</v>
      </c>
      <c r="B15" s="15" t="s">
        <v>124</v>
      </c>
      <c r="C15" s="16" t="s">
        <v>2572</v>
      </c>
      <c r="D15" s="15" t="s">
        <v>2573</v>
      </c>
      <c r="E15" s="15" t="s">
        <v>2574</v>
      </c>
      <c r="F15" s="15" t="s">
        <v>125</v>
      </c>
    </row>
    <row r="16" ht="12.0" customHeight="1">
      <c r="A16" s="18">
        <v>1.0</v>
      </c>
      <c r="B16" s="15" t="s">
        <v>126</v>
      </c>
      <c r="C16" s="16" t="s">
        <v>2575</v>
      </c>
      <c r="D16" s="15" t="s">
        <v>2576</v>
      </c>
      <c r="E16" s="15" t="s">
        <v>2577</v>
      </c>
      <c r="F16" s="15" t="s">
        <v>127</v>
      </c>
    </row>
    <row r="17" ht="12.0" customHeight="1">
      <c r="A17" s="18">
        <v>1.0</v>
      </c>
      <c r="B17" s="15" t="s">
        <v>128</v>
      </c>
      <c r="C17" s="16" t="s">
        <v>2578</v>
      </c>
      <c r="D17" s="15" t="s">
        <v>2579</v>
      </c>
      <c r="E17" s="15" t="s">
        <v>2580</v>
      </c>
      <c r="F17" s="15" t="s">
        <v>129</v>
      </c>
    </row>
    <row r="18" ht="12.0" customHeight="1">
      <c r="A18" s="18">
        <v>1.0</v>
      </c>
      <c r="B18" s="15" t="s">
        <v>130</v>
      </c>
      <c r="C18" s="16" t="s">
        <v>2581</v>
      </c>
      <c r="D18" s="15" t="s">
        <v>2582</v>
      </c>
      <c r="E18" s="15" t="s">
        <v>2583</v>
      </c>
      <c r="F18" s="15" t="s">
        <v>131</v>
      </c>
    </row>
    <row r="19" ht="12.0" customHeight="1">
      <c r="A19" s="18">
        <v>1.0</v>
      </c>
      <c r="B19" s="15" t="s">
        <v>132</v>
      </c>
      <c r="C19" s="16" t="s">
        <v>2584</v>
      </c>
      <c r="D19" s="15" t="s">
        <v>2585</v>
      </c>
      <c r="E19" s="15" t="s">
        <v>2586</v>
      </c>
      <c r="F19" s="15" t="s">
        <v>133</v>
      </c>
    </row>
    <row r="20" ht="12.0" customHeight="1">
      <c r="A20" s="18">
        <v>1.0</v>
      </c>
      <c r="B20" s="15" t="s">
        <v>134</v>
      </c>
      <c r="C20" s="16" t="s">
        <v>2587</v>
      </c>
      <c r="D20" s="15" t="s">
        <v>2588</v>
      </c>
      <c r="E20" s="15" t="s">
        <v>2588</v>
      </c>
      <c r="F20" s="15" t="s">
        <v>135</v>
      </c>
    </row>
    <row r="21" ht="12.0" customHeight="1">
      <c r="A21" s="18">
        <v>1.0</v>
      </c>
      <c r="B21" s="15" t="s">
        <v>136</v>
      </c>
      <c r="C21" s="16" t="s">
        <v>2589</v>
      </c>
      <c r="D21" s="15" t="s">
        <v>2590</v>
      </c>
      <c r="E21" s="15" t="s">
        <v>2591</v>
      </c>
      <c r="F21" s="15" t="s">
        <v>137</v>
      </c>
    </row>
    <row r="22" ht="12.0" customHeight="1">
      <c r="A22" s="18">
        <v>1.0</v>
      </c>
      <c r="B22" s="15" t="s">
        <v>138</v>
      </c>
      <c r="C22" s="16" t="s">
        <v>2592</v>
      </c>
      <c r="D22" s="15" t="s">
        <v>2593</v>
      </c>
      <c r="E22" s="15" t="s">
        <v>2594</v>
      </c>
      <c r="F22" s="15" t="s">
        <v>139</v>
      </c>
    </row>
    <row r="23" ht="12.0" customHeight="1">
      <c r="A23" s="18">
        <v>1.0</v>
      </c>
      <c r="B23" s="15" t="s">
        <v>140</v>
      </c>
      <c r="C23" s="16" t="s">
        <v>2595</v>
      </c>
      <c r="D23" s="15" t="s">
        <v>2596</v>
      </c>
      <c r="E23" s="15" t="s">
        <v>2597</v>
      </c>
      <c r="F23" s="15" t="s">
        <v>141</v>
      </c>
    </row>
    <row r="24" ht="12.0" customHeight="1">
      <c r="A24" s="18">
        <v>1.0</v>
      </c>
      <c r="B24" s="15" t="s">
        <v>142</v>
      </c>
      <c r="C24" s="16" t="s">
        <v>2598</v>
      </c>
      <c r="D24" s="15" t="s">
        <v>2599</v>
      </c>
      <c r="E24" s="15" t="s">
        <v>2600</v>
      </c>
      <c r="F24" s="15" t="s">
        <v>143</v>
      </c>
    </row>
    <row r="25" ht="12.0" customHeight="1">
      <c r="A25" s="18">
        <v>1.0</v>
      </c>
      <c r="B25" s="15" t="s">
        <v>144</v>
      </c>
      <c r="C25" s="16" t="s">
        <v>2601</v>
      </c>
      <c r="D25" s="15" t="s">
        <v>2602</v>
      </c>
      <c r="E25" s="15" t="s">
        <v>2603</v>
      </c>
      <c r="F25" s="15" t="s">
        <v>145</v>
      </c>
    </row>
    <row r="26" ht="12.0" customHeight="1">
      <c r="A26" s="18">
        <v>1.0</v>
      </c>
      <c r="B26" s="15" t="s">
        <v>146</v>
      </c>
      <c r="C26" s="16" t="s">
        <v>2604</v>
      </c>
      <c r="D26" s="15" t="s">
        <v>2605</v>
      </c>
      <c r="E26" s="15" t="s">
        <v>2606</v>
      </c>
      <c r="F26" s="15" t="s">
        <v>147</v>
      </c>
    </row>
    <row r="27" ht="12.0" customHeight="1">
      <c r="A27" s="18">
        <v>1.0</v>
      </c>
      <c r="B27" s="15" t="s">
        <v>148</v>
      </c>
      <c r="C27" s="16" t="s">
        <v>2607</v>
      </c>
      <c r="D27" s="15" t="s">
        <v>2608</v>
      </c>
      <c r="E27" s="15" t="s">
        <v>2609</v>
      </c>
      <c r="F27" s="15" t="s">
        <v>149</v>
      </c>
    </row>
    <row r="28" ht="12.0" customHeight="1">
      <c r="A28" s="18">
        <v>1.0</v>
      </c>
      <c r="B28" s="15" t="s">
        <v>150</v>
      </c>
      <c r="C28" s="16" t="s">
        <v>2610</v>
      </c>
      <c r="D28" s="15" t="s">
        <v>2611</v>
      </c>
      <c r="E28" s="15" t="s">
        <v>2612</v>
      </c>
      <c r="F28" s="15" t="s">
        <v>151</v>
      </c>
    </row>
    <row r="29" ht="12.0" customHeight="1">
      <c r="A29" s="18">
        <v>1.0</v>
      </c>
      <c r="B29" s="15" t="s">
        <v>152</v>
      </c>
      <c r="C29" s="16" t="s">
        <v>2613</v>
      </c>
      <c r="D29" s="15" t="s">
        <v>2614</v>
      </c>
      <c r="E29" s="15" t="s">
        <v>2615</v>
      </c>
      <c r="F29" s="15" t="s">
        <v>153</v>
      </c>
    </row>
    <row r="30" ht="12.0" customHeight="1">
      <c r="A30" s="18">
        <v>1.0</v>
      </c>
      <c r="B30" s="15" t="s">
        <v>154</v>
      </c>
      <c r="C30" s="16" t="s">
        <v>2616</v>
      </c>
      <c r="D30" s="15" t="s">
        <v>2617</v>
      </c>
      <c r="E30" s="15" t="s">
        <v>2618</v>
      </c>
      <c r="F30" s="15" t="s">
        <v>155</v>
      </c>
    </row>
    <row r="31" ht="12.0" customHeight="1">
      <c r="A31" s="18">
        <v>1.0</v>
      </c>
      <c r="B31" s="15" t="s">
        <v>156</v>
      </c>
      <c r="C31" s="16" t="s">
        <v>2619</v>
      </c>
      <c r="D31" s="15" t="s">
        <v>2620</v>
      </c>
      <c r="E31" s="15" t="s">
        <v>2621</v>
      </c>
      <c r="F31" s="15" t="s">
        <v>157</v>
      </c>
    </row>
    <row r="32" ht="12.0" customHeight="1">
      <c r="A32" s="18">
        <v>1.0</v>
      </c>
      <c r="B32" s="15" t="s">
        <v>158</v>
      </c>
      <c r="C32" s="16" t="s">
        <v>2622</v>
      </c>
      <c r="D32" s="15" t="s">
        <v>2623</v>
      </c>
      <c r="E32" s="15" t="s">
        <v>2624</v>
      </c>
      <c r="F32" s="15" t="s">
        <v>159</v>
      </c>
    </row>
    <row r="33" ht="12.0" customHeight="1">
      <c r="A33" s="18">
        <v>1.0</v>
      </c>
      <c r="B33" s="15" t="s">
        <v>160</v>
      </c>
      <c r="C33" s="16" t="s">
        <v>2625</v>
      </c>
      <c r="D33" s="15" t="s">
        <v>2626</v>
      </c>
      <c r="E33" s="15" t="s">
        <v>2627</v>
      </c>
      <c r="F33" s="15" t="s">
        <v>161</v>
      </c>
    </row>
    <row r="34" ht="12.0" customHeight="1">
      <c r="A34" s="18">
        <v>1.0</v>
      </c>
      <c r="B34" s="15" t="s">
        <v>162</v>
      </c>
      <c r="C34" s="16" t="s">
        <v>2628</v>
      </c>
      <c r="D34" s="15" t="s">
        <v>2629</v>
      </c>
      <c r="E34" s="15" t="s">
        <v>2630</v>
      </c>
      <c r="F34" s="15" t="s">
        <v>163</v>
      </c>
    </row>
    <row r="35" ht="12.0" customHeight="1">
      <c r="A35" s="18">
        <v>1.0</v>
      </c>
      <c r="B35" s="15" t="s">
        <v>164</v>
      </c>
      <c r="C35" s="16" t="s">
        <v>2631</v>
      </c>
      <c r="D35" s="15" t="s">
        <v>2632</v>
      </c>
      <c r="E35" s="15" t="s">
        <v>2633</v>
      </c>
      <c r="F35" s="15" t="s">
        <v>165</v>
      </c>
    </row>
    <row r="36" ht="12.0" customHeight="1">
      <c r="A36" s="18">
        <v>1.0</v>
      </c>
      <c r="B36" s="15" t="s">
        <v>166</v>
      </c>
      <c r="C36" s="16" t="s">
        <v>2634</v>
      </c>
      <c r="D36" s="15" t="s">
        <v>2635</v>
      </c>
      <c r="E36" s="15" t="s">
        <v>2636</v>
      </c>
      <c r="F36" s="15" t="s">
        <v>167</v>
      </c>
    </row>
    <row r="37" ht="12.0" customHeight="1">
      <c r="A37" s="18">
        <v>1.0</v>
      </c>
      <c r="B37" s="15" t="s">
        <v>168</v>
      </c>
      <c r="C37" s="16" t="s">
        <v>2637</v>
      </c>
      <c r="D37" s="15" t="s">
        <v>2638</v>
      </c>
      <c r="E37" s="15" t="s">
        <v>2639</v>
      </c>
      <c r="F37" s="15" t="s">
        <v>169</v>
      </c>
    </row>
    <row r="38" ht="11.25" customHeight="1">
      <c r="A38" s="18">
        <v>1.0</v>
      </c>
      <c r="B38" s="15" t="s">
        <v>170</v>
      </c>
      <c r="C38" s="16" t="s">
        <v>2640</v>
      </c>
      <c r="D38" s="15" t="s">
        <v>2641</v>
      </c>
      <c r="E38" s="15" t="s">
        <v>2642</v>
      </c>
      <c r="F38" s="15" t="s">
        <v>171</v>
      </c>
    </row>
    <row r="39" ht="12.0" customHeight="1">
      <c r="A39" s="18">
        <v>1.0</v>
      </c>
      <c r="B39" s="15" t="s">
        <v>172</v>
      </c>
      <c r="C39" s="16" t="s">
        <v>2643</v>
      </c>
      <c r="D39" s="15" t="s">
        <v>2644</v>
      </c>
      <c r="E39" s="15" t="s">
        <v>2645</v>
      </c>
      <c r="F39" s="15" t="s">
        <v>173</v>
      </c>
    </row>
    <row r="40" ht="12.0" customHeight="1">
      <c r="A40" s="18">
        <v>1.0</v>
      </c>
      <c r="B40" s="15" t="s">
        <v>174</v>
      </c>
      <c r="C40" s="16" t="s">
        <v>2646</v>
      </c>
      <c r="D40" s="15" t="s">
        <v>2647</v>
      </c>
      <c r="E40" s="15" t="s">
        <v>2648</v>
      </c>
      <c r="F40" s="15" t="s">
        <v>175</v>
      </c>
    </row>
    <row r="41" ht="12.0" customHeight="1">
      <c r="A41" s="18">
        <v>1.0</v>
      </c>
      <c r="B41" s="15" t="s">
        <v>176</v>
      </c>
      <c r="C41" s="16" t="s">
        <v>2649</v>
      </c>
      <c r="D41" s="15" t="s">
        <v>2650</v>
      </c>
      <c r="E41" s="15" t="s">
        <v>2651</v>
      </c>
      <c r="F41" s="15" t="s">
        <v>177</v>
      </c>
    </row>
    <row r="42" ht="11.25" customHeight="1">
      <c r="A42" s="18">
        <v>1.0</v>
      </c>
      <c r="B42" s="15" t="s">
        <v>178</v>
      </c>
      <c r="C42" s="16" t="s">
        <v>2652</v>
      </c>
      <c r="D42" s="15" t="s">
        <v>2653</v>
      </c>
      <c r="E42" s="15" t="s">
        <v>2654</v>
      </c>
      <c r="F42" s="15" t="s">
        <v>179</v>
      </c>
    </row>
    <row r="43" ht="12.0" customHeight="1">
      <c r="A43" s="18">
        <v>1.0</v>
      </c>
      <c r="B43" s="15" t="s">
        <v>180</v>
      </c>
      <c r="C43" s="16" t="s">
        <v>2655</v>
      </c>
      <c r="D43" s="15" t="s">
        <v>2656</v>
      </c>
      <c r="E43" s="15" t="s">
        <v>2657</v>
      </c>
      <c r="F43" s="15" t="s">
        <v>181</v>
      </c>
    </row>
    <row r="44" ht="12.0" customHeight="1">
      <c r="A44" s="18">
        <v>1.0</v>
      </c>
      <c r="B44" s="15" t="s">
        <v>182</v>
      </c>
      <c r="C44" s="16" t="s">
        <v>2658</v>
      </c>
      <c r="D44" s="15" t="s">
        <v>2659</v>
      </c>
      <c r="E44" s="15" t="s">
        <v>2660</v>
      </c>
      <c r="F44" s="15" t="s">
        <v>183</v>
      </c>
    </row>
    <row r="45" ht="12.0" customHeight="1">
      <c r="A45" s="18">
        <v>1.0</v>
      </c>
      <c r="B45" s="15" t="s">
        <v>184</v>
      </c>
      <c r="C45" s="16" t="s">
        <v>2661</v>
      </c>
      <c r="D45" s="15" t="s">
        <v>2662</v>
      </c>
      <c r="E45" s="15" t="s">
        <v>2663</v>
      </c>
      <c r="F45" s="15" t="s">
        <v>185</v>
      </c>
    </row>
    <row r="46" ht="12.0" customHeight="1">
      <c r="A46" s="18">
        <v>1.0</v>
      </c>
      <c r="B46" s="15" t="s">
        <v>186</v>
      </c>
      <c r="C46" s="16" t="s">
        <v>2664</v>
      </c>
      <c r="D46" s="15" t="s">
        <v>2665</v>
      </c>
      <c r="E46" s="15" t="s">
        <v>2666</v>
      </c>
      <c r="F46" s="15" t="s">
        <v>187</v>
      </c>
    </row>
    <row r="47" ht="12.0" customHeight="1">
      <c r="A47" s="18">
        <v>1.0</v>
      </c>
      <c r="B47" s="15" t="s">
        <v>188</v>
      </c>
      <c r="C47" s="16" t="s">
        <v>2667</v>
      </c>
      <c r="D47" s="15" t="s">
        <v>2668</v>
      </c>
      <c r="E47" s="15" t="s">
        <v>2669</v>
      </c>
      <c r="F47" s="15" t="s">
        <v>189</v>
      </c>
    </row>
    <row r="48" ht="12.0" customHeight="1">
      <c r="A48" s="18">
        <v>1.0</v>
      </c>
      <c r="B48" s="15" t="s">
        <v>190</v>
      </c>
      <c r="C48" s="16" t="s">
        <v>2670</v>
      </c>
      <c r="D48" s="15" t="s">
        <v>2671</v>
      </c>
      <c r="E48" s="15" t="s">
        <v>2672</v>
      </c>
      <c r="F48" s="15" t="s">
        <v>191</v>
      </c>
    </row>
    <row r="49" ht="12.0" customHeight="1">
      <c r="A49" s="18">
        <v>1.0</v>
      </c>
      <c r="B49" s="15" t="s">
        <v>192</v>
      </c>
      <c r="C49" s="16" t="s">
        <v>2673</v>
      </c>
      <c r="D49" s="15" t="s">
        <v>2674</v>
      </c>
      <c r="E49" s="15" t="s">
        <v>2675</v>
      </c>
      <c r="F49" s="15" t="s">
        <v>193</v>
      </c>
    </row>
    <row r="50" ht="15.75" customHeight="1">
      <c r="A50" s="18">
        <v>1.0</v>
      </c>
      <c r="B50" s="15" t="s">
        <v>194</v>
      </c>
      <c r="C50" s="16" t="s">
        <v>2676</v>
      </c>
      <c r="D50" s="15" t="s">
        <v>2677</v>
      </c>
      <c r="E50" s="15" t="s">
        <v>2678</v>
      </c>
      <c r="F50" s="15" t="s">
        <v>195</v>
      </c>
    </row>
    <row r="51" ht="7.5" customHeight="1">
      <c r="A51" s="17" t="s">
        <v>2679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1:G5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4.71"/>
    <col customWidth="1" min="3" max="3" width="17.86"/>
    <col customWidth="1" min="4" max="5" width="19.86"/>
    <col customWidth="1" min="6" max="6" width="57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4">
        <v>1.0</v>
      </c>
      <c r="B2" s="15" t="s">
        <v>196</v>
      </c>
      <c r="C2" s="16" t="s">
        <v>2680</v>
      </c>
      <c r="D2" s="15" t="s">
        <v>2681</v>
      </c>
      <c r="E2" s="15" t="s">
        <v>2682</v>
      </c>
      <c r="F2" s="15" t="s">
        <v>197</v>
      </c>
    </row>
    <row r="3" ht="12.0" customHeight="1">
      <c r="A3" s="14">
        <v>1.0</v>
      </c>
      <c r="B3" s="15" t="s">
        <v>198</v>
      </c>
      <c r="C3" s="16" t="s">
        <v>2683</v>
      </c>
      <c r="D3" s="15" t="s">
        <v>2684</v>
      </c>
      <c r="E3" s="15" t="s">
        <v>2685</v>
      </c>
      <c r="F3" s="15" t="s">
        <v>199</v>
      </c>
    </row>
    <row r="4" ht="12.0" customHeight="1">
      <c r="A4" s="14">
        <v>1.0</v>
      </c>
      <c r="B4" s="15" t="s">
        <v>200</v>
      </c>
      <c r="C4" s="16" t="s">
        <v>2686</v>
      </c>
      <c r="D4" s="15" t="s">
        <v>2687</v>
      </c>
      <c r="E4" s="15" t="s">
        <v>2688</v>
      </c>
      <c r="F4" s="15" t="s">
        <v>201</v>
      </c>
    </row>
    <row r="5" ht="12.0" customHeight="1">
      <c r="A5" s="14">
        <v>1.0</v>
      </c>
      <c r="B5" s="15" t="s">
        <v>202</v>
      </c>
      <c r="C5" s="16" t="s">
        <v>2689</v>
      </c>
      <c r="D5" s="15" t="s">
        <v>2690</v>
      </c>
      <c r="E5" s="15" t="s">
        <v>2691</v>
      </c>
      <c r="F5" s="15" t="s">
        <v>203</v>
      </c>
    </row>
    <row r="6" ht="23.25" customHeight="1">
      <c r="A6" s="19">
        <v>1.0</v>
      </c>
      <c r="B6" s="20" t="s">
        <v>204</v>
      </c>
      <c r="C6" s="21" t="s">
        <v>2692</v>
      </c>
      <c r="D6" s="20" t="s">
        <v>2693</v>
      </c>
      <c r="E6" s="20" t="s">
        <v>2694</v>
      </c>
      <c r="F6" s="20" t="s">
        <v>205</v>
      </c>
    </row>
    <row r="7" ht="12.0" customHeight="1">
      <c r="A7" s="11">
        <v>2.0</v>
      </c>
      <c r="B7" s="12" t="s">
        <v>206</v>
      </c>
      <c r="C7" s="13" t="s">
        <v>2695</v>
      </c>
      <c r="D7" s="12" t="s">
        <v>2696</v>
      </c>
      <c r="E7" s="12" t="s">
        <v>2697</v>
      </c>
      <c r="F7" s="12" t="s">
        <v>207</v>
      </c>
    </row>
    <row r="8" ht="12.0" customHeight="1">
      <c r="A8" s="14">
        <v>2.0</v>
      </c>
      <c r="B8" s="15" t="s">
        <v>208</v>
      </c>
      <c r="C8" s="16" t="s">
        <v>2698</v>
      </c>
      <c r="D8" s="15" t="s">
        <v>2699</v>
      </c>
      <c r="E8" s="15" t="s">
        <v>2700</v>
      </c>
      <c r="F8" s="15" t="s">
        <v>209</v>
      </c>
    </row>
    <row r="9" ht="12.0" customHeight="1">
      <c r="A9" s="14">
        <v>2.0</v>
      </c>
      <c r="B9" s="15" t="s">
        <v>210</v>
      </c>
      <c r="C9" s="16" t="s">
        <v>2701</v>
      </c>
      <c r="D9" s="15" t="s">
        <v>2702</v>
      </c>
      <c r="E9" s="15" t="s">
        <v>2703</v>
      </c>
      <c r="F9" s="15" t="s">
        <v>211</v>
      </c>
    </row>
    <row r="10" ht="12.0" customHeight="1">
      <c r="A10" s="14">
        <v>2.0</v>
      </c>
      <c r="B10" s="15" t="s">
        <v>212</v>
      </c>
      <c r="C10" s="16" t="s">
        <v>2704</v>
      </c>
      <c r="D10" s="15" t="s">
        <v>2705</v>
      </c>
      <c r="E10" s="15" t="s">
        <v>2706</v>
      </c>
      <c r="F10" s="15" t="s">
        <v>213</v>
      </c>
    </row>
    <row r="11" ht="11.25" customHeight="1">
      <c r="A11" s="14">
        <v>2.0</v>
      </c>
      <c r="B11" s="15" t="s">
        <v>214</v>
      </c>
      <c r="C11" s="16" t="s">
        <v>2707</v>
      </c>
      <c r="D11" s="15" t="s">
        <v>2708</v>
      </c>
      <c r="E11" s="15" t="s">
        <v>2709</v>
      </c>
      <c r="F11" s="15" t="s">
        <v>215</v>
      </c>
    </row>
    <row r="12" ht="12.0" customHeight="1">
      <c r="A12" s="14">
        <v>2.0</v>
      </c>
      <c r="B12" s="15" t="s">
        <v>216</v>
      </c>
      <c r="C12" s="16" t="s">
        <v>2710</v>
      </c>
      <c r="D12" s="15" t="s">
        <v>2711</v>
      </c>
      <c r="E12" s="15" t="s">
        <v>2712</v>
      </c>
      <c r="F12" s="15" t="s">
        <v>217</v>
      </c>
    </row>
    <row r="13" ht="12.0" customHeight="1">
      <c r="A13" s="14">
        <v>2.0</v>
      </c>
      <c r="B13" s="15" t="s">
        <v>218</v>
      </c>
      <c r="C13" s="16" t="s">
        <v>2713</v>
      </c>
      <c r="D13" s="15" t="s">
        <v>2714</v>
      </c>
      <c r="E13" s="15" t="s">
        <v>2715</v>
      </c>
      <c r="F13" s="15" t="s">
        <v>219</v>
      </c>
    </row>
    <row r="14" ht="12.0" customHeight="1">
      <c r="A14" s="14">
        <v>2.0</v>
      </c>
      <c r="B14" s="15" t="s">
        <v>220</v>
      </c>
      <c r="C14" s="16" t="s">
        <v>2716</v>
      </c>
      <c r="D14" s="15" t="s">
        <v>2717</v>
      </c>
      <c r="E14" s="15" t="s">
        <v>2718</v>
      </c>
      <c r="F14" s="15" t="s">
        <v>221</v>
      </c>
    </row>
    <row r="15" ht="12.0" customHeight="1">
      <c r="A15" s="14">
        <v>2.0</v>
      </c>
      <c r="B15" s="15" t="s">
        <v>222</v>
      </c>
      <c r="C15" s="16" t="s">
        <v>2719</v>
      </c>
      <c r="D15" s="15" t="s">
        <v>2720</v>
      </c>
      <c r="E15" s="15" t="s">
        <v>2721</v>
      </c>
      <c r="F15" s="15" t="s">
        <v>223</v>
      </c>
    </row>
    <row r="16" ht="12.0" customHeight="1">
      <c r="A16" s="14">
        <v>2.0</v>
      </c>
      <c r="B16" s="15" t="s">
        <v>224</v>
      </c>
      <c r="C16" s="16" t="s">
        <v>2722</v>
      </c>
      <c r="D16" s="15" t="s">
        <v>2723</v>
      </c>
      <c r="E16" s="15" t="s">
        <v>2618</v>
      </c>
      <c r="F16" s="15" t="s">
        <v>225</v>
      </c>
    </row>
    <row r="17" ht="12.0" customHeight="1">
      <c r="A17" s="14">
        <v>2.0</v>
      </c>
      <c r="B17" s="15" t="s">
        <v>226</v>
      </c>
      <c r="C17" s="16" t="s">
        <v>2724</v>
      </c>
      <c r="D17" s="15" t="s">
        <v>2725</v>
      </c>
      <c r="E17" s="15" t="s">
        <v>2726</v>
      </c>
      <c r="F17" s="15" t="s">
        <v>227</v>
      </c>
    </row>
    <row r="18" ht="12.0" customHeight="1">
      <c r="A18" s="14">
        <v>2.0</v>
      </c>
      <c r="B18" s="15" t="s">
        <v>228</v>
      </c>
      <c r="C18" s="16" t="s">
        <v>2727</v>
      </c>
      <c r="D18" s="15" t="s">
        <v>2728</v>
      </c>
      <c r="E18" s="15" t="s">
        <v>2728</v>
      </c>
      <c r="F18" s="15" t="s">
        <v>229</v>
      </c>
    </row>
    <row r="19" ht="12.0" customHeight="1">
      <c r="A19" s="14">
        <v>2.0</v>
      </c>
      <c r="B19" s="15" t="s">
        <v>230</v>
      </c>
      <c r="C19" s="16" t="s">
        <v>2729</v>
      </c>
      <c r="D19" s="15" t="s">
        <v>2730</v>
      </c>
      <c r="E19" s="15" t="s">
        <v>2731</v>
      </c>
      <c r="F19" s="15" t="s">
        <v>231</v>
      </c>
    </row>
    <row r="20" ht="12.0" customHeight="1">
      <c r="A20" s="14">
        <v>2.0</v>
      </c>
      <c r="B20" s="15" t="s">
        <v>232</v>
      </c>
      <c r="C20" s="16" t="s">
        <v>2732</v>
      </c>
      <c r="D20" s="15" t="s">
        <v>2733</v>
      </c>
      <c r="E20" s="15" t="s">
        <v>2734</v>
      </c>
      <c r="F20" s="15" t="s">
        <v>233</v>
      </c>
    </row>
    <row r="21" ht="11.25" customHeight="1">
      <c r="A21" s="14">
        <v>2.0</v>
      </c>
      <c r="B21" s="15" t="s">
        <v>234</v>
      </c>
      <c r="C21" s="16" t="s">
        <v>2735</v>
      </c>
      <c r="D21" s="15" t="s">
        <v>2736</v>
      </c>
      <c r="E21" s="15" t="s">
        <v>2737</v>
      </c>
      <c r="F21" s="15" t="s">
        <v>2738</v>
      </c>
    </row>
    <row r="22" ht="12.0" customHeight="1">
      <c r="A22" s="14">
        <v>2.0</v>
      </c>
      <c r="B22" s="15" t="s">
        <v>236</v>
      </c>
      <c r="C22" s="16" t="s">
        <v>2739</v>
      </c>
      <c r="D22" s="15" t="s">
        <v>2740</v>
      </c>
      <c r="E22" s="15" t="s">
        <v>2741</v>
      </c>
      <c r="F22" s="15" t="s">
        <v>237</v>
      </c>
    </row>
    <row r="23" ht="12.0" customHeight="1">
      <c r="A23" s="14">
        <v>2.0</v>
      </c>
      <c r="B23" s="15" t="s">
        <v>238</v>
      </c>
      <c r="C23" s="16" t="s">
        <v>2742</v>
      </c>
      <c r="D23" s="15" t="s">
        <v>2743</v>
      </c>
      <c r="E23" s="15" t="s">
        <v>2744</v>
      </c>
      <c r="F23" s="15" t="s">
        <v>239</v>
      </c>
    </row>
    <row r="24" ht="12.0" customHeight="1">
      <c r="A24" s="14">
        <v>2.0</v>
      </c>
      <c r="B24" s="15" t="s">
        <v>240</v>
      </c>
      <c r="C24" s="16" t="s">
        <v>2745</v>
      </c>
      <c r="D24" s="15" t="s">
        <v>2746</v>
      </c>
      <c r="E24" s="15" t="s">
        <v>2747</v>
      </c>
      <c r="F24" s="15" t="s">
        <v>241</v>
      </c>
    </row>
    <row r="25" ht="12.0" customHeight="1">
      <c r="A25" s="14">
        <v>2.0</v>
      </c>
      <c r="B25" s="15" t="s">
        <v>242</v>
      </c>
      <c r="C25" s="16" t="s">
        <v>2748</v>
      </c>
      <c r="D25" s="15" t="s">
        <v>2749</v>
      </c>
      <c r="E25" s="15" t="s">
        <v>2749</v>
      </c>
      <c r="F25" s="15" t="s">
        <v>243</v>
      </c>
    </row>
    <row r="26" ht="12.0" customHeight="1">
      <c r="A26" s="14">
        <v>2.0</v>
      </c>
      <c r="B26" s="15" t="s">
        <v>244</v>
      </c>
      <c r="C26" s="16" t="s">
        <v>2750</v>
      </c>
      <c r="D26" s="15" t="s">
        <v>2751</v>
      </c>
      <c r="E26" s="15" t="s">
        <v>2752</v>
      </c>
      <c r="F26" s="15" t="s">
        <v>245</v>
      </c>
    </row>
    <row r="27" ht="12.0" customHeight="1">
      <c r="A27" s="14">
        <v>2.0</v>
      </c>
      <c r="B27" s="15" t="s">
        <v>246</v>
      </c>
      <c r="C27" s="16" t="s">
        <v>2753</v>
      </c>
      <c r="D27" s="15" t="s">
        <v>2754</v>
      </c>
      <c r="E27" s="15" t="s">
        <v>2755</v>
      </c>
      <c r="F27" s="15" t="s">
        <v>247</v>
      </c>
    </row>
    <row r="28" ht="12.0" customHeight="1">
      <c r="A28" s="14">
        <v>2.0</v>
      </c>
      <c r="B28" s="15" t="s">
        <v>248</v>
      </c>
      <c r="C28" s="16" t="s">
        <v>2756</v>
      </c>
      <c r="D28" s="15" t="s">
        <v>2757</v>
      </c>
      <c r="E28" s="15" t="s">
        <v>2758</v>
      </c>
      <c r="F28" s="15" t="s">
        <v>249</v>
      </c>
    </row>
    <row r="29" ht="12.0" customHeight="1">
      <c r="A29" s="14">
        <v>2.0</v>
      </c>
      <c r="B29" s="15" t="s">
        <v>250</v>
      </c>
      <c r="C29" s="16" t="s">
        <v>2759</v>
      </c>
      <c r="D29" s="15" t="s">
        <v>2760</v>
      </c>
      <c r="E29" s="15" t="s">
        <v>2761</v>
      </c>
      <c r="F29" s="15" t="s">
        <v>251</v>
      </c>
    </row>
    <row r="30" ht="12.0" customHeight="1">
      <c r="A30" s="14">
        <v>2.0</v>
      </c>
      <c r="B30" s="15" t="s">
        <v>252</v>
      </c>
      <c r="C30" s="16" t="s">
        <v>2762</v>
      </c>
      <c r="D30" s="15" t="s">
        <v>2763</v>
      </c>
      <c r="E30" s="15" t="s">
        <v>2764</v>
      </c>
      <c r="F30" s="15" t="s">
        <v>253</v>
      </c>
    </row>
    <row r="31" ht="12.0" customHeight="1">
      <c r="A31" s="14">
        <v>2.0</v>
      </c>
      <c r="B31" s="15" t="s">
        <v>254</v>
      </c>
      <c r="C31" s="16" t="s">
        <v>2765</v>
      </c>
      <c r="D31" s="15" t="s">
        <v>2766</v>
      </c>
      <c r="E31" s="15" t="s">
        <v>2767</v>
      </c>
      <c r="F31" s="15" t="s">
        <v>255</v>
      </c>
    </row>
    <row r="32" ht="12.0" customHeight="1">
      <c r="A32" s="14">
        <v>2.0</v>
      </c>
      <c r="B32" s="15" t="s">
        <v>256</v>
      </c>
      <c r="C32" s="16" t="s">
        <v>2768</v>
      </c>
      <c r="D32" s="15" t="s">
        <v>2769</v>
      </c>
      <c r="E32" s="15" t="s">
        <v>2770</v>
      </c>
      <c r="F32" s="15" t="s">
        <v>257</v>
      </c>
    </row>
    <row r="33" ht="12.0" customHeight="1">
      <c r="A33" s="14">
        <v>2.0</v>
      </c>
      <c r="B33" s="15" t="s">
        <v>258</v>
      </c>
      <c r="C33" s="16" t="s">
        <v>2771</v>
      </c>
      <c r="D33" s="15" t="s">
        <v>2772</v>
      </c>
      <c r="E33" s="15" t="s">
        <v>2773</v>
      </c>
      <c r="F33" s="15" t="s">
        <v>259</v>
      </c>
    </row>
    <row r="34" ht="12.0" customHeight="1">
      <c r="A34" s="14">
        <v>2.0</v>
      </c>
      <c r="B34" s="15" t="s">
        <v>260</v>
      </c>
      <c r="C34" s="16" t="s">
        <v>2774</v>
      </c>
      <c r="D34" s="15" t="s">
        <v>2775</v>
      </c>
      <c r="E34" s="15" t="s">
        <v>2776</v>
      </c>
      <c r="F34" s="15" t="s">
        <v>261</v>
      </c>
    </row>
    <row r="35" ht="12.0" customHeight="1">
      <c r="A35" s="14">
        <v>2.0</v>
      </c>
      <c r="B35" s="15" t="s">
        <v>262</v>
      </c>
      <c r="C35" s="16" t="s">
        <v>2777</v>
      </c>
      <c r="D35" s="15" t="s">
        <v>2778</v>
      </c>
      <c r="E35" s="15" t="s">
        <v>2779</v>
      </c>
      <c r="F35" s="15" t="s">
        <v>263</v>
      </c>
    </row>
    <row r="36" ht="12.0" customHeight="1">
      <c r="A36" s="14">
        <v>2.0</v>
      </c>
      <c r="B36" s="15" t="s">
        <v>264</v>
      </c>
      <c r="C36" s="16" t="s">
        <v>2780</v>
      </c>
      <c r="D36" s="15" t="s">
        <v>2781</v>
      </c>
      <c r="E36" s="15" t="s">
        <v>2782</v>
      </c>
      <c r="F36" s="15" t="s">
        <v>265</v>
      </c>
    </row>
    <row r="37" ht="12.0" customHeight="1">
      <c r="A37" s="14">
        <v>2.0</v>
      </c>
      <c r="B37" s="15" t="s">
        <v>266</v>
      </c>
      <c r="C37" s="16" t="s">
        <v>2783</v>
      </c>
      <c r="D37" s="15" t="s">
        <v>2784</v>
      </c>
      <c r="E37" s="15" t="s">
        <v>2785</v>
      </c>
      <c r="F37" s="15" t="s">
        <v>267</v>
      </c>
    </row>
    <row r="38" ht="12.0" customHeight="1">
      <c r="A38" s="14">
        <v>2.0</v>
      </c>
      <c r="B38" s="15" t="s">
        <v>268</v>
      </c>
      <c r="C38" s="16" t="s">
        <v>2786</v>
      </c>
      <c r="D38" s="15" t="s">
        <v>2787</v>
      </c>
      <c r="E38" s="15" t="s">
        <v>2788</v>
      </c>
      <c r="F38" s="15" t="s">
        <v>269</v>
      </c>
    </row>
    <row r="39" ht="12.0" customHeight="1">
      <c r="A39" s="14">
        <v>2.0</v>
      </c>
      <c r="B39" s="15" t="s">
        <v>270</v>
      </c>
      <c r="C39" s="16" t="s">
        <v>2789</v>
      </c>
      <c r="D39" s="15" t="s">
        <v>2790</v>
      </c>
      <c r="E39" s="15" t="s">
        <v>2791</v>
      </c>
      <c r="F39" s="15" t="s">
        <v>271</v>
      </c>
    </row>
    <row r="40" ht="12.0" customHeight="1">
      <c r="A40" s="14">
        <v>2.0</v>
      </c>
      <c r="B40" s="15" t="s">
        <v>272</v>
      </c>
      <c r="C40" s="16" t="s">
        <v>2792</v>
      </c>
      <c r="D40" s="15" t="s">
        <v>2793</v>
      </c>
      <c r="E40" s="15" t="s">
        <v>2514</v>
      </c>
      <c r="F40" s="15" t="s">
        <v>273</v>
      </c>
    </row>
    <row r="41" ht="12.0" customHeight="1">
      <c r="A41" s="14">
        <v>2.0</v>
      </c>
      <c r="B41" s="15" t="s">
        <v>274</v>
      </c>
      <c r="C41" s="16" t="s">
        <v>2794</v>
      </c>
      <c r="D41" s="15" t="s">
        <v>2795</v>
      </c>
      <c r="E41" s="15" t="s">
        <v>2796</v>
      </c>
      <c r="F41" s="15" t="s">
        <v>275</v>
      </c>
    </row>
    <row r="42" ht="12.0" customHeight="1">
      <c r="A42" s="14">
        <v>2.0</v>
      </c>
      <c r="B42" s="15" t="s">
        <v>276</v>
      </c>
      <c r="C42" s="16" t="s">
        <v>2797</v>
      </c>
      <c r="D42" s="15" t="s">
        <v>2798</v>
      </c>
      <c r="E42" s="15" t="s">
        <v>2799</v>
      </c>
      <c r="F42" s="15" t="s">
        <v>277</v>
      </c>
    </row>
    <row r="43" ht="12.0" customHeight="1">
      <c r="A43" s="14">
        <v>2.0</v>
      </c>
      <c r="B43" s="15" t="s">
        <v>278</v>
      </c>
      <c r="C43" s="16" t="s">
        <v>2800</v>
      </c>
      <c r="D43" s="15" t="s">
        <v>2801</v>
      </c>
      <c r="E43" s="15" t="s">
        <v>2802</v>
      </c>
      <c r="F43" s="15" t="s">
        <v>279</v>
      </c>
    </row>
    <row r="44" ht="12.0" customHeight="1">
      <c r="A44" s="14">
        <v>2.0</v>
      </c>
      <c r="B44" s="15" t="s">
        <v>280</v>
      </c>
      <c r="C44" s="16" t="s">
        <v>2803</v>
      </c>
      <c r="D44" s="15" t="s">
        <v>2804</v>
      </c>
      <c r="E44" s="15" t="s">
        <v>2805</v>
      </c>
      <c r="F44" s="15" t="s">
        <v>281</v>
      </c>
    </row>
    <row r="45" ht="12.0" customHeight="1">
      <c r="A45" s="14">
        <v>2.0</v>
      </c>
      <c r="B45" s="15" t="s">
        <v>282</v>
      </c>
      <c r="C45" s="16" t="s">
        <v>2806</v>
      </c>
      <c r="D45" s="15" t="s">
        <v>2807</v>
      </c>
      <c r="E45" s="15" t="s">
        <v>2808</v>
      </c>
      <c r="F45" s="15" t="s">
        <v>283</v>
      </c>
    </row>
    <row r="46" ht="12.0" customHeight="1">
      <c r="A46" s="14">
        <v>2.0</v>
      </c>
      <c r="B46" s="15" t="s">
        <v>284</v>
      </c>
      <c r="C46" s="16" t="s">
        <v>2809</v>
      </c>
      <c r="D46" s="15" t="s">
        <v>2810</v>
      </c>
      <c r="E46" s="15" t="s">
        <v>2811</v>
      </c>
      <c r="F46" s="15" t="s">
        <v>285</v>
      </c>
    </row>
    <row r="47" ht="12.0" customHeight="1">
      <c r="A47" s="14">
        <v>2.0</v>
      </c>
      <c r="B47" s="15" t="s">
        <v>286</v>
      </c>
      <c r="C47" s="16" t="s">
        <v>2812</v>
      </c>
      <c r="D47" s="15" t="s">
        <v>2813</v>
      </c>
      <c r="E47" s="15" t="s">
        <v>2814</v>
      </c>
      <c r="F47" s="15" t="s">
        <v>287</v>
      </c>
    </row>
    <row r="48" ht="12.0" customHeight="1">
      <c r="A48" s="14">
        <v>2.0</v>
      </c>
      <c r="B48" s="15" t="s">
        <v>288</v>
      </c>
      <c r="C48" s="16" t="s">
        <v>2815</v>
      </c>
      <c r="D48" s="15" t="s">
        <v>2816</v>
      </c>
      <c r="E48" s="15" t="s">
        <v>2817</v>
      </c>
      <c r="F48" s="15" t="s">
        <v>289</v>
      </c>
    </row>
    <row r="49" ht="15.75" customHeight="1">
      <c r="A49" s="14">
        <v>2.0</v>
      </c>
      <c r="B49" s="15" t="s">
        <v>290</v>
      </c>
      <c r="C49" s="16" t="s">
        <v>2818</v>
      </c>
      <c r="D49" s="15" t="s">
        <v>2819</v>
      </c>
      <c r="E49" s="15" t="s">
        <v>2819</v>
      </c>
      <c r="F49" s="15" t="s">
        <v>291</v>
      </c>
    </row>
    <row r="50" ht="7.5" customHeight="1">
      <c r="A50" s="17" t="s">
        <v>2820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9.86"/>
    <col customWidth="1" min="3" max="3" width="15.86"/>
    <col customWidth="1" min="4" max="4" width="20.86"/>
    <col customWidth="1" min="5" max="5" width="17.86"/>
    <col customWidth="1" min="6" max="6" width="56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4">
        <v>2.0</v>
      </c>
      <c r="B2" s="15" t="s">
        <v>292</v>
      </c>
      <c r="C2" s="16" t="s">
        <v>2821</v>
      </c>
      <c r="D2" s="15" t="s">
        <v>2822</v>
      </c>
      <c r="E2" s="15" t="s">
        <v>2823</v>
      </c>
      <c r="F2" s="15" t="s">
        <v>293</v>
      </c>
    </row>
    <row r="3" ht="12.0" customHeight="1">
      <c r="A3" s="14">
        <v>2.0</v>
      </c>
      <c r="B3" s="15" t="s">
        <v>294</v>
      </c>
      <c r="C3" s="16" t="s">
        <v>2824</v>
      </c>
      <c r="D3" s="15" t="s">
        <v>2825</v>
      </c>
      <c r="E3" s="15" t="s">
        <v>2826</v>
      </c>
      <c r="F3" s="15" t="s">
        <v>295</v>
      </c>
    </row>
    <row r="4" ht="12.0" customHeight="1">
      <c r="A4" s="14">
        <v>2.0</v>
      </c>
      <c r="B4" s="15" t="s">
        <v>296</v>
      </c>
      <c r="C4" s="16" t="s">
        <v>2827</v>
      </c>
      <c r="D4" s="15" t="s">
        <v>2828</v>
      </c>
      <c r="E4" s="15" t="s">
        <v>2829</v>
      </c>
      <c r="F4" s="15" t="s">
        <v>297</v>
      </c>
    </row>
    <row r="5" ht="12.0" customHeight="1">
      <c r="A5" s="14">
        <v>2.0</v>
      </c>
      <c r="B5" s="15" t="s">
        <v>298</v>
      </c>
      <c r="C5" s="16" t="s">
        <v>2830</v>
      </c>
      <c r="D5" s="15" t="s">
        <v>2831</v>
      </c>
      <c r="E5" s="15" t="s">
        <v>2832</v>
      </c>
      <c r="F5" s="15" t="s">
        <v>299</v>
      </c>
    </row>
    <row r="6" ht="12.0" customHeight="1">
      <c r="A6" s="14">
        <v>2.0</v>
      </c>
      <c r="B6" s="15" t="s">
        <v>300</v>
      </c>
      <c r="C6" s="16" t="s">
        <v>2833</v>
      </c>
      <c r="D6" s="15" t="s">
        <v>2834</v>
      </c>
      <c r="E6" s="15" t="s">
        <v>2835</v>
      </c>
      <c r="F6" s="15" t="s">
        <v>301</v>
      </c>
    </row>
    <row r="7" ht="12.0" customHeight="1">
      <c r="A7" s="14">
        <v>2.0</v>
      </c>
      <c r="B7" s="15" t="s">
        <v>302</v>
      </c>
      <c r="C7" s="16" t="s">
        <v>2836</v>
      </c>
      <c r="D7" s="15" t="s">
        <v>2837</v>
      </c>
      <c r="E7" s="15" t="s">
        <v>2838</v>
      </c>
      <c r="F7" s="15" t="s">
        <v>303</v>
      </c>
    </row>
    <row r="8" ht="12.0" customHeight="1">
      <c r="A8" s="14">
        <v>2.0</v>
      </c>
      <c r="B8" s="15" t="s">
        <v>304</v>
      </c>
      <c r="C8" s="16" t="s">
        <v>2839</v>
      </c>
      <c r="D8" s="15" t="s">
        <v>2840</v>
      </c>
      <c r="E8" s="15" t="s">
        <v>2841</v>
      </c>
      <c r="F8" s="15" t="s">
        <v>305</v>
      </c>
    </row>
    <row r="9" ht="12.0" customHeight="1">
      <c r="A9" s="14">
        <v>2.0</v>
      </c>
      <c r="B9" s="15" t="s">
        <v>306</v>
      </c>
      <c r="C9" s="16" t="s">
        <v>2842</v>
      </c>
      <c r="D9" s="15" t="s">
        <v>2843</v>
      </c>
      <c r="E9" s="15" t="s">
        <v>2844</v>
      </c>
      <c r="F9" s="15" t="s">
        <v>307</v>
      </c>
    </row>
    <row r="10" ht="12.0" customHeight="1">
      <c r="A10" s="14">
        <v>2.0</v>
      </c>
      <c r="B10" s="15" t="s">
        <v>308</v>
      </c>
      <c r="C10" s="16" t="s">
        <v>2845</v>
      </c>
      <c r="D10" s="15" t="s">
        <v>2846</v>
      </c>
      <c r="E10" s="15" t="s">
        <v>2847</v>
      </c>
      <c r="F10" s="15" t="s">
        <v>309</v>
      </c>
    </row>
    <row r="11" ht="12.0" customHeight="1">
      <c r="A11" s="14">
        <v>2.0</v>
      </c>
      <c r="B11" s="15" t="s">
        <v>310</v>
      </c>
      <c r="C11" s="16" t="s">
        <v>2848</v>
      </c>
      <c r="D11" s="15" t="s">
        <v>2849</v>
      </c>
      <c r="E11" s="15" t="s">
        <v>2850</v>
      </c>
      <c r="F11" s="15" t="s">
        <v>311</v>
      </c>
    </row>
    <row r="12" ht="11.25" customHeight="1">
      <c r="A12" s="14">
        <v>2.0</v>
      </c>
      <c r="B12" s="15" t="s">
        <v>312</v>
      </c>
      <c r="C12" s="10"/>
      <c r="D12" s="15" t="s">
        <v>2851</v>
      </c>
      <c r="E12" s="15" t="s">
        <v>2852</v>
      </c>
      <c r="F12" s="10"/>
    </row>
    <row r="13" ht="12.0" customHeight="1">
      <c r="A13" s="14">
        <v>2.0</v>
      </c>
      <c r="B13" s="15" t="s">
        <v>313</v>
      </c>
      <c r="C13" s="16" t="s">
        <v>2853</v>
      </c>
      <c r="D13" s="15" t="s">
        <v>2854</v>
      </c>
      <c r="E13" s="15" t="s">
        <v>2855</v>
      </c>
      <c r="F13" s="15" t="s">
        <v>314</v>
      </c>
    </row>
    <row r="14" ht="12.0" customHeight="1">
      <c r="A14" s="14">
        <v>2.0</v>
      </c>
      <c r="B14" s="15" t="s">
        <v>315</v>
      </c>
      <c r="C14" s="16" t="s">
        <v>2856</v>
      </c>
      <c r="D14" s="15" t="s">
        <v>2857</v>
      </c>
      <c r="E14" s="15" t="s">
        <v>2858</v>
      </c>
      <c r="F14" s="15" t="s">
        <v>316</v>
      </c>
    </row>
    <row r="15" ht="12.0" customHeight="1">
      <c r="A15" s="14">
        <v>2.0</v>
      </c>
      <c r="B15" s="15" t="s">
        <v>317</v>
      </c>
      <c r="C15" s="16" t="s">
        <v>2859</v>
      </c>
      <c r="D15" s="15" t="s">
        <v>2860</v>
      </c>
      <c r="E15" s="15" t="s">
        <v>2861</v>
      </c>
      <c r="F15" s="15" t="s">
        <v>318</v>
      </c>
    </row>
    <row r="16" ht="12.0" customHeight="1">
      <c r="A16" s="14">
        <v>2.0</v>
      </c>
      <c r="B16" s="15" t="s">
        <v>319</v>
      </c>
      <c r="C16" s="16" t="s">
        <v>2862</v>
      </c>
      <c r="D16" s="15" t="s">
        <v>2863</v>
      </c>
      <c r="E16" s="15" t="s">
        <v>2864</v>
      </c>
      <c r="F16" s="15" t="s">
        <v>320</v>
      </c>
    </row>
    <row r="17" ht="12.0" customHeight="1">
      <c r="A17" s="14">
        <v>2.0</v>
      </c>
      <c r="B17" s="15" t="s">
        <v>321</v>
      </c>
      <c r="C17" s="16" t="s">
        <v>2865</v>
      </c>
      <c r="D17" s="15" t="s">
        <v>2866</v>
      </c>
      <c r="E17" s="15" t="s">
        <v>2867</v>
      </c>
      <c r="F17" s="15" t="s">
        <v>322</v>
      </c>
    </row>
    <row r="18" ht="11.25" customHeight="1">
      <c r="A18" s="14">
        <v>2.0</v>
      </c>
      <c r="B18" s="15" t="s">
        <v>323</v>
      </c>
      <c r="C18" s="10"/>
      <c r="D18" s="15" t="s">
        <v>2868</v>
      </c>
      <c r="E18" s="15" t="s">
        <v>2869</v>
      </c>
      <c r="F18" s="10"/>
    </row>
    <row r="19" ht="12.0" customHeight="1">
      <c r="A19" s="14">
        <v>2.0</v>
      </c>
      <c r="B19" s="15" t="s">
        <v>324</v>
      </c>
      <c r="C19" s="10"/>
      <c r="D19" s="15" t="s">
        <v>2870</v>
      </c>
      <c r="E19" s="15" t="s">
        <v>2871</v>
      </c>
      <c r="F19" s="10"/>
    </row>
    <row r="20" ht="12.0" customHeight="1">
      <c r="A20" s="14">
        <v>2.0</v>
      </c>
      <c r="B20" s="15" t="s">
        <v>325</v>
      </c>
      <c r="C20" s="10"/>
      <c r="D20" s="15" t="s">
        <v>2872</v>
      </c>
      <c r="E20" s="15" t="s">
        <v>2873</v>
      </c>
      <c r="F20" s="10"/>
    </row>
    <row r="21" ht="12.0" customHeight="1">
      <c r="A21" s="14">
        <v>2.0</v>
      </c>
      <c r="B21" s="15" t="s">
        <v>326</v>
      </c>
      <c r="C21" s="10"/>
      <c r="D21" s="15" t="s">
        <v>2874</v>
      </c>
      <c r="E21" s="15" t="s">
        <v>2875</v>
      </c>
      <c r="F21" s="10"/>
    </row>
    <row r="22" ht="12.0" customHeight="1">
      <c r="A22" s="14">
        <v>2.0</v>
      </c>
      <c r="B22" s="15" t="s">
        <v>327</v>
      </c>
      <c r="C22" s="10"/>
      <c r="D22" s="15" t="s">
        <v>2876</v>
      </c>
      <c r="E22" s="15" t="s">
        <v>2877</v>
      </c>
      <c r="F22" s="10"/>
    </row>
    <row r="23" ht="12.0" customHeight="1">
      <c r="A23" s="14">
        <v>2.0</v>
      </c>
      <c r="B23" s="15" t="s">
        <v>328</v>
      </c>
      <c r="C23" s="10"/>
      <c r="D23" s="15" t="s">
        <v>2878</v>
      </c>
      <c r="E23" s="15" t="s">
        <v>2879</v>
      </c>
      <c r="F23" s="10"/>
    </row>
    <row r="24" ht="12.0" customHeight="1">
      <c r="A24" s="14">
        <v>2.0</v>
      </c>
      <c r="B24" s="15" t="s">
        <v>329</v>
      </c>
      <c r="C24" s="10"/>
      <c r="D24" s="15" t="s">
        <v>2880</v>
      </c>
      <c r="E24" s="15" t="s">
        <v>2881</v>
      </c>
      <c r="F24" s="10"/>
    </row>
    <row r="25" ht="12.0" customHeight="1">
      <c r="A25" s="14">
        <v>2.0</v>
      </c>
      <c r="B25" s="15" t="s">
        <v>330</v>
      </c>
      <c r="C25" s="10"/>
      <c r="D25" s="15" t="s">
        <v>2882</v>
      </c>
      <c r="E25" s="15" t="s">
        <v>2883</v>
      </c>
      <c r="F25" s="10"/>
    </row>
    <row r="26" ht="12.0" customHeight="1">
      <c r="A26" s="14">
        <v>2.0</v>
      </c>
      <c r="B26" s="15" t="s">
        <v>331</v>
      </c>
      <c r="C26" s="10"/>
      <c r="D26" s="15" t="s">
        <v>2884</v>
      </c>
      <c r="E26" s="15" t="s">
        <v>2885</v>
      </c>
      <c r="F26" s="10"/>
    </row>
    <row r="27" ht="12.0" customHeight="1">
      <c r="A27" s="14">
        <v>2.0</v>
      </c>
      <c r="B27" s="15" t="s">
        <v>332</v>
      </c>
      <c r="C27" s="10"/>
      <c r="D27" s="15" t="s">
        <v>2507</v>
      </c>
      <c r="E27" s="15" t="s">
        <v>2508</v>
      </c>
      <c r="F27" s="10"/>
    </row>
    <row r="28" ht="12.0" customHeight="1">
      <c r="A28" s="14">
        <v>2.0</v>
      </c>
      <c r="B28" s="15" t="s">
        <v>333</v>
      </c>
      <c r="C28" s="10"/>
      <c r="D28" s="15" t="s">
        <v>2886</v>
      </c>
      <c r="E28" s="15" t="s">
        <v>2887</v>
      </c>
      <c r="F28" s="10"/>
    </row>
    <row r="29" ht="23.25" customHeight="1">
      <c r="A29" s="19">
        <v>2.0</v>
      </c>
      <c r="B29" s="20" t="s">
        <v>334</v>
      </c>
      <c r="C29" s="22"/>
      <c r="D29" s="20" t="s">
        <v>2888</v>
      </c>
      <c r="E29" s="20" t="s">
        <v>2889</v>
      </c>
      <c r="F29" s="22"/>
    </row>
    <row r="30" ht="12.0" customHeight="1">
      <c r="A30" s="11">
        <v>3.0</v>
      </c>
      <c r="B30" s="12" t="s">
        <v>335</v>
      </c>
      <c r="C30" s="13" t="s">
        <v>2890</v>
      </c>
      <c r="D30" s="12" t="s">
        <v>2891</v>
      </c>
      <c r="E30" s="12" t="s">
        <v>2892</v>
      </c>
      <c r="F30" s="12" t="s">
        <v>336</v>
      </c>
    </row>
    <row r="31" ht="12.0" customHeight="1">
      <c r="A31" s="14">
        <v>3.0</v>
      </c>
      <c r="B31" s="15" t="s">
        <v>337</v>
      </c>
      <c r="C31" s="16" t="s">
        <v>2893</v>
      </c>
      <c r="D31" s="15" t="s">
        <v>2894</v>
      </c>
      <c r="E31" s="15" t="s">
        <v>2895</v>
      </c>
      <c r="F31" s="15" t="s">
        <v>338</v>
      </c>
    </row>
    <row r="32" ht="12.0" customHeight="1">
      <c r="A32" s="14">
        <v>3.0</v>
      </c>
      <c r="B32" s="15" t="s">
        <v>339</v>
      </c>
      <c r="C32" s="16" t="s">
        <v>2896</v>
      </c>
      <c r="D32" s="15" t="s">
        <v>2897</v>
      </c>
      <c r="E32" s="15" t="s">
        <v>2898</v>
      </c>
      <c r="F32" s="15" t="s">
        <v>340</v>
      </c>
    </row>
    <row r="33" ht="12.0" customHeight="1">
      <c r="A33" s="14">
        <v>3.0</v>
      </c>
      <c r="B33" s="15" t="s">
        <v>341</v>
      </c>
      <c r="C33" s="16" t="s">
        <v>2899</v>
      </c>
      <c r="D33" s="15" t="s">
        <v>2900</v>
      </c>
      <c r="E33" s="15" t="s">
        <v>2901</v>
      </c>
      <c r="F33" s="15" t="s">
        <v>342</v>
      </c>
    </row>
    <row r="34" ht="12.0" customHeight="1">
      <c r="A34" s="14">
        <v>3.0</v>
      </c>
      <c r="B34" s="15" t="s">
        <v>343</v>
      </c>
      <c r="C34" s="16" t="s">
        <v>2902</v>
      </c>
      <c r="D34" s="15" t="s">
        <v>2903</v>
      </c>
      <c r="E34" s="15" t="s">
        <v>2904</v>
      </c>
      <c r="F34" s="15" t="s">
        <v>344</v>
      </c>
    </row>
    <row r="35" ht="12.0" customHeight="1">
      <c r="A35" s="14">
        <v>3.0</v>
      </c>
      <c r="B35" s="15" t="s">
        <v>345</v>
      </c>
      <c r="C35" s="16" t="s">
        <v>2905</v>
      </c>
      <c r="D35" s="15" t="s">
        <v>2906</v>
      </c>
      <c r="E35" s="15" t="s">
        <v>2907</v>
      </c>
      <c r="F35" s="15" t="s">
        <v>346</v>
      </c>
    </row>
    <row r="36" ht="12.0" customHeight="1">
      <c r="A36" s="14">
        <v>3.0</v>
      </c>
      <c r="B36" s="15" t="s">
        <v>347</v>
      </c>
      <c r="C36" s="16" t="s">
        <v>2908</v>
      </c>
      <c r="D36" s="15" t="s">
        <v>2909</v>
      </c>
      <c r="E36" s="15" t="s">
        <v>2910</v>
      </c>
      <c r="F36" s="15" t="s">
        <v>348</v>
      </c>
    </row>
    <row r="37" ht="12.0" customHeight="1">
      <c r="A37" s="14">
        <v>3.0</v>
      </c>
      <c r="B37" s="15" t="s">
        <v>349</v>
      </c>
      <c r="C37" s="16" t="s">
        <v>2911</v>
      </c>
      <c r="D37" s="15" t="s">
        <v>2912</v>
      </c>
      <c r="E37" s="15" t="s">
        <v>2913</v>
      </c>
      <c r="F37" s="15" t="s">
        <v>350</v>
      </c>
    </row>
    <row r="38" ht="12.0" customHeight="1">
      <c r="A38" s="14">
        <v>3.0</v>
      </c>
      <c r="B38" s="15" t="s">
        <v>351</v>
      </c>
      <c r="C38" s="16" t="s">
        <v>2914</v>
      </c>
      <c r="D38" s="15" t="s">
        <v>2915</v>
      </c>
      <c r="E38" s="15" t="s">
        <v>2916</v>
      </c>
      <c r="F38" s="15" t="s">
        <v>352</v>
      </c>
    </row>
    <row r="39" ht="12.0" customHeight="1">
      <c r="A39" s="14">
        <v>3.0</v>
      </c>
      <c r="B39" s="15" t="s">
        <v>353</v>
      </c>
      <c r="C39" s="16" t="s">
        <v>2917</v>
      </c>
      <c r="D39" s="15" t="s">
        <v>2918</v>
      </c>
      <c r="E39" s="15" t="s">
        <v>2919</v>
      </c>
      <c r="F39" s="15" t="s">
        <v>354</v>
      </c>
    </row>
    <row r="40" ht="12.0" customHeight="1">
      <c r="A40" s="14">
        <v>3.0</v>
      </c>
      <c r="B40" s="15" t="s">
        <v>355</v>
      </c>
      <c r="C40" s="16" t="s">
        <v>2920</v>
      </c>
      <c r="D40" s="15" t="s">
        <v>2921</v>
      </c>
      <c r="E40" s="15" t="s">
        <v>2922</v>
      </c>
      <c r="F40" s="15" t="s">
        <v>356</v>
      </c>
    </row>
    <row r="41" ht="12.0" customHeight="1">
      <c r="A41" s="14">
        <v>3.0</v>
      </c>
      <c r="B41" s="15" t="s">
        <v>357</v>
      </c>
      <c r="C41" s="16" t="s">
        <v>2923</v>
      </c>
      <c r="D41" s="15" t="s">
        <v>2924</v>
      </c>
      <c r="E41" s="15" t="s">
        <v>2925</v>
      </c>
      <c r="F41" s="15" t="s">
        <v>358</v>
      </c>
    </row>
    <row r="42" ht="12.0" customHeight="1">
      <c r="A42" s="14">
        <v>3.0</v>
      </c>
      <c r="B42" s="15" t="s">
        <v>359</v>
      </c>
      <c r="C42" s="16" t="s">
        <v>2926</v>
      </c>
      <c r="D42" s="15" t="s">
        <v>2927</v>
      </c>
      <c r="E42" s="15" t="s">
        <v>2928</v>
      </c>
      <c r="F42" s="15" t="s">
        <v>360</v>
      </c>
    </row>
    <row r="43" ht="12.0" customHeight="1">
      <c r="A43" s="14">
        <v>3.0</v>
      </c>
      <c r="B43" s="15" t="s">
        <v>361</v>
      </c>
      <c r="C43" s="16" t="s">
        <v>2929</v>
      </c>
      <c r="D43" s="15" t="s">
        <v>2930</v>
      </c>
      <c r="E43" s="15" t="s">
        <v>2931</v>
      </c>
      <c r="F43" s="15" t="s">
        <v>362</v>
      </c>
    </row>
    <row r="44" ht="12.0" customHeight="1">
      <c r="A44" s="14">
        <v>3.0</v>
      </c>
      <c r="B44" s="15" t="s">
        <v>363</v>
      </c>
      <c r="C44" s="16" t="s">
        <v>2932</v>
      </c>
      <c r="D44" s="15" t="s">
        <v>2933</v>
      </c>
      <c r="E44" s="15" t="s">
        <v>2934</v>
      </c>
      <c r="F44" s="15" t="s">
        <v>364</v>
      </c>
    </row>
    <row r="45" ht="12.0" customHeight="1">
      <c r="A45" s="14">
        <v>3.0</v>
      </c>
      <c r="B45" s="15" t="s">
        <v>365</v>
      </c>
      <c r="C45" s="16" t="s">
        <v>2935</v>
      </c>
      <c r="D45" s="15" t="s">
        <v>2936</v>
      </c>
      <c r="E45" s="15" t="s">
        <v>2937</v>
      </c>
      <c r="F45" s="15" t="s">
        <v>366</v>
      </c>
    </row>
    <row r="46" ht="12.0" customHeight="1">
      <c r="A46" s="14">
        <v>3.0</v>
      </c>
      <c r="B46" s="15" t="s">
        <v>367</v>
      </c>
      <c r="C46" s="16" t="s">
        <v>2938</v>
      </c>
      <c r="D46" s="15" t="s">
        <v>2939</v>
      </c>
      <c r="E46" s="15" t="s">
        <v>2940</v>
      </c>
      <c r="F46" s="15" t="s">
        <v>368</v>
      </c>
    </row>
    <row r="47" ht="12.0" customHeight="1">
      <c r="A47" s="14">
        <v>3.0</v>
      </c>
      <c r="B47" s="15" t="s">
        <v>369</v>
      </c>
      <c r="C47" s="16" t="s">
        <v>2941</v>
      </c>
      <c r="D47" s="15" t="s">
        <v>2942</v>
      </c>
      <c r="E47" s="15" t="s">
        <v>2943</v>
      </c>
      <c r="F47" s="15" t="s">
        <v>370</v>
      </c>
    </row>
    <row r="48" ht="12.0" customHeight="1">
      <c r="A48" s="14">
        <v>3.0</v>
      </c>
      <c r="B48" s="15" t="s">
        <v>371</v>
      </c>
      <c r="C48" s="16" t="s">
        <v>2944</v>
      </c>
      <c r="D48" s="15" t="s">
        <v>2945</v>
      </c>
      <c r="E48" s="15" t="s">
        <v>2946</v>
      </c>
      <c r="F48" s="15" t="s">
        <v>372</v>
      </c>
    </row>
    <row r="49" ht="15.75" customHeight="1">
      <c r="A49" s="14">
        <v>3.0</v>
      </c>
      <c r="B49" s="15" t="s">
        <v>373</v>
      </c>
      <c r="C49" s="16" t="s">
        <v>2947</v>
      </c>
      <c r="D49" s="15" t="s">
        <v>2948</v>
      </c>
      <c r="E49" s="15" t="s">
        <v>2949</v>
      </c>
      <c r="F49" s="15" t="s">
        <v>374</v>
      </c>
    </row>
    <row r="50" ht="7.5" customHeight="1">
      <c r="A50" s="17" t="s">
        <v>2950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4.71"/>
    <col customWidth="1" min="3" max="3" width="17.86"/>
    <col customWidth="1" min="4" max="4" width="22.71"/>
    <col customWidth="1" min="5" max="5" width="18.71"/>
    <col customWidth="1" min="6" max="6" width="56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4">
        <v>3.0</v>
      </c>
      <c r="B2" s="15" t="s">
        <v>375</v>
      </c>
      <c r="C2" s="16" t="s">
        <v>2951</v>
      </c>
      <c r="D2" s="15" t="s">
        <v>2952</v>
      </c>
      <c r="E2" s="15" t="s">
        <v>2953</v>
      </c>
      <c r="F2" s="15" t="s">
        <v>376</v>
      </c>
    </row>
    <row r="3" ht="12.0" customHeight="1">
      <c r="A3" s="14">
        <v>3.0</v>
      </c>
      <c r="B3" s="15" t="s">
        <v>377</v>
      </c>
      <c r="C3" s="16" t="s">
        <v>2954</v>
      </c>
      <c r="D3" s="15" t="s">
        <v>2955</v>
      </c>
      <c r="E3" s="15" t="s">
        <v>2956</v>
      </c>
      <c r="F3" s="15" t="s">
        <v>378</v>
      </c>
    </row>
    <row r="4" ht="12.0" customHeight="1">
      <c r="A4" s="14">
        <v>3.0</v>
      </c>
      <c r="B4" s="15" t="s">
        <v>379</v>
      </c>
      <c r="C4" s="16" t="s">
        <v>2957</v>
      </c>
      <c r="D4" s="15" t="s">
        <v>2958</v>
      </c>
      <c r="E4" s="15" t="s">
        <v>2959</v>
      </c>
      <c r="F4" s="15" t="s">
        <v>380</v>
      </c>
    </row>
    <row r="5" ht="12.0" customHeight="1">
      <c r="A5" s="14">
        <v>3.0</v>
      </c>
      <c r="B5" s="15" t="s">
        <v>381</v>
      </c>
      <c r="C5" s="16" t="s">
        <v>2960</v>
      </c>
      <c r="D5" s="15" t="s">
        <v>2961</v>
      </c>
      <c r="E5" s="15" t="s">
        <v>2962</v>
      </c>
      <c r="F5" s="15" t="s">
        <v>382</v>
      </c>
    </row>
    <row r="6" ht="12.0" customHeight="1">
      <c r="A6" s="14">
        <v>3.0</v>
      </c>
      <c r="B6" s="15" t="s">
        <v>383</v>
      </c>
      <c r="C6" s="16" t="s">
        <v>2963</v>
      </c>
      <c r="D6" s="15" t="s">
        <v>2964</v>
      </c>
      <c r="E6" s="15" t="s">
        <v>2965</v>
      </c>
      <c r="F6" s="15" t="s">
        <v>384</v>
      </c>
    </row>
    <row r="7" ht="12.0" customHeight="1">
      <c r="A7" s="14">
        <v>3.0</v>
      </c>
      <c r="B7" s="15" t="s">
        <v>385</v>
      </c>
      <c r="C7" s="16" t="s">
        <v>2966</v>
      </c>
      <c r="D7" s="15" t="s">
        <v>2967</v>
      </c>
      <c r="E7" s="15" t="s">
        <v>2968</v>
      </c>
      <c r="F7" s="15" t="s">
        <v>386</v>
      </c>
    </row>
    <row r="8" ht="23.25" customHeight="1">
      <c r="A8" s="19">
        <v>3.0</v>
      </c>
      <c r="B8" s="20" t="s">
        <v>387</v>
      </c>
      <c r="C8" s="21" t="s">
        <v>2969</v>
      </c>
      <c r="D8" s="20" t="s">
        <v>2970</v>
      </c>
      <c r="E8" s="20" t="s">
        <v>2971</v>
      </c>
      <c r="F8" s="20" t="s">
        <v>388</v>
      </c>
    </row>
    <row r="9" ht="12.0" customHeight="1">
      <c r="A9" s="11">
        <v>4.0</v>
      </c>
      <c r="B9" s="12" t="s">
        <v>389</v>
      </c>
      <c r="C9" s="13" t="s">
        <v>2972</v>
      </c>
      <c r="D9" s="12" t="s">
        <v>2973</v>
      </c>
      <c r="E9" s="12" t="s">
        <v>2974</v>
      </c>
      <c r="F9" s="12" t="s">
        <v>390</v>
      </c>
    </row>
    <row r="10" ht="12.0" customHeight="1">
      <c r="A10" s="14">
        <v>4.0</v>
      </c>
      <c r="B10" s="15" t="s">
        <v>391</v>
      </c>
      <c r="C10" s="16" t="s">
        <v>2975</v>
      </c>
      <c r="D10" s="15" t="s">
        <v>2976</v>
      </c>
      <c r="E10" s="15" t="s">
        <v>2977</v>
      </c>
      <c r="F10" s="15" t="s">
        <v>392</v>
      </c>
    </row>
    <row r="11" ht="12.0" customHeight="1">
      <c r="A11" s="14">
        <v>4.0</v>
      </c>
      <c r="B11" s="15" t="s">
        <v>393</v>
      </c>
      <c r="C11" s="16" t="s">
        <v>2978</v>
      </c>
      <c r="D11" s="15" t="s">
        <v>2979</v>
      </c>
      <c r="E11" s="15" t="s">
        <v>2980</v>
      </c>
      <c r="F11" s="15" t="s">
        <v>394</v>
      </c>
    </row>
    <row r="12" ht="12.0" customHeight="1">
      <c r="A12" s="14">
        <v>4.0</v>
      </c>
      <c r="B12" s="15" t="s">
        <v>395</v>
      </c>
      <c r="C12" s="16" t="s">
        <v>2981</v>
      </c>
      <c r="D12" s="15" t="s">
        <v>2982</v>
      </c>
      <c r="E12" s="15" t="s">
        <v>2983</v>
      </c>
      <c r="F12" s="15" t="s">
        <v>396</v>
      </c>
    </row>
    <row r="13" ht="12.0" customHeight="1">
      <c r="A13" s="14">
        <v>4.0</v>
      </c>
      <c r="B13" s="15" t="s">
        <v>397</v>
      </c>
      <c r="C13" s="16" t="s">
        <v>2984</v>
      </c>
      <c r="D13" s="15" t="s">
        <v>2985</v>
      </c>
      <c r="E13" s="15" t="s">
        <v>2986</v>
      </c>
      <c r="F13" s="15" t="s">
        <v>398</v>
      </c>
    </row>
    <row r="14" ht="12.0" customHeight="1">
      <c r="A14" s="14">
        <v>4.0</v>
      </c>
      <c r="B14" s="15" t="s">
        <v>399</v>
      </c>
      <c r="C14" s="16" t="s">
        <v>2987</v>
      </c>
      <c r="D14" s="15" t="s">
        <v>2988</v>
      </c>
      <c r="E14" s="15" t="s">
        <v>2989</v>
      </c>
      <c r="F14" s="15" t="s">
        <v>400</v>
      </c>
    </row>
    <row r="15" ht="12.0" customHeight="1">
      <c r="A15" s="14">
        <v>4.0</v>
      </c>
      <c r="B15" s="15" t="s">
        <v>401</v>
      </c>
      <c r="C15" s="16" t="s">
        <v>2990</v>
      </c>
      <c r="D15" s="15" t="s">
        <v>2991</v>
      </c>
      <c r="E15" s="15" t="s">
        <v>2992</v>
      </c>
      <c r="F15" s="15" t="s">
        <v>402</v>
      </c>
    </row>
    <row r="16" ht="12.0" customHeight="1">
      <c r="A16" s="14">
        <v>4.0</v>
      </c>
      <c r="B16" s="15" t="s">
        <v>403</v>
      </c>
      <c r="C16" s="16" t="s">
        <v>2993</v>
      </c>
      <c r="D16" s="15" t="s">
        <v>2994</v>
      </c>
      <c r="E16" s="15" t="s">
        <v>2995</v>
      </c>
      <c r="F16" s="15" t="s">
        <v>404</v>
      </c>
    </row>
    <row r="17" ht="12.0" customHeight="1">
      <c r="A17" s="14">
        <v>4.0</v>
      </c>
      <c r="B17" s="15" t="s">
        <v>405</v>
      </c>
      <c r="C17" s="16" t="s">
        <v>2996</v>
      </c>
      <c r="D17" s="15" t="s">
        <v>2997</v>
      </c>
      <c r="E17" s="15" t="s">
        <v>2998</v>
      </c>
      <c r="F17" s="15" t="s">
        <v>406</v>
      </c>
    </row>
    <row r="18" ht="12.0" customHeight="1">
      <c r="A18" s="14">
        <v>4.0</v>
      </c>
      <c r="B18" s="15" t="s">
        <v>407</v>
      </c>
      <c r="C18" s="16" t="s">
        <v>2999</v>
      </c>
      <c r="D18" s="15" t="s">
        <v>3000</v>
      </c>
      <c r="E18" s="15" t="s">
        <v>3001</v>
      </c>
      <c r="F18" s="15" t="s">
        <v>408</v>
      </c>
    </row>
    <row r="19" ht="12.0" customHeight="1">
      <c r="A19" s="14">
        <v>4.0</v>
      </c>
      <c r="B19" s="15" t="s">
        <v>409</v>
      </c>
      <c r="C19" s="16" t="s">
        <v>3002</v>
      </c>
      <c r="D19" s="15" t="s">
        <v>3003</v>
      </c>
      <c r="E19" s="15" t="s">
        <v>3004</v>
      </c>
      <c r="F19" s="15" t="s">
        <v>410</v>
      </c>
    </row>
    <row r="20" ht="12.0" customHeight="1">
      <c r="A20" s="14">
        <v>4.0</v>
      </c>
      <c r="B20" s="15" t="s">
        <v>411</v>
      </c>
      <c r="C20" s="16" t="s">
        <v>3005</v>
      </c>
      <c r="D20" s="15" t="s">
        <v>3006</v>
      </c>
      <c r="E20" s="15" t="s">
        <v>3007</v>
      </c>
      <c r="F20" s="15" t="s">
        <v>412</v>
      </c>
    </row>
    <row r="21" ht="12.0" customHeight="1">
      <c r="A21" s="14">
        <v>4.0</v>
      </c>
      <c r="B21" s="15" t="s">
        <v>413</v>
      </c>
      <c r="C21" s="16" t="s">
        <v>3008</v>
      </c>
      <c r="D21" s="15" t="s">
        <v>3009</v>
      </c>
      <c r="E21" s="15" t="s">
        <v>3010</v>
      </c>
      <c r="F21" s="15" t="s">
        <v>414</v>
      </c>
    </row>
    <row r="22" ht="12.0" customHeight="1">
      <c r="A22" s="14">
        <v>4.0</v>
      </c>
      <c r="B22" s="15" t="s">
        <v>415</v>
      </c>
      <c r="C22" s="16" t="s">
        <v>3011</v>
      </c>
      <c r="D22" s="15" t="s">
        <v>3012</v>
      </c>
      <c r="E22" s="15" t="s">
        <v>3013</v>
      </c>
      <c r="F22" s="15" t="s">
        <v>416</v>
      </c>
    </row>
    <row r="23" ht="12.0" customHeight="1">
      <c r="A23" s="14">
        <v>4.0</v>
      </c>
      <c r="B23" s="15" t="s">
        <v>417</v>
      </c>
      <c r="C23" s="16" t="s">
        <v>3014</v>
      </c>
      <c r="D23" s="15" t="s">
        <v>3015</v>
      </c>
      <c r="E23" s="15" t="s">
        <v>3016</v>
      </c>
      <c r="F23" s="15" t="s">
        <v>418</v>
      </c>
    </row>
    <row r="24" ht="12.0" customHeight="1">
      <c r="A24" s="14">
        <v>4.0</v>
      </c>
      <c r="B24" s="15" t="s">
        <v>419</v>
      </c>
      <c r="C24" s="16" t="s">
        <v>3017</v>
      </c>
      <c r="D24" s="15" t="s">
        <v>3018</v>
      </c>
      <c r="E24" s="15" t="s">
        <v>3019</v>
      </c>
      <c r="F24" s="15" t="s">
        <v>420</v>
      </c>
    </row>
    <row r="25" ht="12.0" customHeight="1">
      <c r="A25" s="14">
        <v>4.0</v>
      </c>
      <c r="B25" s="15" t="s">
        <v>421</v>
      </c>
      <c r="C25" s="16" t="s">
        <v>3020</v>
      </c>
      <c r="D25" s="15" t="s">
        <v>3021</v>
      </c>
      <c r="E25" s="15" t="s">
        <v>3022</v>
      </c>
      <c r="F25" s="15" t="s">
        <v>422</v>
      </c>
    </row>
    <row r="26" ht="12.0" customHeight="1">
      <c r="A26" s="14">
        <v>4.0</v>
      </c>
      <c r="B26" s="15" t="s">
        <v>423</v>
      </c>
      <c r="C26" s="16" t="s">
        <v>3023</v>
      </c>
      <c r="D26" s="15" t="s">
        <v>3024</v>
      </c>
      <c r="E26" s="15" t="s">
        <v>3025</v>
      </c>
      <c r="F26" s="15" t="s">
        <v>424</v>
      </c>
    </row>
    <row r="27" ht="12.0" customHeight="1">
      <c r="A27" s="14">
        <v>4.0</v>
      </c>
      <c r="B27" s="15" t="s">
        <v>425</v>
      </c>
      <c r="C27" s="16" t="s">
        <v>3026</v>
      </c>
      <c r="D27" s="15" t="s">
        <v>3027</v>
      </c>
      <c r="E27" s="15" t="s">
        <v>3028</v>
      </c>
      <c r="F27" s="15" t="s">
        <v>426</v>
      </c>
    </row>
    <row r="28" ht="12.0" customHeight="1">
      <c r="A28" s="14">
        <v>4.0</v>
      </c>
      <c r="B28" s="15" t="s">
        <v>427</v>
      </c>
      <c r="C28" s="16" t="s">
        <v>3029</v>
      </c>
      <c r="D28" s="15" t="s">
        <v>3030</v>
      </c>
      <c r="E28" s="15" t="s">
        <v>3031</v>
      </c>
      <c r="F28" s="15" t="s">
        <v>428</v>
      </c>
    </row>
    <row r="29" ht="12.0" customHeight="1">
      <c r="A29" s="14">
        <v>4.0</v>
      </c>
      <c r="B29" s="15" t="s">
        <v>429</v>
      </c>
      <c r="C29" s="16" t="s">
        <v>3032</v>
      </c>
      <c r="D29" s="15" t="s">
        <v>3033</v>
      </c>
      <c r="E29" s="15" t="s">
        <v>3034</v>
      </c>
      <c r="F29" s="15" t="s">
        <v>430</v>
      </c>
    </row>
    <row r="30" ht="12.0" customHeight="1">
      <c r="A30" s="14">
        <v>4.0</v>
      </c>
      <c r="B30" s="15" t="s">
        <v>431</v>
      </c>
      <c r="C30" s="16" t="s">
        <v>3035</v>
      </c>
      <c r="D30" s="15" t="s">
        <v>3036</v>
      </c>
      <c r="E30" s="15" t="s">
        <v>3037</v>
      </c>
      <c r="F30" s="15" t="s">
        <v>432</v>
      </c>
    </row>
    <row r="31" ht="12.0" customHeight="1">
      <c r="A31" s="14">
        <v>4.0</v>
      </c>
      <c r="B31" s="15" t="s">
        <v>433</v>
      </c>
      <c r="C31" s="16" t="s">
        <v>3038</v>
      </c>
      <c r="D31" s="15" t="s">
        <v>3039</v>
      </c>
      <c r="E31" s="15" t="s">
        <v>3040</v>
      </c>
      <c r="F31" s="15" t="s">
        <v>434</v>
      </c>
    </row>
    <row r="32" ht="12.0" customHeight="1">
      <c r="A32" s="14">
        <v>4.0</v>
      </c>
      <c r="B32" s="15" t="s">
        <v>435</v>
      </c>
      <c r="C32" s="16" t="s">
        <v>3041</v>
      </c>
      <c r="D32" s="15" t="s">
        <v>3042</v>
      </c>
      <c r="E32" s="15" t="s">
        <v>3043</v>
      </c>
      <c r="F32" s="15" t="s">
        <v>436</v>
      </c>
    </row>
    <row r="33" ht="12.0" customHeight="1">
      <c r="A33" s="14">
        <v>4.0</v>
      </c>
      <c r="B33" s="15" t="s">
        <v>437</v>
      </c>
      <c r="C33" s="16" t="s">
        <v>3044</v>
      </c>
      <c r="D33" s="15" t="s">
        <v>3045</v>
      </c>
      <c r="E33" s="15" t="s">
        <v>3046</v>
      </c>
      <c r="F33" s="15" t="s">
        <v>438</v>
      </c>
    </row>
    <row r="34" ht="12.0" customHeight="1">
      <c r="A34" s="14">
        <v>4.0</v>
      </c>
      <c r="B34" s="15" t="s">
        <v>439</v>
      </c>
      <c r="C34" s="16" t="s">
        <v>3047</v>
      </c>
      <c r="D34" s="15" t="s">
        <v>3048</v>
      </c>
      <c r="E34" s="15" t="s">
        <v>3049</v>
      </c>
      <c r="F34" s="15" t="s">
        <v>440</v>
      </c>
    </row>
    <row r="35" ht="12.0" customHeight="1">
      <c r="A35" s="14">
        <v>4.0</v>
      </c>
      <c r="B35" s="15" t="s">
        <v>441</v>
      </c>
      <c r="C35" s="16" t="s">
        <v>3050</v>
      </c>
      <c r="D35" s="15" t="s">
        <v>3051</v>
      </c>
      <c r="E35" s="15" t="s">
        <v>3052</v>
      </c>
      <c r="F35" s="15" t="s">
        <v>442</v>
      </c>
    </row>
    <row r="36" ht="12.0" customHeight="1">
      <c r="A36" s="14">
        <v>4.0</v>
      </c>
      <c r="B36" s="15" t="s">
        <v>443</v>
      </c>
      <c r="C36" s="16" t="s">
        <v>3053</v>
      </c>
      <c r="D36" s="15" t="s">
        <v>3054</v>
      </c>
      <c r="E36" s="15" t="s">
        <v>3055</v>
      </c>
      <c r="F36" s="15" t="s">
        <v>444</v>
      </c>
    </row>
    <row r="37" ht="12.0" customHeight="1">
      <c r="A37" s="14">
        <v>4.0</v>
      </c>
      <c r="B37" s="15" t="s">
        <v>445</v>
      </c>
      <c r="C37" s="16" t="s">
        <v>3056</v>
      </c>
      <c r="D37" s="15" t="s">
        <v>3057</v>
      </c>
      <c r="E37" s="15" t="s">
        <v>3058</v>
      </c>
      <c r="F37" s="15" t="s">
        <v>446</v>
      </c>
    </row>
    <row r="38" ht="12.0" customHeight="1">
      <c r="A38" s="14">
        <v>4.0</v>
      </c>
      <c r="B38" s="15" t="s">
        <v>447</v>
      </c>
      <c r="C38" s="16" t="s">
        <v>3059</v>
      </c>
      <c r="D38" s="15" t="s">
        <v>3060</v>
      </c>
      <c r="E38" s="15" t="s">
        <v>3061</v>
      </c>
      <c r="F38" s="15" t="s">
        <v>448</v>
      </c>
    </row>
    <row r="39" ht="12.0" customHeight="1">
      <c r="A39" s="14">
        <v>4.0</v>
      </c>
      <c r="B39" s="15" t="s">
        <v>449</v>
      </c>
      <c r="C39" s="16" t="s">
        <v>3062</v>
      </c>
      <c r="D39" s="15" t="s">
        <v>3063</v>
      </c>
      <c r="E39" s="15" t="s">
        <v>3064</v>
      </c>
      <c r="F39" s="15" t="s">
        <v>450</v>
      </c>
    </row>
    <row r="40" ht="12.0" customHeight="1">
      <c r="A40" s="14">
        <v>4.0</v>
      </c>
      <c r="B40" s="15" t="s">
        <v>451</v>
      </c>
      <c r="C40" s="16" t="s">
        <v>3065</v>
      </c>
      <c r="D40" s="15" t="s">
        <v>3066</v>
      </c>
      <c r="E40" s="15" t="s">
        <v>3067</v>
      </c>
      <c r="F40" s="15" t="s">
        <v>452</v>
      </c>
    </row>
    <row r="41" ht="12.0" customHeight="1">
      <c r="A41" s="14">
        <v>4.0</v>
      </c>
      <c r="B41" s="15" t="s">
        <v>453</v>
      </c>
      <c r="C41" s="16" t="s">
        <v>3068</v>
      </c>
      <c r="D41" s="15" t="s">
        <v>3069</v>
      </c>
      <c r="E41" s="15" t="s">
        <v>3070</v>
      </c>
      <c r="F41" s="15" t="s">
        <v>454</v>
      </c>
    </row>
    <row r="42" ht="12.0" customHeight="1">
      <c r="A42" s="14">
        <v>4.0</v>
      </c>
      <c r="B42" s="15" t="s">
        <v>455</v>
      </c>
      <c r="C42" s="16" t="s">
        <v>3071</v>
      </c>
      <c r="D42" s="15" t="s">
        <v>3072</v>
      </c>
      <c r="E42" s="15" t="s">
        <v>3073</v>
      </c>
      <c r="F42" s="15" t="s">
        <v>456</v>
      </c>
    </row>
    <row r="43" ht="12.0" customHeight="1">
      <c r="A43" s="14">
        <v>4.0</v>
      </c>
      <c r="B43" s="15" t="s">
        <v>457</v>
      </c>
      <c r="C43" s="16" t="s">
        <v>3074</v>
      </c>
      <c r="D43" s="15" t="s">
        <v>3075</v>
      </c>
      <c r="E43" s="15" t="s">
        <v>3076</v>
      </c>
      <c r="F43" s="15" t="s">
        <v>458</v>
      </c>
    </row>
    <row r="44" ht="12.0" customHeight="1">
      <c r="A44" s="14">
        <v>4.0</v>
      </c>
      <c r="B44" s="15" t="s">
        <v>459</v>
      </c>
      <c r="C44" s="16" t="s">
        <v>3077</v>
      </c>
      <c r="D44" s="15" t="s">
        <v>3078</v>
      </c>
      <c r="E44" s="15" t="s">
        <v>3079</v>
      </c>
      <c r="F44" s="15" t="s">
        <v>460</v>
      </c>
    </row>
    <row r="45" ht="12.0" customHeight="1">
      <c r="A45" s="14">
        <v>4.0</v>
      </c>
      <c r="B45" s="15" t="s">
        <v>461</v>
      </c>
      <c r="C45" s="16" t="s">
        <v>3080</v>
      </c>
      <c r="D45" s="15" t="s">
        <v>3081</v>
      </c>
      <c r="E45" s="15" t="s">
        <v>3082</v>
      </c>
      <c r="F45" s="15" t="s">
        <v>462</v>
      </c>
    </row>
    <row r="46" ht="12.0" customHeight="1">
      <c r="A46" s="14">
        <v>4.0</v>
      </c>
      <c r="B46" s="15" t="s">
        <v>463</v>
      </c>
      <c r="C46" s="16" t="s">
        <v>3083</v>
      </c>
      <c r="D46" s="15" t="s">
        <v>3084</v>
      </c>
      <c r="E46" s="15" t="s">
        <v>3085</v>
      </c>
      <c r="F46" s="15" t="s">
        <v>464</v>
      </c>
    </row>
    <row r="47" ht="12.0" customHeight="1">
      <c r="A47" s="14">
        <v>4.0</v>
      </c>
      <c r="B47" s="15" t="s">
        <v>465</v>
      </c>
      <c r="C47" s="16" t="s">
        <v>3086</v>
      </c>
      <c r="D47" s="15" t="s">
        <v>3087</v>
      </c>
      <c r="E47" s="15" t="s">
        <v>3088</v>
      </c>
      <c r="F47" s="15" t="s">
        <v>466</v>
      </c>
    </row>
    <row r="48" ht="12.0" customHeight="1">
      <c r="A48" s="14">
        <v>4.0</v>
      </c>
      <c r="B48" s="15" t="s">
        <v>467</v>
      </c>
      <c r="C48" s="16" t="s">
        <v>3089</v>
      </c>
      <c r="D48" s="15" t="s">
        <v>3090</v>
      </c>
      <c r="E48" s="15" t="s">
        <v>3091</v>
      </c>
      <c r="F48" s="15" t="s">
        <v>468</v>
      </c>
    </row>
    <row r="49" ht="15.75" customHeight="1">
      <c r="A49" s="14">
        <v>4.0</v>
      </c>
      <c r="B49" s="15" t="s">
        <v>469</v>
      </c>
      <c r="C49" s="16" t="s">
        <v>3092</v>
      </c>
      <c r="D49" s="15" t="s">
        <v>3093</v>
      </c>
      <c r="E49" s="15" t="s">
        <v>3094</v>
      </c>
      <c r="F49" s="15" t="s">
        <v>470</v>
      </c>
    </row>
    <row r="50" ht="7.5" customHeight="1">
      <c r="A50" s="17" t="s">
        <v>3095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86"/>
    <col customWidth="1" min="3" max="3" width="16.86"/>
    <col customWidth="1" min="4" max="4" width="22.57"/>
    <col customWidth="1" min="5" max="5" width="19.86"/>
    <col customWidth="1" min="6" max="6" width="55.71"/>
    <col customWidth="1" min="7" max="7" width="2.14"/>
    <col customWidth="1" min="8" max="26" width="9.0"/>
  </cols>
  <sheetData>
    <row r="1" ht="6.0" customHeight="1">
      <c r="A1" s="8" t="s">
        <v>2396</v>
      </c>
    </row>
    <row r="2" ht="15.75" customHeight="1">
      <c r="A2" s="14">
        <v>4.0</v>
      </c>
      <c r="B2" s="15" t="s">
        <v>471</v>
      </c>
      <c r="C2" s="16" t="s">
        <v>3096</v>
      </c>
      <c r="D2" s="15" t="s">
        <v>3097</v>
      </c>
      <c r="E2" s="15" t="s">
        <v>3098</v>
      </c>
      <c r="F2" s="15" t="s">
        <v>472</v>
      </c>
    </row>
    <row r="3" ht="12.0" customHeight="1">
      <c r="A3" s="14">
        <v>4.0</v>
      </c>
      <c r="B3" s="15" t="s">
        <v>473</v>
      </c>
      <c r="C3" s="16" t="s">
        <v>3099</v>
      </c>
      <c r="D3" s="15" t="s">
        <v>3100</v>
      </c>
      <c r="E3" s="15" t="s">
        <v>3101</v>
      </c>
      <c r="F3" s="15" t="s">
        <v>474</v>
      </c>
    </row>
    <row r="4" ht="12.0" customHeight="1">
      <c r="A4" s="14">
        <v>4.0</v>
      </c>
      <c r="B4" s="15" t="s">
        <v>475</v>
      </c>
      <c r="C4" s="16" t="s">
        <v>3102</v>
      </c>
      <c r="D4" s="15" t="s">
        <v>2927</v>
      </c>
      <c r="E4" s="15" t="s">
        <v>3103</v>
      </c>
      <c r="F4" s="15" t="s">
        <v>476</v>
      </c>
    </row>
    <row r="5" ht="12.0" customHeight="1">
      <c r="A5" s="14">
        <v>4.0</v>
      </c>
      <c r="B5" s="15" t="s">
        <v>477</v>
      </c>
      <c r="C5" s="16" t="s">
        <v>3104</v>
      </c>
      <c r="D5" s="15" t="s">
        <v>3105</v>
      </c>
      <c r="E5" s="15" t="s">
        <v>3106</v>
      </c>
      <c r="F5" s="15" t="s">
        <v>478</v>
      </c>
    </row>
    <row r="6" ht="12.0" customHeight="1">
      <c r="A6" s="14">
        <v>4.0</v>
      </c>
      <c r="B6" s="15" t="s">
        <v>479</v>
      </c>
      <c r="C6" s="16" t="s">
        <v>3107</v>
      </c>
      <c r="D6" s="15" t="s">
        <v>3108</v>
      </c>
      <c r="E6" s="15" t="s">
        <v>3109</v>
      </c>
      <c r="F6" s="15" t="s">
        <v>480</v>
      </c>
    </row>
    <row r="7" ht="12.0" customHeight="1">
      <c r="A7" s="14">
        <v>4.0</v>
      </c>
      <c r="B7" s="15" t="s">
        <v>481</v>
      </c>
      <c r="C7" s="16" t="s">
        <v>3110</v>
      </c>
      <c r="D7" s="15" t="s">
        <v>3111</v>
      </c>
      <c r="E7" s="15" t="s">
        <v>3112</v>
      </c>
      <c r="F7" s="15" t="s">
        <v>482</v>
      </c>
    </row>
    <row r="8" ht="12.0" customHeight="1">
      <c r="A8" s="14">
        <v>4.0</v>
      </c>
      <c r="B8" s="15" t="s">
        <v>483</v>
      </c>
      <c r="C8" s="16" t="s">
        <v>3113</v>
      </c>
      <c r="D8" s="15" t="s">
        <v>3114</v>
      </c>
      <c r="E8" s="15" t="s">
        <v>3115</v>
      </c>
      <c r="F8" s="15" t="s">
        <v>484</v>
      </c>
    </row>
    <row r="9" ht="12.0" customHeight="1">
      <c r="A9" s="14">
        <v>4.0</v>
      </c>
      <c r="B9" s="15" t="s">
        <v>485</v>
      </c>
      <c r="C9" s="16" t="s">
        <v>3116</v>
      </c>
      <c r="D9" s="15" t="s">
        <v>3117</v>
      </c>
      <c r="E9" s="15" t="s">
        <v>3117</v>
      </c>
      <c r="F9" s="15" t="s">
        <v>486</v>
      </c>
    </row>
    <row r="10" ht="12.0" customHeight="1">
      <c r="A10" s="14">
        <v>4.0</v>
      </c>
      <c r="B10" s="15" t="s">
        <v>487</v>
      </c>
      <c r="C10" s="16" t="s">
        <v>3118</v>
      </c>
      <c r="D10" s="15" t="s">
        <v>3119</v>
      </c>
      <c r="E10" s="15" t="s">
        <v>3120</v>
      </c>
      <c r="F10" s="15" t="s">
        <v>488</v>
      </c>
    </row>
    <row r="11" ht="12.0" customHeight="1">
      <c r="A11" s="14">
        <v>4.0</v>
      </c>
      <c r="B11" s="15" t="s">
        <v>489</v>
      </c>
      <c r="C11" s="16" t="s">
        <v>3121</v>
      </c>
      <c r="D11" s="15" t="s">
        <v>3122</v>
      </c>
      <c r="E11" s="15" t="s">
        <v>3123</v>
      </c>
      <c r="F11" s="15" t="s">
        <v>490</v>
      </c>
    </row>
    <row r="12" ht="12.0" customHeight="1">
      <c r="A12" s="14">
        <v>4.0</v>
      </c>
      <c r="B12" s="15" t="s">
        <v>491</v>
      </c>
      <c r="C12" s="16" t="s">
        <v>3124</v>
      </c>
      <c r="D12" s="15" t="s">
        <v>3125</v>
      </c>
      <c r="E12" s="15" t="s">
        <v>3126</v>
      </c>
      <c r="F12" s="15" t="s">
        <v>492</v>
      </c>
    </row>
    <row r="13" ht="12.0" customHeight="1">
      <c r="A13" s="14">
        <v>4.0</v>
      </c>
      <c r="B13" s="15" t="s">
        <v>493</v>
      </c>
      <c r="C13" s="16" t="s">
        <v>3127</v>
      </c>
      <c r="D13" s="15" t="s">
        <v>3128</v>
      </c>
      <c r="E13" s="15" t="s">
        <v>3129</v>
      </c>
      <c r="F13" s="15" t="s">
        <v>494</v>
      </c>
    </row>
    <row r="14" ht="12.0" customHeight="1">
      <c r="A14" s="14">
        <v>4.0</v>
      </c>
      <c r="B14" s="15" t="s">
        <v>495</v>
      </c>
      <c r="C14" s="16" t="s">
        <v>3130</v>
      </c>
      <c r="D14" s="15" t="s">
        <v>3131</v>
      </c>
      <c r="E14" s="15" t="s">
        <v>3132</v>
      </c>
      <c r="F14" s="15" t="s">
        <v>496</v>
      </c>
    </row>
    <row r="15" ht="12.0" customHeight="1">
      <c r="A15" s="14">
        <v>4.0</v>
      </c>
      <c r="B15" s="15" t="s">
        <v>497</v>
      </c>
      <c r="C15" s="16" t="s">
        <v>3133</v>
      </c>
      <c r="D15" s="15" t="s">
        <v>3134</v>
      </c>
      <c r="E15" s="15" t="s">
        <v>3135</v>
      </c>
      <c r="F15" s="15" t="s">
        <v>498</v>
      </c>
    </row>
    <row r="16" ht="12.0" customHeight="1">
      <c r="A16" s="14">
        <v>4.0</v>
      </c>
      <c r="B16" s="15" t="s">
        <v>499</v>
      </c>
      <c r="C16" s="16" t="s">
        <v>3136</v>
      </c>
      <c r="D16" s="15" t="s">
        <v>2411</v>
      </c>
      <c r="E16" s="15" t="s">
        <v>2412</v>
      </c>
      <c r="F16" s="15" t="s">
        <v>500</v>
      </c>
    </row>
    <row r="17" ht="12.0" customHeight="1">
      <c r="A17" s="14">
        <v>4.0</v>
      </c>
      <c r="B17" s="15" t="s">
        <v>501</v>
      </c>
      <c r="C17" s="16" t="s">
        <v>3137</v>
      </c>
      <c r="D17" s="15" t="s">
        <v>3138</v>
      </c>
      <c r="E17" s="15" t="s">
        <v>3139</v>
      </c>
      <c r="F17" s="15" t="s">
        <v>502</v>
      </c>
    </row>
    <row r="18" ht="12.0" customHeight="1">
      <c r="A18" s="14">
        <v>4.0</v>
      </c>
      <c r="B18" s="15" t="s">
        <v>503</v>
      </c>
      <c r="C18" s="16" t="s">
        <v>3140</v>
      </c>
      <c r="D18" s="15" t="s">
        <v>3141</v>
      </c>
      <c r="E18" s="15" t="s">
        <v>3142</v>
      </c>
      <c r="F18" s="15" t="s">
        <v>504</v>
      </c>
    </row>
    <row r="19" ht="12.0" customHeight="1">
      <c r="A19" s="14">
        <v>4.0</v>
      </c>
      <c r="B19" s="15" t="s">
        <v>505</v>
      </c>
      <c r="C19" s="16" t="s">
        <v>3143</v>
      </c>
      <c r="D19" s="15" t="s">
        <v>3144</v>
      </c>
      <c r="E19" s="15" t="s">
        <v>3145</v>
      </c>
      <c r="F19" s="15" t="s">
        <v>506</v>
      </c>
    </row>
    <row r="20" ht="12.0" customHeight="1">
      <c r="A20" s="14">
        <v>4.0</v>
      </c>
      <c r="B20" s="15" t="s">
        <v>507</v>
      </c>
      <c r="C20" s="16" t="s">
        <v>3146</v>
      </c>
      <c r="D20" s="15" t="s">
        <v>3147</v>
      </c>
      <c r="E20" s="15" t="s">
        <v>3148</v>
      </c>
      <c r="F20" s="15" t="s">
        <v>508</v>
      </c>
    </row>
    <row r="21" ht="12.0" customHeight="1">
      <c r="A21" s="14">
        <v>4.0</v>
      </c>
      <c r="B21" s="15" t="s">
        <v>509</v>
      </c>
      <c r="C21" s="16" t="s">
        <v>3149</v>
      </c>
      <c r="D21" s="15" t="s">
        <v>3150</v>
      </c>
      <c r="E21" s="15" t="s">
        <v>3151</v>
      </c>
      <c r="F21" s="15" t="s">
        <v>510</v>
      </c>
    </row>
    <row r="22" ht="12.0" customHeight="1">
      <c r="A22" s="14">
        <v>4.0</v>
      </c>
      <c r="B22" s="15" t="s">
        <v>511</v>
      </c>
      <c r="C22" s="16" t="s">
        <v>3152</v>
      </c>
      <c r="D22" s="15" t="s">
        <v>3153</v>
      </c>
      <c r="E22" s="15" t="s">
        <v>3154</v>
      </c>
      <c r="F22" s="15" t="s">
        <v>512</v>
      </c>
    </row>
    <row r="23" ht="12.0" customHeight="1">
      <c r="A23" s="14">
        <v>4.0</v>
      </c>
      <c r="B23" s="15" t="s">
        <v>513</v>
      </c>
      <c r="C23" s="16" t="s">
        <v>3155</v>
      </c>
      <c r="D23" s="15" t="s">
        <v>3156</v>
      </c>
      <c r="E23" s="15" t="s">
        <v>3157</v>
      </c>
      <c r="F23" s="15" t="s">
        <v>514</v>
      </c>
    </row>
    <row r="24" ht="12.0" customHeight="1">
      <c r="A24" s="14">
        <v>4.0</v>
      </c>
      <c r="B24" s="15" t="s">
        <v>515</v>
      </c>
      <c r="C24" s="16" t="s">
        <v>3158</v>
      </c>
      <c r="D24" s="15" t="s">
        <v>3159</v>
      </c>
      <c r="E24" s="15" t="s">
        <v>3160</v>
      </c>
      <c r="F24" s="15" t="s">
        <v>516</v>
      </c>
    </row>
    <row r="25" ht="12.0" customHeight="1">
      <c r="A25" s="14">
        <v>4.0</v>
      </c>
      <c r="B25" s="15" t="s">
        <v>517</v>
      </c>
      <c r="C25" s="16" t="s">
        <v>3161</v>
      </c>
      <c r="D25" s="15" t="s">
        <v>3162</v>
      </c>
      <c r="E25" s="15" t="s">
        <v>3163</v>
      </c>
      <c r="F25" s="15" t="s">
        <v>518</v>
      </c>
    </row>
    <row r="26" ht="12.0" customHeight="1">
      <c r="A26" s="14">
        <v>4.0</v>
      </c>
      <c r="B26" s="15" t="s">
        <v>519</v>
      </c>
      <c r="C26" s="16" t="s">
        <v>3164</v>
      </c>
      <c r="D26" s="15" t="s">
        <v>3165</v>
      </c>
      <c r="E26" s="15" t="s">
        <v>3166</v>
      </c>
      <c r="F26" s="15" t="s">
        <v>520</v>
      </c>
    </row>
    <row r="27" ht="12.0" customHeight="1">
      <c r="A27" s="14">
        <v>4.0</v>
      </c>
      <c r="B27" s="15" t="s">
        <v>521</v>
      </c>
      <c r="C27" s="16" t="s">
        <v>3167</v>
      </c>
      <c r="D27" s="15" t="s">
        <v>3168</v>
      </c>
      <c r="E27" s="15" t="s">
        <v>3169</v>
      </c>
      <c r="F27" s="15" t="s">
        <v>522</v>
      </c>
    </row>
    <row r="28" ht="12.0" customHeight="1">
      <c r="A28" s="14">
        <v>4.0</v>
      </c>
      <c r="B28" s="15" t="s">
        <v>523</v>
      </c>
      <c r="C28" s="16" t="s">
        <v>3170</v>
      </c>
      <c r="D28" s="15" t="s">
        <v>3171</v>
      </c>
      <c r="E28" s="15" t="s">
        <v>3172</v>
      </c>
      <c r="F28" s="15" t="s">
        <v>524</v>
      </c>
    </row>
    <row r="29" ht="12.0" customHeight="1">
      <c r="A29" s="14">
        <v>4.0</v>
      </c>
      <c r="B29" s="15" t="s">
        <v>525</v>
      </c>
      <c r="C29" s="16" t="s">
        <v>3173</v>
      </c>
      <c r="D29" s="15" t="s">
        <v>3174</v>
      </c>
      <c r="E29" s="15" t="s">
        <v>3175</v>
      </c>
      <c r="F29" s="15" t="s">
        <v>526</v>
      </c>
    </row>
    <row r="30" ht="12.0" customHeight="1">
      <c r="A30" s="14">
        <v>4.0</v>
      </c>
      <c r="B30" s="15" t="s">
        <v>527</v>
      </c>
      <c r="C30" s="16" t="s">
        <v>3176</v>
      </c>
      <c r="D30" s="15" t="s">
        <v>3177</v>
      </c>
      <c r="E30" s="15" t="s">
        <v>3178</v>
      </c>
      <c r="F30" s="15" t="s">
        <v>528</v>
      </c>
    </row>
    <row r="31" ht="12.0" customHeight="1">
      <c r="A31" s="14">
        <v>4.0</v>
      </c>
      <c r="B31" s="15" t="s">
        <v>529</v>
      </c>
      <c r="C31" s="16" t="s">
        <v>3179</v>
      </c>
      <c r="D31" s="15" t="s">
        <v>3180</v>
      </c>
      <c r="E31" s="15" t="s">
        <v>3181</v>
      </c>
      <c r="F31" s="15" t="s">
        <v>530</v>
      </c>
    </row>
    <row r="32" ht="12.0" customHeight="1">
      <c r="A32" s="14">
        <v>4.0</v>
      </c>
      <c r="B32" s="15" t="s">
        <v>531</v>
      </c>
      <c r="C32" s="16" t="s">
        <v>3182</v>
      </c>
      <c r="D32" s="15" t="s">
        <v>3183</v>
      </c>
      <c r="E32" s="15" t="s">
        <v>3079</v>
      </c>
      <c r="F32" s="15" t="s">
        <v>532</v>
      </c>
    </row>
    <row r="33" ht="12.0" customHeight="1">
      <c r="A33" s="14">
        <v>4.0</v>
      </c>
      <c r="B33" s="15" t="s">
        <v>533</v>
      </c>
      <c r="C33" s="16" t="s">
        <v>3184</v>
      </c>
      <c r="D33" s="15" t="s">
        <v>3185</v>
      </c>
      <c r="E33" s="15" t="s">
        <v>3186</v>
      </c>
      <c r="F33" s="15" t="s">
        <v>534</v>
      </c>
    </row>
    <row r="34" ht="12.0" customHeight="1">
      <c r="A34" s="14">
        <v>4.0</v>
      </c>
      <c r="B34" s="15" t="s">
        <v>535</v>
      </c>
      <c r="C34" s="16" t="s">
        <v>3187</v>
      </c>
      <c r="D34" s="15" t="s">
        <v>3188</v>
      </c>
      <c r="E34" s="15" t="s">
        <v>3189</v>
      </c>
      <c r="F34" s="15" t="s">
        <v>536</v>
      </c>
    </row>
    <row r="35" ht="12.0" customHeight="1">
      <c r="A35" s="14">
        <v>4.0</v>
      </c>
      <c r="B35" s="15" t="s">
        <v>537</v>
      </c>
      <c r="C35" s="16" t="s">
        <v>3190</v>
      </c>
      <c r="D35" s="15" t="s">
        <v>3191</v>
      </c>
      <c r="E35" s="15" t="s">
        <v>3192</v>
      </c>
      <c r="F35" s="15" t="s">
        <v>538</v>
      </c>
    </row>
    <row r="36" ht="11.25" customHeight="1">
      <c r="A36" s="14">
        <v>4.0</v>
      </c>
      <c r="B36" s="15" t="s">
        <v>539</v>
      </c>
      <c r="C36" s="16" t="s">
        <v>3193</v>
      </c>
      <c r="D36" s="15" t="s">
        <v>3194</v>
      </c>
      <c r="E36" s="15" t="s">
        <v>3195</v>
      </c>
      <c r="F36" s="15" t="s">
        <v>540</v>
      </c>
    </row>
    <row r="37" ht="12.0" customHeight="1">
      <c r="A37" s="14">
        <v>4.0</v>
      </c>
      <c r="B37" s="15" t="s">
        <v>541</v>
      </c>
      <c r="C37" s="16" t="s">
        <v>3196</v>
      </c>
      <c r="D37" s="15" t="s">
        <v>3197</v>
      </c>
      <c r="E37" s="15" t="s">
        <v>3198</v>
      </c>
      <c r="F37" s="15" t="s">
        <v>542</v>
      </c>
    </row>
    <row r="38" ht="12.0" customHeight="1">
      <c r="A38" s="14">
        <v>4.0</v>
      </c>
      <c r="B38" s="15" t="s">
        <v>543</v>
      </c>
      <c r="C38" s="16" t="s">
        <v>3199</v>
      </c>
      <c r="D38" s="15" t="s">
        <v>3200</v>
      </c>
      <c r="E38" s="15" t="s">
        <v>3201</v>
      </c>
      <c r="F38" s="15" t="s">
        <v>544</v>
      </c>
    </row>
    <row r="39" ht="12.0" customHeight="1">
      <c r="A39" s="14">
        <v>4.0</v>
      </c>
      <c r="B39" s="15" t="s">
        <v>545</v>
      </c>
      <c r="C39" s="16" t="s">
        <v>3202</v>
      </c>
      <c r="D39" s="15" t="s">
        <v>3203</v>
      </c>
      <c r="E39" s="15" t="s">
        <v>3204</v>
      </c>
      <c r="F39" s="15" t="s">
        <v>546</v>
      </c>
    </row>
    <row r="40" ht="23.25" customHeight="1">
      <c r="A40" s="19">
        <v>4.0</v>
      </c>
      <c r="B40" s="20" t="s">
        <v>547</v>
      </c>
      <c r="C40" s="21" t="s">
        <v>3205</v>
      </c>
      <c r="D40" s="20" t="s">
        <v>3206</v>
      </c>
      <c r="E40" s="20" t="s">
        <v>3207</v>
      </c>
      <c r="F40" s="20" t="s">
        <v>548</v>
      </c>
    </row>
    <row r="41" ht="12.0" customHeight="1">
      <c r="A41" s="11">
        <v>5.0</v>
      </c>
      <c r="B41" s="12" t="s">
        <v>549</v>
      </c>
      <c r="C41" s="13" t="s">
        <v>3208</v>
      </c>
      <c r="D41" s="12" t="s">
        <v>3209</v>
      </c>
      <c r="E41" s="12" t="s">
        <v>3210</v>
      </c>
      <c r="F41" s="12" t="s">
        <v>550</v>
      </c>
    </row>
    <row r="42" ht="12.0" customHeight="1">
      <c r="A42" s="14">
        <v>5.0</v>
      </c>
      <c r="B42" s="15" t="s">
        <v>551</v>
      </c>
      <c r="C42" s="16" t="s">
        <v>3211</v>
      </c>
      <c r="D42" s="15" t="s">
        <v>3212</v>
      </c>
      <c r="E42" s="15" t="s">
        <v>3212</v>
      </c>
      <c r="F42" s="15" t="s">
        <v>552</v>
      </c>
    </row>
    <row r="43" ht="12.0" customHeight="1">
      <c r="A43" s="14">
        <v>5.0</v>
      </c>
      <c r="B43" s="15" t="s">
        <v>553</v>
      </c>
      <c r="C43" s="16" t="s">
        <v>3213</v>
      </c>
      <c r="D43" s="15" t="s">
        <v>3214</v>
      </c>
      <c r="E43" s="15" t="s">
        <v>3215</v>
      </c>
      <c r="F43" s="15" t="s">
        <v>554</v>
      </c>
    </row>
    <row r="44" ht="12.0" customHeight="1">
      <c r="A44" s="14">
        <v>5.0</v>
      </c>
      <c r="B44" s="15" t="s">
        <v>555</v>
      </c>
      <c r="C44" s="16" t="s">
        <v>3216</v>
      </c>
      <c r="D44" s="15" t="s">
        <v>3217</v>
      </c>
      <c r="E44" s="15" t="s">
        <v>3218</v>
      </c>
      <c r="F44" s="15" t="s">
        <v>556</v>
      </c>
    </row>
    <row r="45" ht="12.0" customHeight="1">
      <c r="A45" s="14">
        <v>5.0</v>
      </c>
      <c r="B45" s="15" t="s">
        <v>557</v>
      </c>
      <c r="C45" s="16" t="s">
        <v>3219</v>
      </c>
      <c r="D45" s="15" t="s">
        <v>3220</v>
      </c>
      <c r="E45" s="15" t="s">
        <v>3220</v>
      </c>
      <c r="F45" s="15" t="s">
        <v>558</v>
      </c>
    </row>
    <row r="46" ht="12.0" customHeight="1">
      <c r="A46" s="14">
        <v>5.0</v>
      </c>
      <c r="B46" s="15" t="s">
        <v>559</v>
      </c>
      <c r="C46" s="16" t="s">
        <v>3221</v>
      </c>
      <c r="D46" s="15" t="s">
        <v>3222</v>
      </c>
      <c r="E46" s="15" t="s">
        <v>3223</v>
      </c>
      <c r="F46" s="15" t="s">
        <v>560</v>
      </c>
    </row>
    <row r="47" ht="12.0" customHeight="1">
      <c r="A47" s="14">
        <v>5.0</v>
      </c>
      <c r="B47" s="15" t="s">
        <v>561</v>
      </c>
      <c r="C47" s="16" t="s">
        <v>3224</v>
      </c>
      <c r="D47" s="15" t="s">
        <v>3225</v>
      </c>
      <c r="E47" s="15" t="s">
        <v>3226</v>
      </c>
      <c r="F47" s="15" t="s">
        <v>562</v>
      </c>
    </row>
    <row r="48" ht="12.0" customHeight="1">
      <c r="A48" s="14">
        <v>5.0</v>
      </c>
      <c r="B48" s="15" t="s">
        <v>563</v>
      </c>
      <c r="C48" s="16" t="s">
        <v>3227</v>
      </c>
      <c r="D48" s="15" t="s">
        <v>3225</v>
      </c>
      <c r="E48" s="15" t="s">
        <v>3226</v>
      </c>
      <c r="F48" s="15" t="s">
        <v>564</v>
      </c>
    </row>
    <row r="49" ht="15.75" customHeight="1">
      <c r="A49" s="14">
        <v>5.0</v>
      </c>
      <c r="B49" s="15" t="s">
        <v>565</v>
      </c>
      <c r="C49" s="16" t="s">
        <v>3228</v>
      </c>
      <c r="D49" s="15" t="s">
        <v>3229</v>
      </c>
      <c r="E49" s="15" t="s">
        <v>3230</v>
      </c>
      <c r="F49" s="15" t="s">
        <v>566</v>
      </c>
    </row>
    <row r="50" ht="7.5" customHeight="1">
      <c r="A50" s="17" t="s">
        <v>3231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71"/>
    <col customWidth="1" min="3" max="3" width="17.57"/>
    <col customWidth="1" min="4" max="4" width="21.0"/>
    <col customWidth="1" min="5" max="5" width="16.86"/>
    <col customWidth="1" min="6" max="6" width="43.43"/>
    <col customWidth="1" min="7" max="7" width="18.0"/>
    <col customWidth="1" min="8" max="26" width="9.0"/>
  </cols>
  <sheetData>
    <row r="1" ht="6.0" customHeight="1">
      <c r="A1" s="8" t="s">
        <v>2396</v>
      </c>
    </row>
    <row r="2" ht="15.75" customHeight="1">
      <c r="A2" s="18">
        <v>5.0</v>
      </c>
      <c r="B2" s="15" t="s">
        <v>567</v>
      </c>
      <c r="C2" s="16" t="s">
        <v>3232</v>
      </c>
      <c r="D2" s="15" t="s">
        <v>3233</v>
      </c>
      <c r="E2" s="15" t="s">
        <v>3234</v>
      </c>
      <c r="F2" s="15" t="s">
        <v>568</v>
      </c>
    </row>
    <row r="3" ht="12.0" customHeight="1">
      <c r="A3" s="18">
        <v>5.0</v>
      </c>
      <c r="B3" s="15" t="s">
        <v>569</v>
      </c>
      <c r="C3" s="16" t="s">
        <v>3235</v>
      </c>
      <c r="D3" s="15" t="s">
        <v>3236</v>
      </c>
      <c r="E3" s="15" t="s">
        <v>3237</v>
      </c>
      <c r="F3" s="15" t="s">
        <v>570</v>
      </c>
    </row>
    <row r="4" ht="12.0" customHeight="1">
      <c r="A4" s="18">
        <v>5.0</v>
      </c>
      <c r="B4" s="15" t="s">
        <v>571</v>
      </c>
      <c r="C4" s="16" t="s">
        <v>3238</v>
      </c>
      <c r="D4" s="15" t="s">
        <v>3239</v>
      </c>
      <c r="E4" s="15" t="s">
        <v>3240</v>
      </c>
      <c r="F4" s="15" t="s">
        <v>572</v>
      </c>
    </row>
    <row r="5" ht="12.0" customHeight="1">
      <c r="A5" s="18">
        <v>5.0</v>
      </c>
      <c r="B5" s="15" t="s">
        <v>573</v>
      </c>
      <c r="C5" s="16" t="s">
        <v>3241</v>
      </c>
      <c r="D5" s="15" t="s">
        <v>3242</v>
      </c>
      <c r="E5" s="15" t="s">
        <v>3243</v>
      </c>
      <c r="F5" s="15" t="s">
        <v>574</v>
      </c>
    </row>
    <row r="6" ht="12.0" customHeight="1">
      <c r="A6" s="18">
        <v>5.0</v>
      </c>
      <c r="B6" s="15" t="s">
        <v>575</v>
      </c>
      <c r="C6" s="16" t="s">
        <v>3244</v>
      </c>
      <c r="D6" s="15" t="s">
        <v>3245</v>
      </c>
      <c r="E6" s="15" t="s">
        <v>3246</v>
      </c>
      <c r="F6" s="15" t="s">
        <v>576</v>
      </c>
    </row>
    <row r="7" ht="12.0" customHeight="1">
      <c r="A7" s="18">
        <v>5.0</v>
      </c>
      <c r="B7" s="15" t="s">
        <v>577</v>
      </c>
      <c r="C7" s="16" t="s">
        <v>3247</v>
      </c>
      <c r="D7" s="15" t="s">
        <v>3248</v>
      </c>
      <c r="E7" s="15" t="s">
        <v>3249</v>
      </c>
      <c r="F7" s="15" t="s">
        <v>578</v>
      </c>
    </row>
    <row r="8" ht="12.0" customHeight="1">
      <c r="A8" s="18">
        <v>5.0</v>
      </c>
      <c r="B8" s="15" t="s">
        <v>579</v>
      </c>
      <c r="C8" s="16" t="s">
        <v>3250</v>
      </c>
      <c r="D8" s="15" t="s">
        <v>3251</v>
      </c>
      <c r="E8" s="15" t="s">
        <v>3252</v>
      </c>
      <c r="F8" s="15" t="s">
        <v>580</v>
      </c>
    </row>
    <row r="9" ht="12.0" customHeight="1">
      <c r="A9" s="18">
        <v>5.0</v>
      </c>
      <c r="B9" s="15" t="s">
        <v>581</v>
      </c>
      <c r="C9" s="16" t="s">
        <v>3253</v>
      </c>
      <c r="D9" s="15" t="s">
        <v>3254</v>
      </c>
      <c r="E9" s="15" t="s">
        <v>3255</v>
      </c>
      <c r="F9" s="15" t="s">
        <v>582</v>
      </c>
    </row>
    <row r="10" ht="12.0" customHeight="1">
      <c r="A10" s="18">
        <v>5.0</v>
      </c>
      <c r="B10" s="15" t="s">
        <v>583</v>
      </c>
      <c r="C10" s="16" t="s">
        <v>3256</v>
      </c>
      <c r="D10" s="15" t="s">
        <v>3257</v>
      </c>
      <c r="E10" s="15" t="s">
        <v>3258</v>
      </c>
      <c r="F10" s="15" t="s">
        <v>584</v>
      </c>
    </row>
    <row r="11" ht="12.0" customHeight="1">
      <c r="A11" s="18">
        <v>5.0</v>
      </c>
      <c r="B11" s="15" t="s">
        <v>585</v>
      </c>
      <c r="C11" s="16" t="s">
        <v>3259</v>
      </c>
      <c r="D11" s="15" t="s">
        <v>3260</v>
      </c>
      <c r="E11" s="15" t="s">
        <v>3261</v>
      </c>
      <c r="F11" s="15" t="s">
        <v>586</v>
      </c>
    </row>
    <row r="12" ht="12.0" customHeight="1">
      <c r="A12" s="18">
        <v>5.0</v>
      </c>
      <c r="B12" s="15" t="s">
        <v>587</v>
      </c>
      <c r="C12" s="16" t="s">
        <v>3262</v>
      </c>
      <c r="D12" s="15" t="s">
        <v>3263</v>
      </c>
      <c r="E12" s="15" t="s">
        <v>3264</v>
      </c>
      <c r="F12" s="15" t="s">
        <v>588</v>
      </c>
    </row>
    <row r="13" ht="12.0" customHeight="1">
      <c r="A13" s="18">
        <v>5.0</v>
      </c>
      <c r="B13" s="15" t="s">
        <v>589</v>
      </c>
      <c r="C13" s="16" t="s">
        <v>3265</v>
      </c>
      <c r="D13" s="15" t="s">
        <v>3266</v>
      </c>
      <c r="E13" s="15" t="s">
        <v>3267</v>
      </c>
      <c r="F13" s="15" t="s">
        <v>590</v>
      </c>
    </row>
    <row r="14" ht="12.0" customHeight="1">
      <c r="A14" s="18">
        <v>5.0</v>
      </c>
      <c r="B14" s="15" t="s">
        <v>591</v>
      </c>
      <c r="C14" s="16" t="s">
        <v>3268</v>
      </c>
      <c r="D14" s="15" t="s">
        <v>3269</v>
      </c>
      <c r="E14" s="15" t="s">
        <v>3270</v>
      </c>
      <c r="F14" s="15" t="s">
        <v>592</v>
      </c>
    </row>
    <row r="15" ht="12.0" customHeight="1">
      <c r="A15" s="18">
        <v>5.0</v>
      </c>
      <c r="B15" s="15" t="s">
        <v>593</v>
      </c>
      <c r="C15" s="16" t="s">
        <v>3271</v>
      </c>
      <c r="D15" s="15" t="s">
        <v>3272</v>
      </c>
      <c r="E15" s="15" t="s">
        <v>3273</v>
      </c>
      <c r="F15" s="15" t="s">
        <v>594</v>
      </c>
    </row>
    <row r="16" ht="12.0" customHeight="1">
      <c r="A16" s="18">
        <v>5.0</v>
      </c>
      <c r="B16" s="15" t="s">
        <v>595</v>
      </c>
      <c r="C16" s="16" t="s">
        <v>3274</v>
      </c>
      <c r="D16" s="15" t="s">
        <v>3275</v>
      </c>
      <c r="E16" s="15" t="s">
        <v>3276</v>
      </c>
      <c r="F16" s="15" t="s">
        <v>596</v>
      </c>
    </row>
    <row r="17" ht="12.0" customHeight="1">
      <c r="A17" s="18">
        <v>5.0</v>
      </c>
      <c r="B17" s="15" t="s">
        <v>597</v>
      </c>
      <c r="C17" s="16" t="s">
        <v>3277</v>
      </c>
      <c r="D17" s="15" t="s">
        <v>3278</v>
      </c>
      <c r="E17" s="15" t="s">
        <v>3279</v>
      </c>
      <c r="F17" s="15" t="s">
        <v>598</v>
      </c>
    </row>
    <row r="18" ht="12.0" customHeight="1">
      <c r="A18" s="18">
        <v>5.0</v>
      </c>
      <c r="B18" s="15" t="s">
        <v>599</v>
      </c>
      <c r="C18" s="16" t="s">
        <v>3280</v>
      </c>
      <c r="D18" s="15" t="s">
        <v>3281</v>
      </c>
      <c r="E18" s="15" t="s">
        <v>3281</v>
      </c>
      <c r="F18" s="15" t="s">
        <v>600</v>
      </c>
    </row>
    <row r="19" ht="12.0" customHeight="1">
      <c r="A19" s="18">
        <v>5.0</v>
      </c>
      <c r="B19" s="15" t="s">
        <v>601</v>
      </c>
      <c r="C19" s="16" t="s">
        <v>3282</v>
      </c>
      <c r="D19" s="15" t="s">
        <v>3283</v>
      </c>
      <c r="E19" s="15" t="s">
        <v>3284</v>
      </c>
      <c r="F19" s="15" t="s">
        <v>602</v>
      </c>
    </row>
    <row r="20" ht="12.0" customHeight="1">
      <c r="A20" s="18">
        <v>5.0</v>
      </c>
      <c r="B20" s="15" t="s">
        <v>603</v>
      </c>
      <c r="C20" s="16" t="s">
        <v>3285</v>
      </c>
      <c r="D20" s="15" t="s">
        <v>3286</v>
      </c>
      <c r="E20" s="15" t="s">
        <v>3287</v>
      </c>
      <c r="F20" s="15" t="s">
        <v>604</v>
      </c>
    </row>
    <row r="21" ht="12.0" customHeight="1">
      <c r="A21" s="18">
        <v>5.0</v>
      </c>
      <c r="B21" s="15" t="s">
        <v>605</v>
      </c>
      <c r="C21" s="16" t="s">
        <v>3288</v>
      </c>
      <c r="D21" s="15" t="s">
        <v>3289</v>
      </c>
      <c r="E21" s="15" t="s">
        <v>3290</v>
      </c>
      <c r="F21" s="15" t="s">
        <v>606</v>
      </c>
    </row>
    <row r="22" ht="12.0" customHeight="1">
      <c r="A22" s="18">
        <v>5.0</v>
      </c>
      <c r="B22" s="15" t="s">
        <v>607</v>
      </c>
      <c r="C22" s="16" t="s">
        <v>3291</v>
      </c>
      <c r="D22" s="15" t="s">
        <v>3292</v>
      </c>
      <c r="E22" s="15" t="s">
        <v>3293</v>
      </c>
      <c r="F22" s="15" t="s">
        <v>608</v>
      </c>
    </row>
    <row r="23" ht="12.0" customHeight="1">
      <c r="A23" s="18">
        <v>5.0</v>
      </c>
      <c r="B23" s="15" t="s">
        <v>609</v>
      </c>
      <c r="C23" s="16" t="s">
        <v>3294</v>
      </c>
      <c r="D23" s="15" t="s">
        <v>3295</v>
      </c>
      <c r="E23" s="15" t="s">
        <v>3296</v>
      </c>
      <c r="F23" s="15" t="s">
        <v>610</v>
      </c>
    </row>
    <row r="24" ht="12.0" customHeight="1">
      <c r="A24" s="18">
        <v>5.0</v>
      </c>
      <c r="B24" s="15" t="s">
        <v>611</v>
      </c>
      <c r="C24" s="16" t="s">
        <v>3297</v>
      </c>
      <c r="D24" s="15" t="s">
        <v>3298</v>
      </c>
      <c r="E24" s="15" t="s">
        <v>3299</v>
      </c>
      <c r="F24" s="15" t="s">
        <v>612</v>
      </c>
    </row>
    <row r="25" ht="12.0" customHeight="1">
      <c r="A25" s="18">
        <v>5.0</v>
      </c>
      <c r="B25" s="15" t="s">
        <v>613</v>
      </c>
      <c r="C25" s="16" t="s">
        <v>3300</v>
      </c>
      <c r="D25" s="15" t="s">
        <v>3301</v>
      </c>
      <c r="E25" s="15" t="s">
        <v>3302</v>
      </c>
      <c r="F25" s="15" t="s">
        <v>614</v>
      </c>
    </row>
    <row r="26" ht="12.0" customHeight="1">
      <c r="A26" s="18">
        <v>5.0</v>
      </c>
      <c r="B26" s="15" t="s">
        <v>615</v>
      </c>
      <c r="C26" s="16" t="s">
        <v>3303</v>
      </c>
      <c r="D26" s="15" t="s">
        <v>3304</v>
      </c>
      <c r="E26" s="15" t="s">
        <v>3305</v>
      </c>
      <c r="F26" s="15" t="s">
        <v>616</v>
      </c>
    </row>
    <row r="27" ht="11.25" customHeight="1">
      <c r="A27" s="18">
        <v>5.0</v>
      </c>
      <c r="B27" s="15" t="s">
        <v>617</v>
      </c>
      <c r="C27" s="16" t="s">
        <v>3306</v>
      </c>
      <c r="D27" s="15" t="s">
        <v>3307</v>
      </c>
      <c r="E27" s="15" t="s">
        <v>3308</v>
      </c>
      <c r="F27" s="15" t="s">
        <v>618</v>
      </c>
    </row>
    <row r="28" ht="12.0" customHeight="1">
      <c r="A28" s="18">
        <v>5.0</v>
      </c>
      <c r="B28" s="15" t="s">
        <v>619</v>
      </c>
      <c r="C28" s="16" t="s">
        <v>3309</v>
      </c>
      <c r="D28" s="15" t="s">
        <v>3310</v>
      </c>
      <c r="E28" s="15" t="s">
        <v>3311</v>
      </c>
      <c r="F28" s="15" t="s">
        <v>620</v>
      </c>
    </row>
    <row r="29" ht="12.0" customHeight="1">
      <c r="A29" s="18">
        <v>5.0</v>
      </c>
      <c r="B29" s="15" t="s">
        <v>621</v>
      </c>
      <c r="C29" s="16" t="s">
        <v>3312</v>
      </c>
      <c r="D29" s="15" t="s">
        <v>3313</v>
      </c>
      <c r="E29" s="15" t="s">
        <v>3314</v>
      </c>
      <c r="F29" s="15" t="s">
        <v>622</v>
      </c>
    </row>
    <row r="30" ht="12.0" customHeight="1">
      <c r="A30" s="18">
        <v>5.0</v>
      </c>
      <c r="B30" s="15" t="s">
        <v>623</v>
      </c>
      <c r="C30" s="16" t="s">
        <v>3315</v>
      </c>
      <c r="D30" s="15" t="s">
        <v>3316</v>
      </c>
      <c r="E30" s="15" t="s">
        <v>3317</v>
      </c>
      <c r="F30" s="15" t="s">
        <v>624</v>
      </c>
    </row>
    <row r="31" ht="12.0" customHeight="1">
      <c r="A31" s="18">
        <v>5.0</v>
      </c>
      <c r="B31" s="15" t="s">
        <v>625</v>
      </c>
      <c r="C31" s="16" t="s">
        <v>3318</v>
      </c>
      <c r="D31" s="15" t="s">
        <v>3319</v>
      </c>
      <c r="E31" s="15" t="s">
        <v>3320</v>
      </c>
      <c r="F31" s="15" t="s">
        <v>626</v>
      </c>
    </row>
    <row r="32" ht="12.0" customHeight="1">
      <c r="A32" s="18">
        <v>5.0</v>
      </c>
      <c r="B32" s="15" t="s">
        <v>627</v>
      </c>
      <c r="C32" s="16" t="s">
        <v>3321</v>
      </c>
      <c r="D32" s="15" t="s">
        <v>3322</v>
      </c>
      <c r="E32" s="15" t="s">
        <v>3323</v>
      </c>
      <c r="F32" s="15" t="s">
        <v>628</v>
      </c>
    </row>
    <row r="33" ht="12.0" customHeight="1">
      <c r="A33" s="18">
        <v>5.0</v>
      </c>
      <c r="B33" s="15" t="s">
        <v>629</v>
      </c>
      <c r="C33" s="16" t="s">
        <v>3324</v>
      </c>
      <c r="D33" s="15" t="s">
        <v>3325</v>
      </c>
      <c r="E33" s="15" t="s">
        <v>3326</v>
      </c>
      <c r="F33" s="15" t="s">
        <v>630</v>
      </c>
    </row>
    <row r="34" ht="12.0" customHeight="1">
      <c r="A34" s="18">
        <v>5.0</v>
      </c>
      <c r="B34" s="15" t="s">
        <v>631</v>
      </c>
      <c r="C34" s="16" t="s">
        <v>3327</v>
      </c>
      <c r="D34" s="15" t="s">
        <v>3328</v>
      </c>
      <c r="E34" s="15" t="s">
        <v>3329</v>
      </c>
      <c r="F34" s="15" t="s">
        <v>632</v>
      </c>
    </row>
    <row r="35" ht="12.0" customHeight="1">
      <c r="A35" s="18">
        <v>5.0</v>
      </c>
      <c r="B35" s="15" t="s">
        <v>633</v>
      </c>
      <c r="C35" s="16" t="s">
        <v>3330</v>
      </c>
      <c r="D35" s="15" t="s">
        <v>3331</v>
      </c>
      <c r="E35" s="15" t="s">
        <v>3332</v>
      </c>
      <c r="F35" s="15" t="s">
        <v>634</v>
      </c>
    </row>
    <row r="36" ht="12.0" customHeight="1">
      <c r="A36" s="18">
        <v>5.0</v>
      </c>
      <c r="B36" s="15" t="s">
        <v>635</v>
      </c>
      <c r="C36" s="16" t="s">
        <v>3333</v>
      </c>
      <c r="D36" s="15" t="s">
        <v>3334</v>
      </c>
      <c r="E36" s="15" t="s">
        <v>3335</v>
      </c>
      <c r="F36" s="15" t="s">
        <v>636</v>
      </c>
    </row>
    <row r="37" ht="12.0" customHeight="1">
      <c r="A37" s="18">
        <v>5.0</v>
      </c>
      <c r="B37" s="15" t="s">
        <v>637</v>
      </c>
      <c r="C37" s="16" t="s">
        <v>3336</v>
      </c>
      <c r="D37" s="15" t="s">
        <v>3337</v>
      </c>
      <c r="E37" s="15" t="s">
        <v>3338</v>
      </c>
      <c r="F37" s="15" t="s">
        <v>638</v>
      </c>
    </row>
    <row r="38" ht="12.0" customHeight="1">
      <c r="A38" s="18">
        <v>5.0</v>
      </c>
      <c r="B38" s="15" t="s">
        <v>639</v>
      </c>
      <c r="C38" s="16" t="s">
        <v>3339</v>
      </c>
      <c r="D38" s="15" t="s">
        <v>3340</v>
      </c>
      <c r="E38" s="15" t="s">
        <v>3341</v>
      </c>
      <c r="F38" s="15" t="s">
        <v>640</v>
      </c>
    </row>
    <row r="39" ht="12.0" customHeight="1">
      <c r="A39" s="18">
        <v>5.0</v>
      </c>
      <c r="B39" s="15" t="s">
        <v>641</v>
      </c>
      <c r="C39" s="16" t="s">
        <v>3342</v>
      </c>
      <c r="D39" s="15" t="s">
        <v>3343</v>
      </c>
      <c r="E39" s="15" t="s">
        <v>3343</v>
      </c>
      <c r="F39" s="15" t="s">
        <v>642</v>
      </c>
    </row>
    <row r="40" ht="11.25" customHeight="1">
      <c r="A40" s="18">
        <v>5.0</v>
      </c>
      <c r="B40" s="15" t="s">
        <v>643</v>
      </c>
      <c r="C40" s="16" t="s">
        <v>3344</v>
      </c>
      <c r="D40" s="15" t="s">
        <v>3345</v>
      </c>
      <c r="E40" s="15" t="s">
        <v>3346</v>
      </c>
      <c r="F40" s="15" t="s">
        <v>644</v>
      </c>
    </row>
    <row r="41" ht="12.0" customHeight="1">
      <c r="A41" s="18">
        <v>5.0</v>
      </c>
      <c r="B41" s="15" t="s">
        <v>645</v>
      </c>
      <c r="C41" s="16" t="s">
        <v>3347</v>
      </c>
      <c r="D41" s="15" t="s">
        <v>3348</v>
      </c>
      <c r="E41" s="15" t="s">
        <v>3349</v>
      </c>
      <c r="F41" s="15" t="s">
        <v>646</v>
      </c>
    </row>
    <row r="42" ht="12.0" customHeight="1">
      <c r="A42" s="18">
        <v>5.0</v>
      </c>
      <c r="B42" s="15" t="s">
        <v>647</v>
      </c>
      <c r="C42" s="16" t="s">
        <v>3350</v>
      </c>
      <c r="D42" s="15" t="s">
        <v>3351</v>
      </c>
      <c r="E42" s="15" t="s">
        <v>3352</v>
      </c>
      <c r="F42" s="15" t="s">
        <v>648</v>
      </c>
    </row>
    <row r="43" ht="12.0" customHeight="1">
      <c r="A43" s="18">
        <v>5.0</v>
      </c>
      <c r="B43" s="15" t="s">
        <v>649</v>
      </c>
      <c r="C43" s="16" t="s">
        <v>3353</v>
      </c>
      <c r="D43" s="15" t="s">
        <v>3354</v>
      </c>
      <c r="E43" s="15" t="s">
        <v>3355</v>
      </c>
      <c r="F43" s="15" t="s">
        <v>650</v>
      </c>
    </row>
    <row r="44" ht="12.0" customHeight="1">
      <c r="A44" s="18">
        <v>5.0</v>
      </c>
      <c r="B44" s="15" t="s">
        <v>651</v>
      </c>
      <c r="C44" s="16" t="s">
        <v>3356</v>
      </c>
      <c r="D44" s="15" t="s">
        <v>3357</v>
      </c>
      <c r="E44" s="15" t="s">
        <v>3358</v>
      </c>
      <c r="F44" s="15" t="s">
        <v>652</v>
      </c>
    </row>
    <row r="45" ht="12.0" customHeight="1">
      <c r="A45" s="18">
        <v>5.0</v>
      </c>
      <c r="B45" s="15" t="s">
        <v>653</v>
      </c>
      <c r="C45" s="16" t="s">
        <v>3359</v>
      </c>
      <c r="D45" s="15" t="s">
        <v>3348</v>
      </c>
      <c r="E45" s="15" t="s">
        <v>3349</v>
      </c>
      <c r="F45" s="15" t="s">
        <v>654</v>
      </c>
    </row>
    <row r="46" ht="12.0" customHeight="1">
      <c r="A46" s="18">
        <v>5.0</v>
      </c>
      <c r="B46" s="15" t="s">
        <v>655</v>
      </c>
      <c r="C46" s="16" t="s">
        <v>3360</v>
      </c>
      <c r="D46" s="15" t="s">
        <v>3361</v>
      </c>
      <c r="E46" s="15" t="s">
        <v>3362</v>
      </c>
      <c r="F46" s="15" t="s">
        <v>656</v>
      </c>
    </row>
    <row r="47" ht="12.0" customHeight="1">
      <c r="A47" s="18">
        <v>5.0</v>
      </c>
      <c r="B47" s="15" t="s">
        <v>657</v>
      </c>
      <c r="C47" s="16" t="s">
        <v>3363</v>
      </c>
      <c r="D47" s="15" t="s">
        <v>3364</v>
      </c>
      <c r="E47" s="15" t="s">
        <v>3365</v>
      </c>
      <c r="F47" s="15" t="s">
        <v>658</v>
      </c>
    </row>
    <row r="48" ht="12.0" customHeight="1">
      <c r="A48" s="18">
        <v>5.0</v>
      </c>
      <c r="B48" s="15" t="s">
        <v>659</v>
      </c>
      <c r="C48" s="16" t="s">
        <v>3366</v>
      </c>
      <c r="D48" s="15" t="s">
        <v>3367</v>
      </c>
      <c r="E48" s="15" t="s">
        <v>3368</v>
      </c>
      <c r="F48" s="15" t="s">
        <v>660</v>
      </c>
    </row>
    <row r="49" ht="12.0" customHeight="1">
      <c r="A49" s="18">
        <v>5.0</v>
      </c>
      <c r="B49" s="15" t="s">
        <v>661</v>
      </c>
      <c r="C49" s="16" t="s">
        <v>3369</v>
      </c>
      <c r="D49" s="15" t="s">
        <v>3370</v>
      </c>
      <c r="E49" s="15" t="s">
        <v>3371</v>
      </c>
      <c r="F49" s="15" t="s">
        <v>662</v>
      </c>
    </row>
    <row r="50" ht="15.75" customHeight="1">
      <c r="A50" s="18">
        <v>5.0</v>
      </c>
      <c r="B50" s="15" t="s">
        <v>663</v>
      </c>
      <c r="C50" s="16" t="s">
        <v>3372</v>
      </c>
      <c r="D50" s="15" t="s">
        <v>3373</v>
      </c>
      <c r="E50" s="15" t="s">
        <v>3374</v>
      </c>
      <c r="F50" s="15" t="s">
        <v>664</v>
      </c>
    </row>
    <row r="51" ht="7.5" customHeight="1">
      <c r="A51" s="17" t="s">
        <v>3375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1:G5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6.86"/>
    <col customWidth="1" min="3" max="3" width="16.71"/>
    <col customWidth="1" min="4" max="4" width="22.86"/>
    <col customWidth="1" min="5" max="5" width="16.86"/>
    <col customWidth="1" min="6" max="6" width="57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4">
        <v>5.0</v>
      </c>
      <c r="B2" s="15" t="s">
        <v>665</v>
      </c>
      <c r="C2" s="10"/>
      <c r="D2" s="15" t="s">
        <v>3376</v>
      </c>
      <c r="E2" s="15" t="s">
        <v>3377</v>
      </c>
      <c r="F2" s="10"/>
    </row>
    <row r="3" ht="12.0" customHeight="1">
      <c r="A3" s="14">
        <v>5.0</v>
      </c>
      <c r="B3" s="15" t="s">
        <v>666</v>
      </c>
      <c r="C3" s="16" t="s">
        <v>3378</v>
      </c>
      <c r="D3" s="15" t="s">
        <v>3379</v>
      </c>
      <c r="E3" s="15" t="s">
        <v>3380</v>
      </c>
      <c r="F3" s="15" t="s">
        <v>667</v>
      </c>
    </row>
    <row r="4" ht="12.0" customHeight="1">
      <c r="A4" s="14">
        <v>5.0</v>
      </c>
      <c r="B4" s="15" t="s">
        <v>668</v>
      </c>
      <c r="C4" s="16" t="s">
        <v>3381</v>
      </c>
      <c r="D4" s="15" t="s">
        <v>3382</v>
      </c>
      <c r="E4" s="15" t="s">
        <v>3249</v>
      </c>
      <c r="F4" s="15" t="s">
        <v>669</v>
      </c>
    </row>
    <row r="5" ht="12.0" customHeight="1">
      <c r="A5" s="14">
        <v>5.0</v>
      </c>
      <c r="B5" s="15" t="s">
        <v>670</v>
      </c>
      <c r="C5" s="16" t="s">
        <v>3383</v>
      </c>
      <c r="D5" s="15" t="s">
        <v>3384</v>
      </c>
      <c r="E5" s="15" t="s">
        <v>3385</v>
      </c>
      <c r="F5" s="15" t="s">
        <v>671</v>
      </c>
    </row>
    <row r="6" ht="12.0" customHeight="1">
      <c r="A6" s="14">
        <v>5.0</v>
      </c>
      <c r="B6" s="15" t="s">
        <v>672</v>
      </c>
      <c r="C6" s="16" t="s">
        <v>3386</v>
      </c>
      <c r="D6" s="15" t="s">
        <v>3387</v>
      </c>
      <c r="E6" s="15" t="s">
        <v>3388</v>
      </c>
      <c r="F6" s="15" t="s">
        <v>673</v>
      </c>
    </row>
    <row r="7" ht="12.0" customHeight="1">
      <c r="A7" s="14">
        <v>5.0</v>
      </c>
      <c r="B7" s="15" t="s">
        <v>674</v>
      </c>
      <c r="C7" s="16" t="s">
        <v>3389</v>
      </c>
      <c r="D7" s="15" t="s">
        <v>3390</v>
      </c>
      <c r="E7" s="15" t="s">
        <v>3391</v>
      </c>
      <c r="F7" s="15" t="s">
        <v>675</v>
      </c>
    </row>
    <row r="8" ht="12.0" customHeight="1">
      <c r="A8" s="14">
        <v>5.0</v>
      </c>
      <c r="B8" s="15" t="s">
        <v>676</v>
      </c>
      <c r="C8" s="16" t="s">
        <v>3392</v>
      </c>
      <c r="D8" s="15" t="s">
        <v>3393</v>
      </c>
      <c r="E8" s="15" t="s">
        <v>3394</v>
      </c>
      <c r="F8" s="15" t="s">
        <v>677</v>
      </c>
    </row>
    <row r="9" ht="12.0" customHeight="1">
      <c r="A9" s="14">
        <v>5.0</v>
      </c>
      <c r="B9" s="15" t="s">
        <v>678</v>
      </c>
      <c r="C9" s="16" t="s">
        <v>3395</v>
      </c>
      <c r="D9" s="15" t="s">
        <v>3396</v>
      </c>
      <c r="E9" s="15" t="s">
        <v>3397</v>
      </c>
      <c r="F9" s="15" t="s">
        <v>679</v>
      </c>
    </row>
    <row r="10" ht="12.0" customHeight="1">
      <c r="A10" s="14">
        <v>5.0</v>
      </c>
      <c r="B10" s="15" t="s">
        <v>680</v>
      </c>
      <c r="C10" s="16" t="s">
        <v>3398</v>
      </c>
      <c r="D10" s="15" t="s">
        <v>3399</v>
      </c>
      <c r="E10" s="15" t="s">
        <v>3400</v>
      </c>
      <c r="F10" s="15" t="s">
        <v>681</v>
      </c>
    </row>
    <row r="11" ht="12.0" customHeight="1">
      <c r="A11" s="14">
        <v>5.0</v>
      </c>
      <c r="B11" s="15" t="s">
        <v>682</v>
      </c>
      <c r="C11" s="16" t="s">
        <v>3401</v>
      </c>
      <c r="D11" s="15" t="s">
        <v>3402</v>
      </c>
      <c r="E11" s="15" t="s">
        <v>3403</v>
      </c>
      <c r="F11" s="15" t="s">
        <v>683</v>
      </c>
    </row>
    <row r="12" ht="12.0" customHeight="1">
      <c r="A12" s="14">
        <v>5.0</v>
      </c>
      <c r="B12" s="15" t="s">
        <v>684</v>
      </c>
      <c r="C12" s="16" t="s">
        <v>3404</v>
      </c>
      <c r="D12" s="15" t="s">
        <v>3405</v>
      </c>
      <c r="E12" s="15" t="s">
        <v>3406</v>
      </c>
      <c r="F12" s="15" t="s">
        <v>685</v>
      </c>
    </row>
    <row r="13" ht="12.0" customHeight="1">
      <c r="A13" s="14">
        <v>5.0</v>
      </c>
      <c r="B13" s="15" t="s">
        <v>686</v>
      </c>
      <c r="C13" s="16" t="s">
        <v>3407</v>
      </c>
      <c r="D13" s="15" t="s">
        <v>3408</v>
      </c>
      <c r="E13" s="15" t="s">
        <v>3409</v>
      </c>
      <c r="F13" s="15" t="s">
        <v>687</v>
      </c>
    </row>
    <row r="14" ht="12.0" customHeight="1">
      <c r="A14" s="14">
        <v>5.0</v>
      </c>
      <c r="B14" s="15" t="s">
        <v>688</v>
      </c>
      <c r="C14" s="16" t="s">
        <v>3410</v>
      </c>
      <c r="D14" s="15" t="s">
        <v>3411</v>
      </c>
      <c r="E14" s="15" t="s">
        <v>3412</v>
      </c>
      <c r="F14" s="15" t="s">
        <v>689</v>
      </c>
    </row>
    <row r="15" ht="12.0" customHeight="1">
      <c r="A15" s="14">
        <v>5.0</v>
      </c>
      <c r="B15" s="15" t="s">
        <v>690</v>
      </c>
      <c r="C15" s="16" t="s">
        <v>3413</v>
      </c>
      <c r="D15" s="15" t="s">
        <v>3414</v>
      </c>
      <c r="E15" s="15" t="s">
        <v>3415</v>
      </c>
      <c r="F15" s="15" t="s">
        <v>691</v>
      </c>
    </row>
    <row r="16" ht="12.0" customHeight="1">
      <c r="A16" s="14">
        <v>5.0</v>
      </c>
      <c r="B16" s="15" t="s">
        <v>692</v>
      </c>
      <c r="C16" s="16" t="s">
        <v>3416</v>
      </c>
      <c r="D16" s="15" t="s">
        <v>3417</v>
      </c>
      <c r="E16" s="15" t="s">
        <v>3418</v>
      </c>
      <c r="F16" s="15" t="s">
        <v>693</v>
      </c>
    </row>
    <row r="17" ht="12.0" customHeight="1">
      <c r="A17" s="14">
        <v>5.0</v>
      </c>
      <c r="B17" s="15" t="s">
        <v>694</v>
      </c>
      <c r="C17" s="16" t="s">
        <v>3419</v>
      </c>
      <c r="D17" s="15" t="s">
        <v>3420</v>
      </c>
      <c r="E17" s="15" t="s">
        <v>3421</v>
      </c>
      <c r="F17" s="15" t="s">
        <v>695</v>
      </c>
    </row>
    <row r="18" ht="12.0" customHeight="1">
      <c r="A18" s="14">
        <v>5.0</v>
      </c>
      <c r="B18" s="15" t="s">
        <v>696</v>
      </c>
      <c r="C18" s="16" t="s">
        <v>3422</v>
      </c>
      <c r="D18" s="15" t="s">
        <v>3423</v>
      </c>
      <c r="E18" s="15" t="s">
        <v>3424</v>
      </c>
      <c r="F18" s="15" t="s">
        <v>697</v>
      </c>
    </row>
    <row r="19" ht="12.0" customHeight="1">
      <c r="A19" s="14">
        <v>5.0</v>
      </c>
      <c r="B19" s="15" t="s">
        <v>698</v>
      </c>
      <c r="C19" s="16" t="s">
        <v>3425</v>
      </c>
      <c r="D19" s="15" t="s">
        <v>3426</v>
      </c>
      <c r="E19" s="15" t="s">
        <v>3427</v>
      </c>
      <c r="F19" s="15" t="s">
        <v>699</v>
      </c>
    </row>
    <row r="20" ht="23.25" customHeight="1">
      <c r="A20" s="19">
        <v>5.0</v>
      </c>
      <c r="B20" s="20" t="s">
        <v>700</v>
      </c>
      <c r="C20" s="21" t="s">
        <v>3428</v>
      </c>
      <c r="D20" s="20" t="s">
        <v>3429</v>
      </c>
      <c r="E20" s="20" t="s">
        <v>3430</v>
      </c>
      <c r="F20" s="20" t="s">
        <v>701</v>
      </c>
    </row>
    <row r="21" ht="12.0" customHeight="1">
      <c r="A21" s="11">
        <v>6.0</v>
      </c>
      <c r="B21" s="12" t="s">
        <v>702</v>
      </c>
      <c r="C21" s="23"/>
      <c r="D21" s="12" t="s">
        <v>3431</v>
      </c>
      <c r="E21" s="12" t="s">
        <v>3432</v>
      </c>
      <c r="F21" s="23"/>
    </row>
    <row r="22" ht="12.0" customHeight="1">
      <c r="A22" s="14">
        <v>6.0</v>
      </c>
      <c r="B22" s="15" t="s">
        <v>703</v>
      </c>
      <c r="C22" s="10"/>
      <c r="D22" s="15" t="s">
        <v>3433</v>
      </c>
      <c r="E22" s="15" t="s">
        <v>3434</v>
      </c>
      <c r="F22" s="10"/>
    </row>
    <row r="23" ht="12.0" customHeight="1">
      <c r="A23" s="14">
        <v>6.0</v>
      </c>
      <c r="B23" s="15" t="s">
        <v>704</v>
      </c>
      <c r="C23" s="16" t="s">
        <v>3435</v>
      </c>
      <c r="D23" s="15" t="s">
        <v>3436</v>
      </c>
      <c r="E23" s="15" t="s">
        <v>3437</v>
      </c>
      <c r="F23" s="15" t="s">
        <v>705</v>
      </c>
    </row>
    <row r="24" ht="12.0" customHeight="1">
      <c r="A24" s="14">
        <v>6.0</v>
      </c>
      <c r="B24" s="15" t="s">
        <v>706</v>
      </c>
      <c r="C24" s="16" t="s">
        <v>3438</v>
      </c>
      <c r="D24" s="15" t="s">
        <v>3439</v>
      </c>
      <c r="E24" s="15" t="s">
        <v>3440</v>
      </c>
      <c r="F24" s="15" t="s">
        <v>707</v>
      </c>
    </row>
    <row r="25" ht="12.0" customHeight="1">
      <c r="A25" s="14">
        <v>6.0</v>
      </c>
      <c r="B25" s="15" t="s">
        <v>708</v>
      </c>
      <c r="C25" s="16" t="s">
        <v>3441</v>
      </c>
      <c r="D25" s="15" t="s">
        <v>3442</v>
      </c>
      <c r="E25" s="15" t="s">
        <v>3443</v>
      </c>
      <c r="F25" s="15" t="s">
        <v>709</v>
      </c>
    </row>
    <row r="26" ht="12.0" customHeight="1">
      <c r="A26" s="14">
        <v>6.0</v>
      </c>
      <c r="B26" s="15" t="s">
        <v>710</v>
      </c>
      <c r="C26" s="16" t="s">
        <v>3444</v>
      </c>
      <c r="D26" s="15" t="s">
        <v>3445</v>
      </c>
      <c r="E26" s="15" t="s">
        <v>3446</v>
      </c>
      <c r="F26" s="15" t="s">
        <v>711</v>
      </c>
    </row>
    <row r="27" ht="12.0" customHeight="1">
      <c r="A27" s="14">
        <v>6.0</v>
      </c>
      <c r="B27" s="15" t="s">
        <v>712</v>
      </c>
      <c r="C27" s="16" t="s">
        <v>3447</v>
      </c>
      <c r="D27" s="15" t="s">
        <v>3448</v>
      </c>
      <c r="E27" s="15" t="s">
        <v>3449</v>
      </c>
      <c r="F27" s="15" t="s">
        <v>713</v>
      </c>
    </row>
    <row r="28" ht="12.0" customHeight="1">
      <c r="A28" s="14">
        <v>6.0</v>
      </c>
      <c r="B28" s="15" t="s">
        <v>714</v>
      </c>
      <c r="C28" s="16" t="s">
        <v>3450</v>
      </c>
      <c r="D28" s="15" t="s">
        <v>3451</v>
      </c>
      <c r="E28" s="15" t="s">
        <v>3452</v>
      </c>
      <c r="F28" s="15" t="s">
        <v>715</v>
      </c>
    </row>
    <row r="29" ht="12.0" customHeight="1">
      <c r="A29" s="14">
        <v>6.0</v>
      </c>
      <c r="B29" s="15" t="s">
        <v>716</v>
      </c>
      <c r="C29" s="16" t="s">
        <v>3453</v>
      </c>
      <c r="D29" s="15" t="s">
        <v>3454</v>
      </c>
      <c r="E29" s="15" t="s">
        <v>3455</v>
      </c>
      <c r="F29" s="15" t="s">
        <v>717</v>
      </c>
    </row>
    <row r="30" ht="12.0" customHeight="1">
      <c r="A30" s="14">
        <v>6.0</v>
      </c>
      <c r="B30" s="15" t="s">
        <v>718</v>
      </c>
      <c r="C30" s="16" t="s">
        <v>3456</v>
      </c>
      <c r="D30" s="15" t="s">
        <v>3457</v>
      </c>
      <c r="E30" s="15" t="s">
        <v>3458</v>
      </c>
      <c r="F30" s="15" t="s">
        <v>719</v>
      </c>
    </row>
    <row r="31" ht="12.0" customHeight="1">
      <c r="A31" s="14">
        <v>6.0</v>
      </c>
      <c r="B31" s="15" t="s">
        <v>720</v>
      </c>
      <c r="C31" s="16" t="s">
        <v>3459</v>
      </c>
      <c r="D31" s="15" t="s">
        <v>3460</v>
      </c>
      <c r="E31" s="15" t="s">
        <v>3461</v>
      </c>
      <c r="F31" s="15" t="s">
        <v>721</v>
      </c>
    </row>
    <row r="32" ht="12.0" customHeight="1">
      <c r="A32" s="14">
        <v>6.0</v>
      </c>
      <c r="B32" s="15" t="s">
        <v>722</v>
      </c>
      <c r="C32" s="16" t="s">
        <v>3462</v>
      </c>
      <c r="D32" s="15" t="s">
        <v>3463</v>
      </c>
      <c r="E32" s="15" t="s">
        <v>3464</v>
      </c>
      <c r="F32" s="15" t="s">
        <v>723</v>
      </c>
    </row>
    <row r="33" ht="12.0" customHeight="1">
      <c r="A33" s="14">
        <v>6.0</v>
      </c>
      <c r="B33" s="15" t="s">
        <v>724</v>
      </c>
      <c r="C33" s="16" t="s">
        <v>3465</v>
      </c>
      <c r="D33" s="15" t="s">
        <v>3466</v>
      </c>
      <c r="E33" s="15" t="s">
        <v>3467</v>
      </c>
      <c r="F33" s="15" t="s">
        <v>725</v>
      </c>
    </row>
    <row r="34" ht="12.0" customHeight="1">
      <c r="A34" s="14">
        <v>6.0</v>
      </c>
      <c r="B34" s="15" t="s">
        <v>726</v>
      </c>
      <c r="C34" s="16" t="s">
        <v>3468</v>
      </c>
      <c r="D34" s="15" t="s">
        <v>3469</v>
      </c>
      <c r="E34" s="15" t="s">
        <v>3470</v>
      </c>
      <c r="F34" s="15" t="s">
        <v>727</v>
      </c>
    </row>
    <row r="35" ht="12.0" customHeight="1">
      <c r="A35" s="14">
        <v>6.0</v>
      </c>
      <c r="B35" s="15" t="s">
        <v>728</v>
      </c>
      <c r="C35" s="16" t="s">
        <v>3471</v>
      </c>
      <c r="D35" s="15" t="s">
        <v>3472</v>
      </c>
      <c r="E35" s="15" t="s">
        <v>3473</v>
      </c>
      <c r="F35" s="15" t="s">
        <v>729</v>
      </c>
    </row>
    <row r="36" ht="12.0" customHeight="1">
      <c r="A36" s="14">
        <v>6.0</v>
      </c>
      <c r="B36" s="15" t="s">
        <v>730</v>
      </c>
      <c r="C36" s="16" t="s">
        <v>3474</v>
      </c>
      <c r="D36" s="15" t="s">
        <v>3475</v>
      </c>
      <c r="E36" s="15" t="s">
        <v>3476</v>
      </c>
      <c r="F36" s="15" t="s">
        <v>731</v>
      </c>
    </row>
    <row r="37" ht="12.0" customHeight="1">
      <c r="A37" s="14">
        <v>6.0</v>
      </c>
      <c r="B37" s="15" t="s">
        <v>732</v>
      </c>
      <c r="C37" s="16" t="s">
        <v>3477</v>
      </c>
      <c r="D37" s="15" t="s">
        <v>3478</v>
      </c>
      <c r="E37" s="15" t="s">
        <v>3479</v>
      </c>
      <c r="F37" s="15" t="s">
        <v>733</v>
      </c>
    </row>
    <row r="38" ht="12.0" customHeight="1">
      <c r="A38" s="14">
        <v>6.0</v>
      </c>
      <c r="B38" s="15" t="s">
        <v>734</v>
      </c>
      <c r="C38" s="16" t="s">
        <v>3480</v>
      </c>
      <c r="D38" s="15" t="s">
        <v>3481</v>
      </c>
      <c r="E38" s="15" t="s">
        <v>3482</v>
      </c>
      <c r="F38" s="15" t="s">
        <v>735</v>
      </c>
    </row>
    <row r="39" ht="12.0" customHeight="1">
      <c r="A39" s="14">
        <v>6.0</v>
      </c>
      <c r="B39" s="15" t="s">
        <v>736</v>
      </c>
      <c r="C39" s="16" t="s">
        <v>3483</v>
      </c>
      <c r="D39" s="15" t="s">
        <v>3484</v>
      </c>
      <c r="E39" s="15" t="s">
        <v>3485</v>
      </c>
      <c r="F39" s="15" t="s">
        <v>737</v>
      </c>
    </row>
    <row r="40" ht="12.0" customHeight="1">
      <c r="A40" s="14">
        <v>6.0</v>
      </c>
      <c r="B40" s="15" t="s">
        <v>738</v>
      </c>
      <c r="C40" s="16" t="s">
        <v>3486</v>
      </c>
      <c r="D40" s="15" t="s">
        <v>3487</v>
      </c>
      <c r="E40" s="15" t="s">
        <v>3488</v>
      </c>
      <c r="F40" s="15" t="s">
        <v>739</v>
      </c>
    </row>
    <row r="41" ht="12.0" customHeight="1">
      <c r="A41" s="14">
        <v>6.0</v>
      </c>
      <c r="B41" s="15" t="s">
        <v>740</v>
      </c>
      <c r="C41" s="16" t="s">
        <v>3489</v>
      </c>
      <c r="D41" s="15" t="s">
        <v>3490</v>
      </c>
      <c r="E41" s="15" t="s">
        <v>3491</v>
      </c>
      <c r="F41" s="15" t="s">
        <v>741</v>
      </c>
    </row>
    <row r="42" ht="12.0" customHeight="1">
      <c r="A42" s="14">
        <v>6.0</v>
      </c>
      <c r="B42" s="15" t="s">
        <v>742</v>
      </c>
      <c r="C42" s="16" t="s">
        <v>3492</v>
      </c>
      <c r="D42" s="15" t="s">
        <v>3493</v>
      </c>
      <c r="E42" s="15" t="s">
        <v>3494</v>
      </c>
      <c r="F42" s="15" t="s">
        <v>743</v>
      </c>
    </row>
    <row r="43" ht="12.0" customHeight="1">
      <c r="A43" s="14">
        <v>6.0</v>
      </c>
      <c r="B43" s="15" t="s">
        <v>744</v>
      </c>
      <c r="C43" s="16" t="s">
        <v>3495</v>
      </c>
      <c r="D43" s="15" t="s">
        <v>3496</v>
      </c>
      <c r="E43" s="15" t="s">
        <v>3497</v>
      </c>
      <c r="F43" s="15" t="s">
        <v>745</v>
      </c>
    </row>
    <row r="44" ht="12.0" customHeight="1">
      <c r="A44" s="14">
        <v>6.0</v>
      </c>
      <c r="B44" s="15" t="s">
        <v>746</v>
      </c>
      <c r="C44" s="16" t="s">
        <v>3498</v>
      </c>
      <c r="D44" s="15" t="s">
        <v>3499</v>
      </c>
      <c r="E44" s="15" t="s">
        <v>3500</v>
      </c>
      <c r="F44" s="15" t="s">
        <v>747</v>
      </c>
    </row>
    <row r="45" ht="12.0" customHeight="1">
      <c r="A45" s="14">
        <v>6.0</v>
      </c>
      <c r="B45" s="15" t="s">
        <v>748</v>
      </c>
      <c r="C45" s="16" t="s">
        <v>3501</v>
      </c>
      <c r="D45" s="15" t="s">
        <v>3502</v>
      </c>
      <c r="E45" s="15" t="s">
        <v>3503</v>
      </c>
      <c r="F45" s="15" t="s">
        <v>749</v>
      </c>
    </row>
    <row r="46" ht="12.0" customHeight="1">
      <c r="A46" s="14">
        <v>6.0</v>
      </c>
      <c r="B46" s="15" t="s">
        <v>750</v>
      </c>
      <c r="C46" s="16" t="s">
        <v>3504</v>
      </c>
      <c r="D46" s="15" t="s">
        <v>3505</v>
      </c>
      <c r="E46" s="15" t="s">
        <v>3506</v>
      </c>
      <c r="F46" s="15" t="s">
        <v>751</v>
      </c>
    </row>
    <row r="47" ht="12.0" customHeight="1">
      <c r="A47" s="14">
        <v>6.0</v>
      </c>
      <c r="B47" s="15" t="s">
        <v>752</v>
      </c>
      <c r="C47" s="16" t="s">
        <v>3507</v>
      </c>
      <c r="D47" s="15" t="s">
        <v>3508</v>
      </c>
      <c r="E47" s="15" t="s">
        <v>3509</v>
      </c>
      <c r="F47" s="15" t="s">
        <v>753</v>
      </c>
    </row>
    <row r="48" ht="12.0" customHeight="1">
      <c r="A48" s="14">
        <v>6.0</v>
      </c>
      <c r="B48" s="15" t="s">
        <v>754</v>
      </c>
      <c r="C48" s="16" t="s">
        <v>3510</v>
      </c>
      <c r="D48" s="15" t="s">
        <v>3511</v>
      </c>
      <c r="E48" s="15" t="s">
        <v>3512</v>
      </c>
      <c r="F48" s="15" t="s">
        <v>755</v>
      </c>
    </row>
    <row r="49" ht="15.75" customHeight="1">
      <c r="A49" s="14">
        <v>6.0</v>
      </c>
      <c r="B49" s="15" t="s">
        <v>756</v>
      </c>
      <c r="C49" s="16" t="s">
        <v>3513</v>
      </c>
      <c r="D49" s="15" t="s">
        <v>3514</v>
      </c>
      <c r="E49" s="15" t="s">
        <v>3515</v>
      </c>
      <c r="F49" s="15" t="s">
        <v>757</v>
      </c>
    </row>
    <row r="50" ht="7.5" customHeight="1">
      <c r="A50" s="17" t="s">
        <v>3516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3.86"/>
    <col customWidth="1" min="3" max="3" width="18.71"/>
    <col customWidth="1" min="4" max="4" width="21.71"/>
    <col customWidth="1" min="5" max="5" width="19.86"/>
    <col customWidth="1" min="6" max="6" width="38.57"/>
    <col customWidth="1" min="7" max="7" width="18.71"/>
    <col customWidth="1" min="8" max="26" width="9.0"/>
  </cols>
  <sheetData>
    <row r="1" ht="6.0" customHeight="1">
      <c r="A1" s="8" t="s">
        <v>2396</v>
      </c>
    </row>
    <row r="2" ht="15.75" customHeight="1">
      <c r="A2" s="18">
        <v>6.0</v>
      </c>
      <c r="B2" s="15" t="s">
        <v>758</v>
      </c>
      <c r="C2" s="16" t="s">
        <v>3517</v>
      </c>
      <c r="D2" s="15" t="s">
        <v>3518</v>
      </c>
      <c r="E2" s="15" t="s">
        <v>3519</v>
      </c>
      <c r="F2" s="15" t="s">
        <v>759</v>
      </c>
    </row>
    <row r="3" ht="12.0" customHeight="1">
      <c r="A3" s="18">
        <v>6.0</v>
      </c>
      <c r="B3" s="15" t="s">
        <v>760</v>
      </c>
      <c r="C3" s="16" t="s">
        <v>3520</v>
      </c>
      <c r="D3" s="15" t="s">
        <v>3521</v>
      </c>
      <c r="E3" s="15" t="s">
        <v>3522</v>
      </c>
      <c r="F3" s="15" t="s">
        <v>761</v>
      </c>
    </row>
    <row r="4" ht="12.0" customHeight="1">
      <c r="A4" s="18">
        <v>6.0</v>
      </c>
      <c r="B4" s="15" t="s">
        <v>762</v>
      </c>
      <c r="C4" s="16" t="s">
        <v>3523</v>
      </c>
      <c r="D4" s="15" t="s">
        <v>3524</v>
      </c>
      <c r="E4" s="15" t="s">
        <v>3525</v>
      </c>
      <c r="F4" s="15" t="s">
        <v>763</v>
      </c>
    </row>
    <row r="5" ht="12.0" customHeight="1">
      <c r="A5" s="18">
        <v>6.0</v>
      </c>
      <c r="B5" s="15" t="s">
        <v>764</v>
      </c>
      <c r="C5" s="16" t="s">
        <v>3526</v>
      </c>
      <c r="D5" s="15" t="s">
        <v>3527</v>
      </c>
      <c r="E5" s="15" t="s">
        <v>3528</v>
      </c>
      <c r="F5" s="15" t="s">
        <v>765</v>
      </c>
    </row>
    <row r="6" ht="12.0" customHeight="1">
      <c r="A6" s="18">
        <v>6.0</v>
      </c>
      <c r="B6" s="15" t="s">
        <v>766</v>
      </c>
      <c r="C6" s="16" t="s">
        <v>3529</v>
      </c>
      <c r="D6" s="15" t="s">
        <v>3530</v>
      </c>
      <c r="E6" s="15" t="s">
        <v>3531</v>
      </c>
      <c r="F6" s="15" t="s">
        <v>767</v>
      </c>
    </row>
    <row r="7" ht="12.0" customHeight="1">
      <c r="A7" s="18">
        <v>6.0</v>
      </c>
      <c r="B7" s="15" t="s">
        <v>768</v>
      </c>
      <c r="C7" s="16" t="s">
        <v>3532</v>
      </c>
      <c r="D7" s="15" t="s">
        <v>3533</v>
      </c>
      <c r="E7" s="15" t="s">
        <v>3534</v>
      </c>
      <c r="F7" s="15" t="s">
        <v>769</v>
      </c>
    </row>
    <row r="8" ht="12.0" customHeight="1">
      <c r="A8" s="18">
        <v>6.0</v>
      </c>
      <c r="B8" s="15" t="s">
        <v>770</v>
      </c>
      <c r="C8" s="16" t="s">
        <v>3535</v>
      </c>
      <c r="D8" s="15" t="s">
        <v>3536</v>
      </c>
      <c r="E8" s="15" t="s">
        <v>3537</v>
      </c>
      <c r="F8" s="15" t="s">
        <v>771</v>
      </c>
    </row>
    <row r="9" ht="11.25" customHeight="1">
      <c r="A9" s="18">
        <v>6.0</v>
      </c>
      <c r="B9" s="15" t="s">
        <v>772</v>
      </c>
      <c r="C9" s="16" t="s">
        <v>3538</v>
      </c>
      <c r="D9" s="15" t="s">
        <v>3539</v>
      </c>
      <c r="E9" s="15" t="s">
        <v>3540</v>
      </c>
      <c r="F9" s="15" t="s">
        <v>773</v>
      </c>
    </row>
    <row r="10" ht="12.0" customHeight="1">
      <c r="A10" s="18">
        <v>6.0</v>
      </c>
      <c r="B10" s="15" t="s">
        <v>774</v>
      </c>
      <c r="C10" s="16" t="s">
        <v>3541</v>
      </c>
      <c r="D10" s="15" t="s">
        <v>3542</v>
      </c>
      <c r="E10" s="15" t="s">
        <v>3543</v>
      </c>
      <c r="F10" s="15" t="s">
        <v>775</v>
      </c>
    </row>
    <row r="11" ht="12.0" customHeight="1">
      <c r="A11" s="18">
        <v>6.0</v>
      </c>
      <c r="B11" s="15" t="s">
        <v>776</v>
      </c>
      <c r="C11" s="16" t="s">
        <v>3544</v>
      </c>
      <c r="D11" s="15" t="s">
        <v>3545</v>
      </c>
      <c r="E11" s="15" t="s">
        <v>3546</v>
      </c>
      <c r="F11" s="15" t="s">
        <v>777</v>
      </c>
    </row>
    <row r="12" ht="11.25" customHeight="1">
      <c r="A12" s="18">
        <v>6.0</v>
      </c>
      <c r="B12" s="15" t="s">
        <v>778</v>
      </c>
      <c r="C12" s="16" t="s">
        <v>3547</v>
      </c>
      <c r="D12" s="15" t="s">
        <v>3548</v>
      </c>
      <c r="E12" s="15" t="s">
        <v>3549</v>
      </c>
      <c r="F12" s="15" t="s">
        <v>779</v>
      </c>
    </row>
    <row r="13" ht="12.0" customHeight="1">
      <c r="A13" s="18">
        <v>6.0</v>
      </c>
      <c r="B13" s="15" t="s">
        <v>780</v>
      </c>
      <c r="C13" s="16" t="s">
        <v>3550</v>
      </c>
      <c r="D13" s="15" t="s">
        <v>3551</v>
      </c>
      <c r="E13" s="15" t="s">
        <v>3552</v>
      </c>
      <c r="F13" s="15" t="s">
        <v>3553</v>
      </c>
    </row>
    <row r="14" ht="12.0" customHeight="1">
      <c r="A14" s="18">
        <v>6.0</v>
      </c>
      <c r="B14" s="15" t="s">
        <v>782</v>
      </c>
      <c r="C14" s="16" t="s">
        <v>3554</v>
      </c>
      <c r="D14" s="15" t="s">
        <v>3555</v>
      </c>
      <c r="E14" s="15" t="s">
        <v>3556</v>
      </c>
      <c r="F14" s="15" t="s">
        <v>783</v>
      </c>
    </row>
    <row r="15" ht="12.0" customHeight="1">
      <c r="A15" s="18">
        <v>6.0</v>
      </c>
      <c r="B15" s="15" t="s">
        <v>784</v>
      </c>
      <c r="C15" s="16" t="s">
        <v>3557</v>
      </c>
      <c r="D15" s="15" t="s">
        <v>3558</v>
      </c>
      <c r="E15" s="15" t="s">
        <v>3558</v>
      </c>
      <c r="F15" s="15" t="s">
        <v>785</v>
      </c>
    </row>
    <row r="16" ht="12.0" customHeight="1">
      <c r="A16" s="18">
        <v>6.0</v>
      </c>
      <c r="B16" s="15" t="s">
        <v>786</v>
      </c>
      <c r="C16" s="16" t="s">
        <v>3559</v>
      </c>
      <c r="D16" s="15" t="s">
        <v>3560</v>
      </c>
      <c r="E16" s="15" t="s">
        <v>3561</v>
      </c>
      <c r="F16" s="15" t="s">
        <v>787</v>
      </c>
    </row>
    <row r="17" ht="12.0" customHeight="1">
      <c r="A17" s="18">
        <v>6.0</v>
      </c>
      <c r="B17" s="15" t="s">
        <v>788</v>
      </c>
      <c r="C17" s="16" t="s">
        <v>3562</v>
      </c>
      <c r="D17" s="15" t="s">
        <v>3563</v>
      </c>
      <c r="E17" s="15" t="s">
        <v>3564</v>
      </c>
      <c r="F17" s="15" t="s">
        <v>789</v>
      </c>
    </row>
    <row r="18" ht="12.0" customHeight="1">
      <c r="A18" s="18">
        <v>6.0</v>
      </c>
      <c r="B18" s="15" t="s">
        <v>790</v>
      </c>
      <c r="C18" s="16" t="s">
        <v>3565</v>
      </c>
      <c r="D18" s="15" t="s">
        <v>3566</v>
      </c>
      <c r="E18" s="15" t="s">
        <v>3567</v>
      </c>
      <c r="F18" s="15" t="s">
        <v>791</v>
      </c>
    </row>
    <row r="19" ht="12.0" customHeight="1">
      <c r="A19" s="18">
        <v>6.0</v>
      </c>
      <c r="B19" s="15" t="s">
        <v>792</v>
      </c>
      <c r="C19" s="16" t="s">
        <v>3568</v>
      </c>
      <c r="D19" s="15" t="s">
        <v>3569</v>
      </c>
      <c r="E19" s="15" t="s">
        <v>3570</v>
      </c>
      <c r="F19" s="15" t="s">
        <v>793</v>
      </c>
    </row>
    <row r="20" ht="12.0" customHeight="1">
      <c r="A20" s="18">
        <v>6.0</v>
      </c>
      <c r="B20" s="15" t="s">
        <v>794</v>
      </c>
      <c r="C20" s="16" t="s">
        <v>3571</v>
      </c>
      <c r="D20" s="15" t="s">
        <v>3572</v>
      </c>
      <c r="E20" s="15" t="s">
        <v>3573</v>
      </c>
      <c r="F20" s="15" t="s">
        <v>795</v>
      </c>
    </row>
    <row r="21" ht="12.0" customHeight="1">
      <c r="A21" s="18">
        <v>6.0</v>
      </c>
      <c r="B21" s="15" t="s">
        <v>796</v>
      </c>
      <c r="C21" s="16" t="s">
        <v>3574</v>
      </c>
      <c r="D21" s="15" t="s">
        <v>3575</v>
      </c>
      <c r="E21" s="15" t="s">
        <v>3576</v>
      </c>
      <c r="F21" s="15" t="s">
        <v>797</v>
      </c>
    </row>
    <row r="22" ht="12.0" customHeight="1">
      <c r="A22" s="18">
        <v>6.0</v>
      </c>
      <c r="B22" s="15" t="s">
        <v>798</v>
      </c>
      <c r="C22" s="16" t="s">
        <v>3577</v>
      </c>
      <c r="D22" s="15" t="s">
        <v>3578</v>
      </c>
      <c r="E22" s="15" t="s">
        <v>3579</v>
      </c>
      <c r="F22" s="15" t="s">
        <v>799</v>
      </c>
    </row>
    <row r="23" ht="12.0" customHeight="1">
      <c r="A23" s="18">
        <v>6.0</v>
      </c>
      <c r="B23" s="15" t="s">
        <v>800</v>
      </c>
      <c r="C23" s="16" t="s">
        <v>3580</v>
      </c>
      <c r="D23" s="15" t="s">
        <v>3581</v>
      </c>
      <c r="E23" s="15" t="s">
        <v>3582</v>
      </c>
      <c r="F23" s="15" t="s">
        <v>801</v>
      </c>
    </row>
    <row r="24" ht="12.0" customHeight="1">
      <c r="A24" s="18">
        <v>6.0</v>
      </c>
      <c r="B24" s="15" t="s">
        <v>802</v>
      </c>
      <c r="C24" s="16" t="s">
        <v>3583</v>
      </c>
      <c r="D24" s="15" t="s">
        <v>3584</v>
      </c>
      <c r="E24" s="15" t="s">
        <v>3585</v>
      </c>
      <c r="F24" s="15" t="s">
        <v>803</v>
      </c>
    </row>
    <row r="25" ht="12.0" customHeight="1">
      <c r="A25" s="18">
        <v>6.0</v>
      </c>
      <c r="B25" s="15" t="s">
        <v>804</v>
      </c>
      <c r="C25" s="16" t="s">
        <v>3586</v>
      </c>
      <c r="D25" s="15" t="s">
        <v>2866</v>
      </c>
      <c r="E25" s="15" t="s">
        <v>3587</v>
      </c>
      <c r="F25" s="15" t="s">
        <v>805</v>
      </c>
    </row>
    <row r="26" ht="12.0" customHeight="1">
      <c r="A26" s="18">
        <v>6.0</v>
      </c>
      <c r="B26" s="15" t="s">
        <v>806</v>
      </c>
      <c r="C26" s="16" t="s">
        <v>3588</v>
      </c>
      <c r="D26" s="15" t="s">
        <v>3589</v>
      </c>
      <c r="E26" s="15" t="s">
        <v>3590</v>
      </c>
      <c r="F26" s="15" t="s">
        <v>807</v>
      </c>
    </row>
    <row r="27" ht="12.0" customHeight="1">
      <c r="A27" s="18">
        <v>6.0</v>
      </c>
      <c r="B27" s="15" t="s">
        <v>808</v>
      </c>
      <c r="C27" s="16" t="s">
        <v>3591</v>
      </c>
      <c r="D27" s="15" t="s">
        <v>3592</v>
      </c>
      <c r="E27" s="15" t="s">
        <v>3593</v>
      </c>
      <c r="F27" s="15" t="s">
        <v>245</v>
      </c>
    </row>
    <row r="28" ht="12.0" customHeight="1">
      <c r="A28" s="18">
        <v>6.0</v>
      </c>
      <c r="B28" s="15" t="s">
        <v>809</v>
      </c>
      <c r="C28" s="16" t="s">
        <v>3594</v>
      </c>
      <c r="D28" s="15" t="s">
        <v>3595</v>
      </c>
      <c r="E28" s="15" t="s">
        <v>3596</v>
      </c>
      <c r="F28" s="15" t="s">
        <v>810</v>
      </c>
    </row>
    <row r="29" ht="12.0" customHeight="1">
      <c r="A29" s="18">
        <v>6.0</v>
      </c>
      <c r="B29" s="15" t="s">
        <v>811</v>
      </c>
      <c r="C29" s="16" t="s">
        <v>3597</v>
      </c>
      <c r="D29" s="15" t="s">
        <v>3598</v>
      </c>
      <c r="E29" s="15" t="s">
        <v>3599</v>
      </c>
      <c r="F29" s="15" t="s">
        <v>812</v>
      </c>
    </row>
    <row r="30" ht="12.0" customHeight="1">
      <c r="A30" s="18">
        <v>6.0</v>
      </c>
      <c r="B30" s="15" t="s">
        <v>813</v>
      </c>
      <c r="C30" s="16" t="s">
        <v>3600</v>
      </c>
      <c r="D30" s="15" t="s">
        <v>3601</v>
      </c>
      <c r="E30" s="15" t="s">
        <v>3602</v>
      </c>
      <c r="F30" s="15" t="s">
        <v>814</v>
      </c>
    </row>
    <row r="31" ht="11.25" customHeight="1">
      <c r="A31" s="18">
        <v>6.0</v>
      </c>
      <c r="B31" s="15" t="s">
        <v>815</v>
      </c>
      <c r="C31" s="16" t="s">
        <v>3603</v>
      </c>
      <c r="D31" s="15" t="s">
        <v>3604</v>
      </c>
      <c r="E31" s="15" t="s">
        <v>3605</v>
      </c>
      <c r="F31" s="15" t="s">
        <v>816</v>
      </c>
    </row>
    <row r="32" ht="12.0" customHeight="1">
      <c r="A32" s="18">
        <v>6.0</v>
      </c>
      <c r="B32" s="15" t="s">
        <v>817</v>
      </c>
      <c r="C32" s="16" t="s">
        <v>3606</v>
      </c>
      <c r="D32" s="15" t="s">
        <v>3607</v>
      </c>
      <c r="E32" s="15" t="s">
        <v>3608</v>
      </c>
      <c r="F32" s="15" t="s">
        <v>818</v>
      </c>
    </row>
    <row r="33" ht="12.0" customHeight="1">
      <c r="A33" s="18">
        <v>6.0</v>
      </c>
      <c r="B33" s="15" t="s">
        <v>819</v>
      </c>
      <c r="C33" s="16" t="s">
        <v>3609</v>
      </c>
      <c r="D33" s="15" t="s">
        <v>3610</v>
      </c>
      <c r="E33" s="15" t="s">
        <v>3611</v>
      </c>
      <c r="F33" s="15" t="s">
        <v>820</v>
      </c>
    </row>
    <row r="34" ht="12.0" customHeight="1">
      <c r="A34" s="18">
        <v>6.0</v>
      </c>
      <c r="B34" s="15" t="s">
        <v>821</v>
      </c>
      <c r="C34" s="16" t="s">
        <v>3612</v>
      </c>
      <c r="D34" s="15" t="s">
        <v>3613</v>
      </c>
      <c r="E34" s="15" t="s">
        <v>3614</v>
      </c>
      <c r="F34" s="15" t="s">
        <v>822</v>
      </c>
    </row>
    <row r="35" ht="12.0" customHeight="1">
      <c r="A35" s="18">
        <v>6.0</v>
      </c>
      <c r="B35" s="15" t="s">
        <v>823</v>
      </c>
      <c r="C35" s="16" t="s">
        <v>3615</v>
      </c>
      <c r="D35" s="15" t="s">
        <v>3616</v>
      </c>
      <c r="E35" s="15" t="s">
        <v>3617</v>
      </c>
      <c r="F35" s="15" t="s">
        <v>824</v>
      </c>
    </row>
    <row r="36" ht="12.0" customHeight="1">
      <c r="A36" s="18">
        <v>6.0</v>
      </c>
      <c r="B36" s="15" t="s">
        <v>825</v>
      </c>
      <c r="C36" s="16" t="s">
        <v>3618</v>
      </c>
      <c r="D36" s="15" t="s">
        <v>3619</v>
      </c>
      <c r="E36" s="15" t="s">
        <v>3620</v>
      </c>
      <c r="F36" s="15" t="s">
        <v>826</v>
      </c>
    </row>
    <row r="37" ht="12.0" customHeight="1">
      <c r="A37" s="18">
        <v>6.0</v>
      </c>
      <c r="B37" s="15" t="s">
        <v>827</v>
      </c>
      <c r="C37" s="16" t="s">
        <v>3621</v>
      </c>
      <c r="D37" s="15" t="s">
        <v>3622</v>
      </c>
      <c r="E37" s="15" t="s">
        <v>3623</v>
      </c>
      <c r="F37" s="15" t="s">
        <v>828</v>
      </c>
    </row>
    <row r="38" ht="12.0" customHeight="1">
      <c r="A38" s="18">
        <v>6.0</v>
      </c>
      <c r="B38" s="15" t="s">
        <v>829</v>
      </c>
      <c r="C38" s="16" t="s">
        <v>3624</v>
      </c>
      <c r="D38" s="15" t="s">
        <v>3625</v>
      </c>
      <c r="E38" s="15" t="s">
        <v>3626</v>
      </c>
      <c r="F38" s="15" t="s">
        <v>830</v>
      </c>
    </row>
    <row r="39" ht="12.0" customHeight="1">
      <c r="A39" s="18">
        <v>6.0</v>
      </c>
      <c r="B39" s="15" t="s">
        <v>831</v>
      </c>
      <c r="C39" s="16" t="s">
        <v>3627</v>
      </c>
      <c r="D39" s="15" t="s">
        <v>3628</v>
      </c>
      <c r="E39" s="15" t="s">
        <v>3629</v>
      </c>
      <c r="F39" s="15" t="s">
        <v>832</v>
      </c>
    </row>
    <row r="40" ht="12.0" customHeight="1">
      <c r="A40" s="18">
        <v>6.0</v>
      </c>
      <c r="B40" s="15" t="s">
        <v>833</v>
      </c>
      <c r="C40" s="16" t="s">
        <v>3630</v>
      </c>
      <c r="D40" s="15" t="s">
        <v>3631</v>
      </c>
      <c r="E40" s="15" t="s">
        <v>3632</v>
      </c>
      <c r="F40" s="15" t="s">
        <v>834</v>
      </c>
    </row>
    <row r="41" ht="12.0" customHeight="1">
      <c r="A41" s="18">
        <v>6.0</v>
      </c>
      <c r="B41" s="15" t="s">
        <v>835</v>
      </c>
      <c r="C41" s="16" t="s">
        <v>3633</v>
      </c>
      <c r="D41" s="15" t="s">
        <v>3634</v>
      </c>
      <c r="E41" s="15" t="s">
        <v>3635</v>
      </c>
      <c r="F41" s="15" t="s">
        <v>836</v>
      </c>
    </row>
    <row r="42" ht="12.0" customHeight="1">
      <c r="A42" s="18">
        <v>6.0</v>
      </c>
      <c r="B42" s="15" t="s">
        <v>837</v>
      </c>
      <c r="C42" s="16" t="s">
        <v>3636</v>
      </c>
      <c r="D42" s="15" t="s">
        <v>3637</v>
      </c>
      <c r="E42" s="15" t="s">
        <v>3638</v>
      </c>
      <c r="F42" s="15" t="s">
        <v>838</v>
      </c>
    </row>
    <row r="43" ht="12.0" customHeight="1">
      <c r="A43" s="18">
        <v>6.0</v>
      </c>
      <c r="B43" s="15" t="s">
        <v>839</v>
      </c>
      <c r="C43" s="16" t="s">
        <v>3639</v>
      </c>
      <c r="D43" s="15" t="s">
        <v>3640</v>
      </c>
      <c r="E43" s="15" t="s">
        <v>3641</v>
      </c>
      <c r="F43" s="15" t="s">
        <v>840</v>
      </c>
    </row>
    <row r="44" ht="12.0" customHeight="1">
      <c r="A44" s="18">
        <v>6.0</v>
      </c>
      <c r="B44" s="15" t="s">
        <v>841</v>
      </c>
      <c r="C44" s="16" t="s">
        <v>3642</v>
      </c>
      <c r="D44" s="15" t="s">
        <v>3643</v>
      </c>
      <c r="E44" s="15" t="s">
        <v>3644</v>
      </c>
      <c r="F44" s="15" t="s">
        <v>842</v>
      </c>
    </row>
    <row r="45" ht="11.25" customHeight="1">
      <c r="A45" s="18">
        <v>6.0</v>
      </c>
      <c r="B45" s="15" t="s">
        <v>843</v>
      </c>
      <c r="C45" s="16" t="s">
        <v>3645</v>
      </c>
      <c r="D45" s="15" t="s">
        <v>3646</v>
      </c>
      <c r="E45" s="15" t="s">
        <v>3647</v>
      </c>
      <c r="F45" s="15" t="s">
        <v>844</v>
      </c>
    </row>
    <row r="46" ht="12.0" customHeight="1">
      <c r="A46" s="18">
        <v>6.0</v>
      </c>
      <c r="B46" s="15" t="s">
        <v>845</v>
      </c>
      <c r="C46" s="16" t="s">
        <v>3648</v>
      </c>
      <c r="D46" s="15" t="s">
        <v>3649</v>
      </c>
      <c r="E46" s="15" t="s">
        <v>3650</v>
      </c>
      <c r="F46" s="15" t="s">
        <v>3651</v>
      </c>
    </row>
    <row r="47" ht="12.0" customHeight="1">
      <c r="A47" s="18">
        <v>6.0</v>
      </c>
      <c r="B47" s="15" t="s">
        <v>847</v>
      </c>
      <c r="C47" s="16" t="s">
        <v>3652</v>
      </c>
      <c r="D47" s="15" t="s">
        <v>3653</v>
      </c>
      <c r="E47" s="15" t="s">
        <v>3654</v>
      </c>
      <c r="F47" s="15" t="s">
        <v>848</v>
      </c>
    </row>
    <row r="48" ht="12.0" customHeight="1">
      <c r="A48" s="18">
        <v>6.0</v>
      </c>
      <c r="B48" s="15" t="s">
        <v>849</v>
      </c>
      <c r="C48" s="16" t="s">
        <v>3655</v>
      </c>
      <c r="D48" s="15" t="s">
        <v>3656</v>
      </c>
      <c r="E48" s="15" t="s">
        <v>3626</v>
      </c>
      <c r="F48" s="15" t="s">
        <v>850</v>
      </c>
    </row>
    <row r="49" ht="12.0" customHeight="1">
      <c r="A49" s="18">
        <v>6.0</v>
      </c>
      <c r="B49" s="15" t="s">
        <v>851</v>
      </c>
      <c r="C49" s="16" t="s">
        <v>3657</v>
      </c>
      <c r="D49" s="15" t="s">
        <v>3658</v>
      </c>
      <c r="E49" s="15" t="s">
        <v>3659</v>
      </c>
      <c r="F49" s="15" t="s">
        <v>852</v>
      </c>
    </row>
    <row r="50" ht="15.75" customHeight="1">
      <c r="A50" s="18">
        <v>6.0</v>
      </c>
      <c r="B50" s="15" t="s">
        <v>853</v>
      </c>
      <c r="C50" s="16" t="s">
        <v>3660</v>
      </c>
      <c r="D50" s="15" t="s">
        <v>3661</v>
      </c>
      <c r="E50" s="15" t="s">
        <v>3662</v>
      </c>
      <c r="F50" s="15" t="s">
        <v>854</v>
      </c>
    </row>
    <row r="51" ht="7.5" customHeight="1">
      <c r="A51" s="17" t="s">
        <v>3663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1:G5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4.71"/>
    <col customWidth="1" min="3" max="3" width="17.86"/>
    <col customWidth="1" min="4" max="5" width="19.86"/>
    <col customWidth="1" min="6" max="6" width="57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4">
        <v>6.0</v>
      </c>
      <c r="B2" s="15" t="s">
        <v>855</v>
      </c>
      <c r="C2" s="16" t="s">
        <v>3664</v>
      </c>
      <c r="D2" s="15" t="s">
        <v>3665</v>
      </c>
      <c r="E2" s="15" t="s">
        <v>3666</v>
      </c>
      <c r="F2" s="15" t="s">
        <v>856</v>
      </c>
    </row>
    <row r="3" ht="12.0" customHeight="1">
      <c r="A3" s="14">
        <v>6.0</v>
      </c>
      <c r="B3" s="15" t="s">
        <v>857</v>
      </c>
      <c r="C3" s="16" t="s">
        <v>3667</v>
      </c>
      <c r="D3" s="15" t="s">
        <v>3668</v>
      </c>
      <c r="E3" s="15" t="s">
        <v>3669</v>
      </c>
      <c r="F3" s="15" t="s">
        <v>858</v>
      </c>
    </row>
    <row r="4" ht="12.0" customHeight="1">
      <c r="A4" s="14">
        <v>6.0</v>
      </c>
      <c r="B4" s="15" t="s">
        <v>859</v>
      </c>
      <c r="C4" s="16" t="s">
        <v>3670</v>
      </c>
      <c r="D4" s="15" t="s">
        <v>3671</v>
      </c>
      <c r="E4" s="15" t="s">
        <v>3672</v>
      </c>
      <c r="F4" s="15" t="s">
        <v>860</v>
      </c>
    </row>
    <row r="5" ht="12.0" customHeight="1">
      <c r="A5" s="14">
        <v>6.0</v>
      </c>
      <c r="B5" s="15" t="s">
        <v>861</v>
      </c>
      <c r="C5" s="16" t="s">
        <v>3673</v>
      </c>
      <c r="D5" s="15" t="s">
        <v>3674</v>
      </c>
      <c r="E5" s="15" t="s">
        <v>3675</v>
      </c>
      <c r="F5" s="15" t="s">
        <v>862</v>
      </c>
    </row>
    <row r="6" ht="12.0" customHeight="1">
      <c r="A6" s="14">
        <v>6.0</v>
      </c>
      <c r="B6" s="15" t="s">
        <v>863</v>
      </c>
      <c r="C6" s="16" t="s">
        <v>3321</v>
      </c>
      <c r="D6" s="15" t="s">
        <v>3322</v>
      </c>
      <c r="E6" s="15" t="s">
        <v>3323</v>
      </c>
      <c r="F6" s="15" t="s">
        <v>864</v>
      </c>
    </row>
    <row r="7" ht="12.0" customHeight="1">
      <c r="A7" s="14">
        <v>6.0</v>
      </c>
      <c r="B7" s="15" t="s">
        <v>865</v>
      </c>
      <c r="C7" s="16" t="s">
        <v>3676</v>
      </c>
      <c r="D7" s="15" t="s">
        <v>3677</v>
      </c>
      <c r="E7" s="15" t="s">
        <v>3678</v>
      </c>
      <c r="F7" s="15" t="s">
        <v>19</v>
      </c>
    </row>
    <row r="8" ht="12.0" customHeight="1">
      <c r="A8" s="14">
        <v>6.0</v>
      </c>
      <c r="B8" s="15" t="s">
        <v>866</v>
      </c>
      <c r="C8" s="16" t="s">
        <v>3679</v>
      </c>
      <c r="D8" s="15" t="s">
        <v>3680</v>
      </c>
      <c r="E8" s="15" t="s">
        <v>3681</v>
      </c>
      <c r="F8" s="15" t="s">
        <v>867</v>
      </c>
    </row>
    <row r="9" ht="12.0" customHeight="1">
      <c r="A9" s="14">
        <v>6.0</v>
      </c>
      <c r="B9" s="15" t="s">
        <v>868</v>
      </c>
      <c r="C9" s="16" t="s">
        <v>3682</v>
      </c>
      <c r="D9" s="15" t="s">
        <v>3683</v>
      </c>
      <c r="E9" s="15" t="s">
        <v>3684</v>
      </c>
      <c r="F9" s="15" t="s">
        <v>869</v>
      </c>
    </row>
    <row r="10" ht="12.0" customHeight="1">
      <c r="A10" s="14">
        <v>6.0</v>
      </c>
      <c r="B10" s="15" t="s">
        <v>870</v>
      </c>
      <c r="C10" s="16" t="s">
        <v>3685</v>
      </c>
      <c r="D10" s="15" t="s">
        <v>3686</v>
      </c>
      <c r="E10" s="15" t="s">
        <v>3687</v>
      </c>
      <c r="F10" s="15" t="s">
        <v>871</v>
      </c>
    </row>
    <row r="11" ht="12.0" customHeight="1">
      <c r="A11" s="14">
        <v>6.0</v>
      </c>
      <c r="B11" s="15" t="s">
        <v>872</v>
      </c>
      <c r="C11" s="16" t="s">
        <v>3688</v>
      </c>
      <c r="D11" s="15" t="s">
        <v>3689</v>
      </c>
      <c r="E11" s="15" t="s">
        <v>3690</v>
      </c>
      <c r="F11" s="15" t="s">
        <v>873</v>
      </c>
    </row>
    <row r="12" ht="12.0" customHeight="1">
      <c r="A12" s="14">
        <v>6.0</v>
      </c>
      <c r="B12" s="15" t="s">
        <v>874</v>
      </c>
      <c r="C12" s="16" t="s">
        <v>3691</v>
      </c>
      <c r="D12" s="15" t="s">
        <v>3692</v>
      </c>
      <c r="E12" s="15" t="s">
        <v>3693</v>
      </c>
      <c r="F12" s="15" t="s">
        <v>875</v>
      </c>
    </row>
    <row r="13" ht="12.0" customHeight="1">
      <c r="A13" s="14">
        <v>6.0</v>
      </c>
      <c r="B13" s="15" t="s">
        <v>876</v>
      </c>
      <c r="C13" s="16" t="s">
        <v>3694</v>
      </c>
      <c r="D13" s="15" t="s">
        <v>3695</v>
      </c>
      <c r="E13" s="15" t="s">
        <v>3696</v>
      </c>
      <c r="F13" s="15" t="s">
        <v>877</v>
      </c>
    </row>
    <row r="14" ht="12.0" customHeight="1">
      <c r="A14" s="14">
        <v>6.0</v>
      </c>
      <c r="B14" s="15" t="s">
        <v>878</v>
      </c>
      <c r="C14" s="16" t="s">
        <v>3697</v>
      </c>
      <c r="D14" s="15" t="s">
        <v>3698</v>
      </c>
      <c r="E14" s="15" t="s">
        <v>3699</v>
      </c>
      <c r="F14" s="15" t="s">
        <v>879</v>
      </c>
    </row>
    <row r="15" ht="12.0" customHeight="1">
      <c r="A15" s="14">
        <v>6.0</v>
      </c>
      <c r="B15" s="15" t="s">
        <v>880</v>
      </c>
      <c r="C15" s="16" t="s">
        <v>3700</v>
      </c>
      <c r="D15" s="15" t="s">
        <v>3701</v>
      </c>
      <c r="E15" s="15" t="s">
        <v>3702</v>
      </c>
      <c r="F15" s="15" t="s">
        <v>881</v>
      </c>
    </row>
    <row r="16" ht="12.0" customHeight="1">
      <c r="A16" s="14">
        <v>6.0</v>
      </c>
      <c r="B16" s="15" t="s">
        <v>882</v>
      </c>
      <c r="C16" s="16" t="s">
        <v>3703</v>
      </c>
      <c r="D16" s="15" t="s">
        <v>3704</v>
      </c>
      <c r="E16" s="15" t="s">
        <v>3705</v>
      </c>
      <c r="F16" s="15" t="s">
        <v>883</v>
      </c>
    </row>
    <row r="17" ht="12.0" customHeight="1">
      <c r="A17" s="14">
        <v>6.0</v>
      </c>
      <c r="B17" s="15" t="s">
        <v>884</v>
      </c>
      <c r="C17" s="16" t="s">
        <v>3706</v>
      </c>
      <c r="D17" s="15" t="s">
        <v>3707</v>
      </c>
      <c r="E17" s="15" t="s">
        <v>3708</v>
      </c>
      <c r="F17" s="15" t="s">
        <v>885</v>
      </c>
    </row>
    <row r="18" ht="12.0" customHeight="1">
      <c r="A18" s="14">
        <v>6.0</v>
      </c>
      <c r="B18" s="15" t="s">
        <v>886</v>
      </c>
      <c r="C18" s="16" t="s">
        <v>3709</v>
      </c>
      <c r="D18" s="15" t="s">
        <v>3710</v>
      </c>
      <c r="E18" s="15" t="s">
        <v>3711</v>
      </c>
      <c r="F18" s="15" t="s">
        <v>887</v>
      </c>
    </row>
    <row r="19" ht="12.0" customHeight="1">
      <c r="A19" s="14">
        <v>6.0</v>
      </c>
      <c r="B19" s="15" t="s">
        <v>888</v>
      </c>
      <c r="C19" s="16" t="s">
        <v>3712</v>
      </c>
      <c r="D19" s="15" t="s">
        <v>3713</v>
      </c>
      <c r="E19" s="15" t="s">
        <v>3713</v>
      </c>
      <c r="F19" s="15" t="s">
        <v>889</v>
      </c>
    </row>
    <row r="20" ht="12.0" customHeight="1">
      <c r="A20" s="14">
        <v>6.0</v>
      </c>
      <c r="B20" s="15" t="s">
        <v>890</v>
      </c>
      <c r="C20" s="16" t="s">
        <v>3714</v>
      </c>
      <c r="D20" s="15" t="s">
        <v>3715</v>
      </c>
      <c r="E20" s="15" t="s">
        <v>3716</v>
      </c>
      <c r="F20" s="15" t="s">
        <v>891</v>
      </c>
    </row>
    <row r="21" ht="12.0" customHeight="1">
      <c r="A21" s="14">
        <v>6.0</v>
      </c>
      <c r="B21" s="15" t="s">
        <v>892</v>
      </c>
      <c r="C21" s="16" t="s">
        <v>3717</v>
      </c>
      <c r="D21" s="15" t="s">
        <v>3718</v>
      </c>
      <c r="E21" s="15" t="s">
        <v>3719</v>
      </c>
      <c r="F21" s="15" t="s">
        <v>893</v>
      </c>
    </row>
    <row r="22" ht="12.0" customHeight="1">
      <c r="A22" s="14">
        <v>6.0</v>
      </c>
      <c r="B22" s="15" t="s">
        <v>894</v>
      </c>
      <c r="C22" s="16" t="s">
        <v>3720</v>
      </c>
      <c r="D22" s="15" t="s">
        <v>3721</v>
      </c>
      <c r="E22" s="15" t="s">
        <v>3722</v>
      </c>
      <c r="F22" s="15" t="s">
        <v>895</v>
      </c>
    </row>
    <row r="23" ht="12.0" customHeight="1">
      <c r="A23" s="14">
        <v>6.0</v>
      </c>
      <c r="B23" s="15" t="s">
        <v>896</v>
      </c>
      <c r="C23" s="16" t="s">
        <v>3723</v>
      </c>
      <c r="D23" s="15" t="s">
        <v>3724</v>
      </c>
      <c r="E23" s="15" t="s">
        <v>3725</v>
      </c>
      <c r="F23" s="15" t="s">
        <v>897</v>
      </c>
    </row>
    <row r="24" ht="12.0" customHeight="1">
      <c r="A24" s="14">
        <v>6.0</v>
      </c>
      <c r="B24" s="15" t="s">
        <v>898</v>
      </c>
      <c r="C24" s="16" t="s">
        <v>3726</v>
      </c>
      <c r="D24" s="15" t="s">
        <v>3727</v>
      </c>
      <c r="E24" s="15" t="s">
        <v>3728</v>
      </c>
      <c r="F24" s="15" t="s">
        <v>899</v>
      </c>
    </row>
    <row r="25" ht="12.0" customHeight="1">
      <c r="A25" s="14">
        <v>6.0</v>
      </c>
      <c r="B25" s="15" t="s">
        <v>900</v>
      </c>
      <c r="C25" s="16" t="s">
        <v>3706</v>
      </c>
      <c r="D25" s="15" t="s">
        <v>3707</v>
      </c>
      <c r="E25" s="15" t="s">
        <v>3708</v>
      </c>
      <c r="F25" s="15" t="s">
        <v>901</v>
      </c>
    </row>
    <row r="26" ht="12.0" customHeight="1">
      <c r="A26" s="14">
        <v>6.0</v>
      </c>
      <c r="B26" s="15" t="s">
        <v>902</v>
      </c>
      <c r="C26" s="16" t="s">
        <v>3729</v>
      </c>
      <c r="D26" s="15" t="s">
        <v>3730</v>
      </c>
      <c r="E26" s="15" t="s">
        <v>3730</v>
      </c>
      <c r="F26" s="15" t="s">
        <v>903</v>
      </c>
    </row>
    <row r="27" ht="12.0" customHeight="1">
      <c r="A27" s="14">
        <v>6.0</v>
      </c>
      <c r="B27" s="15" t="s">
        <v>904</v>
      </c>
      <c r="C27" s="16" t="s">
        <v>3731</v>
      </c>
      <c r="D27" s="15" t="s">
        <v>3732</v>
      </c>
      <c r="E27" s="15" t="s">
        <v>3733</v>
      </c>
      <c r="F27" s="15" t="s">
        <v>905</v>
      </c>
    </row>
    <row r="28" ht="12.0" customHeight="1">
      <c r="A28" s="14">
        <v>6.0</v>
      </c>
      <c r="B28" s="15" t="s">
        <v>906</v>
      </c>
      <c r="C28" s="16" t="s">
        <v>3734</v>
      </c>
      <c r="D28" s="15" t="s">
        <v>3735</v>
      </c>
      <c r="E28" s="15" t="s">
        <v>3736</v>
      </c>
      <c r="F28" s="15" t="s">
        <v>907</v>
      </c>
    </row>
    <row r="29" ht="12.0" customHeight="1">
      <c r="A29" s="14">
        <v>6.0</v>
      </c>
      <c r="B29" s="15" t="s">
        <v>908</v>
      </c>
      <c r="C29" s="16" t="s">
        <v>3737</v>
      </c>
      <c r="D29" s="15" t="s">
        <v>3738</v>
      </c>
      <c r="E29" s="15" t="s">
        <v>3739</v>
      </c>
      <c r="F29" s="15" t="s">
        <v>909</v>
      </c>
    </row>
    <row r="30" ht="12.0" customHeight="1">
      <c r="A30" s="14">
        <v>6.0</v>
      </c>
      <c r="B30" s="15" t="s">
        <v>910</v>
      </c>
      <c r="C30" s="16" t="s">
        <v>3740</v>
      </c>
      <c r="D30" s="15" t="s">
        <v>3741</v>
      </c>
      <c r="E30" s="15" t="s">
        <v>3742</v>
      </c>
      <c r="F30" s="15" t="s">
        <v>911</v>
      </c>
    </row>
    <row r="31" ht="12.0" customHeight="1">
      <c r="A31" s="14">
        <v>6.0</v>
      </c>
      <c r="B31" s="15" t="s">
        <v>912</v>
      </c>
      <c r="C31" s="16" t="s">
        <v>3743</v>
      </c>
      <c r="D31" s="15" t="s">
        <v>3744</v>
      </c>
      <c r="E31" s="15" t="s">
        <v>3745</v>
      </c>
      <c r="F31" s="15" t="s">
        <v>913</v>
      </c>
    </row>
    <row r="32" ht="12.0" customHeight="1">
      <c r="A32" s="14">
        <v>6.0</v>
      </c>
      <c r="B32" s="15" t="s">
        <v>914</v>
      </c>
      <c r="C32" s="16" t="s">
        <v>3746</v>
      </c>
      <c r="D32" s="15" t="s">
        <v>3747</v>
      </c>
      <c r="E32" s="15" t="s">
        <v>3748</v>
      </c>
      <c r="F32" s="15" t="s">
        <v>915</v>
      </c>
    </row>
    <row r="33" ht="12.0" customHeight="1">
      <c r="A33" s="14">
        <v>6.0</v>
      </c>
      <c r="B33" s="15" t="s">
        <v>916</v>
      </c>
      <c r="C33" s="16" t="s">
        <v>3749</v>
      </c>
      <c r="D33" s="15" t="s">
        <v>3750</v>
      </c>
      <c r="E33" s="15" t="s">
        <v>3751</v>
      </c>
      <c r="F33" s="15" t="s">
        <v>917</v>
      </c>
    </row>
    <row r="34" ht="12.0" customHeight="1">
      <c r="A34" s="14">
        <v>6.0</v>
      </c>
      <c r="B34" s="15" t="s">
        <v>918</v>
      </c>
      <c r="C34" s="16" t="s">
        <v>3752</v>
      </c>
      <c r="D34" s="15" t="s">
        <v>3753</v>
      </c>
      <c r="E34" s="15" t="s">
        <v>3754</v>
      </c>
      <c r="F34" s="15" t="s">
        <v>919</v>
      </c>
    </row>
    <row r="35" ht="12.0" customHeight="1">
      <c r="A35" s="14">
        <v>6.0</v>
      </c>
      <c r="B35" s="15" t="s">
        <v>920</v>
      </c>
      <c r="C35" s="16" t="s">
        <v>3755</v>
      </c>
      <c r="D35" s="15" t="s">
        <v>3756</v>
      </c>
      <c r="E35" s="15" t="s">
        <v>3757</v>
      </c>
      <c r="F35" s="15" t="s">
        <v>921</v>
      </c>
    </row>
    <row r="36" ht="12.0" customHeight="1">
      <c r="A36" s="14">
        <v>6.0</v>
      </c>
      <c r="B36" s="15" t="s">
        <v>922</v>
      </c>
      <c r="C36" s="16" t="s">
        <v>3758</v>
      </c>
      <c r="D36" s="15" t="s">
        <v>3759</v>
      </c>
      <c r="E36" s="15" t="s">
        <v>3760</v>
      </c>
      <c r="F36" s="15" t="s">
        <v>923</v>
      </c>
    </row>
    <row r="37" ht="12.0" customHeight="1">
      <c r="A37" s="14">
        <v>6.0</v>
      </c>
      <c r="B37" s="15" t="s">
        <v>924</v>
      </c>
      <c r="C37" s="16" t="s">
        <v>3761</v>
      </c>
      <c r="D37" s="15" t="s">
        <v>3762</v>
      </c>
      <c r="E37" s="15" t="s">
        <v>3763</v>
      </c>
      <c r="F37" s="15" t="s">
        <v>925</v>
      </c>
    </row>
    <row r="38" ht="12.0" customHeight="1">
      <c r="A38" s="14">
        <v>6.0</v>
      </c>
      <c r="B38" s="15" t="s">
        <v>926</v>
      </c>
      <c r="C38" s="16" t="s">
        <v>3764</v>
      </c>
      <c r="D38" s="15" t="s">
        <v>3765</v>
      </c>
      <c r="E38" s="15" t="s">
        <v>3766</v>
      </c>
      <c r="F38" s="15" t="s">
        <v>927</v>
      </c>
    </row>
    <row r="39" ht="12.0" customHeight="1">
      <c r="A39" s="14">
        <v>6.0</v>
      </c>
      <c r="B39" s="15" t="s">
        <v>928</v>
      </c>
      <c r="C39" s="16" t="s">
        <v>3767</v>
      </c>
      <c r="D39" s="15" t="s">
        <v>3768</v>
      </c>
      <c r="E39" s="15" t="s">
        <v>3769</v>
      </c>
      <c r="F39" s="15" t="s">
        <v>929</v>
      </c>
    </row>
    <row r="40" ht="23.25" customHeight="1">
      <c r="A40" s="19">
        <v>6.0</v>
      </c>
      <c r="B40" s="20" t="s">
        <v>930</v>
      </c>
      <c r="C40" s="21" t="s">
        <v>3770</v>
      </c>
      <c r="D40" s="20" t="s">
        <v>3771</v>
      </c>
      <c r="E40" s="20" t="s">
        <v>3772</v>
      </c>
      <c r="F40" s="20" t="s">
        <v>931</v>
      </c>
    </row>
    <row r="41" ht="12.0" customHeight="1">
      <c r="A41" s="11">
        <v>7.0</v>
      </c>
      <c r="B41" s="12" t="s">
        <v>932</v>
      </c>
      <c r="C41" s="13" t="s">
        <v>3773</v>
      </c>
      <c r="D41" s="12" t="s">
        <v>3774</v>
      </c>
      <c r="E41" s="12" t="s">
        <v>3775</v>
      </c>
      <c r="F41" s="12" t="s">
        <v>933</v>
      </c>
    </row>
    <row r="42" ht="12.0" customHeight="1">
      <c r="A42" s="14">
        <v>7.0</v>
      </c>
      <c r="B42" s="15" t="s">
        <v>934</v>
      </c>
      <c r="C42" s="16" t="s">
        <v>3776</v>
      </c>
      <c r="D42" s="15" t="s">
        <v>3777</v>
      </c>
      <c r="E42" s="15" t="s">
        <v>3778</v>
      </c>
      <c r="F42" s="15" t="s">
        <v>935</v>
      </c>
    </row>
    <row r="43" ht="12.0" customHeight="1">
      <c r="A43" s="14">
        <v>7.0</v>
      </c>
      <c r="B43" s="15" t="s">
        <v>936</v>
      </c>
      <c r="C43" s="16" t="s">
        <v>3779</v>
      </c>
      <c r="D43" s="15" t="s">
        <v>3780</v>
      </c>
      <c r="E43" s="15" t="s">
        <v>3781</v>
      </c>
      <c r="F43" s="15" t="s">
        <v>937</v>
      </c>
    </row>
    <row r="44" ht="12.0" customHeight="1">
      <c r="A44" s="14">
        <v>7.0</v>
      </c>
      <c r="B44" s="15" t="s">
        <v>938</v>
      </c>
      <c r="C44" s="16" t="s">
        <v>3782</v>
      </c>
      <c r="D44" s="15" t="s">
        <v>3783</v>
      </c>
      <c r="E44" s="15" t="s">
        <v>3784</v>
      </c>
      <c r="F44" s="15" t="s">
        <v>939</v>
      </c>
    </row>
    <row r="45" ht="12.0" customHeight="1">
      <c r="A45" s="14">
        <v>7.0</v>
      </c>
      <c r="B45" s="15" t="s">
        <v>940</v>
      </c>
      <c r="C45" s="16" t="s">
        <v>3785</v>
      </c>
      <c r="D45" s="15" t="s">
        <v>3786</v>
      </c>
      <c r="E45" s="15" t="s">
        <v>3787</v>
      </c>
      <c r="F45" s="15" t="s">
        <v>941</v>
      </c>
    </row>
    <row r="46" ht="12.0" customHeight="1">
      <c r="A46" s="14">
        <v>7.0</v>
      </c>
      <c r="B46" s="15" t="s">
        <v>942</v>
      </c>
      <c r="C46" s="16" t="s">
        <v>3788</v>
      </c>
      <c r="D46" s="15" t="s">
        <v>3789</v>
      </c>
      <c r="E46" s="15" t="s">
        <v>3790</v>
      </c>
      <c r="F46" s="15" t="s">
        <v>943</v>
      </c>
    </row>
    <row r="47" ht="12.0" customHeight="1">
      <c r="A47" s="14">
        <v>7.0</v>
      </c>
      <c r="B47" s="15" t="s">
        <v>944</v>
      </c>
      <c r="C47" s="16" t="s">
        <v>3791</v>
      </c>
      <c r="D47" s="15" t="s">
        <v>3792</v>
      </c>
      <c r="E47" s="15" t="s">
        <v>3793</v>
      </c>
      <c r="F47" s="15" t="s">
        <v>945</v>
      </c>
    </row>
    <row r="48" ht="12.0" customHeight="1">
      <c r="A48" s="14">
        <v>7.0</v>
      </c>
      <c r="B48" s="15" t="s">
        <v>946</v>
      </c>
      <c r="C48" s="16" t="s">
        <v>3794</v>
      </c>
      <c r="D48" s="15" t="s">
        <v>3795</v>
      </c>
      <c r="E48" s="15" t="s">
        <v>3796</v>
      </c>
      <c r="F48" s="15" t="s">
        <v>947</v>
      </c>
    </row>
    <row r="49" ht="15.75" customHeight="1">
      <c r="A49" s="14">
        <v>7.0</v>
      </c>
      <c r="B49" s="15" t="s">
        <v>948</v>
      </c>
      <c r="C49" s="16" t="s">
        <v>3797</v>
      </c>
      <c r="D49" s="15" t="s">
        <v>3798</v>
      </c>
      <c r="E49" s="15" t="s">
        <v>3799</v>
      </c>
      <c r="F49" s="15" t="s">
        <v>949</v>
      </c>
    </row>
    <row r="50" ht="7.5" customHeight="1">
      <c r="A50" s="17" t="s">
        <v>3800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5.86"/>
    <col customWidth="1" min="3" max="3" width="18.71"/>
    <col customWidth="1" min="4" max="4" width="19.86"/>
    <col customWidth="1" min="5" max="5" width="16.86"/>
    <col customWidth="1" min="6" max="6" width="36.71"/>
    <col customWidth="1" min="7" max="7" width="23.86"/>
    <col customWidth="1" min="8" max="26" width="9.0"/>
  </cols>
  <sheetData>
    <row r="1" ht="6.0" customHeight="1">
      <c r="A1" s="8" t="s">
        <v>2396</v>
      </c>
    </row>
    <row r="2" ht="15.75" customHeight="1">
      <c r="A2" s="18">
        <v>7.0</v>
      </c>
      <c r="B2" s="15" t="s">
        <v>950</v>
      </c>
      <c r="C2" s="16" t="s">
        <v>3801</v>
      </c>
      <c r="D2" s="15" t="s">
        <v>3802</v>
      </c>
      <c r="E2" s="15" t="s">
        <v>2427</v>
      </c>
      <c r="F2" s="15" t="s">
        <v>951</v>
      </c>
    </row>
    <row r="3" ht="12.0" customHeight="1">
      <c r="A3" s="18">
        <v>7.0</v>
      </c>
      <c r="B3" s="15" t="s">
        <v>952</v>
      </c>
      <c r="C3" s="16" t="s">
        <v>3803</v>
      </c>
      <c r="D3" s="15" t="s">
        <v>3804</v>
      </c>
      <c r="E3" s="15" t="s">
        <v>3805</v>
      </c>
      <c r="F3" s="15" t="s">
        <v>43</v>
      </c>
    </row>
    <row r="4" ht="12.0" customHeight="1">
      <c r="A4" s="18">
        <v>7.0</v>
      </c>
      <c r="B4" s="15" t="s">
        <v>953</v>
      </c>
      <c r="C4" s="16" t="s">
        <v>3806</v>
      </c>
      <c r="D4" s="15" t="s">
        <v>3807</v>
      </c>
      <c r="E4" s="15" t="s">
        <v>3808</v>
      </c>
      <c r="F4" s="15" t="s">
        <v>954</v>
      </c>
    </row>
    <row r="5" ht="12.0" customHeight="1">
      <c r="A5" s="18">
        <v>7.0</v>
      </c>
      <c r="B5" s="15" t="s">
        <v>955</v>
      </c>
      <c r="C5" s="16" t="s">
        <v>3809</v>
      </c>
      <c r="D5" s="15" t="s">
        <v>3810</v>
      </c>
      <c r="E5" s="15" t="s">
        <v>3811</v>
      </c>
      <c r="F5" s="15" t="s">
        <v>956</v>
      </c>
    </row>
    <row r="6" ht="12.0" customHeight="1">
      <c r="A6" s="18">
        <v>7.0</v>
      </c>
      <c r="B6" s="15" t="s">
        <v>957</v>
      </c>
      <c r="C6" s="16" t="s">
        <v>3812</v>
      </c>
      <c r="D6" s="15" t="s">
        <v>3813</v>
      </c>
      <c r="E6" s="15" t="s">
        <v>3814</v>
      </c>
      <c r="F6" s="15" t="s">
        <v>958</v>
      </c>
    </row>
    <row r="7" ht="11.25" customHeight="1">
      <c r="A7" s="18">
        <v>7.0</v>
      </c>
      <c r="B7" s="15" t="s">
        <v>959</v>
      </c>
      <c r="C7" s="16" t="s">
        <v>3815</v>
      </c>
      <c r="D7" s="15" t="s">
        <v>3816</v>
      </c>
      <c r="E7" s="15" t="s">
        <v>3817</v>
      </c>
      <c r="F7" s="15" t="s">
        <v>960</v>
      </c>
    </row>
    <row r="8" ht="12.0" customHeight="1">
      <c r="A8" s="18">
        <v>7.0</v>
      </c>
      <c r="B8" s="15" t="s">
        <v>961</v>
      </c>
      <c r="C8" s="16" t="s">
        <v>3818</v>
      </c>
      <c r="D8" s="15" t="s">
        <v>3819</v>
      </c>
      <c r="E8" s="15" t="s">
        <v>3820</v>
      </c>
      <c r="F8" s="15" t="s">
        <v>962</v>
      </c>
    </row>
    <row r="9" ht="12.0" customHeight="1">
      <c r="A9" s="18">
        <v>7.0</v>
      </c>
      <c r="B9" s="15" t="s">
        <v>963</v>
      </c>
      <c r="C9" s="16" t="s">
        <v>3821</v>
      </c>
      <c r="D9" s="15" t="s">
        <v>3822</v>
      </c>
      <c r="E9" s="15" t="s">
        <v>3823</v>
      </c>
      <c r="F9" s="15" t="s">
        <v>964</v>
      </c>
    </row>
    <row r="10" ht="12.0" customHeight="1">
      <c r="A10" s="18">
        <v>7.0</v>
      </c>
      <c r="B10" s="15" t="s">
        <v>965</v>
      </c>
      <c r="C10" s="16" t="s">
        <v>3824</v>
      </c>
      <c r="D10" s="15" t="s">
        <v>3825</v>
      </c>
      <c r="E10" s="15" t="s">
        <v>3826</v>
      </c>
      <c r="F10" s="15" t="s">
        <v>966</v>
      </c>
    </row>
    <row r="11" ht="12.0" customHeight="1">
      <c r="A11" s="18">
        <v>7.0</v>
      </c>
      <c r="B11" s="15" t="s">
        <v>967</v>
      </c>
      <c r="C11" s="16" t="s">
        <v>3827</v>
      </c>
      <c r="D11" s="15" t="s">
        <v>3828</v>
      </c>
      <c r="E11" s="15" t="s">
        <v>3829</v>
      </c>
      <c r="F11" s="15" t="s">
        <v>968</v>
      </c>
    </row>
    <row r="12" ht="12.0" customHeight="1">
      <c r="A12" s="18">
        <v>7.0</v>
      </c>
      <c r="B12" s="15" t="s">
        <v>969</v>
      </c>
      <c r="C12" s="16" t="s">
        <v>3830</v>
      </c>
      <c r="D12" s="15" t="s">
        <v>3831</v>
      </c>
      <c r="E12" s="15" t="s">
        <v>3832</v>
      </c>
      <c r="F12" s="15" t="s">
        <v>970</v>
      </c>
    </row>
    <row r="13" ht="12.0" customHeight="1">
      <c r="A13" s="18">
        <v>7.0</v>
      </c>
      <c r="B13" s="15" t="s">
        <v>971</v>
      </c>
      <c r="C13" s="16" t="s">
        <v>3833</v>
      </c>
      <c r="D13" s="15" t="s">
        <v>3834</v>
      </c>
      <c r="E13" s="15" t="s">
        <v>3835</v>
      </c>
      <c r="F13" s="15" t="s">
        <v>972</v>
      </c>
    </row>
    <row r="14" ht="12.0" customHeight="1">
      <c r="A14" s="18">
        <v>7.0</v>
      </c>
      <c r="B14" s="15" t="s">
        <v>973</v>
      </c>
      <c r="C14" s="16" t="s">
        <v>3836</v>
      </c>
      <c r="D14" s="15" t="s">
        <v>3837</v>
      </c>
      <c r="E14" s="15" t="s">
        <v>3838</v>
      </c>
      <c r="F14" s="15" t="s">
        <v>974</v>
      </c>
    </row>
    <row r="15" ht="12.0" customHeight="1">
      <c r="A15" s="18">
        <v>7.0</v>
      </c>
      <c r="B15" s="15" t="s">
        <v>975</v>
      </c>
      <c r="C15" s="16" t="s">
        <v>3839</v>
      </c>
      <c r="D15" s="15" t="s">
        <v>3840</v>
      </c>
      <c r="E15" s="15" t="s">
        <v>3841</v>
      </c>
      <c r="F15" s="15" t="s">
        <v>976</v>
      </c>
    </row>
    <row r="16" ht="12.0" customHeight="1">
      <c r="A16" s="18">
        <v>7.0</v>
      </c>
      <c r="B16" s="15" t="s">
        <v>977</v>
      </c>
      <c r="C16" s="16" t="s">
        <v>3842</v>
      </c>
      <c r="D16" s="15" t="s">
        <v>3843</v>
      </c>
      <c r="E16" s="15" t="s">
        <v>3844</v>
      </c>
      <c r="F16" s="15" t="s">
        <v>978</v>
      </c>
    </row>
    <row r="17" ht="12.0" customHeight="1">
      <c r="A17" s="18">
        <v>7.0</v>
      </c>
      <c r="B17" s="15" t="s">
        <v>979</v>
      </c>
      <c r="C17" s="16" t="s">
        <v>3845</v>
      </c>
      <c r="D17" s="15" t="s">
        <v>3846</v>
      </c>
      <c r="E17" s="15" t="s">
        <v>3847</v>
      </c>
      <c r="F17" s="15" t="s">
        <v>980</v>
      </c>
    </row>
    <row r="18" ht="12.0" customHeight="1">
      <c r="A18" s="18">
        <v>7.0</v>
      </c>
      <c r="B18" s="15" t="s">
        <v>981</v>
      </c>
      <c r="C18" s="16" t="s">
        <v>3848</v>
      </c>
      <c r="D18" s="15" t="s">
        <v>3849</v>
      </c>
      <c r="E18" s="15" t="s">
        <v>3850</v>
      </c>
      <c r="F18" s="15" t="s">
        <v>982</v>
      </c>
    </row>
    <row r="19" ht="12.0" customHeight="1">
      <c r="A19" s="18">
        <v>7.0</v>
      </c>
      <c r="B19" s="15" t="s">
        <v>983</v>
      </c>
      <c r="C19" s="16" t="s">
        <v>3851</v>
      </c>
      <c r="D19" s="15" t="s">
        <v>3852</v>
      </c>
      <c r="E19" s="15" t="s">
        <v>3853</v>
      </c>
      <c r="F19" s="15" t="s">
        <v>984</v>
      </c>
    </row>
    <row r="20" ht="12.0" customHeight="1">
      <c r="A20" s="18">
        <v>7.0</v>
      </c>
      <c r="B20" s="15" t="s">
        <v>985</v>
      </c>
      <c r="C20" s="16" t="s">
        <v>3854</v>
      </c>
      <c r="D20" s="15" t="s">
        <v>3855</v>
      </c>
      <c r="E20" s="15" t="s">
        <v>3856</v>
      </c>
      <c r="F20" s="15" t="s">
        <v>986</v>
      </c>
    </row>
    <row r="21" ht="12.0" customHeight="1">
      <c r="A21" s="18">
        <v>7.0</v>
      </c>
      <c r="B21" s="15" t="s">
        <v>987</v>
      </c>
      <c r="C21" s="16" t="s">
        <v>3857</v>
      </c>
      <c r="D21" s="15" t="s">
        <v>3858</v>
      </c>
      <c r="E21" s="15" t="s">
        <v>3859</v>
      </c>
      <c r="F21" s="15" t="s">
        <v>988</v>
      </c>
    </row>
    <row r="22" ht="12.0" customHeight="1">
      <c r="A22" s="18">
        <v>7.0</v>
      </c>
      <c r="B22" s="15" t="s">
        <v>989</v>
      </c>
      <c r="C22" s="16" t="s">
        <v>3860</v>
      </c>
      <c r="D22" s="15" t="s">
        <v>3861</v>
      </c>
      <c r="E22" s="15" t="s">
        <v>3862</v>
      </c>
      <c r="F22" s="15" t="s">
        <v>990</v>
      </c>
    </row>
    <row r="23" ht="12.0" customHeight="1">
      <c r="A23" s="18">
        <v>7.0</v>
      </c>
      <c r="B23" s="15" t="s">
        <v>991</v>
      </c>
      <c r="C23" s="16" t="s">
        <v>3863</v>
      </c>
      <c r="D23" s="15" t="s">
        <v>3864</v>
      </c>
      <c r="E23" s="15" t="s">
        <v>3865</v>
      </c>
      <c r="F23" s="15" t="s">
        <v>992</v>
      </c>
    </row>
    <row r="24" ht="12.0" customHeight="1">
      <c r="A24" s="18">
        <v>7.0</v>
      </c>
      <c r="B24" s="15" t="s">
        <v>993</v>
      </c>
      <c r="C24" s="16" t="s">
        <v>3866</v>
      </c>
      <c r="D24" s="15" t="s">
        <v>3867</v>
      </c>
      <c r="E24" s="15" t="s">
        <v>3868</v>
      </c>
      <c r="F24" s="15" t="s">
        <v>994</v>
      </c>
    </row>
    <row r="25" ht="12.0" customHeight="1">
      <c r="A25" s="18">
        <v>7.0</v>
      </c>
      <c r="B25" s="15" t="s">
        <v>995</v>
      </c>
      <c r="C25" s="16" t="s">
        <v>3869</v>
      </c>
      <c r="D25" s="15" t="s">
        <v>3870</v>
      </c>
      <c r="E25" s="15" t="s">
        <v>3871</v>
      </c>
      <c r="F25" s="15" t="s">
        <v>996</v>
      </c>
    </row>
    <row r="26" ht="12.0" customHeight="1">
      <c r="A26" s="18">
        <v>7.0</v>
      </c>
      <c r="B26" s="15" t="s">
        <v>997</v>
      </c>
      <c r="C26" s="16" t="s">
        <v>3872</v>
      </c>
      <c r="D26" s="15" t="s">
        <v>3873</v>
      </c>
      <c r="E26" s="15" t="s">
        <v>3874</v>
      </c>
      <c r="F26" s="15" t="s">
        <v>998</v>
      </c>
    </row>
    <row r="27" ht="12.0" customHeight="1">
      <c r="A27" s="18">
        <v>7.0</v>
      </c>
      <c r="B27" s="15" t="s">
        <v>999</v>
      </c>
      <c r="C27" s="16" t="s">
        <v>3875</v>
      </c>
      <c r="D27" s="15" t="s">
        <v>3876</v>
      </c>
      <c r="E27" s="15" t="s">
        <v>3877</v>
      </c>
      <c r="F27" s="15" t="s">
        <v>1000</v>
      </c>
    </row>
    <row r="28" ht="12.0" customHeight="1">
      <c r="A28" s="18">
        <v>7.0</v>
      </c>
      <c r="B28" s="15" t="s">
        <v>1001</v>
      </c>
      <c r="C28" s="16" t="s">
        <v>3878</v>
      </c>
      <c r="D28" s="15" t="s">
        <v>3879</v>
      </c>
      <c r="E28" s="15" t="s">
        <v>3880</v>
      </c>
      <c r="F28" s="15" t="s">
        <v>1002</v>
      </c>
    </row>
    <row r="29" ht="12.0" customHeight="1">
      <c r="A29" s="18">
        <v>7.0</v>
      </c>
      <c r="B29" s="15" t="s">
        <v>1003</v>
      </c>
      <c r="C29" s="16" t="s">
        <v>3881</v>
      </c>
      <c r="D29" s="15" t="s">
        <v>3882</v>
      </c>
      <c r="E29" s="15" t="s">
        <v>3883</v>
      </c>
      <c r="F29" s="15" t="s">
        <v>1004</v>
      </c>
    </row>
    <row r="30" ht="12.0" customHeight="1">
      <c r="A30" s="18">
        <v>7.0</v>
      </c>
      <c r="B30" s="15" t="s">
        <v>1005</v>
      </c>
      <c r="C30" s="16" t="s">
        <v>3884</v>
      </c>
      <c r="D30" s="15" t="s">
        <v>3885</v>
      </c>
      <c r="E30" s="15" t="s">
        <v>3886</v>
      </c>
      <c r="F30" s="15" t="s">
        <v>1006</v>
      </c>
    </row>
    <row r="31" ht="12.0" customHeight="1">
      <c r="A31" s="18">
        <v>7.0</v>
      </c>
      <c r="B31" s="15" t="s">
        <v>1007</v>
      </c>
      <c r="C31" s="16" t="s">
        <v>3887</v>
      </c>
      <c r="D31" s="15" t="s">
        <v>3888</v>
      </c>
      <c r="E31" s="15" t="s">
        <v>3889</v>
      </c>
      <c r="F31" s="15" t="s">
        <v>1008</v>
      </c>
    </row>
    <row r="32" ht="12.0" customHeight="1">
      <c r="A32" s="18">
        <v>7.0</v>
      </c>
      <c r="B32" s="15" t="s">
        <v>1009</v>
      </c>
      <c r="C32" s="16" t="s">
        <v>3890</v>
      </c>
      <c r="D32" s="15" t="s">
        <v>3891</v>
      </c>
      <c r="E32" s="15" t="s">
        <v>3892</v>
      </c>
      <c r="F32" s="15" t="s">
        <v>1010</v>
      </c>
    </row>
    <row r="33" ht="11.25" customHeight="1">
      <c r="A33" s="18">
        <v>7.0</v>
      </c>
      <c r="B33" s="15" t="s">
        <v>1011</v>
      </c>
      <c r="C33" s="16" t="s">
        <v>3893</v>
      </c>
      <c r="D33" s="15" t="s">
        <v>3894</v>
      </c>
      <c r="E33" s="15" t="s">
        <v>3895</v>
      </c>
      <c r="F33" s="15" t="s">
        <v>1012</v>
      </c>
    </row>
    <row r="34" ht="12.0" customHeight="1">
      <c r="A34" s="18">
        <v>7.0</v>
      </c>
      <c r="B34" s="15" t="s">
        <v>1013</v>
      </c>
      <c r="C34" s="16" t="s">
        <v>3896</v>
      </c>
      <c r="D34" s="15" t="s">
        <v>3897</v>
      </c>
      <c r="E34" s="15" t="s">
        <v>3898</v>
      </c>
      <c r="F34" s="15" t="s">
        <v>1014</v>
      </c>
    </row>
    <row r="35" ht="12.0" customHeight="1">
      <c r="A35" s="18">
        <v>7.0</v>
      </c>
      <c r="B35" s="15" t="s">
        <v>1015</v>
      </c>
      <c r="C35" s="16" t="s">
        <v>3899</v>
      </c>
      <c r="D35" s="15" t="s">
        <v>3900</v>
      </c>
      <c r="E35" s="15" t="s">
        <v>3901</v>
      </c>
      <c r="F35" s="15" t="s">
        <v>1016</v>
      </c>
    </row>
    <row r="36" ht="12.0" customHeight="1">
      <c r="A36" s="18">
        <v>7.0</v>
      </c>
      <c r="B36" s="15" t="s">
        <v>1017</v>
      </c>
      <c r="C36" s="16" t="s">
        <v>3902</v>
      </c>
      <c r="D36" s="15" t="s">
        <v>3903</v>
      </c>
      <c r="E36" s="15" t="s">
        <v>3904</v>
      </c>
      <c r="F36" s="15" t="s">
        <v>1018</v>
      </c>
    </row>
    <row r="37" ht="12.0" customHeight="1">
      <c r="A37" s="18">
        <v>7.0</v>
      </c>
      <c r="B37" s="15" t="s">
        <v>1019</v>
      </c>
      <c r="C37" s="16" t="s">
        <v>3905</v>
      </c>
      <c r="D37" s="15" t="s">
        <v>3906</v>
      </c>
      <c r="E37" s="15" t="s">
        <v>3907</v>
      </c>
      <c r="F37" s="15" t="s">
        <v>1020</v>
      </c>
    </row>
    <row r="38" ht="12.0" customHeight="1">
      <c r="A38" s="18">
        <v>7.0</v>
      </c>
      <c r="B38" s="15" t="s">
        <v>1021</v>
      </c>
      <c r="C38" s="16" t="s">
        <v>3908</v>
      </c>
      <c r="D38" s="15" t="s">
        <v>3909</v>
      </c>
      <c r="E38" s="15" t="s">
        <v>3910</v>
      </c>
      <c r="F38" s="15" t="s">
        <v>1022</v>
      </c>
    </row>
    <row r="39" ht="12.0" customHeight="1">
      <c r="A39" s="18">
        <v>7.0</v>
      </c>
      <c r="B39" s="15" t="s">
        <v>1023</v>
      </c>
      <c r="C39" s="16" t="s">
        <v>3911</v>
      </c>
      <c r="D39" s="15" t="s">
        <v>3912</v>
      </c>
      <c r="E39" s="15" t="s">
        <v>3913</v>
      </c>
      <c r="F39" s="15" t="s">
        <v>1024</v>
      </c>
    </row>
    <row r="40" ht="12.0" customHeight="1">
      <c r="A40" s="18">
        <v>7.0</v>
      </c>
      <c r="B40" s="15" t="s">
        <v>1025</v>
      </c>
      <c r="C40" s="16" t="s">
        <v>3914</v>
      </c>
      <c r="D40" s="15" t="s">
        <v>3915</v>
      </c>
      <c r="E40" s="15" t="s">
        <v>2627</v>
      </c>
      <c r="F40" s="15" t="s">
        <v>1026</v>
      </c>
    </row>
    <row r="41" ht="12.0" customHeight="1">
      <c r="A41" s="18">
        <v>7.0</v>
      </c>
      <c r="B41" s="15" t="s">
        <v>1027</v>
      </c>
      <c r="C41" s="16" t="s">
        <v>3916</v>
      </c>
      <c r="D41" s="15" t="s">
        <v>3917</v>
      </c>
      <c r="E41" s="15" t="s">
        <v>3918</v>
      </c>
      <c r="F41" s="15" t="s">
        <v>1028</v>
      </c>
    </row>
    <row r="42" ht="12.0" customHeight="1">
      <c r="A42" s="18">
        <v>7.0</v>
      </c>
      <c r="B42" s="15" t="s">
        <v>1029</v>
      </c>
      <c r="C42" s="16" t="s">
        <v>3919</v>
      </c>
      <c r="D42" s="15" t="s">
        <v>2936</v>
      </c>
      <c r="E42" s="15" t="s">
        <v>2937</v>
      </c>
      <c r="F42" s="15" t="s">
        <v>1030</v>
      </c>
    </row>
    <row r="43" ht="12.0" customHeight="1">
      <c r="A43" s="18">
        <v>7.0</v>
      </c>
      <c r="B43" s="15" t="s">
        <v>1031</v>
      </c>
      <c r="C43" s="16" t="s">
        <v>3920</v>
      </c>
      <c r="D43" s="15" t="s">
        <v>3921</v>
      </c>
      <c r="E43" s="15" t="s">
        <v>3922</v>
      </c>
      <c r="F43" s="15" t="s">
        <v>1032</v>
      </c>
    </row>
    <row r="44" ht="12.0" customHeight="1">
      <c r="A44" s="18">
        <v>7.0</v>
      </c>
      <c r="B44" s="15" t="s">
        <v>1033</v>
      </c>
      <c r="C44" s="16" t="s">
        <v>3923</v>
      </c>
      <c r="D44" s="15" t="s">
        <v>3924</v>
      </c>
      <c r="E44" s="15" t="s">
        <v>3925</v>
      </c>
      <c r="F44" s="15" t="s">
        <v>1034</v>
      </c>
    </row>
    <row r="45" ht="12.0" customHeight="1">
      <c r="A45" s="18">
        <v>7.0</v>
      </c>
      <c r="B45" s="15" t="s">
        <v>1035</v>
      </c>
      <c r="C45" s="16" t="s">
        <v>3926</v>
      </c>
      <c r="D45" s="15" t="s">
        <v>3927</v>
      </c>
      <c r="E45" s="15" t="s">
        <v>3928</v>
      </c>
      <c r="F45" s="15" t="s">
        <v>1036</v>
      </c>
    </row>
    <row r="46" ht="12.0" customHeight="1">
      <c r="A46" s="18">
        <v>7.0</v>
      </c>
      <c r="B46" s="15" t="s">
        <v>1037</v>
      </c>
      <c r="C46" s="16" t="s">
        <v>3929</v>
      </c>
      <c r="D46" s="15" t="s">
        <v>3930</v>
      </c>
      <c r="E46" s="15" t="s">
        <v>3931</v>
      </c>
      <c r="F46" s="15" t="s">
        <v>1038</v>
      </c>
    </row>
    <row r="47" ht="12.0" customHeight="1">
      <c r="A47" s="18">
        <v>7.0</v>
      </c>
      <c r="B47" s="15" t="s">
        <v>1039</v>
      </c>
      <c r="C47" s="16" t="s">
        <v>3932</v>
      </c>
      <c r="D47" s="15" t="s">
        <v>3933</v>
      </c>
      <c r="E47" s="15" t="s">
        <v>3934</v>
      </c>
      <c r="F47" s="15" t="s">
        <v>1040</v>
      </c>
    </row>
    <row r="48" ht="12.0" customHeight="1">
      <c r="A48" s="18">
        <v>7.0</v>
      </c>
      <c r="B48" s="15" t="s">
        <v>1041</v>
      </c>
      <c r="C48" s="16" t="s">
        <v>3935</v>
      </c>
      <c r="D48" s="15" t="s">
        <v>3936</v>
      </c>
      <c r="E48" s="15" t="s">
        <v>3937</v>
      </c>
      <c r="F48" s="15" t="s">
        <v>1042</v>
      </c>
    </row>
    <row r="49" ht="12.0" customHeight="1">
      <c r="A49" s="18">
        <v>7.0</v>
      </c>
      <c r="B49" s="15" t="s">
        <v>1043</v>
      </c>
      <c r="C49" s="16" t="s">
        <v>3938</v>
      </c>
      <c r="D49" s="15" t="s">
        <v>3939</v>
      </c>
      <c r="E49" s="15" t="s">
        <v>3940</v>
      </c>
      <c r="F49" s="15" t="s">
        <v>1044</v>
      </c>
    </row>
    <row r="50" ht="15.75" customHeight="1">
      <c r="A50" s="18">
        <v>7.0</v>
      </c>
      <c r="B50" s="15" t="s">
        <v>1045</v>
      </c>
      <c r="C50" s="16" t="s">
        <v>3941</v>
      </c>
      <c r="D50" s="15" t="s">
        <v>3942</v>
      </c>
      <c r="E50" s="15" t="s">
        <v>3943</v>
      </c>
      <c r="F50" s="15" t="s">
        <v>1046</v>
      </c>
    </row>
    <row r="51" ht="7.5" customHeight="1">
      <c r="A51" s="17" t="s">
        <v>3944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1:G5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4.71"/>
    <col customWidth="1" min="3" max="3" width="19.86"/>
    <col customWidth="1" min="4" max="4" width="20.86"/>
    <col customWidth="1" min="5" max="5" width="17.86"/>
    <col customWidth="1" min="6" max="6" width="56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4">
        <v>7.0</v>
      </c>
      <c r="B2" s="15" t="s">
        <v>1047</v>
      </c>
      <c r="C2" s="16" t="s">
        <v>3945</v>
      </c>
      <c r="D2" s="15" t="s">
        <v>3946</v>
      </c>
      <c r="E2" s="15" t="s">
        <v>3947</v>
      </c>
      <c r="F2" s="15" t="s">
        <v>1048</v>
      </c>
    </row>
    <row r="3" ht="11.25" customHeight="1">
      <c r="A3" s="14">
        <v>7.0</v>
      </c>
      <c r="B3" s="15" t="s">
        <v>1049</v>
      </c>
      <c r="C3" s="16" t="s">
        <v>3948</v>
      </c>
      <c r="D3" s="15" t="s">
        <v>3949</v>
      </c>
      <c r="E3" s="15" t="s">
        <v>3950</v>
      </c>
      <c r="F3" s="15" t="s">
        <v>1050</v>
      </c>
    </row>
    <row r="4" ht="12.0" customHeight="1">
      <c r="A4" s="14">
        <v>7.0</v>
      </c>
      <c r="B4" s="15" t="s">
        <v>1051</v>
      </c>
      <c r="C4" s="16" t="s">
        <v>3951</v>
      </c>
      <c r="D4" s="15" t="s">
        <v>3952</v>
      </c>
      <c r="E4" s="15" t="s">
        <v>3953</v>
      </c>
      <c r="F4" s="15" t="s">
        <v>1052</v>
      </c>
    </row>
    <row r="5" ht="12.0" customHeight="1">
      <c r="A5" s="14">
        <v>7.0</v>
      </c>
      <c r="B5" s="15" t="s">
        <v>1053</v>
      </c>
      <c r="C5" s="16" t="s">
        <v>3954</v>
      </c>
      <c r="D5" s="15" t="s">
        <v>3955</v>
      </c>
      <c r="E5" s="15" t="s">
        <v>3956</v>
      </c>
      <c r="F5" s="15" t="s">
        <v>1054</v>
      </c>
    </row>
    <row r="6" ht="12.0" customHeight="1">
      <c r="A6" s="14">
        <v>7.0</v>
      </c>
      <c r="B6" s="15" t="s">
        <v>1055</v>
      </c>
      <c r="C6" s="16" t="s">
        <v>3957</v>
      </c>
      <c r="D6" s="15" t="s">
        <v>3958</v>
      </c>
      <c r="E6" s="15" t="s">
        <v>3959</v>
      </c>
      <c r="F6" s="15" t="s">
        <v>1056</v>
      </c>
    </row>
    <row r="7" ht="12.0" customHeight="1">
      <c r="A7" s="14">
        <v>7.0</v>
      </c>
      <c r="B7" s="15" t="s">
        <v>1057</v>
      </c>
      <c r="C7" s="16" t="s">
        <v>3960</v>
      </c>
      <c r="D7" s="15" t="s">
        <v>3961</v>
      </c>
      <c r="E7" s="15" t="s">
        <v>3962</v>
      </c>
      <c r="F7" s="15" t="s">
        <v>1058</v>
      </c>
    </row>
    <row r="8" ht="12.0" customHeight="1">
      <c r="A8" s="14">
        <v>7.0</v>
      </c>
      <c r="B8" s="15" t="s">
        <v>1059</v>
      </c>
      <c r="C8" s="16" t="s">
        <v>3963</v>
      </c>
      <c r="D8" s="15" t="s">
        <v>3964</v>
      </c>
      <c r="E8" s="15" t="s">
        <v>3965</v>
      </c>
      <c r="F8" s="15" t="s">
        <v>1060</v>
      </c>
    </row>
    <row r="9" ht="12.0" customHeight="1">
      <c r="A9" s="14">
        <v>7.0</v>
      </c>
      <c r="B9" s="15" t="s">
        <v>1061</v>
      </c>
      <c r="C9" s="16" t="s">
        <v>3966</v>
      </c>
      <c r="D9" s="15" t="s">
        <v>3967</v>
      </c>
      <c r="E9" s="15" t="s">
        <v>3968</v>
      </c>
      <c r="F9" s="15" t="s">
        <v>1062</v>
      </c>
    </row>
    <row r="10" ht="12.0" customHeight="1">
      <c r="A10" s="14">
        <v>7.0</v>
      </c>
      <c r="B10" s="15" t="s">
        <v>1063</v>
      </c>
      <c r="C10" s="16" t="s">
        <v>3969</v>
      </c>
      <c r="D10" s="15" t="s">
        <v>3970</v>
      </c>
      <c r="E10" s="15" t="s">
        <v>3971</v>
      </c>
      <c r="F10" s="15" t="s">
        <v>1064</v>
      </c>
    </row>
    <row r="11" ht="12.0" customHeight="1">
      <c r="A11" s="14">
        <v>7.0</v>
      </c>
      <c r="B11" s="15" t="s">
        <v>1065</v>
      </c>
      <c r="C11" s="16" t="s">
        <v>3972</v>
      </c>
      <c r="D11" s="15" t="s">
        <v>3973</v>
      </c>
      <c r="E11" s="15" t="s">
        <v>3974</v>
      </c>
      <c r="F11" s="15" t="s">
        <v>1066</v>
      </c>
    </row>
    <row r="12" ht="12.0" customHeight="1">
      <c r="A12" s="14">
        <v>7.0</v>
      </c>
      <c r="B12" s="15" t="s">
        <v>1067</v>
      </c>
      <c r="C12" s="16" t="s">
        <v>3975</v>
      </c>
      <c r="D12" s="15" t="s">
        <v>3976</v>
      </c>
      <c r="E12" s="15" t="s">
        <v>3977</v>
      </c>
      <c r="F12" s="15" t="s">
        <v>1068</v>
      </c>
    </row>
    <row r="13" ht="12.0" customHeight="1">
      <c r="A13" s="14">
        <v>7.0</v>
      </c>
      <c r="B13" s="15" t="s">
        <v>1069</v>
      </c>
      <c r="C13" s="16" t="s">
        <v>3978</v>
      </c>
      <c r="D13" s="15" t="s">
        <v>3979</v>
      </c>
      <c r="E13" s="15" t="s">
        <v>3980</v>
      </c>
      <c r="F13" s="15" t="s">
        <v>1070</v>
      </c>
    </row>
    <row r="14" ht="12.0" customHeight="1">
      <c r="A14" s="14">
        <v>7.0</v>
      </c>
      <c r="B14" s="15" t="s">
        <v>1071</v>
      </c>
      <c r="C14" s="16" t="s">
        <v>3143</v>
      </c>
      <c r="D14" s="15" t="s">
        <v>3981</v>
      </c>
      <c r="E14" s="15" t="s">
        <v>3982</v>
      </c>
      <c r="F14" s="15" t="s">
        <v>1072</v>
      </c>
    </row>
    <row r="15" ht="12.0" customHeight="1">
      <c r="A15" s="14">
        <v>7.0</v>
      </c>
      <c r="B15" s="15" t="s">
        <v>1073</v>
      </c>
      <c r="C15" s="16" t="s">
        <v>3983</v>
      </c>
      <c r="D15" s="15" t="s">
        <v>3984</v>
      </c>
      <c r="E15" s="15" t="s">
        <v>3985</v>
      </c>
      <c r="F15" s="15" t="s">
        <v>1074</v>
      </c>
    </row>
    <row r="16" ht="12.0" customHeight="1">
      <c r="A16" s="14">
        <v>7.0</v>
      </c>
      <c r="B16" s="15" t="s">
        <v>1075</v>
      </c>
      <c r="C16" s="16" t="s">
        <v>3986</v>
      </c>
      <c r="D16" s="15" t="s">
        <v>3987</v>
      </c>
      <c r="E16" s="15" t="s">
        <v>3988</v>
      </c>
      <c r="F16" s="15" t="s">
        <v>139</v>
      </c>
    </row>
    <row r="17" ht="12.0" customHeight="1">
      <c r="A17" s="14">
        <v>7.0</v>
      </c>
      <c r="B17" s="15" t="s">
        <v>1076</v>
      </c>
      <c r="C17" s="16" t="s">
        <v>3989</v>
      </c>
      <c r="D17" s="15" t="s">
        <v>3990</v>
      </c>
      <c r="E17" s="15" t="s">
        <v>3991</v>
      </c>
      <c r="F17" s="15" t="s">
        <v>1077</v>
      </c>
    </row>
    <row r="18" ht="12.0" customHeight="1">
      <c r="A18" s="14">
        <v>7.0</v>
      </c>
      <c r="B18" s="15" t="s">
        <v>1078</v>
      </c>
      <c r="C18" s="16" t="s">
        <v>3992</v>
      </c>
      <c r="D18" s="15" t="s">
        <v>3993</v>
      </c>
      <c r="E18" s="15" t="s">
        <v>3994</v>
      </c>
      <c r="F18" s="15" t="s">
        <v>1079</v>
      </c>
    </row>
    <row r="19" ht="12.0" customHeight="1">
      <c r="A19" s="14">
        <v>7.0</v>
      </c>
      <c r="B19" s="15" t="s">
        <v>1080</v>
      </c>
      <c r="C19" s="16" t="s">
        <v>3995</v>
      </c>
      <c r="D19" s="15" t="s">
        <v>3996</v>
      </c>
      <c r="E19" s="15" t="s">
        <v>3997</v>
      </c>
      <c r="F19" s="15" t="s">
        <v>1081</v>
      </c>
    </row>
    <row r="20" ht="12.0" customHeight="1">
      <c r="A20" s="14">
        <v>7.0</v>
      </c>
      <c r="B20" s="15" t="s">
        <v>1082</v>
      </c>
      <c r="C20" s="16" t="s">
        <v>3998</v>
      </c>
      <c r="D20" s="15" t="s">
        <v>3999</v>
      </c>
      <c r="E20" s="15" t="s">
        <v>4000</v>
      </c>
      <c r="F20" s="15" t="s">
        <v>1083</v>
      </c>
    </row>
    <row r="21" ht="12.0" customHeight="1">
      <c r="A21" s="14">
        <v>7.0</v>
      </c>
      <c r="B21" s="15" t="s">
        <v>1084</v>
      </c>
      <c r="C21" s="16" t="s">
        <v>4001</v>
      </c>
      <c r="D21" s="15" t="s">
        <v>4002</v>
      </c>
      <c r="E21" s="15" t="s">
        <v>4003</v>
      </c>
      <c r="F21" s="15" t="s">
        <v>1085</v>
      </c>
    </row>
    <row r="22" ht="12.0" customHeight="1">
      <c r="A22" s="14">
        <v>7.0</v>
      </c>
      <c r="B22" s="15" t="s">
        <v>1086</v>
      </c>
      <c r="C22" s="16" t="s">
        <v>4004</v>
      </c>
      <c r="D22" s="15" t="s">
        <v>4005</v>
      </c>
      <c r="E22" s="15" t="s">
        <v>4006</v>
      </c>
      <c r="F22" s="15" t="s">
        <v>1087</v>
      </c>
    </row>
    <row r="23" ht="12.0" customHeight="1">
      <c r="A23" s="14">
        <v>7.0</v>
      </c>
      <c r="B23" s="15" t="s">
        <v>1088</v>
      </c>
      <c r="C23" s="16" t="s">
        <v>4007</v>
      </c>
      <c r="D23" s="15" t="s">
        <v>4008</v>
      </c>
      <c r="E23" s="15" t="s">
        <v>4009</v>
      </c>
      <c r="F23" s="15" t="s">
        <v>1089</v>
      </c>
    </row>
    <row r="24" ht="12.0" customHeight="1">
      <c r="A24" s="14">
        <v>7.0</v>
      </c>
      <c r="B24" s="15" t="s">
        <v>1090</v>
      </c>
      <c r="C24" s="16" t="s">
        <v>4010</v>
      </c>
      <c r="D24" s="15" t="s">
        <v>4011</v>
      </c>
      <c r="E24" s="15" t="s">
        <v>4012</v>
      </c>
      <c r="F24" s="15" t="s">
        <v>1091</v>
      </c>
    </row>
    <row r="25" ht="12.0" customHeight="1">
      <c r="A25" s="14">
        <v>7.0</v>
      </c>
      <c r="B25" s="15" t="s">
        <v>1092</v>
      </c>
      <c r="C25" s="16" t="s">
        <v>4013</v>
      </c>
      <c r="D25" s="15" t="s">
        <v>4014</v>
      </c>
      <c r="E25" s="15" t="s">
        <v>4015</v>
      </c>
      <c r="F25" s="15" t="s">
        <v>1093</v>
      </c>
    </row>
    <row r="26" ht="12.0" customHeight="1">
      <c r="A26" s="14">
        <v>7.0</v>
      </c>
      <c r="B26" s="15" t="s">
        <v>1094</v>
      </c>
      <c r="C26" s="16" t="s">
        <v>4016</v>
      </c>
      <c r="D26" s="15" t="s">
        <v>4017</v>
      </c>
      <c r="E26" s="15" t="s">
        <v>4018</v>
      </c>
      <c r="F26" s="15" t="s">
        <v>1095</v>
      </c>
    </row>
    <row r="27" ht="12.0" customHeight="1">
      <c r="A27" s="14">
        <v>7.0</v>
      </c>
      <c r="B27" s="15" t="s">
        <v>1096</v>
      </c>
      <c r="C27" s="16" t="s">
        <v>4019</v>
      </c>
      <c r="D27" s="15" t="s">
        <v>4020</v>
      </c>
      <c r="E27" s="15" t="s">
        <v>4021</v>
      </c>
      <c r="F27" s="15" t="s">
        <v>1097</v>
      </c>
    </row>
    <row r="28" ht="11.25" customHeight="1">
      <c r="A28" s="14">
        <v>7.0</v>
      </c>
      <c r="B28" s="15" t="s">
        <v>1098</v>
      </c>
      <c r="C28" s="16" t="s">
        <v>4022</v>
      </c>
      <c r="D28" s="15" t="s">
        <v>4023</v>
      </c>
      <c r="E28" s="15" t="s">
        <v>4024</v>
      </c>
      <c r="F28" s="15" t="s">
        <v>1099</v>
      </c>
    </row>
    <row r="29" ht="12.0" customHeight="1">
      <c r="A29" s="14">
        <v>7.0</v>
      </c>
      <c r="B29" s="15" t="s">
        <v>1100</v>
      </c>
      <c r="C29" s="16" t="s">
        <v>4025</v>
      </c>
      <c r="D29" s="24" t="s">
        <v>4026</v>
      </c>
      <c r="E29" s="15" t="s">
        <v>4027</v>
      </c>
      <c r="F29" s="15" t="s">
        <v>1101</v>
      </c>
    </row>
    <row r="30" ht="12.0" customHeight="1">
      <c r="A30" s="14">
        <v>7.0</v>
      </c>
      <c r="B30" s="15" t="s">
        <v>1102</v>
      </c>
      <c r="C30" s="16" t="s">
        <v>4028</v>
      </c>
      <c r="D30" s="15" t="s">
        <v>4029</v>
      </c>
      <c r="E30" s="15" t="s">
        <v>4030</v>
      </c>
      <c r="F30" s="15" t="s">
        <v>1103</v>
      </c>
    </row>
    <row r="31" ht="12.0" customHeight="1">
      <c r="A31" s="14">
        <v>7.0</v>
      </c>
      <c r="B31" s="15" t="s">
        <v>1104</v>
      </c>
      <c r="C31" s="16" t="s">
        <v>4031</v>
      </c>
      <c r="D31" s="15" t="s">
        <v>4032</v>
      </c>
      <c r="E31" s="15" t="s">
        <v>4033</v>
      </c>
      <c r="F31" s="15" t="s">
        <v>1105</v>
      </c>
    </row>
    <row r="32" ht="12.0" customHeight="1">
      <c r="A32" s="14">
        <v>7.0</v>
      </c>
      <c r="B32" s="15" t="s">
        <v>1106</v>
      </c>
      <c r="C32" s="16" t="s">
        <v>4034</v>
      </c>
      <c r="D32" s="15" t="s">
        <v>4035</v>
      </c>
      <c r="E32" s="15" t="s">
        <v>4036</v>
      </c>
      <c r="F32" s="15" t="s">
        <v>1107</v>
      </c>
    </row>
    <row r="33" ht="12.0" customHeight="1">
      <c r="A33" s="14">
        <v>7.0</v>
      </c>
      <c r="B33" s="15" t="s">
        <v>1108</v>
      </c>
      <c r="C33" s="16" t="s">
        <v>4037</v>
      </c>
      <c r="D33" s="15" t="s">
        <v>4038</v>
      </c>
      <c r="E33" s="15" t="s">
        <v>4039</v>
      </c>
      <c r="F33" s="15" t="s">
        <v>1109</v>
      </c>
    </row>
    <row r="34" ht="12.0" customHeight="1">
      <c r="A34" s="14">
        <v>7.0</v>
      </c>
      <c r="B34" s="15" t="s">
        <v>1110</v>
      </c>
      <c r="C34" s="16" t="s">
        <v>4040</v>
      </c>
      <c r="D34" s="15" t="s">
        <v>4041</v>
      </c>
      <c r="E34" s="15" t="s">
        <v>4042</v>
      </c>
      <c r="F34" s="15" t="s">
        <v>1111</v>
      </c>
    </row>
    <row r="35" ht="12.0" customHeight="1">
      <c r="A35" s="14">
        <v>7.0</v>
      </c>
      <c r="B35" s="15" t="s">
        <v>1112</v>
      </c>
      <c r="C35" s="16" t="s">
        <v>4043</v>
      </c>
      <c r="D35" s="15" t="s">
        <v>4044</v>
      </c>
      <c r="E35" s="15" t="s">
        <v>4045</v>
      </c>
      <c r="F35" s="15" t="s">
        <v>1113</v>
      </c>
    </row>
    <row r="36" ht="12.0" customHeight="1">
      <c r="A36" s="14">
        <v>7.0</v>
      </c>
      <c r="B36" s="15" t="s">
        <v>1114</v>
      </c>
      <c r="C36" s="16" t="s">
        <v>4046</v>
      </c>
      <c r="D36" s="15" t="s">
        <v>4047</v>
      </c>
      <c r="E36" s="15" t="s">
        <v>4048</v>
      </c>
      <c r="F36" s="15" t="s">
        <v>1115</v>
      </c>
    </row>
    <row r="37" ht="12.0" customHeight="1">
      <c r="A37" s="14">
        <v>7.0</v>
      </c>
      <c r="B37" s="15" t="s">
        <v>1116</v>
      </c>
      <c r="C37" s="16" t="s">
        <v>4049</v>
      </c>
      <c r="D37" s="15" t="s">
        <v>4050</v>
      </c>
      <c r="E37" s="15" t="s">
        <v>4051</v>
      </c>
      <c r="F37" s="15" t="s">
        <v>1117</v>
      </c>
    </row>
    <row r="38" ht="12.0" customHeight="1">
      <c r="A38" s="14">
        <v>7.0</v>
      </c>
      <c r="B38" s="15" t="s">
        <v>1118</v>
      </c>
      <c r="C38" s="16" t="s">
        <v>4052</v>
      </c>
      <c r="D38" s="15" t="s">
        <v>4053</v>
      </c>
      <c r="E38" s="15" t="s">
        <v>4054</v>
      </c>
      <c r="F38" s="15" t="s">
        <v>1119</v>
      </c>
    </row>
    <row r="39" ht="12.0" customHeight="1">
      <c r="A39" s="14">
        <v>7.0</v>
      </c>
      <c r="B39" s="15" t="s">
        <v>1120</v>
      </c>
      <c r="C39" s="16" t="s">
        <v>4055</v>
      </c>
      <c r="D39" s="15" t="s">
        <v>4056</v>
      </c>
      <c r="E39" s="15" t="s">
        <v>4057</v>
      </c>
      <c r="F39" s="15" t="s">
        <v>1121</v>
      </c>
    </row>
    <row r="40" ht="12.0" customHeight="1">
      <c r="A40" s="14">
        <v>7.0</v>
      </c>
      <c r="B40" s="15" t="s">
        <v>1122</v>
      </c>
      <c r="C40" s="16" t="s">
        <v>4058</v>
      </c>
      <c r="D40" s="15" t="s">
        <v>4059</v>
      </c>
      <c r="E40" s="15" t="s">
        <v>4060</v>
      </c>
      <c r="F40" s="15" t="s">
        <v>1123</v>
      </c>
    </row>
    <row r="41" ht="23.25" customHeight="1">
      <c r="A41" s="19">
        <v>7.0</v>
      </c>
      <c r="B41" s="20" t="s">
        <v>1124</v>
      </c>
      <c r="C41" s="21" t="s">
        <v>4061</v>
      </c>
      <c r="D41" s="20" t="s">
        <v>3502</v>
      </c>
      <c r="E41" s="20" t="s">
        <v>4062</v>
      </c>
      <c r="F41" s="20" t="s">
        <v>1125</v>
      </c>
    </row>
    <row r="42" ht="12.0" customHeight="1">
      <c r="A42" s="11">
        <v>8.0</v>
      </c>
      <c r="B42" s="12" t="s">
        <v>1126</v>
      </c>
      <c r="C42" s="13" t="s">
        <v>4063</v>
      </c>
      <c r="D42" s="12" t="s">
        <v>4064</v>
      </c>
      <c r="E42" s="12" t="s">
        <v>4065</v>
      </c>
      <c r="F42" s="12" t="s">
        <v>1127</v>
      </c>
    </row>
    <row r="43" ht="12.0" customHeight="1">
      <c r="A43" s="14">
        <v>8.0</v>
      </c>
      <c r="B43" s="15" t="s">
        <v>1128</v>
      </c>
      <c r="C43" s="16" t="s">
        <v>4066</v>
      </c>
      <c r="D43" s="15" t="s">
        <v>4067</v>
      </c>
      <c r="E43" s="15" t="s">
        <v>4068</v>
      </c>
      <c r="F43" s="15" t="s">
        <v>1129</v>
      </c>
    </row>
    <row r="44" ht="12.0" customHeight="1">
      <c r="A44" s="14">
        <v>8.0</v>
      </c>
      <c r="B44" s="15" t="s">
        <v>1130</v>
      </c>
      <c r="C44" s="16" t="s">
        <v>4069</v>
      </c>
      <c r="D44" s="15" t="s">
        <v>4070</v>
      </c>
      <c r="E44" s="15" t="s">
        <v>4071</v>
      </c>
      <c r="F44" s="15" t="s">
        <v>1131</v>
      </c>
    </row>
    <row r="45" ht="12.0" customHeight="1">
      <c r="A45" s="14">
        <v>8.0</v>
      </c>
      <c r="B45" s="15" t="s">
        <v>1132</v>
      </c>
      <c r="C45" s="16" t="s">
        <v>4072</v>
      </c>
      <c r="D45" s="15" t="s">
        <v>4073</v>
      </c>
      <c r="E45" s="15" t="s">
        <v>4074</v>
      </c>
      <c r="F45" s="15" t="s">
        <v>1133</v>
      </c>
    </row>
    <row r="46" ht="12.0" customHeight="1">
      <c r="A46" s="14">
        <v>8.0</v>
      </c>
      <c r="B46" s="15" t="s">
        <v>1134</v>
      </c>
      <c r="C46" s="16" t="s">
        <v>4075</v>
      </c>
      <c r="D46" s="15" t="s">
        <v>4076</v>
      </c>
      <c r="E46" s="15" t="s">
        <v>4077</v>
      </c>
      <c r="F46" s="15" t="s">
        <v>1135</v>
      </c>
    </row>
    <row r="47" ht="12.0" customHeight="1">
      <c r="A47" s="14">
        <v>8.0</v>
      </c>
      <c r="B47" s="15" t="s">
        <v>1136</v>
      </c>
      <c r="C47" s="16" t="s">
        <v>4078</v>
      </c>
      <c r="D47" s="15" t="s">
        <v>4079</v>
      </c>
      <c r="E47" s="15" t="s">
        <v>4080</v>
      </c>
      <c r="F47" s="15" t="s">
        <v>1137</v>
      </c>
    </row>
    <row r="48" ht="12.0" customHeight="1">
      <c r="A48" s="14">
        <v>8.0</v>
      </c>
      <c r="B48" s="15" t="s">
        <v>1138</v>
      </c>
      <c r="C48" s="16" t="s">
        <v>4081</v>
      </c>
      <c r="D48" s="15" t="s">
        <v>4082</v>
      </c>
      <c r="E48" s="15" t="s">
        <v>4083</v>
      </c>
      <c r="F48" s="15" t="s">
        <v>1139</v>
      </c>
    </row>
    <row r="49" ht="15.75" customHeight="1">
      <c r="A49" s="14">
        <v>8.0</v>
      </c>
      <c r="B49" s="15" t="s">
        <v>1140</v>
      </c>
      <c r="C49" s="16" t="s">
        <v>4084</v>
      </c>
      <c r="D49" s="15" t="s">
        <v>4085</v>
      </c>
      <c r="E49" s="15" t="s">
        <v>4086</v>
      </c>
      <c r="F49" s="15" t="s">
        <v>1141</v>
      </c>
    </row>
    <row r="50" ht="7.5" customHeight="1">
      <c r="A50" s="17" t="s">
        <v>4087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3.86"/>
    <col customWidth="1" min="3" max="3" width="18.71"/>
    <col customWidth="1" min="4" max="4" width="19.86"/>
    <col customWidth="1" min="5" max="5" width="20.86"/>
    <col customWidth="1" min="6" max="6" width="30.71"/>
    <col customWidth="1" min="7" max="7" width="27.86"/>
    <col customWidth="1" min="8" max="26" width="9.0"/>
  </cols>
  <sheetData>
    <row r="1" ht="6.0" customHeight="1">
      <c r="A1" s="8" t="s">
        <v>2396</v>
      </c>
    </row>
    <row r="2" ht="15.75" customHeight="1">
      <c r="A2" s="18">
        <v>8.0</v>
      </c>
      <c r="B2" s="15" t="s">
        <v>1142</v>
      </c>
      <c r="C2" s="16" t="s">
        <v>4088</v>
      </c>
      <c r="D2" s="15" t="s">
        <v>4089</v>
      </c>
      <c r="E2" s="15" t="s">
        <v>4090</v>
      </c>
      <c r="F2" s="15" t="s">
        <v>1143</v>
      </c>
    </row>
    <row r="3" ht="12.0" customHeight="1">
      <c r="A3" s="18">
        <v>8.0</v>
      </c>
      <c r="B3" s="15" t="s">
        <v>1144</v>
      </c>
      <c r="C3" s="16" t="s">
        <v>4091</v>
      </c>
      <c r="D3" s="15" t="s">
        <v>4092</v>
      </c>
      <c r="E3" s="15" t="s">
        <v>4093</v>
      </c>
      <c r="F3" s="15" t="s">
        <v>1145</v>
      </c>
    </row>
    <row r="4" ht="12.0" customHeight="1">
      <c r="A4" s="18">
        <v>8.0</v>
      </c>
      <c r="B4" s="15" t="s">
        <v>1146</v>
      </c>
      <c r="C4" s="16" t="s">
        <v>4094</v>
      </c>
      <c r="D4" s="15" t="s">
        <v>4095</v>
      </c>
      <c r="E4" s="15" t="s">
        <v>4096</v>
      </c>
      <c r="F4" s="15" t="s">
        <v>1147</v>
      </c>
    </row>
    <row r="5" ht="12.0" customHeight="1">
      <c r="A5" s="18">
        <v>8.0</v>
      </c>
      <c r="B5" s="15" t="s">
        <v>1148</v>
      </c>
      <c r="C5" s="16" t="s">
        <v>4097</v>
      </c>
      <c r="D5" s="15" t="s">
        <v>4098</v>
      </c>
      <c r="E5" s="15" t="s">
        <v>4099</v>
      </c>
      <c r="F5" s="15" t="s">
        <v>1149</v>
      </c>
    </row>
    <row r="6" ht="12.0" customHeight="1">
      <c r="A6" s="18">
        <v>8.0</v>
      </c>
      <c r="B6" s="15" t="s">
        <v>1150</v>
      </c>
      <c r="C6" s="16" t="s">
        <v>4100</v>
      </c>
      <c r="D6" s="15" t="s">
        <v>4101</v>
      </c>
      <c r="E6" s="15" t="s">
        <v>4102</v>
      </c>
      <c r="F6" s="15" t="s">
        <v>1151</v>
      </c>
    </row>
    <row r="7" ht="12.0" customHeight="1">
      <c r="A7" s="18">
        <v>8.0</v>
      </c>
      <c r="B7" s="15" t="s">
        <v>1152</v>
      </c>
      <c r="C7" s="16" t="s">
        <v>4103</v>
      </c>
      <c r="D7" s="15" t="s">
        <v>4104</v>
      </c>
      <c r="E7" s="15" t="s">
        <v>3943</v>
      </c>
      <c r="F7" s="15" t="s">
        <v>1153</v>
      </c>
    </row>
    <row r="8" ht="12.0" customHeight="1">
      <c r="A8" s="18">
        <v>8.0</v>
      </c>
      <c r="B8" s="15" t="s">
        <v>1154</v>
      </c>
      <c r="C8" s="16" t="s">
        <v>4105</v>
      </c>
      <c r="D8" s="15" t="s">
        <v>4106</v>
      </c>
      <c r="E8" s="15" t="s">
        <v>4107</v>
      </c>
      <c r="F8" s="15" t="s">
        <v>1155</v>
      </c>
    </row>
    <row r="9" ht="12.0" customHeight="1">
      <c r="A9" s="18">
        <v>8.0</v>
      </c>
      <c r="B9" s="15" t="s">
        <v>1156</v>
      </c>
      <c r="C9" s="16" t="s">
        <v>4108</v>
      </c>
      <c r="D9" s="15" t="s">
        <v>4109</v>
      </c>
      <c r="E9" s="15" t="s">
        <v>4110</v>
      </c>
      <c r="F9" s="15" t="s">
        <v>1157</v>
      </c>
    </row>
    <row r="10" ht="12.0" customHeight="1">
      <c r="A10" s="18">
        <v>8.0</v>
      </c>
      <c r="B10" s="15" t="s">
        <v>1158</v>
      </c>
      <c r="C10" s="16" t="s">
        <v>4111</v>
      </c>
      <c r="D10" s="15" t="s">
        <v>4112</v>
      </c>
      <c r="E10" s="15" t="s">
        <v>3139</v>
      </c>
      <c r="F10" s="15" t="s">
        <v>1159</v>
      </c>
    </row>
    <row r="11" ht="12.0" customHeight="1">
      <c r="A11" s="18">
        <v>8.0</v>
      </c>
      <c r="B11" s="15" t="s">
        <v>1160</v>
      </c>
      <c r="C11" s="16" t="s">
        <v>4113</v>
      </c>
      <c r="D11" s="15" t="s">
        <v>4114</v>
      </c>
      <c r="E11" s="15" t="s">
        <v>4115</v>
      </c>
      <c r="F11" s="15" t="s">
        <v>1161</v>
      </c>
    </row>
    <row r="12" ht="12.0" customHeight="1">
      <c r="A12" s="18">
        <v>8.0</v>
      </c>
      <c r="B12" s="15" t="s">
        <v>1162</v>
      </c>
      <c r="C12" s="16" t="s">
        <v>4116</v>
      </c>
      <c r="D12" s="15" t="s">
        <v>4117</v>
      </c>
      <c r="E12" s="15" t="s">
        <v>4118</v>
      </c>
      <c r="F12" s="15" t="s">
        <v>1163</v>
      </c>
    </row>
    <row r="13" ht="12.0" customHeight="1">
      <c r="A13" s="18">
        <v>8.0</v>
      </c>
      <c r="B13" s="15" t="s">
        <v>1164</v>
      </c>
      <c r="C13" s="16" t="s">
        <v>4119</v>
      </c>
      <c r="D13" s="15" t="s">
        <v>4120</v>
      </c>
      <c r="E13" s="15" t="s">
        <v>4121</v>
      </c>
      <c r="F13" s="15" t="s">
        <v>1165</v>
      </c>
    </row>
    <row r="14" ht="12.0" customHeight="1">
      <c r="A14" s="18">
        <v>8.0</v>
      </c>
      <c r="B14" s="15" t="s">
        <v>1166</v>
      </c>
      <c r="C14" s="16" t="s">
        <v>4122</v>
      </c>
      <c r="D14" s="15" t="s">
        <v>4123</v>
      </c>
      <c r="E14" s="15" t="s">
        <v>4124</v>
      </c>
      <c r="F14" s="15" t="s">
        <v>1167</v>
      </c>
    </row>
    <row r="15" ht="12.0" customHeight="1">
      <c r="A15" s="18">
        <v>8.0</v>
      </c>
      <c r="B15" s="15" t="s">
        <v>1168</v>
      </c>
      <c r="C15" s="16" t="s">
        <v>4125</v>
      </c>
      <c r="D15" s="15" t="s">
        <v>4126</v>
      </c>
      <c r="E15" s="15" t="s">
        <v>4127</v>
      </c>
      <c r="F15" s="15" t="s">
        <v>1169</v>
      </c>
    </row>
    <row r="16" ht="12.0" customHeight="1">
      <c r="A16" s="18">
        <v>8.0</v>
      </c>
      <c r="B16" s="15" t="s">
        <v>1170</v>
      </c>
      <c r="C16" s="16" t="s">
        <v>4128</v>
      </c>
      <c r="D16" s="15" t="s">
        <v>4129</v>
      </c>
      <c r="E16" s="15" t="s">
        <v>4124</v>
      </c>
      <c r="F16" s="15" t="s">
        <v>1171</v>
      </c>
    </row>
    <row r="17" ht="12.0" customHeight="1">
      <c r="A17" s="18">
        <v>8.0</v>
      </c>
      <c r="B17" s="15" t="s">
        <v>1172</v>
      </c>
      <c r="C17" s="16" t="s">
        <v>4130</v>
      </c>
      <c r="D17" s="15" t="s">
        <v>4131</v>
      </c>
      <c r="E17" s="15" t="s">
        <v>4132</v>
      </c>
      <c r="F17" s="15" t="s">
        <v>1173</v>
      </c>
    </row>
    <row r="18" ht="12.0" customHeight="1">
      <c r="A18" s="18">
        <v>8.0</v>
      </c>
      <c r="B18" s="15" t="s">
        <v>1174</v>
      </c>
      <c r="C18" s="16" t="s">
        <v>4133</v>
      </c>
      <c r="D18" s="15" t="s">
        <v>4134</v>
      </c>
      <c r="E18" s="15" t="s">
        <v>4135</v>
      </c>
      <c r="F18" s="15" t="s">
        <v>1175</v>
      </c>
    </row>
    <row r="19" ht="12.0" customHeight="1">
      <c r="A19" s="18">
        <v>8.0</v>
      </c>
      <c r="B19" s="15" t="s">
        <v>1176</v>
      </c>
      <c r="C19" s="16" t="s">
        <v>4136</v>
      </c>
      <c r="D19" s="15" t="s">
        <v>4137</v>
      </c>
      <c r="E19" s="15" t="s">
        <v>4138</v>
      </c>
      <c r="F19" s="15" t="s">
        <v>1177</v>
      </c>
    </row>
    <row r="20" ht="12.0" customHeight="1">
      <c r="A20" s="18">
        <v>8.0</v>
      </c>
      <c r="B20" s="15" t="s">
        <v>1178</v>
      </c>
      <c r="C20" s="16" t="s">
        <v>4139</v>
      </c>
      <c r="D20" s="15" t="s">
        <v>4140</v>
      </c>
      <c r="E20" s="15" t="s">
        <v>4141</v>
      </c>
      <c r="F20" s="15" t="s">
        <v>1179</v>
      </c>
    </row>
    <row r="21" ht="12.0" customHeight="1">
      <c r="A21" s="18">
        <v>8.0</v>
      </c>
      <c r="B21" s="15" t="s">
        <v>1180</v>
      </c>
      <c r="C21" s="16" t="s">
        <v>4142</v>
      </c>
      <c r="D21" s="15" t="s">
        <v>4143</v>
      </c>
      <c r="E21" s="15" t="s">
        <v>4144</v>
      </c>
      <c r="F21" s="15" t="s">
        <v>1181</v>
      </c>
    </row>
    <row r="22" ht="12.0" customHeight="1">
      <c r="A22" s="18">
        <v>8.0</v>
      </c>
      <c r="B22" s="15" t="s">
        <v>1182</v>
      </c>
      <c r="C22" s="16" t="s">
        <v>4145</v>
      </c>
      <c r="D22" s="15" t="s">
        <v>4146</v>
      </c>
      <c r="E22" s="15" t="s">
        <v>4147</v>
      </c>
      <c r="F22" s="15" t="s">
        <v>1183</v>
      </c>
    </row>
    <row r="23" ht="12.0" customHeight="1">
      <c r="A23" s="18">
        <v>8.0</v>
      </c>
      <c r="B23" s="15" t="s">
        <v>1184</v>
      </c>
      <c r="C23" s="16" t="s">
        <v>4148</v>
      </c>
      <c r="D23" s="15" t="s">
        <v>4149</v>
      </c>
      <c r="E23" s="15" t="s">
        <v>4150</v>
      </c>
      <c r="F23" s="15" t="s">
        <v>1185</v>
      </c>
    </row>
    <row r="24" ht="12.0" customHeight="1">
      <c r="A24" s="18">
        <v>8.0</v>
      </c>
      <c r="B24" s="15" t="s">
        <v>1186</v>
      </c>
      <c r="C24" s="16" t="s">
        <v>4151</v>
      </c>
      <c r="D24" s="15" t="s">
        <v>4152</v>
      </c>
      <c r="E24" s="15" t="s">
        <v>4153</v>
      </c>
      <c r="F24" s="15" t="s">
        <v>1187</v>
      </c>
    </row>
    <row r="25" ht="12.0" customHeight="1">
      <c r="A25" s="18">
        <v>8.0</v>
      </c>
      <c r="B25" s="15" t="s">
        <v>1188</v>
      </c>
      <c r="C25" s="16" t="s">
        <v>4154</v>
      </c>
      <c r="D25" s="15" t="s">
        <v>4155</v>
      </c>
      <c r="E25" s="15" t="s">
        <v>4156</v>
      </c>
      <c r="F25" s="15" t="s">
        <v>1189</v>
      </c>
    </row>
    <row r="26" ht="12.0" customHeight="1">
      <c r="A26" s="18">
        <v>8.0</v>
      </c>
      <c r="B26" s="15" t="s">
        <v>1190</v>
      </c>
      <c r="C26" s="16" t="s">
        <v>4157</v>
      </c>
      <c r="D26" s="15" t="s">
        <v>4158</v>
      </c>
      <c r="E26" s="15" t="s">
        <v>4159</v>
      </c>
      <c r="F26" s="15" t="s">
        <v>1191</v>
      </c>
    </row>
    <row r="27" ht="12.0" customHeight="1">
      <c r="A27" s="18">
        <v>8.0</v>
      </c>
      <c r="B27" s="15" t="s">
        <v>1192</v>
      </c>
      <c r="C27" s="16" t="s">
        <v>4160</v>
      </c>
      <c r="D27" s="15" t="s">
        <v>4161</v>
      </c>
      <c r="E27" s="15" t="s">
        <v>4162</v>
      </c>
      <c r="F27" s="15" t="s">
        <v>1193</v>
      </c>
    </row>
    <row r="28" ht="12.0" customHeight="1">
      <c r="A28" s="18">
        <v>8.0</v>
      </c>
      <c r="B28" s="15" t="s">
        <v>1194</v>
      </c>
      <c r="C28" s="16" t="s">
        <v>4163</v>
      </c>
      <c r="D28" s="15" t="s">
        <v>4164</v>
      </c>
      <c r="E28" s="15" t="s">
        <v>4165</v>
      </c>
      <c r="F28" s="15" t="s">
        <v>1195</v>
      </c>
    </row>
    <row r="29" ht="12.0" customHeight="1">
      <c r="A29" s="18">
        <v>8.0</v>
      </c>
      <c r="B29" s="15" t="s">
        <v>1196</v>
      </c>
      <c r="C29" s="16" t="s">
        <v>4166</v>
      </c>
      <c r="D29" s="15" t="s">
        <v>4167</v>
      </c>
      <c r="E29" s="15" t="s">
        <v>4168</v>
      </c>
      <c r="F29" s="15" t="s">
        <v>1197</v>
      </c>
    </row>
    <row r="30" ht="12.0" customHeight="1">
      <c r="A30" s="18">
        <v>8.0</v>
      </c>
      <c r="B30" s="15" t="s">
        <v>1198</v>
      </c>
      <c r="C30" s="16" t="s">
        <v>4169</v>
      </c>
      <c r="D30" s="15" t="s">
        <v>4170</v>
      </c>
      <c r="E30" s="15" t="s">
        <v>4171</v>
      </c>
      <c r="F30" s="15" t="s">
        <v>1199</v>
      </c>
    </row>
    <row r="31" ht="12.0" customHeight="1">
      <c r="A31" s="18">
        <v>8.0</v>
      </c>
      <c r="B31" s="15" t="s">
        <v>1200</v>
      </c>
      <c r="C31" s="16" t="s">
        <v>4172</v>
      </c>
      <c r="D31" s="15" t="s">
        <v>4173</v>
      </c>
      <c r="E31" s="15" t="s">
        <v>4174</v>
      </c>
      <c r="F31" s="15" t="s">
        <v>1201</v>
      </c>
    </row>
    <row r="32" ht="12.0" customHeight="1">
      <c r="A32" s="18">
        <v>8.0</v>
      </c>
      <c r="B32" s="15" t="s">
        <v>1202</v>
      </c>
      <c r="C32" s="16" t="s">
        <v>4175</v>
      </c>
      <c r="D32" s="15" t="s">
        <v>4176</v>
      </c>
      <c r="E32" s="15" t="s">
        <v>4177</v>
      </c>
      <c r="F32" s="15" t="s">
        <v>1203</v>
      </c>
    </row>
    <row r="33" ht="12.0" customHeight="1">
      <c r="A33" s="18">
        <v>8.0</v>
      </c>
      <c r="B33" s="15" t="s">
        <v>1204</v>
      </c>
      <c r="C33" s="16" t="s">
        <v>4178</v>
      </c>
      <c r="D33" s="15" t="s">
        <v>4179</v>
      </c>
      <c r="E33" s="15" t="s">
        <v>4180</v>
      </c>
      <c r="F33" s="15" t="s">
        <v>1205</v>
      </c>
    </row>
    <row r="34" ht="12.0" customHeight="1">
      <c r="A34" s="18">
        <v>8.0</v>
      </c>
      <c r="B34" s="15" t="s">
        <v>1206</v>
      </c>
      <c r="C34" s="16" t="s">
        <v>4181</v>
      </c>
      <c r="D34" s="15" t="s">
        <v>4182</v>
      </c>
      <c r="E34" s="15" t="s">
        <v>4183</v>
      </c>
      <c r="F34" s="15" t="s">
        <v>1207</v>
      </c>
    </row>
    <row r="35" ht="12.0" customHeight="1">
      <c r="A35" s="18">
        <v>8.0</v>
      </c>
      <c r="B35" s="15" t="s">
        <v>1208</v>
      </c>
      <c r="C35" s="16" t="s">
        <v>4184</v>
      </c>
      <c r="D35" s="15" t="s">
        <v>4185</v>
      </c>
      <c r="E35" s="15" t="s">
        <v>4186</v>
      </c>
      <c r="F35" s="15" t="s">
        <v>1209</v>
      </c>
    </row>
    <row r="36" ht="12.0" customHeight="1">
      <c r="A36" s="18">
        <v>8.0</v>
      </c>
      <c r="B36" s="15" t="s">
        <v>1210</v>
      </c>
      <c r="C36" s="16" t="s">
        <v>4187</v>
      </c>
      <c r="D36" s="15" t="s">
        <v>4188</v>
      </c>
      <c r="E36" s="15" t="s">
        <v>4189</v>
      </c>
      <c r="F36" s="15" t="s">
        <v>1211</v>
      </c>
    </row>
    <row r="37" ht="12.0" customHeight="1">
      <c r="A37" s="18">
        <v>8.0</v>
      </c>
      <c r="B37" s="15" t="s">
        <v>1212</v>
      </c>
      <c r="C37" s="16" t="s">
        <v>4190</v>
      </c>
      <c r="D37" s="15" t="s">
        <v>4191</v>
      </c>
      <c r="E37" s="15" t="s">
        <v>4192</v>
      </c>
      <c r="F37" s="15" t="s">
        <v>1213</v>
      </c>
    </row>
    <row r="38" ht="12.0" customHeight="1">
      <c r="A38" s="18">
        <v>8.0</v>
      </c>
      <c r="B38" s="15" t="s">
        <v>1214</v>
      </c>
      <c r="C38" s="16" t="s">
        <v>4193</v>
      </c>
      <c r="D38" s="15" t="s">
        <v>4194</v>
      </c>
      <c r="E38" s="15" t="s">
        <v>4195</v>
      </c>
      <c r="F38" s="15" t="s">
        <v>1215</v>
      </c>
    </row>
    <row r="39" ht="12.0" customHeight="1">
      <c r="A39" s="18">
        <v>8.0</v>
      </c>
      <c r="B39" s="15" t="s">
        <v>1216</v>
      </c>
      <c r="C39" s="16" t="s">
        <v>4196</v>
      </c>
      <c r="D39" s="15" t="s">
        <v>4197</v>
      </c>
      <c r="E39" s="15" t="s">
        <v>4198</v>
      </c>
      <c r="F39" s="15" t="s">
        <v>1217</v>
      </c>
    </row>
    <row r="40" ht="12.0" customHeight="1">
      <c r="A40" s="18">
        <v>8.0</v>
      </c>
      <c r="B40" s="15" t="s">
        <v>1218</v>
      </c>
      <c r="C40" s="16" t="s">
        <v>4199</v>
      </c>
      <c r="D40" s="15" t="s">
        <v>4200</v>
      </c>
      <c r="E40" s="15" t="s">
        <v>4201</v>
      </c>
      <c r="F40" s="15" t="s">
        <v>1219</v>
      </c>
    </row>
    <row r="41" ht="12.0" customHeight="1">
      <c r="A41" s="18">
        <v>8.0</v>
      </c>
      <c r="B41" s="15" t="s">
        <v>1220</v>
      </c>
      <c r="C41" s="16" t="s">
        <v>4202</v>
      </c>
      <c r="D41" s="15" t="s">
        <v>4203</v>
      </c>
      <c r="E41" s="15" t="s">
        <v>4203</v>
      </c>
      <c r="F41" s="15" t="s">
        <v>1221</v>
      </c>
    </row>
    <row r="42" ht="12.0" customHeight="1">
      <c r="A42" s="18">
        <v>8.0</v>
      </c>
      <c r="B42" s="15" t="s">
        <v>1222</v>
      </c>
      <c r="C42" s="16" t="s">
        <v>4204</v>
      </c>
      <c r="D42" s="15" t="s">
        <v>4205</v>
      </c>
      <c r="E42" s="15" t="s">
        <v>4206</v>
      </c>
      <c r="F42" s="15" t="s">
        <v>1223</v>
      </c>
    </row>
    <row r="43" ht="12.0" customHeight="1">
      <c r="A43" s="18">
        <v>8.0</v>
      </c>
      <c r="B43" s="15" t="s">
        <v>1224</v>
      </c>
      <c r="C43" s="16" t="s">
        <v>4207</v>
      </c>
      <c r="D43" s="15" t="s">
        <v>4208</v>
      </c>
      <c r="E43" s="15" t="s">
        <v>4209</v>
      </c>
      <c r="F43" s="15" t="s">
        <v>1225</v>
      </c>
    </row>
    <row r="44" ht="12.0" customHeight="1">
      <c r="A44" s="18">
        <v>8.0</v>
      </c>
      <c r="B44" s="15" t="s">
        <v>1226</v>
      </c>
      <c r="C44" s="16" t="s">
        <v>4210</v>
      </c>
      <c r="D44" s="15" t="s">
        <v>4211</v>
      </c>
      <c r="E44" s="15" t="s">
        <v>4212</v>
      </c>
      <c r="F44" s="15" t="s">
        <v>1227</v>
      </c>
    </row>
    <row r="45" ht="12.0" customHeight="1">
      <c r="A45" s="18">
        <v>8.0</v>
      </c>
      <c r="B45" s="15" t="s">
        <v>1228</v>
      </c>
      <c r="C45" s="16" t="s">
        <v>4213</v>
      </c>
      <c r="D45" s="15" t="s">
        <v>4214</v>
      </c>
      <c r="E45" s="15" t="s">
        <v>4215</v>
      </c>
      <c r="F45" s="15" t="s">
        <v>1229</v>
      </c>
    </row>
    <row r="46" ht="12.0" customHeight="1">
      <c r="A46" s="18">
        <v>8.0</v>
      </c>
      <c r="B46" s="15" t="s">
        <v>1230</v>
      </c>
      <c r="C46" s="16" t="s">
        <v>4216</v>
      </c>
      <c r="D46" s="15" t="s">
        <v>4217</v>
      </c>
      <c r="E46" s="15" t="s">
        <v>4218</v>
      </c>
      <c r="F46" s="15" t="s">
        <v>1231</v>
      </c>
    </row>
    <row r="47" ht="12.0" customHeight="1">
      <c r="A47" s="18">
        <v>8.0</v>
      </c>
      <c r="B47" s="15" t="s">
        <v>1232</v>
      </c>
      <c r="C47" s="16" t="s">
        <v>4219</v>
      </c>
      <c r="D47" s="15" t="s">
        <v>4220</v>
      </c>
      <c r="E47" s="15" t="s">
        <v>4221</v>
      </c>
      <c r="F47" s="15" t="s">
        <v>1233</v>
      </c>
    </row>
    <row r="48" ht="12.0" customHeight="1">
      <c r="A48" s="18">
        <v>8.0</v>
      </c>
      <c r="B48" s="15" t="s">
        <v>1234</v>
      </c>
      <c r="C48" s="16" t="s">
        <v>4222</v>
      </c>
      <c r="D48" s="15" t="s">
        <v>4223</v>
      </c>
      <c r="E48" s="15" t="s">
        <v>4223</v>
      </c>
      <c r="F48" s="15" t="s">
        <v>1235</v>
      </c>
    </row>
    <row r="49" ht="12.0" customHeight="1">
      <c r="A49" s="18">
        <v>8.0</v>
      </c>
      <c r="B49" s="15" t="s">
        <v>1236</v>
      </c>
      <c r="C49" s="16" t="s">
        <v>4224</v>
      </c>
      <c r="D49" s="15" t="s">
        <v>4225</v>
      </c>
      <c r="E49" s="15" t="s">
        <v>3016</v>
      </c>
      <c r="F49" s="15" t="s">
        <v>1237</v>
      </c>
    </row>
    <row r="50" ht="15.75" customHeight="1">
      <c r="A50" s="18">
        <v>8.0</v>
      </c>
      <c r="B50" s="15" t="s">
        <v>1238</v>
      </c>
      <c r="C50" s="16" t="s">
        <v>4226</v>
      </c>
      <c r="D50" s="15" t="s">
        <v>4227</v>
      </c>
      <c r="E50" s="15" t="s">
        <v>4228</v>
      </c>
      <c r="F50" s="15" t="s">
        <v>1239</v>
      </c>
    </row>
    <row r="51" ht="7.5" customHeight="1">
      <c r="A51" s="17" t="s">
        <v>4229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1:G51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86"/>
    <col customWidth="1" min="3" max="4" width="18.71"/>
    <col customWidth="1" min="5" max="5" width="19.86"/>
    <col customWidth="1" min="6" max="6" width="57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4">
        <v>8.0</v>
      </c>
      <c r="B2" s="15" t="s">
        <v>1240</v>
      </c>
      <c r="C2" s="16" t="s">
        <v>4230</v>
      </c>
      <c r="D2" s="15" t="s">
        <v>4231</v>
      </c>
      <c r="E2" s="15" t="s">
        <v>4232</v>
      </c>
      <c r="F2" s="15" t="s">
        <v>1241</v>
      </c>
    </row>
    <row r="3" ht="12.0" customHeight="1">
      <c r="A3" s="14">
        <v>8.0</v>
      </c>
      <c r="B3" s="15" t="s">
        <v>1242</v>
      </c>
      <c r="C3" s="16" t="s">
        <v>3241</v>
      </c>
      <c r="D3" s="15" t="s">
        <v>4233</v>
      </c>
      <c r="E3" s="15" t="s">
        <v>4234</v>
      </c>
      <c r="F3" s="15" t="s">
        <v>1243</v>
      </c>
    </row>
    <row r="4" ht="12.0" customHeight="1">
      <c r="A4" s="14">
        <v>8.0</v>
      </c>
      <c r="B4" s="15" t="s">
        <v>1244</v>
      </c>
      <c r="C4" s="16" t="s">
        <v>4235</v>
      </c>
      <c r="D4" s="15" t="s">
        <v>4236</v>
      </c>
      <c r="E4" s="15" t="s">
        <v>4237</v>
      </c>
      <c r="F4" s="15" t="s">
        <v>1245</v>
      </c>
    </row>
    <row r="5" ht="12.0" customHeight="1">
      <c r="A5" s="14">
        <v>8.0</v>
      </c>
      <c r="B5" s="15" t="s">
        <v>1246</v>
      </c>
      <c r="C5" s="16" t="s">
        <v>4238</v>
      </c>
      <c r="D5" s="15" t="s">
        <v>4239</v>
      </c>
      <c r="E5" s="15" t="s">
        <v>4240</v>
      </c>
      <c r="F5" s="15" t="s">
        <v>1247</v>
      </c>
    </row>
    <row r="6" ht="12.0" customHeight="1">
      <c r="A6" s="14">
        <v>8.0</v>
      </c>
      <c r="B6" s="15" t="s">
        <v>1248</v>
      </c>
      <c r="C6" s="16" t="s">
        <v>3413</v>
      </c>
      <c r="D6" s="15" t="s">
        <v>4241</v>
      </c>
      <c r="E6" s="15" t="s">
        <v>4242</v>
      </c>
      <c r="F6" s="15" t="s">
        <v>1249</v>
      </c>
    </row>
    <row r="7" ht="12.0" customHeight="1">
      <c r="A7" s="14">
        <v>8.0</v>
      </c>
      <c r="B7" s="15" t="s">
        <v>1250</v>
      </c>
      <c r="C7" s="16" t="s">
        <v>4243</v>
      </c>
      <c r="D7" s="15" t="s">
        <v>4244</v>
      </c>
      <c r="E7" s="15" t="s">
        <v>4245</v>
      </c>
      <c r="F7" s="15" t="s">
        <v>1251</v>
      </c>
    </row>
    <row r="8" ht="12.0" customHeight="1">
      <c r="A8" s="14">
        <v>8.0</v>
      </c>
      <c r="B8" s="15" t="s">
        <v>1252</v>
      </c>
      <c r="C8" s="16" t="s">
        <v>4246</v>
      </c>
      <c r="D8" s="15" t="s">
        <v>4247</v>
      </c>
      <c r="E8" s="15" t="s">
        <v>4248</v>
      </c>
      <c r="F8" s="15" t="s">
        <v>1253</v>
      </c>
    </row>
    <row r="9" ht="12.0" customHeight="1">
      <c r="A9" s="14">
        <v>8.0</v>
      </c>
      <c r="B9" s="15" t="s">
        <v>1254</v>
      </c>
      <c r="C9" s="16" t="s">
        <v>4249</v>
      </c>
      <c r="D9" s="15" t="s">
        <v>4250</v>
      </c>
      <c r="E9" s="15" t="s">
        <v>4251</v>
      </c>
      <c r="F9" s="15" t="s">
        <v>1255</v>
      </c>
    </row>
    <row r="10" ht="12.0" customHeight="1">
      <c r="A10" s="14">
        <v>8.0</v>
      </c>
      <c r="B10" s="15" t="s">
        <v>1256</v>
      </c>
      <c r="C10" s="16" t="s">
        <v>4252</v>
      </c>
      <c r="D10" s="15" t="s">
        <v>4253</v>
      </c>
      <c r="E10" s="15" t="s">
        <v>4254</v>
      </c>
      <c r="F10" s="15" t="s">
        <v>1257</v>
      </c>
    </row>
    <row r="11" ht="12.0" customHeight="1">
      <c r="A11" s="14">
        <v>8.0</v>
      </c>
      <c r="B11" s="15" t="s">
        <v>1258</v>
      </c>
      <c r="C11" s="16" t="s">
        <v>4255</v>
      </c>
      <c r="D11" s="15" t="s">
        <v>4256</v>
      </c>
      <c r="E11" s="15" t="s">
        <v>4257</v>
      </c>
      <c r="F11" s="15" t="s">
        <v>1259</v>
      </c>
    </row>
    <row r="12" ht="12.0" customHeight="1">
      <c r="A12" s="14">
        <v>8.0</v>
      </c>
      <c r="B12" s="15" t="s">
        <v>1260</v>
      </c>
      <c r="C12" s="16" t="s">
        <v>4258</v>
      </c>
      <c r="D12" s="15" t="s">
        <v>4259</v>
      </c>
      <c r="E12" s="15" t="s">
        <v>4260</v>
      </c>
      <c r="F12" s="15" t="s">
        <v>1261</v>
      </c>
    </row>
    <row r="13" ht="12.0" customHeight="1">
      <c r="A13" s="14">
        <v>8.0</v>
      </c>
      <c r="B13" s="15" t="s">
        <v>1262</v>
      </c>
      <c r="C13" s="16" t="s">
        <v>4261</v>
      </c>
      <c r="D13" s="15" t="s">
        <v>4262</v>
      </c>
      <c r="E13" s="15" t="s">
        <v>4263</v>
      </c>
      <c r="F13" s="15" t="s">
        <v>1263</v>
      </c>
    </row>
    <row r="14" ht="12.0" customHeight="1">
      <c r="A14" s="14">
        <v>8.0</v>
      </c>
      <c r="B14" s="15" t="s">
        <v>1264</v>
      </c>
      <c r="C14" s="16" t="s">
        <v>4264</v>
      </c>
      <c r="D14" s="15" t="s">
        <v>4265</v>
      </c>
      <c r="E14" s="15" t="s">
        <v>4266</v>
      </c>
      <c r="F14" s="15" t="s">
        <v>1265</v>
      </c>
    </row>
    <row r="15" ht="12.0" customHeight="1">
      <c r="A15" s="14">
        <v>8.0</v>
      </c>
      <c r="B15" s="15" t="s">
        <v>1266</v>
      </c>
      <c r="C15" s="16" t="s">
        <v>4267</v>
      </c>
      <c r="D15" s="15" t="s">
        <v>4268</v>
      </c>
      <c r="E15" s="15" t="s">
        <v>4269</v>
      </c>
      <c r="F15" s="15" t="s">
        <v>1267</v>
      </c>
    </row>
    <row r="16" ht="12.0" customHeight="1">
      <c r="A16" s="14">
        <v>8.0</v>
      </c>
      <c r="B16" s="15" t="s">
        <v>1268</v>
      </c>
      <c r="C16" s="16" t="s">
        <v>4270</v>
      </c>
      <c r="D16" s="15" t="s">
        <v>4271</v>
      </c>
      <c r="E16" s="15" t="s">
        <v>4272</v>
      </c>
      <c r="F16" s="15" t="s">
        <v>1269</v>
      </c>
    </row>
    <row r="17" ht="12.0" customHeight="1">
      <c r="A17" s="14">
        <v>8.0</v>
      </c>
      <c r="B17" s="15" t="s">
        <v>1270</v>
      </c>
      <c r="C17" s="16" t="s">
        <v>4273</v>
      </c>
      <c r="D17" s="15" t="s">
        <v>4274</v>
      </c>
      <c r="E17" s="15" t="s">
        <v>4275</v>
      </c>
      <c r="F17" s="15" t="s">
        <v>1271</v>
      </c>
    </row>
    <row r="18" ht="12.0" customHeight="1">
      <c r="A18" s="14">
        <v>8.0</v>
      </c>
      <c r="B18" s="15" t="s">
        <v>1272</v>
      </c>
      <c r="C18" s="16" t="s">
        <v>4276</v>
      </c>
      <c r="D18" s="15" t="s">
        <v>4277</v>
      </c>
      <c r="E18" s="15" t="s">
        <v>4278</v>
      </c>
      <c r="F18" s="15" t="s">
        <v>1273</v>
      </c>
    </row>
    <row r="19" ht="12.0" customHeight="1">
      <c r="A19" s="14">
        <v>8.0</v>
      </c>
      <c r="B19" s="15" t="s">
        <v>1274</v>
      </c>
      <c r="C19" s="16" t="s">
        <v>4279</v>
      </c>
      <c r="D19" s="15" t="s">
        <v>4280</v>
      </c>
      <c r="E19" s="15" t="s">
        <v>4281</v>
      </c>
      <c r="F19" s="15" t="s">
        <v>1275</v>
      </c>
    </row>
    <row r="20" ht="12.0" customHeight="1">
      <c r="A20" s="14">
        <v>8.0</v>
      </c>
      <c r="B20" s="15" t="s">
        <v>1276</v>
      </c>
      <c r="C20" s="16" t="s">
        <v>4282</v>
      </c>
      <c r="D20" s="15" t="s">
        <v>4283</v>
      </c>
      <c r="E20" s="15" t="s">
        <v>4284</v>
      </c>
      <c r="F20" s="15" t="s">
        <v>1277</v>
      </c>
    </row>
    <row r="21" ht="12.0" customHeight="1">
      <c r="A21" s="14">
        <v>8.0</v>
      </c>
      <c r="B21" s="15" t="s">
        <v>1278</v>
      </c>
      <c r="C21" s="16" t="s">
        <v>4285</v>
      </c>
      <c r="D21" s="15" t="s">
        <v>4286</v>
      </c>
      <c r="E21" s="15" t="s">
        <v>4287</v>
      </c>
      <c r="F21" s="15" t="s">
        <v>1279</v>
      </c>
    </row>
    <row r="22" ht="12.0" customHeight="1">
      <c r="A22" s="14">
        <v>8.0</v>
      </c>
      <c r="B22" s="15" t="s">
        <v>1280</v>
      </c>
      <c r="C22" s="16" t="s">
        <v>4288</v>
      </c>
      <c r="D22" s="15" t="s">
        <v>4289</v>
      </c>
      <c r="E22" s="15" t="s">
        <v>4290</v>
      </c>
      <c r="F22" s="15" t="s">
        <v>1281</v>
      </c>
    </row>
    <row r="23" ht="12.0" customHeight="1">
      <c r="A23" s="14">
        <v>8.0</v>
      </c>
      <c r="B23" s="15" t="s">
        <v>1282</v>
      </c>
      <c r="C23" s="16" t="s">
        <v>4291</v>
      </c>
      <c r="D23" s="15" t="s">
        <v>3131</v>
      </c>
      <c r="E23" s="15" t="s">
        <v>4292</v>
      </c>
      <c r="F23" s="15" t="s">
        <v>1283</v>
      </c>
    </row>
    <row r="24" ht="12.0" customHeight="1">
      <c r="A24" s="14">
        <v>8.0</v>
      </c>
      <c r="B24" s="15" t="s">
        <v>1284</v>
      </c>
      <c r="C24" s="16" t="s">
        <v>2756</v>
      </c>
      <c r="D24" s="15" t="s">
        <v>4293</v>
      </c>
      <c r="E24" s="15" t="s">
        <v>4294</v>
      </c>
      <c r="F24" s="15" t="s">
        <v>1285</v>
      </c>
    </row>
    <row r="25" ht="12.0" customHeight="1">
      <c r="A25" s="14">
        <v>8.0</v>
      </c>
      <c r="B25" s="15" t="s">
        <v>1286</v>
      </c>
      <c r="C25" s="16" t="s">
        <v>4295</v>
      </c>
      <c r="D25" s="15" t="s">
        <v>4296</v>
      </c>
      <c r="E25" s="15" t="s">
        <v>4297</v>
      </c>
      <c r="F25" s="15" t="s">
        <v>1287</v>
      </c>
    </row>
    <row r="26" ht="12.0" customHeight="1">
      <c r="A26" s="14">
        <v>8.0</v>
      </c>
      <c r="B26" s="15" t="s">
        <v>1288</v>
      </c>
      <c r="C26" s="16" t="s">
        <v>4298</v>
      </c>
      <c r="D26" s="15" t="s">
        <v>2408</v>
      </c>
      <c r="E26" s="15" t="s">
        <v>4299</v>
      </c>
      <c r="F26" s="15" t="s">
        <v>1289</v>
      </c>
    </row>
    <row r="27" ht="12.0" customHeight="1">
      <c r="A27" s="14">
        <v>8.0</v>
      </c>
      <c r="B27" s="15" t="s">
        <v>1290</v>
      </c>
      <c r="C27" s="16" t="s">
        <v>4300</v>
      </c>
      <c r="D27" s="15" t="s">
        <v>4301</v>
      </c>
      <c r="E27" s="15" t="s">
        <v>4302</v>
      </c>
      <c r="F27" s="15" t="s">
        <v>1291</v>
      </c>
    </row>
    <row r="28" ht="12.0" customHeight="1">
      <c r="A28" s="14">
        <v>8.0</v>
      </c>
      <c r="B28" s="15" t="s">
        <v>1292</v>
      </c>
      <c r="C28" s="16" t="s">
        <v>4303</v>
      </c>
      <c r="D28" s="15" t="s">
        <v>4304</v>
      </c>
      <c r="E28" s="15" t="s">
        <v>4305</v>
      </c>
      <c r="F28" s="15" t="s">
        <v>1293</v>
      </c>
    </row>
    <row r="29" ht="12.0" customHeight="1">
      <c r="A29" s="14">
        <v>8.0</v>
      </c>
      <c r="B29" s="15" t="s">
        <v>1294</v>
      </c>
      <c r="C29" s="16" t="s">
        <v>4306</v>
      </c>
      <c r="D29" s="15" t="s">
        <v>4307</v>
      </c>
      <c r="E29" s="15" t="s">
        <v>4308</v>
      </c>
      <c r="F29" s="15" t="s">
        <v>1295</v>
      </c>
    </row>
    <row r="30" ht="12.0" customHeight="1">
      <c r="A30" s="14">
        <v>8.0</v>
      </c>
      <c r="B30" s="15" t="s">
        <v>1296</v>
      </c>
      <c r="C30" s="16" t="s">
        <v>4309</v>
      </c>
      <c r="D30" s="15" t="s">
        <v>4310</v>
      </c>
      <c r="E30" s="15" t="s">
        <v>4311</v>
      </c>
      <c r="F30" s="15" t="s">
        <v>1297</v>
      </c>
    </row>
    <row r="31" ht="12.0" customHeight="1">
      <c r="A31" s="14">
        <v>8.0</v>
      </c>
      <c r="B31" s="15" t="s">
        <v>1298</v>
      </c>
      <c r="C31" s="16" t="s">
        <v>4312</v>
      </c>
      <c r="D31" s="15" t="s">
        <v>4313</v>
      </c>
      <c r="E31" s="15" t="s">
        <v>4314</v>
      </c>
      <c r="F31" s="15" t="s">
        <v>1299</v>
      </c>
    </row>
    <row r="32" ht="12.0" customHeight="1">
      <c r="A32" s="14">
        <v>8.0</v>
      </c>
      <c r="B32" s="15" t="s">
        <v>1300</v>
      </c>
      <c r="C32" s="16" t="s">
        <v>4315</v>
      </c>
      <c r="D32" s="15" t="s">
        <v>4316</v>
      </c>
      <c r="E32" s="15" t="s">
        <v>4317</v>
      </c>
      <c r="F32" s="15" t="s">
        <v>1301</v>
      </c>
    </row>
    <row r="33" ht="12.0" customHeight="1">
      <c r="A33" s="14">
        <v>8.0</v>
      </c>
      <c r="B33" s="15" t="s">
        <v>1302</v>
      </c>
      <c r="C33" s="16" t="s">
        <v>4318</v>
      </c>
      <c r="D33" s="15" t="s">
        <v>4319</v>
      </c>
      <c r="E33" s="15" t="s">
        <v>4320</v>
      </c>
      <c r="F33" s="15" t="s">
        <v>1303</v>
      </c>
    </row>
    <row r="34" ht="12.0" customHeight="1">
      <c r="A34" s="14">
        <v>8.0</v>
      </c>
      <c r="B34" s="15" t="s">
        <v>1304</v>
      </c>
      <c r="C34" s="16" t="s">
        <v>4321</v>
      </c>
      <c r="D34" s="15" t="s">
        <v>4322</v>
      </c>
      <c r="E34" s="15" t="s">
        <v>4323</v>
      </c>
      <c r="F34" s="15" t="s">
        <v>1305</v>
      </c>
    </row>
    <row r="35" ht="23.25" customHeight="1">
      <c r="A35" s="19">
        <v>8.0</v>
      </c>
      <c r="B35" s="20" t="s">
        <v>1306</v>
      </c>
      <c r="C35" s="21" t="s">
        <v>4324</v>
      </c>
      <c r="D35" s="20" t="s">
        <v>4325</v>
      </c>
      <c r="E35" s="20" t="s">
        <v>4326</v>
      </c>
      <c r="F35" s="20" t="s">
        <v>1307</v>
      </c>
    </row>
    <row r="36" ht="12.0" customHeight="1">
      <c r="A36" s="11">
        <v>9.0</v>
      </c>
      <c r="B36" s="12" t="s">
        <v>1308</v>
      </c>
      <c r="C36" s="13" t="s">
        <v>4327</v>
      </c>
      <c r="D36" s="12" t="s">
        <v>4328</v>
      </c>
      <c r="E36" s="12" t="s">
        <v>4329</v>
      </c>
      <c r="F36" s="12" t="s">
        <v>1309</v>
      </c>
    </row>
    <row r="37" ht="12.0" customHeight="1">
      <c r="A37" s="14">
        <v>9.0</v>
      </c>
      <c r="B37" s="15" t="s">
        <v>1310</v>
      </c>
      <c r="C37" s="16" t="s">
        <v>4330</v>
      </c>
      <c r="D37" s="15" t="s">
        <v>4331</v>
      </c>
      <c r="E37" s="15" t="s">
        <v>4332</v>
      </c>
      <c r="F37" s="15" t="s">
        <v>1311</v>
      </c>
    </row>
    <row r="38" ht="12.0" customHeight="1">
      <c r="A38" s="14">
        <v>9.0</v>
      </c>
      <c r="B38" s="15" t="s">
        <v>1312</v>
      </c>
      <c r="C38" s="16" t="s">
        <v>4333</v>
      </c>
      <c r="D38" s="15" t="s">
        <v>4334</v>
      </c>
      <c r="E38" s="15" t="s">
        <v>4335</v>
      </c>
      <c r="F38" s="15" t="s">
        <v>1313</v>
      </c>
    </row>
    <row r="39" ht="12.0" customHeight="1">
      <c r="A39" s="14">
        <v>9.0</v>
      </c>
      <c r="B39" s="15" t="s">
        <v>1314</v>
      </c>
      <c r="C39" s="16" t="s">
        <v>4336</v>
      </c>
      <c r="D39" s="15" t="s">
        <v>4337</v>
      </c>
      <c r="E39" s="15" t="s">
        <v>4338</v>
      </c>
      <c r="F39" s="15" t="s">
        <v>1315</v>
      </c>
    </row>
    <row r="40" ht="12.0" customHeight="1">
      <c r="A40" s="14">
        <v>9.0</v>
      </c>
      <c r="B40" s="15" t="s">
        <v>1316</v>
      </c>
      <c r="C40" s="16" t="s">
        <v>4339</v>
      </c>
      <c r="D40" s="15" t="s">
        <v>4340</v>
      </c>
      <c r="E40" s="15" t="s">
        <v>4341</v>
      </c>
      <c r="F40" s="15" t="s">
        <v>1317</v>
      </c>
    </row>
    <row r="41" ht="12.0" customHeight="1">
      <c r="A41" s="14">
        <v>9.0</v>
      </c>
      <c r="B41" s="15" t="s">
        <v>1318</v>
      </c>
      <c r="C41" s="16" t="s">
        <v>4342</v>
      </c>
      <c r="D41" s="15" t="s">
        <v>3251</v>
      </c>
      <c r="E41" s="15" t="s">
        <v>4343</v>
      </c>
      <c r="F41" s="15" t="s">
        <v>1319</v>
      </c>
    </row>
    <row r="42" ht="12.0" customHeight="1">
      <c r="A42" s="14">
        <v>9.0</v>
      </c>
      <c r="B42" s="15" t="s">
        <v>1320</v>
      </c>
      <c r="C42" s="16" t="s">
        <v>4344</v>
      </c>
      <c r="D42" s="15" t="s">
        <v>4345</v>
      </c>
      <c r="E42" s="15" t="s">
        <v>4346</v>
      </c>
      <c r="F42" s="15" t="s">
        <v>1321</v>
      </c>
    </row>
    <row r="43" ht="12.0" customHeight="1">
      <c r="A43" s="14">
        <v>9.0</v>
      </c>
      <c r="B43" s="15" t="s">
        <v>1322</v>
      </c>
      <c r="C43" s="16" t="s">
        <v>4347</v>
      </c>
      <c r="D43" s="15" t="s">
        <v>4348</v>
      </c>
      <c r="E43" s="15" t="s">
        <v>4349</v>
      </c>
      <c r="F43" s="15" t="s">
        <v>1323</v>
      </c>
    </row>
    <row r="44" ht="12.0" customHeight="1">
      <c r="A44" s="14">
        <v>9.0</v>
      </c>
      <c r="B44" s="15" t="s">
        <v>1324</v>
      </c>
      <c r="C44" s="16" t="s">
        <v>4350</v>
      </c>
      <c r="D44" s="15" t="s">
        <v>4351</v>
      </c>
      <c r="E44" s="15" t="s">
        <v>4352</v>
      </c>
      <c r="F44" s="15" t="s">
        <v>1325</v>
      </c>
    </row>
    <row r="45" ht="12.0" customHeight="1">
      <c r="A45" s="14">
        <v>9.0</v>
      </c>
      <c r="B45" s="15" t="s">
        <v>1326</v>
      </c>
      <c r="C45" s="16" t="s">
        <v>4353</v>
      </c>
      <c r="D45" s="15" t="s">
        <v>4354</v>
      </c>
      <c r="E45" s="15" t="s">
        <v>4355</v>
      </c>
      <c r="F45" s="15" t="s">
        <v>1327</v>
      </c>
    </row>
    <row r="46" ht="12.0" customHeight="1">
      <c r="A46" s="14">
        <v>9.0</v>
      </c>
      <c r="B46" s="15" t="s">
        <v>1328</v>
      </c>
      <c r="C46" s="16" t="s">
        <v>4356</v>
      </c>
      <c r="D46" s="15" t="s">
        <v>4357</v>
      </c>
      <c r="E46" s="15" t="s">
        <v>4358</v>
      </c>
      <c r="F46" s="15" t="s">
        <v>1329</v>
      </c>
    </row>
    <row r="47" ht="12.0" customHeight="1">
      <c r="A47" s="14">
        <v>9.0</v>
      </c>
      <c r="B47" s="15" t="s">
        <v>1330</v>
      </c>
      <c r="C47" s="16" t="s">
        <v>4359</v>
      </c>
      <c r="D47" s="15" t="s">
        <v>4360</v>
      </c>
      <c r="E47" s="15" t="s">
        <v>4361</v>
      </c>
      <c r="F47" s="15" t="s">
        <v>1331</v>
      </c>
    </row>
    <row r="48" ht="12.0" customHeight="1">
      <c r="A48" s="14">
        <v>9.0</v>
      </c>
      <c r="B48" s="15" t="s">
        <v>1332</v>
      </c>
      <c r="C48" s="16" t="s">
        <v>4362</v>
      </c>
      <c r="D48" s="15" t="s">
        <v>4363</v>
      </c>
      <c r="E48" s="15" t="s">
        <v>4364</v>
      </c>
      <c r="F48" s="15" t="s">
        <v>1333</v>
      </c>
    </row>
    <row r="49" ht="15.75" customHeight="1">
      <c r="A49" s="14">
        <v>9.0</v>
      </c>
      <c r="B49" s="15" t="s">
        <v>1334</v>
      </c>
      <c r="C49" s="16" t="s">
        <v>4365</v>
      </c>
      <c r="D49" s="15" t="s">
        <v>4366</v>
      </c>
      <c r="E49" s="15" t="s">
        <v>4367</v>
      </c>
      <c r="F49" s="15" t="s">
        <v>1335</v>
      </c>
    </row>
    <row r="50" ht="7.5" customHeight="1">
      <c r="A50" s="17" t="s">
        <v>4368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71"/>
    <col customWidth="1" min="3" max="3" width="17.57"/>
    <col customWidth="1" min="4" max="4" width="20.14"/>
    <col customWidth="1" min="5" max="5" width="19.86"/>
    <col customWidth="1" min="6" max="6" width="35.86"/>
    <col customWidth="1" min="7" max="7" width="23.86"/>
    <col customWidth="1" min="8" max="26" width="9.0"/>
  </cols>
  <sheetData>
    <row r="1" ht="6.0" customHeight="1">
      <c r="A1" s="8" t="s">
        <v>2396</v>
      </c>
    </row>
    <row r="2" ht="15.75" customHeight="1">
      <c r="A2" s="18">
        <v>9.0</v>
      </c>
      <c r="B2" s="15" t="s">
        <v>1336</v>
      </c>
      <c r="C2" s="16" t="s">
        <v>4369</v>
      </c>
      <c r="D2" s="15" t="s">
        <v>4370</v>
      </c>
      <c r="E2" s="15" t="s">
        <v>4371</v>
      </c>
      <c r="F2" s="15" t="s">
        <v>1337</v>
      </c>
    </row>
    <row r="3" ht="12.0" customHeight="1">
      <c r="A3" s="18">
        <v>9.0</v>
      </c>
      <c r="B3" s="15" t="s">
        <v>1338</v>
      </c>
      <c r="C3" s="16" t="s">
        <v>4372</v>
      </c>
      <c r="D3" s="15" t="s">
        <v>4373</v>
      </c>
      <c r="E3" s="15" t="s">
        <v>4374</v>
      </c>
      <c r="F3" s="15" t="s">
        <v>1339</v>
      </c>
    </row>
    <row r="4" ht="12.0" customHeight="1">
      <c r="A4" s="18">
        <v>9.0</v>
      </c>
      <c r="B4" s="15" t="s">
        <v>1340</v>
      </c>
      <c r="C4" s="16" t="s">
        <v>4375</v>
      </c>
      <c r="D4" s="15" t="s">
        <v>4376</v>
      </c>
      <c r="E4" s="15" t="s">
        <v>3611</v>
      </c>
      <c r="F4" s="15" t="s">
        <v>1341</v>
      </c>
    </row>
    <row r="5" ht="12.0" customHeight="1">
      <c r="A5" s="18">
        <v>9.0</v>
      </c>
      <c r="B5" s="15" t="s">
        <v>1342</v>
      </c>
      <c r="C5" s="16" t="s">
        <v>4377</v>
      </c>
      <c r="D5" s="15" t="s">
        <v>4378</v>
      </c>
      <c r="E5" s="15" t="s">
        <v>4379</v>
      </c>
      <c r="F5" s="15" t="s">
        <v>1343</v>
      </c>
    </row>
    <row r="6" ht="12.0" customHeight="1">
      <c r="A6" s="18">
        <v>9.0</v>
      </c>
      <c r="B6" s="15" t="s">
        <v>1344</v>
      </c>
      <c r="C6" s="16" t="s">
        <v>4380</v>
      </c>
      <c r="D6" s="15" t="s">
        <v>4381</v>
      </c>
      <c r="E6" s="15" t="s">
        <v>4381</v>
      </c>
      <c r="F6" s="15" t="s">
        <v>1345</v>
      </c>
    </row>
    <row r="7" ht="12.0" customHeight="1">
      <c r="A7" s="18">
        <v>9.0</v>
      </c>
      <c r="B7" s="15" t="s">
        <v>1346</v>
      </c>
      <c r="C7" s="16" t="s">
        <v>4382</v>
      </c>
      <c r="D7" s="15" t="s">
        <v>4383</v>
      </c>
      <c r="E7" s="15" t="s">
        <v>4384</v>
      </c>
      <c r="F7" s="15" t="s">
        <v>1347</v>
      </c>
    </row>
    <row r="8" ht="12.0" customHeight="1">
      <c r="A8" s="18">
        <v>9.0</v>
      </c>
      <c r="B8" s="15" t="s">
        <v>1348</v>
      </c>
      <c r="C8" s="16" t="s">
        <v>4385</v>
      </c>
      <c r="D8" s="15" t="s">
        <v>3903</v>
      </c>
      <c r="E8" s="15" t="s">
        <v>3904</v>
      </c>
      <c r="F8" s="15" t="s">
        <v>1349</v>
      </c>
    </row>
    <row r="9" ht="12.0" customHeight="1">
      <c r="A9" s="18">
        <v>9.0</v>
      </c>
      <c r="B9" s="15" t="s">
        <v>1350</v>
      </c>
      <c r="C9" s="16" t="s">
        <v>4386</v>
      </c>
      <c r="D9" s="15" t="s">
        <v>4387</v>
      </c>
      <c r="E9" s="15" t="s">
        <v>4388</v>
      </c>
      <c r="F9" s="15" t="s">
        <v>1351</v>
      </c>
    </row>
    <row r="10" ht="11.25" customHeight="1">
      <c r="A10" s="18">
        <v>9.0</v>
      </c>
      <c r="B10" s="15" t="s">
        <v>1352</v>
      </c>
      <c r="C10" s="16" t="s">
        <v>4389</v>
      </c>
      <c r="D10" s="15" t="s">
        <v>4390</v>
      </c>
      <c r="E10" s="15" t="s">
        <v>3201</v>
      </c>
      <c r="F10" s="15" t="s">
        <v>1353</v>
      </c>
    </row>
    <row r="11" ht="12.0" customHeight="1">
      <c r="A11" s="18">
        <v>9.0</v>
      </c>
      <c r="B11" s="15" t="s">
        <v>1354</v>
      </c>
      <c r="C11" s="16" t="s">
        <v>4391</v>
      </c>
      <c r="D11" s="15" t="s">
        <v>4392</v>
      </c>
      <c r="E11" s="15" t="s">
        <v>4392</v>
      </c>
      <c r="F11" s="15" t="s">
        <v>1355</v>
      </c>
    </row>
    <row r="12" ht="12.0" customHeight="1">
      <c r="A12" s="18">
        <v>9.0</v>
      </c>
      <c r="B12" s="15" t="s">
        <v>1356</v>
      </c>
      <c r="C12" s="16" t="s">
        <v>4393</v>
      </c>
      <c r="D12" s="15" t="s">
        <v>4394</v>
      </c>
      <c r="E12" s="15" t="s">
        <v>4395</v>
      </c>
      <c r="F12" s="15" t="s">
        <v>1357</v>
      </c>
    </row>
    <row r="13" ht="12.0" customHeight="1">
      <c r="A13" s="18">
        <v>9.0</v>
      </c>
      <c r="B13" s="15" t="s">
        <v>1358</v>
      </c>
      <c r="C13" s="16" t="s">
        <v>4396</v>
      </c>
      <c r="D13" s="15" t="s">
        <v>4397</v>
      </c>
      <c r="E13" s="15" t="s">
        <v>4398</v>
      </c>
      <c r="F13" s="15" t="s">
        <v>1359</v>
      </c>
    </row>
    <row r="14" ht="12.0" customHeight="1">
      <c r="A14" s="18">
        <v>9.0</v>
      </c>
      <c r="B14" s="15" t="s">
        <v>1360</v>
      </c>
      <c r="C14" s="16" t="s">
        <v>4399</v>
      </c>
      <c r="D14" s="15" t="s">
        <v>4400</v>
      </c>
      <c r="E14" s="15" t="s">
        <v>4401</v>
      </c>
      <c r="F14" s="15" t="s">
        <v>1361</v>
      </c>
    </row>
    <row r="15" ht="12.0" customHeight="1">
      <c r="A15" s="18">
        <v>9.0</v>
      </c>
      <c r="B15" s="15" t="s">
        <v>1362</v>
      </c>
      <c r="C15" s="16" t="s">
        <v>4402</v>
      </c>
      <c r="D15" s="15" t="s">
        <v>4403</v>
      </c>
      <c r="E15" s="15" t="s">
        <v>4404</v>
      </c>
      <c r="F15" s="15" t="s">
        <v>1363</v>
      </c>
    </row>
    <row r="16" ht="12.0" customHeight="1">
      <c r="A16" s="18">
        <v>9.0</v>
      </c>
      <c r="B16" s="15" t="s">
        <v>1364</v>
      </c>
      <c r="C16" s="16" t="s">
        <v>4405</v>
      </c>
      <c r="D16" s="15" t="s">
        <v>4406</v>
      </c>
      <c r="E16" s="15" t="s">
        <v>4407</v>
      </c>
      <c r="F16" s="15" t="s">
        <v>1365</v>
      </c>
    </row>
    <row r="17" ht="12.0" customHeight="1">
      <c r="A17" s="18">
        <v>9.0</v>
      </c>
      <c r="B17" s="15" t="s">
        <v>1366</v>
      </c>
      <c r="C17" s="16" t="s">
        <v>4408</v>
      </c>
      <c r="D17" s="15" t="s">
        <v>4409</v>
      </c>
      <c r="E17" s="15" t="s">
        <v>4410</v>
      </c>
      <c r="F17" s="15" t="s">
        <v>1367</v>
      </c>
    </row>
    <row r="18" ht="12.0" customHeight="1">
      <c r="A18" s="18">
        <v>9.0</v>
      </c>
      <c r="B18" s="15" t="s">
        <v>1368</v>
      </c>
      <c r="C18" s="16" t="s">
        <v>4411</v>
      </c>
      <c r="D18" s="15" t="s">
        <v>4412</v>
      </c>
      <c r="E18" s="15" t="s">
        <v>4413</v>
      </c>
      <c r="F18" s="15" t="s">
        <v>1369</v>
      </c>
    </row>
    <row r="19" ht="12.0" customHeight="1">
      <c r="A19" s="18">
        <v>9.0</v>
      </c>
      <c r="B19" s="15" t="s">
        <v>1370</v>
      </c>
      <c r="C19" s="16" t="s">
        <v>4414</v>
      </c>
      <c r="D19" s="15" t="s">
        <v>4415</v>
      </c>
      <c r="E19" s="15" t="s">
        <v>4415</v>
      </c>
      <c r="F19" s="15" t="s">
        <v>1371</v>
      </c>
    </row>
    <row r="20" ht="12.0" customHeight="1">
      <c r="A20" s="18">
        <v>9.0</v>
      </c>
      <c r="B20" s="15" t="s">
        <v>1372</v>
      </c>
      <c r="C20" s="16" t="s">
        <v>4416</v>
      </c>
      <c r="D20" s="15" t="s">
        <v>4417</v>
      </c>
      <c r="E20" s="15" t="s">
        <v>4418</v>
      </c>
      <c r="F20" s="15" t="s">
        <v>1373</v>
      </c>
    </row>
    <row r="21" ht="12.0" customHeight="1">
      <c r="A21" s="18">
        <v>9.0</v>
      </c>
      <c r="B21" s="15" t="s">
        <v>1374</v>
      </c>
      <c r="C21" s="16" t="s">
        <v>4419</v>
      </c>
      <c r="D21" s="15" t="s">
        <v>4420</v>
      </c>
      <c r="E21" s="15" t="s">
        <v>4421</v>
      </c>
      <c r="F21" s="15" t="s">
        <v>1375</v>
      </c>
    </row>
    <row r="22" ht="12.0" customHeight="1">
      <c r="A22" s="18">
        <v>9.0</v>
      </c>
      <c r="B22" s="15" t="s">
        <v>1376</v>
      </c>
      <c r="C22" s="16" t="s">
        <v>4422</v>
      </c>
      <c r="D22" s="15" t="s">
        <v>4423</v>
      </c>
      <c r="E22" s="15" t="s">
        <v>4424</v>
      </c>
      <c r="F22" s="15" t="s">
        <v>1377</v>
      </c>
    </row>
    <row r="23" ht="12.0" customHeight="1">
      <c r="A23" s="18">
        <v>9.0</v>
      </c>
      <c r="B23" s="15" t="s">
        <v>1378</v>
      </c>
      <c r="C23" s="16" t="s">
        <v>4425</v>
      </c>
      <c r="D23" s="15" t="s">
        <v>4426</v>
      </c>
      <c r="E23" s="15" t="s">
        <v>4427</v>
      </c>
      <c r="F23" s="15" t="s">
        <v>1379</v>
      </c>
    </row>
    <row r="24" ht="12.0" customHeight="1">
      <c r="A24" s="18">
        <v>9.0</v>
      </c>
      <c r="B24" s="15" t="s">
        <v>1380</v>
      </c>
      <c r="C24" s="16" t="s">
        <v>4428</v>
      </c>
      <c r="D24" s="15" t="s">
        <v>4429</v>
      </c>
      <c r="E24" s="15" t="s">
        <v>4430</v>
      </c>
      <c r="F24" s="15" t="s">
        <v>1381</v>
      </c>
    </row>
    <row r="25" ht="12.0" customHeight="1">
      <c r="A25" s="18">
        <v>9.0</v>
      </c>
      <c r="B25" s="15" t="s">
        <v>1382</v>
      </c>
      <c r="C25" s="16" t="s">
        <v>4431</v>
      </c>
      <c r="D25" s="15" t="s">
        <v>3090</v>
      </c>
      <c r="E25" s="15" t="s">
        <v>4432</v>
      </c>
      <c r="F25" s="15" t="s">
        <v>1383</v>
      </c>
    </row>
    <row r="26" ht="12.0" customHeight="1">
      <c r="A26" s="18">
        <v>9.0</v>
      </c>
      <c r="B26" s="15" t="s">
        <v>1384</v>
      </c>
      <c r="C26" s="16" t="s">
        <v>4433</v>
      </c>
      <c r="D26" s="15" t="s">
        <v>4434</v>
      </c>
      <c r="E26" s="15" t="s">
        <v>4435</v>
      </c>
      <c r="F26" s="15" t="s">
        <v>1385</v>
      </c>
    </row>
    <row r="27" ht="12.0" customHeight="1">
      <c r="A27" s="18">
        <v>9.0</v>
      </c>
      <c r="B27" s="15" t="s">
        <v>1386</v>
      </c>
      <c r="C27" s="16" t="s">
        <v>4436</v>
      </c>
      <c r="D27" s="15" t="s">
        <v>4437</v>
      </c>
      <c r="E27" s="15" t="s">
        <v>4438</v>
      </c>
      <c r="F27" s="15" t="s">
        <v>1387</v>
      </c>
    </row>
    <row r="28" ht="12.0" customHeight="1">
      <c r="A28" s="18">
        <v>9.0</v>
      </c>
      <c r="B28" s="15" t="s">
        <v>1388</v>
      </c>
      <c r="C28" s="16" t="s">
        <v>4439</v>
      </c>
      <c r="D28" s="15" t="s">
        <v>4440</v>
      </c>
      <c r="E28" s="15" t="s">
        <v>4441</v>
      </c>
      <c r="F28" s="15" t="s">
        <v>1389</v>
      </c>
    </row>
    <row r="29" ht="12.0" customHeight="1">
      <c r="A29" s="18">
        <v>9.0</v>
      </c>
      <c r="B29" s="15" t="s">
        <v>1390</v>
      </c>
      <c r="C29" s="16" t="s">
        <v>4442</v>
      </c>
      <c r="D29" s="15" t="s">
        <v>4443</v>
      </c>
      <c r="E29" s="15" t="s">
        <v>4444</v>
      </c>
      <c r="F29" s="15" t="s">
        <v>1391</v>
      </c>
    </row>
    <row r="30" ht="12.0" customHeight="1">
      <c r="A30" s="18">
        <v>9.0</v>
      </c>
      <c r="B30" s="15" t="s">
        <v>1392</v>
      </c>
      <c r="C30" s="16" t="s">
        <v>4445</v>
      </c>
      <c r="D30" s="15" t="s">
        <v>4446</v>
      </c>
      <c r="E30" s="15" t="s">
        <v>4447</v>
      </c>
      <c r="F30" s="15" t="s">
        <v>1393</v>
      </c>
    </row>
    <row r="31" ht="12.0" customHeight="1">
      <c r="A31" s="18">
        <v>9.0</v>
      </c>
      <c r="B31" s="15" t="s">
        <v>1394</v>
      </c>
      <c r="C31" s="16" t="s">
        <v>4448</v>
      </c>
      <c r="D31" s="15" t="s">
        <v>4449</v>
      </c>
      <c r="E31" s="15" t="s">
        <v>4450</v>
      </c>
      <c r="F31" s="15" t="s">
        <v>1395</v>
      </c>
    </row>
    <row r="32" ht="12.0" customHeight="1">
      <c r="A32" s="18">
        <v>9.0</v>
      </c>
      <c r="B32" s="15" t="s">
        <v>1396</v>
      </c>
      <c r="C32" s="16" t="s">
        <v>4451</v>
      </c>
      <c r="D32" s="15" t="s">
        <v>4452</v>
      </c>
      <c r="E32" s="15" t="s">
        <v>4453</v>
      </c>
      <c r="F32" s="15" t="s">
        <v>1397</v>
      </c>
    </row>
    <row r="33" ht="12.0" customHeight="1">
      <c r="A33" s="18">
        <v>9.0</v>
      </c>
      <c r="B33" s="15" t="s">
        <v>1398</v>
      </c>
      <c r="C33" s="16" t="s">
        <v>4454</v>
      </c>
      <c r="D33" s="15" t="s">
        <v>4455</v>
      </c>
      <c r="E33" s="15" t="s">
        <v>4456</v>
      </c>
      <c r="F33" s="15" t="s">
        <v>1399</v>
      </c>
    </row>
    <row r="34" ht="12.0" customHeight="1">
      <c r="A34" s="18">
        <v>9.0</v>
      </c>
      <c r="B34" s="15" t="s">
        <v>1400</v>
      </c>
      <c r="C34" s="16" t="s">
        <v>4457</v>
      </c>
      <c r="D34" s="15" t="s">
        <v>4458</v>
      </c>
      <c r="E34" s="15" t="s">
        <v>4459</v>
      </c>
      <c r="F34" s="15" t="s">
        <v>1401</v>
      </c>
    </row>
    <row r="35" ht="12.0" customHeight="1">
      <c r="A35" s="18">
        <v>9.0</v>
      </c>
      <c r="B35" s="15" t="s">
        <v>1402</v>
      </c>
      <c r="C35" s="16" t="s">
        <v>4460</v>
      </c>
      <c r="D35" s="15" t="s">
        <v>4461</v>
      </c>
      <c r="E35" s="15" t="s">
        <v>4462</v>
      </c>
      <c r="F35" s="15" t="s">
        <v>1403</v>
      </c>
    </row>
    <row r="36" ht="12.0" customHeight="1">
      <c r="A36" s="18">
        <v>9.0</v>
      </c>
      <c r="B36" s="15" t="s">
        <v>1404</v>
      </c>
      <c r="C36" s="16" t="s">
        <v>4463</v>
      </c>
      <c r="D36" s="15" t="s">
        <v>4464</v>
      </c>
      <c r="E36" s="15" t="s">
        <v>4465</v>
      </c>
      <c r="F36" s="15" t="s">
        <v>1405</v>
      </c>
    </row>
    <row r="37" ht="12.0" customHeight="1">
      <c r="A37" s="18">
        <v>9.0</v>
      </c>
      <c r="B37" s="15" t="s">
        <v>1406</v>
      </c>
      <c r="C37" s="16" t="s">
        <v>4466</v>
      </c>
      <c r="D37" s="15" t="s">
        <v>4467</v>
      </c>
      <c r="E37" s="15" t="s">
        <v>4468</v>
      </c>
      <c r="F37" s="15" t="s">
        <v>1407</v>
      </c>
    </row>
    <row r="38" ht="12.0" customHeight="1">
      <c r="A38" s="18">
        <v>9.0</v>
      </c>
      <c r="B38" s="15" t="s">
        <v>1408</v>
      </c>
      <c r="C38" s="16" t="s">
        <v>4469</v>
      </c>
      <c r="D38" s="15" t="s">
        <v>4470</v>
      </c>
      <c r="E38" s="15" t="s">
        <v>4471</v>
      </c>
      <c r="F38" s="15" t="s">
        <v>1409</v>
      </c>
    </row>
    <row r="39" ht="12.0" customHeight="1">
      <c r="A39" s="18">
        <v>9.0</v>
      </c>
      <c r="B39" s="15" t="s">
        <v>1410</v>
      </c>
      <c r="C39" s="16" t="s">
        <v>4472</v>
      </c>
      <c r="D39" s="15" t="s">
        <v>4473</v>
      </c>
      <c r="E39" s="15" t="s">
        <v>4474</v>
      </c>
      <c r="F39" s="15" t="s">
        <v>1411</v>
      </c>
    </row>
    <row r="40" ht="12.0" customHeight="1">
      <c r="A40" s="18">
        <v>9.0</v>
      </c>
      <c r="B40" s="15" t="s">
        <v>1412</v>
      </c>
      <c r="C40" s="16" t="s">
        <v>4475</v>
      </c>
      <c r="D40" s="15" t="s">
        <v>4476</v>
      </c>
      <c r="E40" s="15" t="s">
        <v>4477</v>
      </c>
      <c r="F40" s="15" t="s">
        <v>1413</v>
      </c>
    </row>
    <row r="41" ht="12.0" customHeight="1">
      <c r="A41" s="18">
        <v>9.0</v>
      </c>
      <c r="B41" s="15" t="s">
        <v>1414</v>
      </c>
      <c r="C41" s="16" t="s">
        <v>4478</v>
      </c>
      <c r="D41" s="15" t="s">
        <v>4479</v>
      </c>
      <c r="E41" s="15" t="s">
        <v>4480</v>
      </c>
      <c r="F41" s="15" t="s">
        <v>1415</v>
      </c>
    </row>
    <row r="42" ht="12.0" customHeight="1">
      <c r="A42" s="18">
        <v>9.0</v>
      </c>
      <c r="B42" s="15" t="s">
        <v>1416</v>
      </c>
      <c r="C42" s="16" t="s">
        <v>4481</v>
      </c>
      <c r="D42" s="15" t="s">
        <v>4482</v>
      </c>
      <c r="E42" s="15" t="s">
        <v>4483</v>
      </c>
      <c r="F42" s="15" t="s">
        <v>1417</v>
      </c>
    </row>
    <row r="43" ht="12.0" customHeight="1">
      <c r="A43" s="18">
        <v>9.0</v>
      </c>
      <c r="B43" s="15" t="s">
        <v>1418</v>
      </c>
      <c r="C43" s="16" t="s">
        <v>4484</v>
      </c>
      <c r="D43" s="15" t="s">
        <v>4485</v>
      </c>
      <c r="E43" s="15" t="s">
        <v>4486</v>
      </c>
      <c r="F43" s="15" t="s">
        <v>1419</v>
      </c>
    </row>
    <row r="44" ht="12.0" customHeight="1">
      <c r="A44" s="18">
        <v>9.0</v>
      </c>
      <c r="B44" s="15" t="s">
        <v>1420</v>
      </c>
      <c r="C44" s="16" t="s">
        <v>4487</v>
      </c>
      <c r="D44" s="15" t="s">
        <v>4488</v>
      </c>
      <c r="E44" s="15" t="s">
        <v>4489</v>
      </c>
      <c r="F44" s="15" t="s">
        <v>1421</v>
      </c>
    </row>
    <row r="45" ht="12.0" customHeight="1">
      <c r="A45" s="18">
        <v>9.0</v>
      </c>
      <c r="B45" s="15" t="s">
        <v>1422</v>
      </c>
      <c r="C45" s="16" t="s">
        <v>4490</v>
      </c>
      <c r="D45" s="15" t="s">
        <v>4491</v>
      </c>
      <c r="E45" s="15" t="s">
        <v>4492</v>
      </c>
      <c r="F45" s="15" t="s">
        <v>1423</v>
      </c>
    </row>
    <row r="46" ht="12.0" customHeight="1">
      <c r="A46" s="18">
        <v>9.0</v>
      </c>
      <c r="B46" s="15" t="s">
        <v>1424</v>
      </c>
      <c r="C46" s="16" t="s">
        <v>4493</v>
      </c>
      <c r="D46" s="15" t="s">
        <v>4494</v>
      </c>
      <c r="E46" s="15" t="s">
        <v>4495</v>
      </c>
      <c r="F46" s="15" t="s">
        <v>1425</v>
      </c>
    </row>
    <row r="47" ht="12.0" customHeight="1">
      <c r="A47" s="18">
        <v>9.0</v>
      </c>
      <c r="B47" s="15" t="s">
        <v>1426</v>
      </c>
      <c r="C47" s="16" t="s">
        <v>4496</v>
      </c>
      <c r="D47" s="15" t="s">
        <v>4497</v>
      </c>
      <c r="E47" s="15" t="s">
        <v>4498</v>
      </c>
      <c r="F47" s="15" t="s">
        <v>1427</v>
      </c>
    </row>
    <row r="48" ht="12.0" customHeight="1">
      <c r="A48" s="18">
        <v>9.0</v>
      </c>
      <c r="B48" s="15" t="s">
        <v>1428</v>
      </c>
      <c r="C48" s="16" t="s">
        <v>4499</v>
      </c>
      <c r="D48" s="15" t="s">
        <v>4500</v>
      </c>
      <c r="E48" s="15" t="s">
        <v>4501</v>
      </c>
      <c r="F48" s="15" t="s">
        <v>1429</v>
      </c>
    </row>
    <row r="49" ht="11.25" customHeight="1">
      <c r="A49" s="18">
        <v>9.0</v>
      </c>
      <c r="B49" s="15" t="s">
        <v>1430</v>
      </c>
      <c r="C49" s="16" t="s">
        <v>4502</v>
      </c>
      <c r="D49" s="15" t="s">
        <v>4503</v>
      </c>
      <c r="E49" s="15" t="s">
        <v>4504</v>
      </c>
      <c r="F49" s="15" t="s">
        <v>1431</v>
      </c>
    </row>
    <row r="50" ht="16.5" customHeight="1">
      <c r="A50" s="18">
        <v>9.0</v>
      </c>
      <c r="B50" s="15" t="s">
        <v>1432</v>
      </c>
      <c r="C50" s="16" t="s">
        <v>4505</v>
      </c>
      <c r="D50" s="15" t="s">
        <v>4506</v>
      </c>
      <c r="E50" s="15" t="s">
        <v>4507</v>
      </c>
      <c r="F50" s="15" t="s">
        <v>1433</v>
      </c>
    </row>
    <row r="51" ht="7.5" customHeight="1">
      <c r="A51" s="17" t="s">
        <v>4508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1:G5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6.86"/>
    <col customWidth="1" min="3" max="3" width="17.86"/>
    <col customWidth="1" min="4" max="4" width="18.71"/>
    <col customWidth="1" min="5" max="5" width="20.86"/>
    <col customWidth="1" min="6" max="6" width="56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4">
        <v>9.0</v>
      </c>
      <c r="B2" s="15" t="s">
        <v>1434</v>
      </c>
      <c r="C2" s="16" t="s">
        <v>4509</v>
      </c>
      <c r="D2" s="15" t="s">
        <v>4415</v>
      </c>
      <c r="E2" s="15" t="s">
        <v>4415</v>
      </c>
      <c r="F2" s="15" t="s">
        <v>1435</v>
      </c>
    </row>
    <row r="3" ht="12.0" customHeight="1">
      <c r="A3" s="14">
        <v>9.0</v>
      </c>
      <c r="B3" s="15" t="s">
        <v>1436</v>
      </c>
      <c r="C3" s="16" t="s">
        <v>4510</v>
      </c>
      <c r="D3" s="15" t="s">
        <v>4511</v>
      </c>
      <c r="E3" s="15" t="s">
        <v>4512</v>
      </c>
      <c r="F3" s="15" t="s">
        <v>1437</v>
      </c>
    </row>
    <row r="4" ht="12.0" customHeight="1">
      <c r="A4" s="14">
        <v>9.0</v>
      </c>
      <c r="B4" s="15" t="s">
        <v>1438</v>
      </c>
      <c r="C4" s="16" t="s">
        <v>4513</v>
      </c>
      <c r="D4" s="15" t="s">
        <v>4514</v>
      </c>
      <c r="E4" s="15" t="s">
        <v>4515</v>
      </c>
      <c r="F4" s="15" t="s">
        <v>1439</v>
      </c>
    </row>
    <row r="5" ht="12.0" customHeight="1">
      <c r="A5" s="14">
        <v>9.0</v>
      </c>
      <c r="B5" s="15" t="s">
        <v>1440</v>
      </c>
      <c r="C5" s="16" t="s">
        <v>4516</v>
      </c>
      <c r="D5" s="15" t="s">
        <v>4517</v>
      </c>
      <c r="E5" s="15" t="s">
        <v>4518</v>
      </c>
      <c r="F5" s="15" t="s">
        <v>1441</v>
      </c>
    </row>
    <row r="6" ht="12.0" customHeight="1">
      <c r="A6" s="14">
        <v>9.0</v>
      </c>
      <c r="B6" s="15" t="s">
        <v>1442</v>
      </c>
      <c r="C6" s="16" t="s">
        <v>4519</v>
      </c>
      <c r="D6" s="15" t="s">
        <v>4520</v>
      </c>
      <c r="E6" s="15" t="s">
        <v>4521</v>
      </c>
      <c r="F6" s="15" t="s">
        <v>1443</v>
      </c>
    </row>
    <row r="7" ht="12.0" customHeight="1">
      <c r="A7" s="14">
        <v>9.0</v>
      </c>
      <c r="B7" s="15" t="s">
        <v>1444</v>
      </c>
      <c r="C7" s="16" t="s">
        <v>4522</v>
      </c>
      <c r="D7" s="15" t="s">
        <v>4523</v>
      </c>
      <c r="E7" s="15" t="s">
        <v>4524</v>
      </c>
      <c r="F7" s="15" t="s">
        <v>1445</v>
      </c>
    </row>
    <row r="8" ht="12.0" customHeight="1">
      <c r="A8" s="14">
        <v>9.0</v>
      </c>
      <c r="B8" s="15" t="s">
        <v>1446</v>
      </c>
      <c r="C8" s="16" t="s">
        <v>4525</v>
      </c>
      <c r="D8" s="15" t="s">
        <v>4526</v>
      </c>
      <c r="E8" s="15" t="s">
        <v>4527</v>
      </c>
      <c r="F8" s="15" t="s">
        <v>1447</v>
      </c>
    </row>
    <row r="9" ht="12.0" customHeight="1">
      <c r="A9" s="14">
        <v>9.0</v>
      </c>
      <c r="B9" s="15" t="s">
        <v>1448</v>
      </c>
      <c r="C9" s="16" t="s">
        <v>4528</v>
      </c>
      <c r="D9" s="15" t="s">
        <v>4529</v>
      </c>
      <c r="E9" s="15" t="s">
        <v>4530</v>
      </c>
      <c r="F9" s="15" t="s">
        <v>1449</v>
      </c>
    </row>
    <row r="10" ht="12.0" customHeight="1">
      <c r="A10" s="14">
        <v>9.0</v>
      </c>
      <c r="B10" s="15" t="s">
        <v>1450</v>
      </c>
      <c r="C10" s="16" t="s">
        <v>4531</v>
      </c>
      <c r="D10" s="15" t="s">
        <v>4532</v>
      </c>
      <c r="E10" s="15" t="s">
        <v>4533</v>
      </c>
      <c r="F10" s="15" t="s">
        <v>1451</v>
      </c>
    </row>
    <row r="11" ht="12.0" customHeight="1">
      <c r="A11" s="14">
        <v>9.0</v>
      </c>
      <c r="B11" s="15" t="s">
        <v>1452</v>
      </c>
      <c r="C11" s="16" t="s">
        <v>4534</v>
      </c>
      <c r="D11" s="15" t="s">
        <v>4535</v>
      </c>
      <c r="E11" s="15" t="s">
        <v>4535</v>
      </c>
      <c r="F11" s="15" t="s">
        <v>1453</v>
      </c>
    </row>
    <row r="12" ht="12.0" customHeight="1">
      <c r="A12" s="14">
        <v>9.0</v>
      </c>
      <c r="B12" s="15" t="s">
        <v>1454</v>
      </c>
      <c r="C12" s="16" t="s">
        <v>4536</v>
      </c>
      <c r="D12" s="15" t="s">
        <v>4537</v>
      </c>
      <c r="E12" s="15" t="s">
        <v>4538</v>
      </c>
      <c r="F12" s="15" t="s">
        <v>1455</v>
      </c>
    </row>
    <row r="13" ht="12.0" customHeight="1">
      <c r="A13" s="14">
        <v>9.0</v>
      </c>
      <c r="B13" s="15" t="s">
        <v>1456</v>
      </c>
      <c r="C13" s="16" t="s">
        <v>4539</v>
      </c>
      <c r="D13" s="15" t="s">
        <v>4540</v>
      </c>
      <c r="E13" s="15" t="s">
        <v>4541</v>
      </c>
      <c r="F13" s="15" t="s">
        <v>1457</v>
      </c>
    </row>
    <row r="14" ht="12.0" customHeight="1">
      <c r="A14" s="14">
        <v>9.0</v>
      </c>
      <c r="B14" s="15" t="s">
        <v>1458</v>
      </c>
      <c r="C14" s="16" t="s">
        <v>4542</v>
      </c>
      <c r="D14" s="15" t="s">
        <v>4543</v>
      </c>
      <c r="E14" s="15" t="s">
        <v>4544</v>
      </c>
      <c r="F14" s="15" t="s">
        <v>1459</v>
      </c>
    </row>
    <row r="15" ht="12.0" customHeight="1">
      <c r="A15" s="14">
        <v>9.0</v>
      </c>
      <c r="B15" s="15" t="s">
        <v>1460</v>
      </c>
      <c r="C15" s="16" t="s">
        <v>4545</v>
      </c>
      <c r="D15" s="15" t="s">
        <v>4546</v>
      </c>
      <c r="E15" s="15" t="s">
        <v>4547</v>
      </c>
      <c r="F15" s="15" t="s">
        <v>500</v>
      </c>
    </row>
    <row r="16" ht="12.0" customHeight="1">
      <c r="A16" s="14">
        <v>9.0</v>
      </c>
      <c r="B16" s="15" t="s">
        <v>1461</v>
      </c>
      <c r="C16" s="16" t="s">
        <v>4548</v>
      </c>
      <c r="D16" s="15" t="s">
        <v>4549</v>
      </c>
      <c r="E16" s="15" t="s">
        <v>4550</v>
      </c>
      <c r="F16" s="15" t="s">
        <v>1462</v>
      </c>
    </row>
    <row r="17" ht="12.0" customHeight="1">
      <c r="A17" s="14">
        <v>9.0</v>
      </c>
      <c r="B17" s="15" t="s">
        <v>1463</v>
      </c>
      <c r="C17" s="16" t="s">
        <v>4551</v>
      </c>
      <c r="D17" s="15" t="s">
        <v>4552</v>
      </c>
      <c r="E17" s="15" t="s">
        <v>4553</v>
      </c>
      <c r="F17" s="15" t="s">
        <v>1464</v>
      </c>
    </row>
    <row r="18" ht="12.0" customHeight="1">
      <c r="A18" s="14">
        <v>9.0</v>
      </c>
      <c r="B18" s="15" t="s">
        <v>1465</v>
      </c>
      <c r="C18" s="16" t="s">
        <v>4554</v>
      </c>
      <c r="D18" s="15" t="s">
        <v>4555</v>
      </c>
      <c r="E18" s="15" t="s">
        <v>4556</v>
      </c>
      <c r="F18" s="15" t="s">
        <v>1466</v>
      </c>
    </row>
    <row r="19" ht="12.0" customHeight="1">
      <c r="A19" s="14">
        <v>9.0</v>
      </c>
      <c r="B19" s="15" t="s">
        <v>1467</v>
      </c>
      <c r="C19" s="16" t="s">
        <v>4557</v>
      </c>
      <c r="D19" s="15" t="s">
        <v>4558</v>
      </c>
      <c r="E19" s="15" t="s">
        <v>4559</v>
      </c>
      <c r="F19" s="15" t="s">
        <v>1468</v>
      </c>
    </row>
    <row r="20" ht="12.0" customHeight="1">
      <c r="A20" s="14">
        <v>9.0</v>
      </c>
      <c r="B20" s="15" t="s">
        <v>1469</v>
      </c>
      <c r="C20" s="16" t="s">
        <v>4560</v>
      </c>
      <c r="D20" s="15" t="s">
        <v>4561</v>
      </c>
      <c r="E20" s="15" t="s">
        <v>4562</v>
      </c>
      <c r="F20" s="15" t="s">
        <v>1470</v>
      </c>
    </row>
    <row r="21" ht="12.0" customHeight="1">
      <c r="A21" s="14">
        <v>9.0</v>
      </c>
      <c r="B21" s="15" t="s">
        <v>1471</v>
      </c>
      <c r="C21" s="16" t="s">
        <v>4563</v>
      </c>
      <c r="D21" s="15" t="s">
        <v>4564</v>
      </c>
      <c r="E21" s="15" t="s">
        <v>4565</v>
      </c>
      <c r="F21" s="15" t="s">
        <v>1472</v>
      </c>
    </row>
    <row r="22" ht="12.0" customHeight="1">
      <c r="A22" s="14">
        <v>9.0</v>
      </c>
      <c r="B22" s="15" t="s">
        <v>1473</v>
      </c>
      <c r="C22" s="16" t="s">
        <v>4566</v>
      </c>
      <c r="D22" s="15" t="s">
        <v>4567</v>
      </c>
      <c r="E22" s="15" t="s">
        <v>4568</v>
      </c>
      <c r="F22" s="15" t="s">
        <v>1474</v>
      </c>
    </row>
    <row r="23" ht="12.0" customHeight="1">
      <c r="A23" s="14">
        <v>9.0</v>
      </c>
      <c r="B23" s="15" t="s">
        <v>1475</v>
      </c>
      <c r="C23" s="16" t="s">
        <v>4569</v>
      </c>
      <c r="D23" s="15" t="s">
        <v>4570</v>
      </c>
      <c r="E23" s="15" t="s">
        <v>4571</v>
      </c>
      <c r="F23" s="15" t="s">
        <v>1476</v>
      </c>
    </row>
    <row r="24" ht="12.0" customHeight="1">
      <c r="A24" s="14">
        <v>9.0</v>
      </c>
      <c r="B24" s="15" t="s">
        <v>1477</v>
      </c>
      <c r="C24" s="16" t="s">
        <v>4572</v>
      </c>
      <c r="D24" s="15" t="s">
        <v>4573</v>
      </c>
      <c r="E24" s="15" t="s">
        <v>4574</v>
      </c>
      <c r="F24" s="15" t="s">
        <v>1478</v>
      </c>
    </row>
    <row r="25" ht="12.0" customHeight="1">
      <c r="A25" s="14">
        <v>9.0</v>
      </c>
      <c r="B25" s="15" t="s">
        <v>1479</v>
      </c>
      <c r="C25" s="16" t="s">
        <v>4575</v>
      </c>
      <c r="D25" s="15" t="s">
        <v>4576</v>
      </c>
      <c r="E25" s="15" t="s">
        <v>4577</v>
      </c>
      <c r="F25" s="15" t="s">
        <v>1480</v>
      </c>
    </row>
    <row r="26" ht="12.0" customHeight="1">
      <c r="A26" s="14">
        <v>9.0</v>
      </c>
      <c r="B26" s="15" t="s">
        <v>1481</v>
      </c>
      <c r="C26" s="16" t="s">
        <v>4578</v>
      </c>
      <c r="D26" s="15" t="s">
        <v>4579</v>
      </c>
      <c r="E26" s="15" t="s">
        <v>4580</v>
      </c>
      <c r="F26" s="15" t="s">
        <v>1482</v>
      </c>
    </row>
    <row r="27" ht="12.0" customHeight="1">
      <c r="A27" s="14">
        <v>9.0</v>
      </c>
      <c r="B27" s="15" t="s">
        <v>1483</v>
      </c>
      <c r="C27" s="16" t="s">
        <v>4581</v>
      </c>
      <c r="D27" s="15" t="s">
        <v>4582</v>
      </c>
      <c r="E27" s="15" t="s">
        <v>4583</v>
      </c>
      <c r="F27" s="15" t="s">
        <v>1484</v>
      </c>
    </row>
    <row r="28" ht="23.25" customHeight="1">
      <c r="A28" s="19">
        <v>9.0</v>
      </c>
      <c r="B28" s="20" t="s">
        <v>1485</v>
      </c>
      <c r="C28" s="21" t="s">
        <v>4584</v>
      </c>
      <c r="D28" s="20" t="s">
        <v>4585</v>
      </c>
      <c r="E28" s="20" t="s">
        <v>4586</v>
      </c>
      <c r="F28" s="20" t="s">
        <v>1486</v>
      </c>
    </row>
    <row r="29" ht="12.0" customHeight="1">
      <c r="A29" s="25">
        <v>10.0</v>
      </c>
      <c r="B29" s="12" t="s">
        <v>1487</v>
      </c>
      <c r="C29" s="13" t="s">
        <v>4587</v>
      </c>
      <c r="D29" s="12" t="s">
        <v>4588</v>
      </c>
      <c r="E29" s="12" t="s">
        <v>4588</v>
      </c>
      <c r="F29" s="12" t="s">
        <v>53</v>
      </c>
    </row>
    <row r="30" ht="12.0" customHeight="1">
      <c r="A30" s="18">
        <v>10.0</v>
      </c>
      <c r="B30" s="15" t="s">
        <v>1488</v>
      </c>
      <c r="C30" s="16" t="s">
        <v>4589</v>
      </c>
      <c r="D30" s="15" t="s">
        <v>4590</v>
      </c>
      <c r="E30" s="15" t="s">
        <v>4591</v>
      </c>
      <c r="F30" s="15" t="s">
        <v>1489</v>
      </c>
    </row>
    <row r="31" ht="12.0" customHeight="1">
      <c r="A31" s="18">
        <v>10.0</v>
      </c>
      <c r="B31" s="15" t="s">
        <v>1490</v>
      </c>
      <c r="C31" s="16" t="s">
        <v>4592</v>
      </c>
      <c r="D31" s="15" t="s">
        <v>4593</v>
      </c>
      <c r="E31" s="15" t="s">
        <v>4594</v>
      </c>
      <c r="F31" s="15" t="s">
        <v>1491</v>
      </c>
    </row>
    <row r="32" ht="12.0" customHeight="1">
      <c r="A32" s="18">
        <v>10.0</v>
      </c>
      <c r="B32" s="15" t="s">
        <v>1492</v>
      </c>
      <c r="C32" s="16" t="s">
        <v>4595</v>
      </c>
      <c r="D32" s="15" t="s">
        <v>4596</v>
      </c>
      <c r="E32" s="15" t="s">
        <v>4597</v>
      </c>
      <c r="F32" s="15" t="s">
        <v>1493</v>
      </c>
    </row>
    <row r="33" ht="12.0" customHeight="1">
      <c r="A33" s="18">
        <v>10.0</v>
      </c>
      <c r="B33" s="15" t="s">
        <v>1494</v>
      </c>
      <c r="C33" s="16" t="s">
        <v>4598</v>
      </c>
      <c r="D33" s="15" t="s">
        <v>4599</v>
      </c>
      <c r="E33" s="15" t="s">
        <v>4600</v>
      </c>
      <c r="F33" s="15" t="s">
        <v>1495</v>
      </c>
    </row>
    <row r="34" ht="12.0" customHeight="1">
      <c r="A34" s="18">
        <v>10.0</v>
      </c>
      <c r="B34" s="15" t="s">
        <v>1496</v>
      </c>
      <c r="C34" s="16" t="s">
        <v>4601</v>
      </c>
      <c r="D34" s="15" t="s">
        <v>4602</v>
      </c>
      <c r="E34" s="15" t="s">
        <v>4603</v>
      </c>
      <c r="F34" s="15" t="s">
        <v>1497</v>
      </c>
    </row>
    <row r="35" ht="12.0" customHeight="1">
      <c r="A35" s="18">
        <v>10.0</v>
      </c>
      <c r="B35" s="15" t="s">
        <v>1498</v>
      </c>
      <c r="C35" s="16" t="s">
        <v>4604</v>
      </c>
      <c r="D35" s="15" t="s">
        <v>4605</v>
      </c>
      <c r="E35" s="15" t="s">
        <v>4606</v>
      </c>
      <c r="F35" s="15" t="s">
        <v>1499</v>
      </c>
    </row>
    <row r="36" ht="12.0" customHeight="1">
      <c r="A36" s="18">
        <v>10.0</v>
      </c>
      <c r="B36" s="15" t="s">
        <v>1500</v>
      </c>
      <c r="C36" s="16" t="s">
        <v>4607</v>
      </c>
      <c r="D36" s="15" t="s">
        <v>4608</v>
      </c>
      <c r="E36" s="15" t="s">
        <v>4608</v>
      </c>
      <c r="F36" s="15" t="s">
        <v>1501</v>
      </c>
    </row>
    <row r="37" ht="12.0" customHeight="1">
      <c r="A37" s="18">
        <v>10.0</v>
      </c>
      <c r="B37" s="15" t="s">
        <v>1502</v>
      </c>
      <c r="C37" s="16" t="s">
        <v>4609</v>
      </c>
      <c r="D37" s="15" t="s">
        <v>4610</v>
      </c>
      <c r="E37" s="15" t="s">
        <v>4611</v>
      </c>
      <c r="F37" s="15" t="s">
        <v>1503</v>
      </c>
    </row>
    <row r="38" ht="12.0" customHeight="1">
      <c r="A38" s="18">
        <v>10.0</v>
      </c>
      <c r="B38" s="15" t="s">
        <v>1504</v>
      </c>
      <c r="C38" s="16" t="s">
        <v>4612</v>
      </c>
      <c r="D38" s="15" t="s">
        <v>4613</v>
      </c>
      <c r="E38" s="15" t="s">
        <v>4614</v>
      </c>
      <c r="F38" s="15" t="s">
        <v>1505</v>
      </c>
    </row>
    <row r="39" ht="12.0" customHeight="1">
      <c r="A39" s="18">
        <v>10.0</v>
      </c>
      <c r="B39" s="15" t="s">
        <v>1506</v>
      </c>
      <c r="C39" s="16" t="s">
        <v>4615</v>
      </c>
      <c r="D39" s="15" t="s">
        <v>4616</v>
      </c>
      <c r="E39" s="15" t="s">
        <v>4617</v>
      </c>
      <c r="F39" s="15" t="s">
        <v>1507</v>
      </c>
    </row>
    <row r="40" ht="12.0" customHeight="1">
      <c r="A40" s="18">
        <v>10.0</v>
      </c>
      <c r="B40" s="15" t="s">
        <v>1508</v>
      </c>
      <c r="C40" s="16" t="s">
        <v>4618</v>
      </c>
      <c r="D40" s="15" t="s">
        <v>4619</v>
      </c>
      <c r="E40" s="15" t="s">
        <v>4620</v>
      </c>
      <c r="F40" s="15" t="s">
        <v>1509</v>
      </c>
    </row>
    <row r="41" ht="12.0" customHeight="1">
      <c r="A41" s="18">
        <v>10.0</v>
      </c>
      <c r="B41" s="15" t="s">
        <v>1510</v>
      </c>
      <c r="C41" s="16" t="s">
        <v>4621</v>
      </c>
      <c r="D41" s="15" t="s">
        <v>4622</v>
      </c>
      <c r="E41" s="15" t="s">
        <v>4623</v>
      </c>
      <c r="F41" s="15" t="s">
        <v>1511</v>
      </c>
    </row>
    <row r="42" ht="12.0" customHeight="1">
      <c r="A42" s="18">
        <v>10.0</v>
      </c>
      <c r="B42" s="15" t="s">
        <v>1512</v>
      </c>
      <c r="C42" s="16" t="s">
        <v>4624</v>
      </c>
      <c r="D42" s="15" t="s">
        <v>4625</v>
      </c>
      <c r="E42" s="15" t="s">
        <v>4626</v>
      </c>
      <c r="F42" s="15" t="s">
        <v>1513</v>
      </c>
    </row>
    <row r="43" ht="12.0" customHeight="1">
      <c r="A43" s="18">
        <v>10.0</v>
      </c>
      <c r="B43" s="15" t="s">
        <v>1514</v>
      </c>
      <c r="C43" s="16" t="s">
        <v>4627</v>
      </c>
      <c r="D43" s="15" t="s">
        <v>4628</v>
      </c>
      <c r="E43" s="15" t="s">
        <v>4629</v>
      </c>
      <c r="F43" s="15" t="s">
        <v>1515</v>
      </c>
    </row>
    <row r="44" ht="12.0" customHeight="1">
      <c r="A44" s="18">
        <v>10.0</v>
      </c>
      <c r="B44" s="15" t="s">
        <v>1516</v>
      </c>
      <c r="C44" s="16" t="s">
        <v>4630</v>
      </c>
      <c r="D44" s="15" t="s">
        <v>4631</v>
      </c>
      <c r="E44" s="15" t="s">
        <v>4632</v>
      </c>
      <c r="F44" s="15" t="s">
        <v>1517</v>
      </c>
    </row>
    <row r="45" ht="12.0" customHeight="1">
      <c r="A45" s="18">
        <v>10.0</v>
      </c>
      <c r="B45" s="15" t="s">
        <v>1518</v>
      </c>
      <c r="C45" s="16" t="s">
        <v>4633</v>
      </c>
      <c r="D45" s="15" t="s">
        <v>4634</v>
      </c>
      <c r="E45" s="15" t="s">
        <v>4635</v>
      </c>
      <c r="F45" s="15" t="s">
        <v>1519</v>
      </c>
    </row>
    <row r="46" ht="12.0" customHeight="1">
      <c r="A46" s="18">
        <v>10.0</v>
      </c>
      <c r="B46" s="15" t="s">
        <v>1520</v>
      </c>
      <c r="C46" s="16" t="s">
        <v>4636</v>
      </c>
      <c r="D46" s="15" t="s">
        <v>4637</v>
      </c>
      <c r="E46" s="15" t="s">
        <v>4638</v>
      </c>
      <c r="F46" s="15" t="s">
        <v>1521</v>
      </c>
    </row>
    <row r="47" ht="12.0" customHeight="1">
      <c r="A47" s="18">
        <v>10.0</v>
      </c>
      <c r="B47" s="15" t="s">
        <v>1522</v>
      </c>
      <c r="C47" s="16" t="s">
        <v>4639</v>
      </c>
      <c r="D47" s="15" t="s">
        <v>4640</v>
      </c>
      <c r="E47" s="15" t="s">
        <v>4641</v>
      </c>
      <c r="F47" s="15" t="s">
        <v>1523</v>
      </c>
    </row>
    <row r="48" ht="12.0" customHeight="1">
      <c r="A48" s="18">
        <v>10.0</v>
      </c>
      <c r="B48" s="15" t="s">
        <v>1524</v>
      </c>
      <c r="C48" s="16" t="s">
        <v>4642</v>
      </c>
      <c r="D48" s="15" t="s">
        <v>4643</v>
      </c>
      <c r="E48" s="15" t="s">
        <v>4644</v>
      </c>
      <c r="F48" s="15" t="s">
        <v>1525</v>
      </c>
    </row>
    <row r="49" ht="15.75" customHeight="1">
      <c r="A49" s="18">
        <v>10.0</v>
      </c>
      <c r="B49" s="15" t="s">
        <v>1526</v>
      </c>
      <c r="C49" s="16" t="s">
        <v>4645</v>
      </c>
      <c r="D49" s="15" t="s">
        <v>4646</v>
      </c>
      <c r="E49" s="15" t="s">
        <v>4647</v>
      </c>
      <c r="F49" s="15" t="s">
        <v>1527</v>
      </c>
    </row>
    <row r="50" ht="7.5" customHeight="1">
      <c r="A50" s="17" t="s">
        <v>4648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86"/>
    <col customWidth="1" min="3" max="3" width="17.86"/>
    <col customWidth="1" min="4" max="4" width="19.86"/>
    <col customWidth="1" min="5" max="5" width="18.71"/>
    <col customWidth="1" min="6" max="6" width="58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8">
        <v>10.0</v>
      </c>
      <c r="B2" s="15" t="s">
        <v>1528</v>
      </c>
      <c r="C2" s="16" t="s">
        <v>4649</v>
      </c>
      <c r="D2" s="15" t="s">
        <v>4650</v>
      </c>
      <c r="E2" s="15" t="s">
        <v>4651</v>
      </c>
      <c r="F2" s="15" t="s">
        <v>1529</v>
      </c>
    </row>
    <row r="3" ht="12.0" customHeight="1">
      <c r="A3" s="18">
        <v>10.0</v>
      </c>
      <c r="B3" s="15" t="s">
        <v>1530</v>
      </c>
      <c r="C3" s="16" t="s">
        <v>4652</v>
      </c>
      <c r="D3" s="15" t="s">
        <v>4653</v>
      </c>
      <c r="E3" s="15" t="s">
        <v>4654</v>
      </c>
      <c r="F3" s="15" t="s">
        <v>1531</v>
      </c>
    </row>
    <row r="4" ht="12.0" customHeight="1">
      <c r="A4" s="18">
        <v>10.0</v>
      </c>
      <c r="B4" s="15" t="s">
        <v>1532</v>
      </c>
      <c r="C4" s="16" t="s">
        <v>4655</v>
      </c>
      <c r="D4" s="15" t="s">
        <v>4656</v>
      </c>
      <c r="E4" s="15" t="s">
        <v>4657</v>
      </c>
      <c r="F4" s="15" t="s">
        <v>1533</v>
      </c>
    </row>
    <row r="5" ht="12.0" customHeight="1">
      <c r="A5" s="18">
        <v>10.0</v>
      </c>
      <c r="B5" s="15" t="s">
        <v>1534</v>
      </c>
      <c r="C5" s="16" t="s">
        <v>4658</v>
      </c>
      <c r="D5" s="15" t="s">
        <v>4659</v>
      </c>
      <c r="E5" s="15" t="s">
        <v>4660</v>
      </c>
      <c r="F5" s="15" t="s">
        <v>1535</v>
      </c>
    </row>
    <row r="6" ht="12.0" customHeight="1">
      <c r="A6" s="18">
        <v>10.0</v>
      </c>
      <c r="B6" s="15" t="s">
        <v>1536</v>
      </c>
      <c r="C6" s="16" t="s">
        <v>4661</v>
      </c>
      <c r="D6" s="15" t="s">
        <v>4662</v>
      </c>
      <c r="E6" s="15" t="s">
        <v>4663</v>
      </c>
      <c r="F6" s="15" t="s">
        <v>1537</v>
      </c>
    </row>
    <row r="7" ht="12.0" customHeight="1">
      <c r="A7" s="18">
        <v>10.0</v>
      </c>
      <c r="B7" s="15" t="s">
        <v>1538</v>
      </c>
      <c r="C7" s="16" t="s">
        <v>4664</v>
      </c>
      <c r="D7" s="15" t="s">
        <v>4665</v>
      </c>
      <c r="E7" s="15" t="s">
        <v>4666</v>
      </c>
      <c r="F7" s="15" t="s">
        <v>1539</v>
      </c>
    </row>
    <row r="8" ht="12.0" customHeight="1">
      <c r="A8" s="18">
        <v>10.0</v>
      </c>
      <c r="B8" s="15" t="s">
        <v>1540</v>
      </c>
      <c r="C8" s="16" t="s">
        <v>4667</v>
      </c>
      <c r="D8" s="15" t="s">
        <v>4668</v>
      </c>
      <c r="E8" s="15" t="s">
        <v>4669</v>
      </c>
      <c r="F8" s="15" t="s">
        <v>1541</v>
      </c>
    </row>
    <row r="9" ht="12.0" customHeight="1">
      <c r="A9" s="18">
        <v>10.0</v>
      </c>
      <c r="B9" s="15" t="s">
        <v>1542</v>
      </c>
      <c r="C9" s="16" t="s">
        <v>4670</v>
      </c>
      <c r="D9" s="15" t="s">
        <v>4671</v>
      </c>
      <c r="E9" s="15" t="s">
        <v>2522</v>
      </c>
      <c r="F9" s="15" t="s">
        <v>1543</v>
      </c>
    </row>
    <row r="10" ht="12.0" customHeight="1">
      <c r="A10" s="18">
        <v>10.0</v>
      </c>
      <c r="B10" s="15" t="s">
        <v>1544</v>
      </c>
      <c r="C10" s="16" t="s">
        <v>4672</v>
      </c>
      <c r="D10" s="15" t="s">
        <v>4673</v>
      </c>
      <c r="E10" s="15" t="s">
        <v>4674</v>
      </c>
      <c r="F10" s="15" t="s">
        <v>1545</v>
      </c>
    </row>
    <row r="11" ht="12.0" customHeight="1">
      <c r="A11" s="18">
        <v>10.0</v>
      </c>
      <c r="B11" s="15" t="s">
        <v>1546</v>
      </c>
      <c r="C11" s="16" t="s">
        <v>4675</v>
      </c>
      <c r="D11" s="15" t="s">
        <v>4676</v>
      </c>
      <c r="E11" s="15" t="s">
        <v>4677</v>
      </c>
      <c r="F11" s="15" t="s">
        <v>1547</v>
      </c>
    </row>
    <row r="12" ht="12.0" customHeight="1">
      <c r="A12" s="18">
        <v>10.0</v>
      </c>
      <c r="B12" s="15" t="s">
        <v>1548</v>
      </c>
      <c r="C12" s="16" t="s">
        <v>4678</v>
      </c>
      <c r="D12" s="15" t="s">
        <v>4679</v>
      </c>
      <c r="E12" s="15" t="s">
        <v>4680</v>
      </c>
      <c r="F12" s="15" t="s">
        <v>1549</v>
      </c>
    </row>
    <row r="13" ht="12.0" customHeight="1">
      <c r="A13" s="18">
        <v>10.0</v>
      </c>
      <c r="B13" s="15" t="s">
        <v>1550</v>
      </c>
      <c r="C13" s="16" t="s">
        <v>4681</v>
      </c>
      <c r="D13" s="15" t="s">
        <v>4682</v>
      </c>
      <c r="E13" s="15" t="s">
        <v>4683</v>
      </c>
      <c r="F13" s="15" t="s">
        <v>1551</v>
      </c>
    </row>
    <row r="14" ht="12.0" customHeight="1">
      <c r="A14" s="18">
        <v>10.0</v>
      </c>
      <c r="B14" s="15" t="s">
        <v>1552</v>
      </c>
      <c r="C14" s="16" t="s">
        <v>4684</v>
      </c>
      <c r="D14" s="15" t="s">
        <v>4685</v>
      </c>
      <c r="E14" s="15" t="s">
        <v>4686</v>
      </c>
      <c r="F14" s="15" t="s">
        <v>1553</v>
      </c>
    </row>
    <row r="15" ht="12.0" customHeight="1">
      <c r="A15" s="18">
        <v>10.0</v>
      </c>
      <c r="B15" s="15" t="s">
        <v>1554</v>
      </c>
      <c r="C15" s="16" t="s">
        <v>4687</v>
      </c>
      <c r="D15" s="15" t="s">
        <v>4688</v>
      </c>
      <c r="E15" s="15" t="s">
        <v>4689</v>
      </c>
      <c r="F15" s="15" t="s">
        <v>1555</v>
      </c>
    </row>
    <row r="16" ht="12.0" customHeight="1">
      <c r="A16" s="18">
        <v>10.0</v>
      </c>
      <c r="B16" s="15" t="s">
        <v>1556</v>
      </c>
      <c r="C16" s="16" t="s">
        <v>4690</v>
      </c>
      <c r="D16" s="15" t="s">
        <v>4691</v>
      </c>
      <c r="E16" s="15" t="s">
        <v>4692</v>
      </c>
      <c r="F16" s="15" t="s">
        <v>1557</v>
      </c>
    </row>
    <row r="17" ht="12.0" customHeight="1">
      <c r="A17" s="18">
        <v>10.0</v>
      </c>
      <c r="B17" s="15" t="s">
        <v>1558</v>
      </c>
      <c r="C17" s="16" t="s">
        <v>4693</v>
      </c>
      <c r="D17" s="15" t="s">
        <v>4694</v>
      </c>
      <c r="E17" s="15" t="s">
        <v>4695</v>
      </c>
      <c r="F17" s="15" t="s">
        <v>1559</v>
      </c>
    </row>
    <row r="18" ht="12.0" customHeight="1">
      <c r="A18" s="18">
        <v>10.0</v>
      </c>
      <c r="B18" s="15" t="s">
        <v>1560</v>
      </c>
      <c r="C18" s="16" t="s">
        <v>4696</v>
      </c>
      <c r="D18" s="15" t="s">
        <v>4697</v>
      </c>
      <c r="E18" s="15" t="s">
        <v>4697</v>
      </c>
      <c r="F18" s="15" t="s">
        <v>1561</v>
      </c>
    </row>
    <row r="19" ht="12.0" customHeight="1">
      <c r="A19" s="18">
        <v>10.0</v>
      </c>
      <c r="B19" s="15" t="s">
        <v>1562</v>
      </c>
      <c r="C19" s="16" t="s">
        <v>4698</v>
      </c>
      <c r="D19" s="15" t="s">
        <v>4699</v>
      </c>
      <c r="E19" s="15" t="s">
        <v>4700</v>
      </c>
      <c r="F19" s="15" t="s">
        <v>1563</v>
      </c>
    </row>
    <row r="20" ht="12.0" customHeight="1">
      <c r="A20" s="18">
        <v>10.0</v>
      </c>
      <c r="B20" s="15" t="s">
        <v>1564</v>
      </c>
      <c r="C20" s="16" t="s">
        <v>4701</v>
      </c>
      <c r="D20" s="15" t="s">
        <v>4702</v>
      </c>
      <c r="E20" s="15" t="s">
        <v>4703</v>
      </c>
      <c r="F20" s="15" t="s">
        <v>1565</v>
      </c>
    </row>
    <row r="21" ht="12.0" customHeight="1">
      <c r="A21" s="18">
        <v>10.0</v>
      </c>
      <c r="B21" s="15" t="s">
        <v>1566</v>
      </c>
      <c r="C21" s="16" t="s">
        <v>4704</v>
      </c>
      <c r="D21" s="15" t="s">
        <v>4705</v>
      </c>
      <c r="E21" s="15" t="s">
        <v>4706</v>
      </c>
      <c r="F21" s="15" t="s">
        <v>1567</v>
      </c>
    </row>
    <row r="22" ht="12.0" customHeight="1">
      <c r="A22" s="18">
        <v>10.0</v>
      </c>
      <c r="B22" s="15" t="s">
        <v>1568</v>
      </c>
      <c r="C22" s="16" t="s">
        <v>4707</v>
      </c>
      <c r="D22" s="15" t="s">
        <v>4708</v>
      </c>
      <c r="E22" s="15" t="s">
        <v>4709</v>
      </c>
      <c r="F22" s="15" t="s">
        <v>1569</v>
      </c>
    </row>
    <row r="23" ht="12.0" customHeight="1">
      <c r="A23" s="18">
        <v>10.0</v>
      </c>
      <c r="B23" s="15" t="s">
        <v>1570</v>
      </c>
      <c r="C23" s="16" t="s">
        <v>4710</v>
      </c>
      <c r="D23" s="15" t="s">
        <v>4711</v>
      </c>
      <c r="E23" s="15" t="s">
        <v>4712</v>
      </c>
      <c r="F23" s="15" t="s">
        <v>1571</v>
      </c>
    </row>
    <row r="24" ht="12.0" customHeight="1">
      <c r="A24" s="18">
        <v>10.0</v>
      </c>
      <c r="B24" s="15" t="s">
        <v>1572</v>
      </c>
      <c r="C24" s="16" t="s">
        <v>4713</v>
      </c>
      <c r="D24" s="15" t="s">
        <v>4714</v>
      </c>
      <c r="E24" s="15" t="s">
        <v>4715</v>
      </c>
      <c r="F24" s="15" t="s">
        <v>1573</v>
      </c>
    </row>
    <row r="25" ht="12.0" customHeight="1">
      <c r="A25" s="18">
        <v>10.0</v>
      </c>
      <c r="B25" s="15" t="s">
        <v>1574</v>
      </c>
      <c r="C25" s="16" t="s">
        <v>4716</v>
      </c>
      <c r="D25" s="15" t="s">
        <v>4717</v>
      </c>
      <c r="E25" s="15" t="s">
        <v>4718</v>
      </c>
      <c r="F25" s="15" t="s">
        <v>1575</v>
      </c>
    </row>
    <row r="26" ht="12.0" customHeight="1">
      <c r="A26" s="18">
        <v>10.0</v>
      </c>
      <c r="B26" s="15" t="s">
        <v>1576</v>
      </c>
      <c r="C26" s="16" t="s">
        <v>4719</v>
      </c>
      <c r="D26" s="15" t="s">
        <v>4720</v>
      </c>
      <c r="E26" s="15" t="s">
        <v>4721</v>
      </c>
      <c r="F26" s="15" t="s">
        <v>1577</v>
      </c>
    </row>
    <row r="27" ht="12.0" customHeight="1">
      <c r="A27" s="18">
        <v>10.0</v>
      </c>
      <c r="B27" s="15" t="s">
        <v>1578</v>
      </c>
      <c r="C27" s="16" t="s">
        <v>4722</v>
      </c>
      <c r="D27" s="15" t="s">
        <v>4723</v>
      </c>
      <c r="E27" s="15" t="s">
        <v>4724</v>
      </c>
      <c r="F27" s="15" t="s">
        <v>1579</v>
      </c>
    </row>
    <row r="28" ht="12.0" customHeight="1">
      <c r="A28" s="18">
        <v>10.0</v>
      </c>
      <c r="B28" s="15" t="s">
        <v>1580</v>
      </c>
      <c r="C28" s="16" t="s">
        <v>4725</v>
      </c>
      <c r="D28" s="15" t="s">
        <v>4726</v>
      </c>
      <c r="E28" s="15" t="s">
        <v>4727</v>
      </c>
      <c r="F28" s="15" t="s">
        <v>1581</v>
      </c>
    </row>
    <row r="29" ht="12.0" customHeight="1">
      <c r="A29" s="18">
        <v>10.0</v>
      </c>
      <c r="B29" s="15" t="s">
        <v>1582</v>
      </c>
      <c r="C29" s="16" t="s">
        <v>4728</v>
      </c>
      <c r="D29" s="15" t="s">
        <v>4173</v>
      </c>
      <c r="E29" s="15" t="s">
        <v>4729</v>
      </c>
      <c r="F29" s="15" t="s">
        <v>1583</v>
      </c>
    </row>
    <row r="30" ht="12.0" customHeight="1">
      <c r="A30" s="18">
        <v>10.0</v>
      </c>
      <c r="B30" s="15" t="s">
        <v>1584</v>
      </c>
      <c r="C30" s="16" t="s">
        <v>4730</v>
      </c>
      <c r="D30" s="15" t="s">
        <v>4731</v>
      </c>
      <c r="E30" s="15" t="s">
        <v>4732</v>
      </c>
      <c r="F30" s="15" t="s">
        <v>1585</v>
      </c>
    </row>
    <row r="31" ht="12.0" customHeight="1">
      <c r="A31" s="18">
        <v>10.0</v>
      </c>
      <c r="B31" s="15" t="s">
        <v>1586</v>
      </c>
      <c r="C31" s="16" t="s">
        <v>4733</v>
      </c>
      <c r="D31" s="15" t="s">
        <v>4734</v>
      </c>
      <c r="E31" s="15" t="s">
        <v>4735</v>
      </c>
      <c r="F31" s="15" t="s">
        <v>1587</v>
      </c>
    </row>
    <row r="32" ht="12.0" customHeight="1">
      <c r="A32" s="18">
        <v>10.0</v>
      </c>
      <c r="B32" s="15" t="s">
        <v>1588</v>
      </c>
      <c r="C32" s="16" t="s">
        <v>4736</v>
      </c>
      <c r="D32" s="15" t="s">
        <v>4737</v>
      </c>
      <c r="E32" s="15" t="s">
        <v>4737</v>
      </c>
      <c r="F32" s="15" t="s">
        <v>1589</v>
      </c>
    </row>
    <row r="33" ht="12.0" customHeight="1">
      <c r="A33" s="18">
        <v>10.0</v>
      </c>
      <c r="B33" s="15" t="s">
        <v>1590</v>
      </c>
      <c r="C33" s="16" t="s">
        <v>4738</v>
      </c>
      <c r="D33" s="15" t="s">
        <v>3257</v>
      </c>
      <c r="E33" s="15" t="s">
        <v>3258</v>
      </c>
      <c r="F33" s="15" t="s">
        <v>1591</v>
      </c>
    </row>
    <row r="34" ht="12.0" customHeight="1">
      <c r="A34" s="18">
        <v>10.0</v>
      </c>
      <c r="B34" s="15" t="s">
        <v>1592</v>
      </c>
      <c r="C34" s="16" t="s">
        <v>4739</v>
      </c>
      <c r="D34" s="15" t="s">
        <v>4740</v>
      </c>
      <c r="E34" s="15" t="s">
        <v>4741</v>
      </c>
      <c r="F34" s="15" t="s">
        <v>1593</v>
      </c>
    </row>
    <row r="35" ht="12.0" customHeight="1">
      <c r="A35" s="18">
        <v>10.0</v>
      </c>
      <c r="B35" s="15" t="s">
        <v>1594</v>
      </c>
      <c r="C35" s="16" t="s">
        <v>4742</v>
      </c>
      <c r="D35" s="15" t="s">
        <v>4743</v>
      </c>
      <c r="E35" s="15" t="s">
        <v>4744</v>
      </c>
      <c r="F35" s="15" t="s">
        <v>1595</v>
      </c>
    </row>
    <row r="36" ht="12.0" customHeight="1">
      <c r="A36" s="18">
        <v>10.0</v>
      </c>
      <c r="B36" s="15" t="s">
        <v>1596</v>
      </c>
      <c r="C36" s="16" t="s">
        <v>4745</v>
      </c>
      <c r="D36" s="15" t="s">
        <v>4746</v>
      </c>
      <c r="E36" s="15" t="s">
        <v>4747</v>
      </c>
      <c r="F36" s="15" t="s">
        <v>1597</v>
      </c>
    </row>
    <row r="37" ht="12.0" customHeight="1">
      <c r="A37" s="18">
        <v>10.0</v>
      </c>
      <c r="B37" s="15" t="s">
        <v>1598</v>
      </c>
      <c r="C37" s="16" t="s">
        <v>4748</v>
      </c>
      <c r="D37" s="15" t="s">
        <v>4749</v>
      </c>
      <c r="E37" s="15" t="s">
        <v>4750</v>
      </c>
      <c r="F37" s="15" t="s">
        <v>1599</v>
      </c>
    </row>
    <row r="38" ht="23.25" customHeight="1">
      <c r="A38" s="26">
        <v>10.0</v>
      </c>
      <c r="B38" s="20" t="s">
        <v>1600</v>
      </c>
      <c r="C38" s="21" t="s">
        <v>4751</v>
      </c>
      <c r="D38" s="20" t="s">
        <v>4752</v>
      </c>
      <c r="E38" s="20" t="s">
        <v>4753</v>
      </c>
      <c r="F38" s="20" t="s">
        <v>1601</v>
      </c>
    </row>
    <row r="39" ht="12.0" customHeight="1">
      <c r="A39" s="25">
        <v>11.0</v>
      </c>
      <c r="B39" s="12" t="s">
        <v>1602</v>
      </c>
      <c r="C39" s="13" t="s">
        <v>4754</v>
      </c>
      <c r="D39" s="12" t="s">
        <v>4755</v>
      </c>
      <c r="E39" s="12" t="s">
        <v>4756</v>
      </c>
      <c r="F39" s="12" t="s">
        <v>1603</v>
      </c>
    </row>
    <row r="40" ht="12.0" customHeight="1">
      <c r="A40" s="18">
        <v>11.0</v>
      </c>
      <c r="B40" s="15" t="s">
        <v>1604</v>
      </c>
      <c r="C40" s="16" t="s">
        <v>4757</v>
      </c>
      <c r="D40" s="15" t="s">
        <v>4758</v>
      </c>
      <c r="E40" s="15" t="s">
        <v>4759</v>
      </c>
      <c r="F40" s="15" t="s">
        <v>1605</v>
      </c>
    </row>
    <row r="41" ht="12.0" customHeight="1">
      <c r="A41" s="18">
        <v>11.0</v>
      </c>
      <c r="B41" s="15" t="s">
        <v>1606</v>
      </c>
      <c r="C41" s="16" t="s">
        <v>4760</v>
      </c>
      <c r="D41" s="15" t="s">
        <v>4761</v>
      </c>
      <c r="E41" s="15" t="s">
        <v>4762</v>
      </c>
      <c r="F41" s="15" t="s">
        <v>1607</v>
      </c>
    </row>
    <row r="42" ht="12.0" customHeight="1">
      <c r="A42" s="18">
        <v>11.0</v>
      </c>
      <c r="B42" s="15" t="s">
        <v>1608</v>
      </c>
      <c r="C42" s="16" t="s">
        <v>4763</v>
      </c>
      <c r="D42" s="15" t="s">
        <v>4764</v>
      </c>
      <c r="E42" s="15" t="s">
        <v>4765</v>
      </c>
      <c r="F42" s="15" t="s">
        <v>1609</v>
      </c>
    </row>
    <row r="43" ht="12.0" customHeight="1">
      <c r="A43" s="18">
        <v>11.0</v>
      </c>
      <c r="B43" s="15" t="s">
        <v>1610</v>
      </c>
      <c r="C43" s="16" t="s">
        <v>4766</v>
      </c>
      <c r="D43" s="15" t="s">
        <v>4767</v>
      </c>
      <c r="E43" s="15" t="s">
        <v>4768</v>
      </c>
      <c r="F43" s="15" t="s">
        <v>1611</v>
      </c>
    </row>
    <row r="44" ht="12.0" customHeight="1">
      <c r="A44" s="18">
        <v>11.0</v>
      </c>
      <c r="B44" s="15" t="s">
        <v>1612</v>
      </c>
      <c r="C44" s="16" t="s">
        <v>4769</v>
      </c>
      <c r="D44" s="15" t="s">
        <v>4770</v>
      </c>
      <c r="E44" s="15" t="s">
        <v>4771</v>
      </c>
      <c r="F44" s="15" t="s">
        <v>1613</v>
      </c>
    </row>
    <row r="45" ht="12.0" customHeight="1">
      <c r="A45" s="18">
        <v>11.0</v>
      </c>
      <c r="B45" s="15" t="s">
        <v>1614</v>
      </c>
      <c r="C45" s="16" t="s">
        <v>4772</v>
      </c>
      <c r="D45" s="15" t="s">
        <v>4773</v>
      </c>
      <c r="E45" s="15" t="s">
        <v>4774</v>
      </c>
      <c r="F45" s="15" t="s">
        <v>1615</v>
      </c>
    </row>
    <row r="46" ht="12.0" customHeight="1">
      <c r="A46" s="18">
        <v>11.0</v>
      </c>
      <c r="B46" s="15" t="s">
        <v>1616</v>
      </c>
      <c r="C46" s="16" t="s">
        <v>4775</v>
      </c>
      <c r="D46" s="15" t="s">
        <v>4776</v>
      </c>
      <c r="E46" s="15" t="s">
        <v>4777</v>
      </c>
      <c r="F46" s="15" t="s">
        <v>1617</v>
      </c>
    </row>
    <row r="47" ht="12.0" customHeight="1">
      <c r="A47" s="18">
        <v>11.0</v>
      </c>
      <c r="B47" s="15" t="s">
        <v>1618</v>
      </c>
      <c r="C47" s="16" t="s">
        <v>4778</v>
      </c>
      <c r="D47" s="15" t="s">
        <v>4779</v>
      </c>
      <c r="E47" s="15" t="s">
        <v>4780</v>
      </c>
      <c r="F47" s="15" t="s">
        <v>1619</v>
      </c>
    </row>
    <row r="48" ht="12.0" customHeight="1">
      <c r="A48" s="18">
        <v>11.0</v>
      </c>
      <c r="B48" s="15" t="s">
        <v>1620</v>
      </c>
      <c r="C48" s="16" t="s">
        <v>4781</v>
      </c>
      <c r="D48" s="15" t="s">
        <v>4782</v>
      </c>
      <c r="E48" s="15" t="s">
        <v>4783</v>
      </c>
      <c r="F48" s="15" t="s">
        <v>1621</v>
      </c>
    </row>
    <row r="49" ht="15.75" customHeight="1">
      <c r="A49" s="18">
        <v>11.0</v>
      </c>
      <c r="B49" s="15" t="s">
        <v>1622</v>
      </c>
      <c r="C49" s="16" t="s">
        <v>4784</v>
      </c>
      <c r="D49" s="15" t="s">
        <v>4785</v>
      </c>
      <c r="E49" s="15" t="s">
        <v>4786</v>
      </c>
      <c r="F49" s="15" t="s">
        <v>1623</v>
      </c>
    </row>
    <row r="50" ht="7.5" customHeight="1">
      <c r="A50" s="17" t="s">
        <v>4787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6.86"/>
    <col customWidth="1" min="3" max="3" width="17.86"/>
    <col customWidth="1" min="4" max="4" width="20.86"/>
    <col customWidth="1" min="5" max="5" width="17.86"/>
    <col customWidth="1" min="6" max="6" width="31.86"/>
    <col customWidth="1" min="7" max="7" width="27.86"/>
    <col customWidth="1" min="8" max="26" width="9.0"/>
  </cols>
  <sheetData>
    <row r="1" ht="6.0" customHeight="1">
      <c r="A1" s="8" t="s">
        <v>2396</v>
      </c>
    </row>
    <row r="2" ht="15.75" customHeight="1">
      <c r="A2" s="18">
        <v>11.0</v>
      </c>
      <c r="B2" s="15" t="s">
        <v>1624</v>
      </c>
      <c r="C2" s="16" t="s">
        <v>4788</v>
      </c>
      <c r="D2" s="15" t="s">
        <v>4789</v>
      </c>
      <c r="E2" s="15" t="s">
        <v>4790</v>
      </c>
      <c r="F2" s="15" t="s">
        <v>1625</v>
      </c>
    </row>
    <row r="3" ht="12.0" customHeight="1">
      <c r="A3" s="18">
        <v>11.0</v>
      </c>
      <c r="B3" s="15" t="s">
        <v>1626</v>
      </c>
      <c r="C3" s="16" t="s">
        <v>4791</v>
      </c>
      <c r="D3" s="15" t="s">
        <v>4792</v>
      </c>
      <c r="E3" s="15" t="s">
        <v>4793</v>
      </c>
      <c r="F3" s="15" t="s">
        <v>1627</v>
      </c>
    </row>
    <row r="4" ht="12.0" customHeight="1">
      <c r="A4" s="18">
        <v>11.0</v>
      </c>
      <c r="B4" s="15" t="s">
        <v>1628</v>
      </c>
      <c r="C4" s="16" t="s">
        <v>4794</v>
      </c>
      <c r="D4" s="15" t="s">
        <v>4795</v>
      </c>
      <c r="E4" s="15" t="s">
        <v>4796</v>
      </c>
      <c r="F4" s="15" t="s">
        <v>1629</v>
      </c>
    </row>
    <row r="5" ht="12.0" customHeight="1">
      <c r="A5" s="18">
        <v>11.0</v>
      </c>
      <c r="B5" s="15" t="s">
        <v>1630</v>
      </c>
      <c r="C5" s="16" t="s">
        <v>4797</v>
      </c>
      <c r="D5" s="15" t="s">
        <v>4798</v>
      </c>
      <c r="E5" s="15" t="s">
        <v>4799</v>
      </c>
      <c r="F5" s="15" t="s">
        <v>1631</v>
      </c>
    </row>
    <row r="6" ht="12.0" customHeight="1">
      <c r="A6" s="18">
        <v>11.0</v>
      </c>
      <c r="B6" s="15" t="s">
        <v>1632</v>
      </c>
      <c r="C6" s="16" t="s">
        <v>4800</v>
      </c>
      <c r="D6" s="15" t="s">
        <v>4801</v>
      </c>
      <c r="E6" s="15" t="s">
        <v>4802</v>
      </c>
      <c r="F6" s="15" t="s">
        <v>1633</v>
      </c>
    </row>
    <row r="7" ht="12.0" customHeight="1">
      <c r="A7" s="18">
        <v>11.0</v>
      </c>
      <c r="B7" s="15" t="s">
        <v>1634</v>
      </c>
      <c r="C7" s="16" t="s">
        <v>4803</v>
      </c>
      <c r="D7" s="15" t="s">
        <v>4804</v>
      </c>
      <c r="E7" s="15" t="s">
        <v>4765</v>
      </c>
      <c r="F7" s="15" t="s">
        <v>1635</v>
      </c>
    </row>
    <row r="8" ht="12.0" customHeight="1">
      <c r="A8" s="18">
        <v>11.0</v>
      </c>
      <c r="B8" s="15" t="s">
        <v>1636</v>
      </c>
      <c r="C8" s="16" t="s">
        <v>4805</v>
      </c>
      <c r="D8" s="15" t="s">
        <v>4806</v>
      </c>
      <c r="E8" s="15" t="s">
        <v>4807</v>
      </c>
      <c r="F8" s="15" t="s">
        <v>1637</v>
      </c>
    </row>
    <row r="9" ht="12.0" customHeight="1">
      <c r="A9" s="18">
        <v>11.0</v>
      </c>
      <c r="B9" s="15" t="s">
        <v>1638</v>
      </c>
      <c r="C9" s="16" t="s">
        <v>4808</v>
      </c>
      <c r="D9" s="15" t="s">
        <v>3900</v>
      </c>
      <c r="E9" s="15" t="s">
        <v>4809</v>
      </c>
      <c r="F9" s="15" t="s">
        <v>1639</v>
      </c>
    </row>
    <row r="10" ht="12.0" customHeight="1">
      <c r="A10" s="18">
        <v>11.0</v>
      </c>
      <c r="B10" s="15" t="s">
        <v>1640</v>
      </c>
      <c r="C10" s="16" t="s">
        <v>4810</v>
      </c>
      <c r="D10" s="15" t="s">
        <v>4811</v>
      </c>
      <c r="E10" s="15" t="s">
        <v>4812</v>
      </c>
      <c r="F10" s="15" t="s">
        <v>1641</v>
      </c>
    </row>
    <row r="11" ht="12.0" customHeight="1">
      <c r="A11" s="18">
        <v>11.0</v>
      </c>
      <c r="B11" s="15" t="s">
        <v>1642</v>
      </c>
      <c r="C11" s="16" t="s">
        <v>3929</v>
      </c>
      <c r="D11" s="15" t="s">
        <v>4813</v>
      </c>
      <c r="E11" s="15" t="s">
        <v>3931</v>
      </c>
      <c r="F11" s="15" t="s">
        <v>1038</v>
      </c>
    </row>
    <row r="12" ht="12.0" customHeight="1">
      <c r="A12" s="18">
        <v>11.0</v>
      </c>
      <c r="B12" s="15" t="s">
        <v>1643</v>
      </c>
      <c r="C12" s="16" t="s">
        <v>4814</v>
      </c>
      <c r="D12" s="15" t="s">
        <v>4815</v>
      </c>
      <c r="E12" s="15" t="s">
        <v>4816</v>
      </c>
      <c r="F12" s="15" t="s">
        <v>1644</v>
      </c>
    </row>
    <row r="13" ht="12.0" customHeight="1">
      <c r="A13" s="18">
        <v>11.0</v>
      </c>
      <c r="B13" s="15" t="s">
        <v>1645</v>
      </c>
      <c r="C13" s="16" t="s">
        <v>4817</v>
      </c>
      <c r="D13" s="15" t="s">
        <v>4818</v>
      </c>
      <c r="E13" s="15" t="s">
        <v>4819</v>
      </c>
      <c r="F13" s="15" t="s">
        <v>1646</v>
      </c>
    </row>
    <row r="14" ht="12.0" customHeight="1">
      <c r="A14" s="18">
        <v>11.0</v>
      </c>
      <c r="B14" s="15" t="s">
        <v>1647</v>
      </c>
      <c r="C14" s="16" t="s">
        <v>4820</v>
      </c>
      <c r="D14" s="15" t="s">
        <v>4821</v>
      </c>
      <c r="E14" s="15" t="s">
        <v>4822</v>
      </c>
      <c r="F14" s="15" t="s">
        <v>1648</v>
      </c>
    </row>
    <row r="15" ht="12.0" customHeight="1">
      <c r="A15" s="18">
        <v>11.0</v>
      </c>
      <c r="B15" s="15" t="s">
        <v>1649</v>
      </c>
      <c r="C15" s="16" t="s">
        <v>4823</v>
      </c>
      <c r="D15" s="15" t="s">
        <v>2790</v>
      </c>
      <c r="E15" s="15" t="s">
        <v>4824</v>
      </c>
      <c r="F15" s="15" t="s">
        <v>1650</v>
      </c>
    </row>
    <row r="16" ht="12.0" customHeight="1">
      <c r="A16" s="18">
        <v>11.0</v>
      </c>
      <c r="B16" s="15" t="s">
        <v>1651</v>
      </c>
      <c r="C16" s="16" t="s">
        <v>4825</v>
      </c>
      <c r="D16" s="15" t="s">
        <v>4826</v>
      </c>
      <c r="E16" s="15" t="s">
        <v>4827</v>
      </c>
      <c r="F16" s="15" t="s">
        <v>1652</v>
      </c>
    </row>
    <row r="17" ht="12.0" customHeight="1">
      <c r="A17" s="18">
        <v>11.0</v>
      </c>
      <c r="B17" s="15" t="s">
        <v>1653</v>
      </c>
      <c r="C17" s="16" t="s">
        <v>4828</v>
      </c>
      <c r="D17" s="15" t="s">
        <v>4829</v>
      </c>
      <c r="E17" s="15" t="s">
        <v>4830</v>
      </c>
      <c r="F17" s="15" t="s">
        <v>1654</v>
      </c>
    </row>
    <row r="18" ht="12.0" customHeight="1">
      <c r="A18" s="18">
        <v>11.0</v>
      </c>
      <c r="B18" s="15" t="s">
        <v>1655</v>
      </c>
      <c r="C18" s="16" t="s">
        <v>4831</v>
      </c>
      <c r="D18" s="15" t="s">
        <v>4832</v>
      </c>
      <c r="E18" s="15" t="s">
        <v>4833</v>
      </c>
      <c r="F18" s="15" t="s">
        <v>1656</v>
      </c>
    </row>
    <row r="19" ht="12.0" customHeight="1">
      <c r="A19" s="18">
        <v>11.0</v>
      </c>
      <c r="B19" s="15" t="s">
        <v>1657</v>
      </c>
      <c r="C19" s="16" t="s">
        <v>4834</v>
      </c>
      <c r="D19" s="15" t="s">
        <v>4835</v>
      </c>
      <c r="E19" s="15" t="s">
        <v>4836</v>
      </c>
      <c r="F19" s="15" t="s">
        <v>1658</v>
      </c>
    </row>
    <row r="20" ht="12.0" customHeight="1">
      <c r="A20" s="18">
        <v>11.0</v>
      </c>
      <c r="B20" s="15" t="s">
        <v>1659</v>
      </c>
      <c r="C20" s="16" t="s">
        <v>4837</v>
      </c>
      <c r="D20" s="15" t="s">
        <v>4838</v>
      </c>
      <c r="E20" s="15" t="s">
        <v>4839</v>
      </c>
      <c r="F20" s="15" t="s">
        <v>1660</v>
      </c>
    </row>
    <row r="21" ht="12.0" customHeight="1">
      <c r="A21" s="18">
        <v>11.0</v>
      </c>
      <c r="B21" s="15" t="s">
        <v>1661</v>
      </c>
      <c r="C21" s="16" t="s">
        <v>4840</v>
      </c>
      <c r="D21" s="15" t="s">
        <v>4841</v>
      </c>
      <c r="E21" s="15" t="s">
        <v>4842</v>
      </c>
      <c r="F21" s="15" t="s">
        <v>1662</v>
      </c>
    </row>
    <row r="22" ht="12.0" customHeight="1">
      <c r="A22" s="18">
        <v>11.0</v>
      </c>
      <c r="B22" s="15" t="s">
        <v>1663</v>
      </c>
      <c r="C22" s="16" t="s">
        <v>4843</v>
      </c>
      <c r="D22" s="15" t="s">
        <v>4844</v>
      </c>
      <c r="E22" s="15" t="s">
        <v>4845</v>
      </c>
      <c r="F22" s="15" t="s">
        <v>1664</v>
      </c>
    </row>
    <row r="23" ht="12.0" customHeight="1">
      <c r="A23" s="18">
        <v>11.0</v>
      </c>
      <c r="B23" s="15" t="s">
        <v>1665</v>
      </c>
      <c r="C23" s="16" t="s">
        <v>4846</v>
      </c>
      <c r="D23" s="15" t="s">
        <v>4847</v>
      </c>
      <c r="E23" s="15" t="s">
        <v>4848</v>
      </c>
      <c r="F23" s="15" t="s">
        <v>1666</v>
      </c>
    </row>
    <row r="24" ht="12.0" customHeight="1">
      <c r="A24" s="18">
        <v>11.0</v>
      </c>
      <c r="B24" s="15" t="s">
        <v>1667</v>
      </c>
      <c r="C24" s="16" t="s">
        <v>4849</v>
      </c>
      <c r="D24" s="15" t="s">
        <v>4850</v>
      </c>
      <c r="E24" s="15" t="s">
        <v>4851</v>
      </c>
      <c r="F24" s="15" t="s">
        <v>1668</v>
      </c>
    </row>
    <row r="25" ht="12.0" customHeight="1">
      <c r="A25" s="18">
        <v>11.0</v>
      </c>
      <c r="B25" s="15" t="s">
        <v>1669</v>
      </c>
      <c r="C25" s="16" t="s">
        <v>4852</v>
      </c>
      <c r="D25" s="15" t="s">
        <v>4853</v>
      </c>
      <c r="E25" s="15" t="s">
        <v>4854</v>
      </c>
      <c r="F25" s="15" t="s">
        <v>1670</v>
      </c>
    </row>
    <row r="26" ht="12.0" customHeight="1">
      <c r="A26" s="18">
        <v>11.0</v>
      </c>
      <c r="B26" s="15" t="s">
        <v>1671</v>
      </c>
      <c r="C26" s="16" t="s">
        <v>4855</v>
      </c>
      <c r="D26" s="15" t="s">
        <v>4856</v>
      </c>
      <c r="E26" s="15" t="s">
        <v>4857</v>
      </c>
      <c r="F26" s="15" t="s">
        <v>1672</v>
      </c>
    </row>
    <row r="27" ht="12.0" customHeight="1">
      <c r="A27" s="18">
        <v>11.0</v>
      </c>
      <c r="B27" s="15" t="s">
        <v>1673</v>
      </c>
      <c r="C27" s="16" t="s">
        <v>3253</v>
      </c>
      <c r="D27" s="15" t="s">
        <v>3254</v>
      </c>
      <c r="E27" s="15" t="s">
        <v>3255</v>
      </c>
      <c r="F27" s="15" t="s">
        <v>582</v>
      </c>
    </row>
    <row r="28" ht="12.0" customHeight="1">
      <c r="A28" s="18">
        <v>11.0</v>
      </c>
      <c r="B28" s="15" t="s">
        <v>1674</v>
      </c>
      <c r="C28" s="16" t="s">
        <v>4858</v>
      </c>
      <c r="D28" s="15" t="s">
        <v>4859</v>
      </c>
      <c r="E28" s="15" t="s">
        <v>4860</v>
      </c>
      <c r="F28" s="15" t="s">
        <v>1675</v>
      </c>
    </row>
    <row r="29" ht="12.0" customHeight="1">
      <c r="A29" s="18">
        <v>11.0</v>
      </c>
      <c r="B29" s="15" t="s">
        <v>1676</v>
      </c>
      <c r="C29" s="16" t="s">
        <v>4861</v>
      </c>
      <c r="D29" s="15" t="s">
        <v>4862</v>
      </c>
      <c r="E29" s="15" t="s">
        <v>4284</v>
      </c>
      <c r="F29" s="15" t="s">
        <v>1677</v>
      </c>
    </row>
    <row r="30" ht="12.0" customHeight="1">
      <c r="A30" s="18">
        <v>11.0</v>
      </c>
      <c r="B30" s="15" t="s">
        <v>1678</v>
      </c>
      <c r="C30" s="16" t="s">
        <v>4863</v>
      </c>
      <c r="D30" s="15" t="s">
        <v>4864</v>
      </c>
      <c r="E30" s="15" t="s">
        <v>4865</v>
      </c>
      <c r="F30" s="15" t="s">
        <v>1679</v>
      </c>
    </row>
    <row r="31" ht="12.0" customHeight="1">
      <c r="A31" s="18">
        <v>11.0</v>
      </c>
      <c r="B31" s="15" t="s">
        <v>1680</v>
      </c>
      <c r="C31" s="16" t="s">
        <v>4866</v>
      </c>
      <c r="D31" s="15" t="s">
        <v>4770</v>
      </c>
      <c r="E31" s="15" t="s">
        <v>4771</v>
      </c>
      <c r="F31" s="15" t="s">
        <v>1681</v>
      </c>
    </row>
    <row r="32" ht="12.0" customHeight="1">
      <c r="A32" s="18">
        <v>11.0</v>
      </c>
      <c r="B32" s="15" t="s">
        <v>1682</v>
      </c>
      <c r="C32" s="16" t="s">
        <v>4867</v>
      </c>
      <c r="D32" s="15" t="s">
        <v>4868</v>
      </c>
      <c r="E32" s="15" t="s">
        <v>4869</v>
      </c>
      <c r="F32" s="15" t="s">
        <v>1683</v>
      </c>
    </row>
    <row r="33" ht="12.0" customHeight="1">
      <c r="A33" s="18">
        <v>11.0</v>
      </c>
      <c r="B33" s="15" t="s">
        <v>1684</v>
      </c>
      <c r="C33" s="16" t="s">
        <v>4870</v>
      </c>
      <c r="D33" s="15" t="s">
        <v>4871</v>
      </c>
      <c r="E33" s="15" t="s">
        <v>4872</v>
      </c>
      <c r="F33" s="15" t="s">
        <v>1685</v>
      </c>
    </row>
    <row r="34" ht="12.0" customHeight="1">
      <c r="A34" s="18">
        <v>11.0</v>
      </c>
      <c r="B34" s="15" t="s">
        <v>1686</v>
      </c>
      <c r="C34" s="16" t="s">
        <v>4873</v>
      </c>
      <c r="D34" s="15" t="s">
        <v>4874</v>
      </c>
      <c r="E34" s="15" t="s">
        <v>4875</v>
      </c>
      <c r="F34" s="15" t="s">
        <v>1687</v>
      </c>
    </row>
    <row r="35" ht="12.0" customHeight="1">
      <c r="A35" s="18">
        <v>11.0</v>
      </c>
      <c r="B35" s="15" t="s">
        <v>1688</v>
      </c>
      <c r="C35" s="16" t="s">
        <v>4876</v>
      </c>
      <c r="D35" s="15" t="s">
        <v>4877</v>
      </c>
      <c r="E35" s="15" t="s">
        <v>4878</v>
      </c>
      <c r="F35" s="15" t="s">
        <v>1689</v>
      </c>
    </row>
    <row r="36" ht="12.0" customHeight="1">
      <c r="A36" s="18">
        <v>11.0</v>
      </c>
      <c r="B36" s="15" t="s">
        <v>1690</v>
      </c>
      <c r="C36" s="16" t="s">
        <v>3407</v>
      </c>
      <c r="D36" s="15" t="s">
        <v>4879</v>
      </c>
      <c r="E36" s="15" t="s">
        <v>4880</v>
      </c>
      <c r="F36" s="15" t="s">
        <v>1691</v>
      </c>
    </row>
    <row r="37" ht="12.0" customHeight="1">
      <c r="A37" s="18">
        <v>11.0</v>
      </c>
      <c r="B37" s="15" t="s">
        <v>1692</v>
      </c>
      <c r="C37" s="16" t="s">
        <v>4881</v>
      </c>
      <c r="D37" s="15" t="s">
        <v>4503</v>
      </c>
      <c r="E37" s="15" t="s">
        <v>4882</v>
      </c>
      <c r="F37" s="15" t="s">
        <v>1693</v>
      </c>
    </row>
    <row r="38" ht="12.0" customHeight="1">
      <c r="A38" s="18">
        <v>11.0</v>
      </c>
      <c r="B38" s="15" t="s">
        <v>1694</v>
      </c>
      <c r="C38" s="16" t="s">
        <v>4883</v>
      </c>
      <c r="D38" s="15" t="s">
        <v>4884</v>
      </c>
      <c r="E38" s="15" t="s">
        <v>4885</v>
      </c>
      <c r="F38" s="15" t="s">
        <v>1695</v>
      </c>
    </row>
    <row r="39" ht="12.0" customHeight="1">
      <c r="A39" s="18">
        <v>11.0</v>
      </c>
      <c r="B39" s="15" t="s">
        <v>1696</v>
      </c>
      <c r="C39" s="16" t="s">
        <v>4886</v>
      </c>
      <c r="D39" s="15" t="s">
        <v>3408</v>
      </c>
      <c r="E39" s="15" t="s">
        <v>4887</v>
      </c>
      <c r="F39" s="15" t="s">
        <v>1697</v>
      </c>
    </row>
    <row r="40" ht="12.0" customHeight="1">
      <c r="A40" s="18">
        <v>11.0</v>
      </c>
      <c r="B40" s="15" t="s">
        <v>1698</v>
      </c>
      <c r="C40" s="16" t="s">
        <v>4888</v>
      </c>
      <c r="D40" s="15" t="s">
        <v>4889</v>
      </c>
      <c r="E40" s="15" t="s">
        <v>4890</v>
      </c>
      <c r="F40" s="15" t="s">
        <v>1699</v>
      </c>
    </row>
    <row r="41" ht="12.0" customHeight="1">
      <c r="A41" s="18">
        <v>11.0</v>
      </c>
      <c r="B41" s="15" t="s">
        <v>1700</v>
      </c>
      <c r="C41" s="16" t="s">
        <v>4891</v>
      </c>
      <c r="D41" s="15" t="s">
        <v>4892</v>
      </c>
      <c r="E41" s="15" t="s">
        <v>4893</v>
      </c>
      <c r="F41" s="15" t="s">
        <v>1701</v>
      </c>
    </row>
    <row r="42" ht="12.0" customHeight="1">
      <c r="A42" s="18">
        <v>11.0</v>
      </c>
      <c r="B42" s="15" t="s">
        <v>1702</v>
      </c>
      <c r="C42" s="16" t="s">
        <v>4894</v>
      </c>
      <c r="D42" s="15" t="s">
        <v>4895</v>
      </c>
      <c r="E42" s="15" t="s">
        <v>4896</v>
      </c>
      <c r="F42" s="15" t="s">
        <v>1703</v>
      </c>
    </row>
    <row r="43" ht="12.0" customHeight="1">
      <c r="A43" s="18">
        <v>11.0</v>
      </c>
      <c r="B43" s="15" t="s">
        <v>1704</v>
      </c>
      <c r="C43" s="16" t="s">
        <v>4897</v>
      </c>
      <c r="D43" s="15" t="s">
        <v>4898</v>
      </c>
      <c r="E43" s="15" t="s">
        <v>4899</v>
      </c>
      <c r="F43" s="15" t="s">
        <v>1705</v>
      </c>
    </row>
    <row r="44" ht="11.25" customHeight="1">
      <c r="A44" s="18">
        <v>11.0</v>
      </c>
      <c r="B44" s="15" t="s">
        <v>1706</v>
      </c>
      <c r="C44" s="16" t="s">
        <v>4900</v>
      </c>
      <c r="D44" s="15" t="s">
        <v>4901</v>
      </c>
      <c r="E44" s="15" t="s">
        <v>4902</v>
      </c>
      <c r="F44" s="15" t="s">
        <v>1707</v>
      </c>
    </row>
    <row r="45" ht="12.0" customHeight="1">
      <c r="A45" s="18">
        <v>11.0</v>
      </c>
      <c r="B45" s="15" t="s">
        <v>1708</v>
      </c>
      <c r="C45" s="16" t="s">
        <v>4903</v>
      </c>
      <c r="D45" s="15" t="s">
        <v>4904</v>
      </c>
      <c r="E45" s="15" t="s">
        <v>4905</v>
      </c>
      <c r="F45" s="15" t="s">
        <v>1709</v>
      </c>
    </row>
    <row r="46" ht="12.0" customHeight="1">
      <c r="A46" s="18">
        <v>11.0</v>
      </c>
      <c r="B46" s="15" t="s">
        <v>1710</v>
      </c>
      <c r="C46" s="16" t="s">
        <v>4906</v>
      </c>
      <c r="D46" s="15" t="s">
        <v>4907</v>
      </c>
      <c r="E46" s="15" t="s">
        <v>4908</v>
      </c>
      <c r="F46" s="15" t="s">
        <v>1711</v>
      </c>
    </row>
    <row r="47" ht="12.0" customHeight="1">
      <c r="A47" s="18">
        <v>11.0</v>
      </c>
      <c r="B47" s="15" t="s">
        <v>1712</v>
      </c>
      <c r="C47" s="16" t="s">
        <v>3130</v>
      </c>
      <c r="D47" s="15" t="s">
        <v>4909</v>
      </c>
      <c r="E47" s="15" t="s">
        <v>4910</v>
      </c>
      <c r="F47" s="15" t="s">
        <v>496</v>
      </c>
    </row>
    <row r="48" ht="12.0" customHeight="1">
      <c r="A48" s="18">
        <v>11.0</v>
      </c>
      <c r="B48" s="15" t="s">
        <v>1713</v>
      </c>
      <c r="C48" s="16" t="s">
        <v>4911</v>
      </c>
      <c r="D48" s="15" t="s">
        <v>4912</v>
      </c>
      <c r="E48" s="15" t="s">
        <v>4913</v>
      </c>
      <c r="F48" s="15" t="s">
        <v>1714</v>
      </c>
    </row>
    <row r="49" ht="12.0" customHeight="1">
      <c r="A49" s="18">
        <v>11.0</v>
      </c>
      <c r="B49" s="15" t="s">
        <v>1715</v>
      </c>
      <c r="C49" s="16" t="s">
        <v>4914</v>
      </c>
      <c r="D49" s="15" t="s">
        <v>4915</v>
      </c>
      <c r="E49" s="15" t="s">
        <v>4916</v>
      </c>
      <c r="F49" s="15" t="s">
        <v>1716</v>
      </c>
    </row>
    <row r="50" ht="15.75" customHeight="1">
      <c r="A50" s="18">
        <v>11.0</v>
      </c>
      <c r="B50" s="15" t="s">
        <v>1717</v>
      </c>
      <c r="C50" s="16" t="s">
        <v>4917</v>
      </c>
      <c r="D50" s="15" t="s">
        <v>4918</v>
      </c>
      <c r="E50" s="15" t="s">
        <v>4919</v>
      </c>
      <c r="F50" s="15" t="s">
        <v>1718</v>
      </c>
    </row>
    <row r="51" ht="7.5" customHeight="1">
      <c r="A51" s="17" t="s">
        <v>4920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1:G5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5.86"/>
    <col customWidth="1" min="3" max="3" width="17.86"/>
    <col customWidth="1" min="4" max="4" width="20.86"/>
    <col customWidth="1" min="5" max="5" width="17.86"/>
    <col customWidth="1" min="6" max="6" width="33.71"/>
    <col customWidth="1" min="7" max="7" width="26.71"/>
    <col customWidth="1" min="8" max="26" width="9.0"/>
  </cols>
  <sheetData>
    <row r="1" ht="6.0" customHeight="1">
      <c r="A1" s="8" t="s">
        <v>2396</v>
      </c>
    </row>
    <row r="2" ht="15.75" customHeight="1">
      <c r="A2" s="18">
        <v>11.0</v>
      </c>
      <c r="B2" s="15" t="s">
        <v>1719</v>
      </c>
      <c r="C2" s="16" t="s">
        <v>4921</v>
      </c>
      <c r="D2" s="15" t="s">
        <v>4922</v>
      </c>
      <c r="E2" s="15" t="s">
        <v>4923</v>
      </c>
      <c r="F2" s="15" t="s">
        <v>1720</v>
      </c>
    </row>
    <row r="3" ht="12.0" customHeight="1">
      <c r="A3" s="18">
        <v>11.0</v>
      </c>
      <c r="B3" s="15" t="s">
        <v>1721</v>
      </c>
      <c r="C3" s="16" t="s">
        <v>4924</v>
      </c>
      <c r="D3" s="15" t="s">
        <v>4925</v>
      </c>
      <c r="E3" s="15" t="s">
        <v>4926</v>
      </c>
      <c r="F3" s="15" t="s">
        <v>1722</v>
      </c>
    </row>
    <row r="4" ht="12.0" customHeight="1">
      <c r="A4" s="18">
        <v>11.0</v>
      </c>
      <c r="B4" s="15" t="s">
        <v>1723</v>
      </c>
      <c r="C4" s="16" t="s">
        <v>4927</v>
      </c>
      <c r="D4" s="15" t="s">
        <v>4928</v>
      </c>
      <c r="E4" s="15" t="s">
        <v>4929</v>
      </c>
      <c r="F4" s="15" t="s">
        <v>1724</v>
      </c>
    </row>
    <row r="5" ht="12.0" customHeight="1">
      <c r="A5" s="18">
        <v>11.0</v>
      </c>
      <c r="B5" s="15" t="s">
        <v>1725</v>
      </c>
      <c r="C5" s="16" t="s">
        <v>4930</v>
      </c>
      <c r="D5" s="15" t="s">
        <v>4931</v>
      </c>
      <c r="E5" s="15" t="s">
        <v>4932</v>
      </c>
      <c r="F5" s="15" t="s">
        <v>1726</v>
      </c>
    </row>
    <row r="6" ht="12.0" customHeight="1">
      <c r="A6" s="18">
        <v>11.0</v>
      </c>
      <c r="B6" s="15" t="s">
        <v>1727</v>
      </c>
      <c r="C6" s="16" t="s">
        <v>4933</v>
      </c>
      <c r="D6" s="15" t="s">
        <v>4934</v>
      </c>
      <c r="E6" s="15" t="s">
        <v>4935</v>
      </c>
      <c r="F6" s="15" t="s">
        <v>1728</v>
      </c>
    </row>
    <row r="7" ht="12.0" customHeight="1">
      <c r="A7" s="18">
        <v>11.0</v>
      </c>
      <c r="B7" s="15" t="s">
        <v>1729</v>
      </c>
      <c r="C7" s="16" t="s">
        <v>4936</v>
      </c>
      <c r="D7" s="15" t="s">
        <v>4937</v>
      </c>
      <c r="E7" s="15" t="s">
        <v>4938</v>
      </c>
      <c r="F7" s="15" t="s">
        <v>1730</v>
      </c>
    </row>
    <row r="8" ht="12.0" customHeight="1">
      <c r="A8" s="18">
        <v>11.0</v>
      </c>
      <c r="B8" s="15" t="s">
        <v>1731</v>
      </c>
      <c r="C8" s="16" t="s">
        <v>4939</v>
      </c>
      <c r="D8" s="15" t="s">
        <v>4940</v>
      </c>
      <c r="E8" s="15" t="s">
        <v>4941</v>
      </c>
      <c r="F8" s="15" t="s">
        <v>1732</v>
      </c>
    </row>
    <row r="9" ht="12.0" customHeight="1">
      <c r="A9" s="18">
        <v>11.0</v>
      </c>
      <c r="B9" s="15" t="s">
        <v>1733</v>
      </c>
      <c r="C9" s="16" t="s">
        <v>4942</v>
      </c>
      <c r="D9" s="15" t="s">
        <v>4943</v>
      </c>
      <c r="E9" s="15" t="s">
        <v>4944</v>
      </c>
      <c r="F9" s="15" t="s">
        <v>1734</v>
      </c>
    </row>
    <row r="10" ht="12.0" customHeight="1">
      <c r="A10" s="18">
        <v>11.0</v>
      </c>
      <c r="B10" s="15" t="s">
        <v>1735</v>
      </c>
      <c r="C10" s="16" t="s">
        <v>4945</v>
      </c>
      <c r="D10" s="15" t="s">
        <v>4946</v>
      </c>
      <c r="E10" s="15" t="s">
        <v>4947</v>
      </c>
      <c r="F10" s="15" t="s">
        <v>1736</v>
      </c>
    </row>
    <row r="11" ht="12.0" customHeight="1">
      <c r="A11" s="18">
        <v>11.0</v>
      </c>
      <c r="B11" s="15" t="s">
        <v>1737</v>
      </c>
      <c r="C11" s="16" t="s">
        <v>4948</v>
      </c>
      <c r="D11" s="15" t="s">
        <v>4949</v>
      </c>
      <c r="E11" s="15" t="s">
        <v>4950</v>
      </c>
      <c r="F11" s="15" t="s">
        <v>1738</v>
      </c>
    </row>
    <row r="12" ht="12.0" customHeight="1">
      <c r="A12" s="18">
        <v>11.0</v>
      </c>
      <c r="B12" s="15" t="s">
        <v>1739</v>
      </c>
      <c r="C12" s="16" t="s">
        <v>4951</v>
      </c>
      <c r="D12" s="15" t="s">
        <v>4952</v>
      </c>
      <c r="E12" s="15" t="s">
        <v>4953</v>
      </c>
      <c r="F12" s="15" t="s">
        <v>1740</v>
      </c>
    </row>
    <row r="13" ht="12.0" customHeight="1">
      <c r="A13" s="18">
        <v>11.0</v>
      </c>
      <c r="B13" s="15" t="s">
        <v>1741</v>
      </c>
      <c r="C13" s="16" t="s">
        <v>4954</v>
      </c>
      <c r="D13" s="15" t="s">
        <v>4955</v>
      </c>
      <c r="E13" s="15" t="s">
        <v>4956</v>
      </c>
      <c r="F13" s="15" t="s">
        <v>1742</v>
      </c>
    </row>
    <row r="14" ht="12.0" customHeight="1">
      <c r="A14" s="18">
        <v>11.0</v>
      </c>
      <c r="B14" s="15" t="s">
        <v>1743</v>
      </c>
      <c r="C14" s="16" t="s">
        <v>4957</v>
      </c>
      <c r="D14" s="15" t="s">
        <v>4958</v>
      </c>
      <c r="E14" s="15" t="s">
        <v>4959</v>
      </c>
      <c r="F14" s="15" t="s">
        <v>1744</v>
      </c>
    </row>
    <row r="15" ht="12.0" customHeight="1">
      <c r="A15" s="18">
        <v>11.0</v>
      </c>
      <c r="B15" s="15" t="s">
        <v>1745</v>
      </c>
      <c r="C15" s="16" t="s">
        <v>4960</v>
      </c>
      <c r="D15" s="15" t="s">
        <v>4961</v>
      </c>
      <c r="E15" s="15" t="s">
        <v>4962</v>
      </c>
      <c r="F15" s="15" t="s">
        <v>1746</v>
      </c>
    </row>
    <row r="16" ht="12.0" customHeight="1">
      <c r="A16" s="18">
        <v>11.0</v>
      </c>
      <c r="B16" s="15" t="s">
        <v>1747</v>
      </c>
      <c r="C16" s="16" t="s">
        <v>4963</v>
      </c>
      <c r="D16" s="15" t="s">
        <v>4964</v>
      </c>
      <c r="E16" s="15" t="s">
        <v>4965</v>
      </c>
      <c r="F16" s="15" t="s">
        <v>1748</v>
      </c>
    </row>
    <row r="17" ht="12.0" customHeight="1">
      <c r="A17" s="18">
        <v>11.0</v>
      </c>
      <c r="B17" s="15" t="s">
        <v>1749</v>
      </c>
      <c r="C17" s="16" t="s">
        <v>4966</v>
      </c>
      <c r="D17" s="15" t="s">
        <v>4967</v>
      </c>
      <c r="E17" s="15" t="s">
        <v>4968</v>
      </c>
      <c r="F17" s="15" t="s">
        <v>1750</v>
      </c>
    </row>
    <row r="18" ht="12.0" customHeight="1">
      <c r="A18" s="18">
        <v>11.0</v>
      </c>
      <c r="B18" s="15" t="s">
        <v>1751</v>
      </c>
      <c r="C18" s="16" t="s">
        <v>4969</v>
      </c>
      <c r="D18" s="15" t="s">
        <v>4970</v>
      </c>
      <c r="E18" s="15" t="s">
        <v>4971</v>
      </c>
      <c r="F18" s="15" t="s">
        <v>1752</v>
      </c>
    </row>
    <row r="19" ht="12.0" customHeight="1">
      <c r="A19" s="18">
        <v>11.0</v>
      </c>
      <c r="B19" s="15" t="s">
        <v>1753</v>
      </c>
      <c r="C19" s="16" t="s">
        <v>4972</v>
      </c>
      <c r="D19" s="15" t="s">
        <v>4973</v>
      </c>
      <c r="E19" s="15" t="s">
        <v>4974</v>
      </c>
      <c r="F19" s="15" t="s">
        <v>1754</v>
      </c>
    </row>
    <row r="20" ht="12.0" customHeight="1">
      <c r="A20" s="18">
        <v>11.0</v>
      </c>
      <c r="B20" s="15" t="s">
        <v>1755</v>
      </c>
      <c r="C20" s="16" t="s">
        <v>4975</v>
      </c>
      <c r="D20" s="15" t="s">
        <v>4976</v>
      </c>
      <c r="E20" s="15" t="s">
        <v>4977</v>
      </c>
      <c r="F20" s="15" t="s">
        <v>1756</v>
      </c>
    </row>
    <row r="21" ht="12.0" customHeight="1">
      <c r="A21" s="18">
        <v>11.0</v>
      </c>
      <c r="B21" s="15" t="s">
        <v>1757</v>
      </c>
      <c r="C21" s="16" t="s">
        <v>4978</v>
      </c>
      <c r="D21" s="15" t="s">
        <v>4979</v>
      </c>
      <c r="E21" s="15" t="s">
        <v>4980</v>
      </c>
      <c r="F21" s="15" t="s">
        <v>1758</v>
      </c>
    </row>
    <row r="22" ht="12.0" customHeight="1">
      <c r="A22" s="18">
        <v>11.0</v>
      </c>
      <c r="B22" s="15" t="s">
        <v>1759</v>
      </c>
      <c r="C22" s="16" t="s">
        <v>4981</v>
      </c>
      <c r="D22" s="15" t="s">
        <v>4982</v>
      </c>
      <c r="E22" s="15" t="s">
        <v>4983</v>
      </c>
      <c r="F22" s="15" t="s">
        <v>1760</v>
      </c>
    </row>
    <row r="23" ht="12.0" customHeight="1">
      <c r="A23" s="18">
        <v>11.0</v>
      </c>
      <c r="B23" s="15" t="s">
        <v>1761</v>
      </c>
      <c r="C23" s="16" t="s">
        <v>4984</v>
      </c>
      <c r="D23" s="15" t="s">
        <v>4985</v>
      </c>
      <c r="E23" s="15" t="s">
        <v>4986</v>
      </c>
      <c r="F23" s="15" t="s">
        <v>1762</v>
      </c>
    </row>
    <row r="24" ht="12.0" customHeight="1">
      <c r="A24" s="18">
        <v>11.0</v>
      </c>
      <c r="B24" s="15" t="s">
        <v>1763</v>
      </c>
      <c r="C24" s="16" t="s">
        <v>4987</v>
      </c>
      <c r="D24" s="15" t="s">
        <v>4988</v>
      </c>
      <c r="E24" s="15" t="s">
        <v>4989</v>
      </c>
      <c r="F24" s="15" t="s">
        <v>1764</v>
      </c>
    </row>
    <row r="25" ht="12.0" customHeight="1">
      <c r="A25" s="18">
        <v>11.0</v>
      </c>
      <c r="B25" s="15" t="s">
        <v>1765</v>
      </c>
      <c r="C25" s="16" t="s">
        <v>4990</v>
      </c>
      <c r="D25" s="15" t="s">
        <v>4991</v>
      </c>
      <c r="E25" s="15" t="s">
        <v>4992</v>
      </c>
      <c r="F25" s="15" t="s">
        <v>1766</v>
      </c>
    </row>
    <row r="26" ht="12.0" customHeight="1">
      <c r="A26" s="18">
        <v>11.0</v>
      </c>
      <c r="B26" s="15" t="s">
        <v>1767</v>
      </c>
      <c r="C26" s="16" t="s">
        <v>4993</v>
      </c>
      <c r="D26" s="15" t="s">
        <v>4994</v>
      </c>
      <c r="E26" s="15" t="s">
        <v>4995</v>
      </c>
      <c r="F26" s="15" t="s">
        <v>1768</v>
      </c>
    </row>
    <row r="27" ht="12.0" customHeight="1">
      <c r="A27" s="18">
        <v>11.0</v>
      </c>
      <c r="B27" s="15" t="s">
        <v>1769</v>
      </c>
      <c r="C27" s="16" t="s">
        <v>4996</v>
      </c>
      <c r="D27" s="15" t="s">
        <v>4997</v>
      </c>
      <c r="E27" s="15" t="s">
        <v>4998</v>
      </c>
      <c r="F27" s="15" t="s">
        <v>1770</v>
      </c>
    </row>
    <row r="28" ht="12.0" customHeight="1">
      <c r="A28" s="18">
        <v>11.0</v>
      </c>
      <c r="B28" s="15" t="s">
        <v>1771</v>
      </c>
      <c r="C28" s="16" t="s">
        <v>4999</v>
      </c>
      <c r="D28" s="15" t="s">
        <v>5000</v>
      </c>
      <c r="E28" s="15" t="s">
        <v>5001</v>
      </c>
      <c r="F28" s="15" t="s">
        <v>1772</v>
      </c>
    </row>
    <row r="29" ht="12.0" customHeight="1">
      <c r="A29" s="18">
        <v>11.0</v>
      </c>
      <c r="B29" s="15" t="s">
        <v>1773</v>
      </c>
      <c r="C29" s="16" t="s">
        <v>5002</v>
      </c>
      <c r="D29" s="15" t="s">
        <v>5003</v>
      </c>
      <c r="E29" s="15" t="s">
        <v>5004</v>
      </c>
      <c r="F29" s="15" t="s">
        <v>1774</v>
      </c>
    </row>
    <row r="30" ht="12.0" customHeight="1">
      <c r="A30" s="18">
        <v>11.0</v>
      </c>
      <c r="B30" s="15" t="s">
        <v>1775</v>
      </c>
      <c r="C30" s="16" t="s">
        <v>5005</v>
      </c>
      <c r="D30" s="15" t="s">
        <v>5006</v>
      </c>
      <c r="E30" s="15" t="s">
        <v>5007</v>
      </c>
      <c r="F30" s="15" t="s">
        <v>1776</v>
      </c>
    </row>
    <row r="31" ht="12.0" customHeight="1">
      <c r="A31" s="18">
        <v>11.0</v>
      </c>
      <c r="B31" s="15" t="s">
        <v>1777</v>
      </c>
      <c r="C31" s="16" t="s">
        <v>5008</v>
      </c>
      <c r="D31" s="15" t="s">
        <v>5009</v>
      </c>
      <c r="E31" s="15" t="s">
        <v>5010</v>
      </c>
      <c r="F31" s="15" t="s">
        <v>1778</v>
      </c>
    </row>
    <row r="32" ht="12.0" customHeight="1">
      <c r="A32" s="18">
        <v>11.0</v>
      </c>
      <c r="B32" s="15" t="s">
        <v>1779</v>
      </c>
      <c r="C32" s="16" t="s">
        <v>5011</v>
      </c>
      <c r="D32" s="15" t="s">
        <v>5012</v>
      </c>
      <c r="E32" s="15" t="s">
        <v>5013</v>
      </c>
      <c r="F32" s="15" t="s">
        <v>1780</v>
      </c>
    </row>
    <row r="33" ht="12.0" customHeight="1">
      <c r="A33" s="18">
        <v>11.0</v>
      </c>
      <c r="B33" s="15" t="s">
        <v>1781</v>
      </c>
      <c r="C33" s="16" t="s">
        <v>5014</v>
      </c>
      <c r="D33" s="15" t="s">
        <v>5015</v>
      </c>
      <c r="E33" s="15" t="s">
        <v>5016</v>
      </c>
      <c r="F33" s="15" t="s">
        <v>1782</v>
      </c>
    </row>
    <row r="34" ht="12.0" customHeight="1">
      <c r="A34" s="18">
        <v>11.0</v>
      </c>
      <c r="B34" s="15" t="s">
        <v>1783</v>
      </c>
      <c r="C34" s="16" t="s">
        <v>5017</v>
      </c>
      <c r="D34" s="15" t="s">
        <v>4015</v>
      </c>
      <c r="E34" s="15" t="s">
        <v>5018</v>
      </c>
      <c r="F34" s="15" t="s">
        <v>1784</v>
      </c>
    </row>
    <row r="35" ht="12.0" customHeight="1">
      <c r="A35" s="18">
        <v>11.0</v>
      </c>
      <c r="B35" s="15" t="s">
        <v>1785</v>
      </c>
      <c r="C35" s="16" t="s">
        <v>5019</v>
      </c>
      <c r="D35" s="15" t="s">
        <v>5020</v>
      </c>
      <c r="E35" s="15" t="s">
        <v>5021</v>
      </c>
      <c r="F35" s="15" t="s">
        <v>1786</v>
      </c>
    </row>
    <row r="36" ht="12.0" customHeight="1">
      <c r="A36" s="18">
        <v>11.0</v>
      </c>
      <c r="B36" s="15" t="s">
        <v>1787</v>
      </c>
      <c r="C36" s="16" t="s">
        <v>5022</v>
      </c>
      <c r="D36" s="15" t="s">
        <v>5023</v>
      </c>
      <c r="E36" s="15" t="s">
        <v>5024</v>
      </c>
      <c r="F36" s="15" t="s">
        <v>1788</v>
      </c>
    </row>
    <row r="37" ht="12.0" customHeight="1">
      <c r="A37" s="18">
        <v>11.0</v>
      </c>
      <c r="B37" s="15" t="s">
        <v>1789</v>
      </c>
      <c r="C37" s="16" t="s">
        <v>5025</v>
      </c>
      <c r="D37" s="15" t="s">
        <v>5026</v>
      </c>
      <c r="E37" s="15" t="s">
        <v>5027</v>
      </c>
      <c r="F37" s="15" t="s">
        <v>1790</v>
      </c>
    </row>
    <row r="38" ht="12.0" customHeight="1">
      <c r="A38" s="18">
        <v>11.0</v>
      </c>
      <c r="B38" s="15" t="s">
        <v>1791</v>
      </c>
      <c r="C38" s="16" t="s">
        <v>5028</v>
      </c>
      <c r="D38" s="15" t="s">
        <v>5029</v>
      </c>
      <c r="E38" s="15" t="s">
        <v>5030</v>
      </c>
      <c r="F38" s="15" t="s">
        <v>1792</v>
      </c>
    </row>
    <row r="39" ht="12.0" customHeight="1">
      <c r="A39" s="18">
        <v>11.0</v>
      </c>
      <c r="B39" s="15" t="s">
        <v>1793</v>
      </c>
      <c r="C39" s="16" t="s">
        <v>5031</v>
      </c>
      <c r="D39" s="15" t="s">
        <v>5032</v>
      </c>
      <c r="E39" s="15" t="s">
        <v>5033</v>
      </c>
      <c r="F39" s="15" t="s">
        <v>1794</v>
      </c>
    </row>
    <row r="40" ht="12.0" customHeight="1">
      <c r="A40" s="18">
        <v>11.0</v>
      </c>
      <c r="B40" s="15" t="s">
        <v>1795</v>
      </c>
      <c r="C40" s="16" t="s">
        <v>5034</v>
      </c>
      <c r="D40" s="15" t="s">
        <v>5035</v>
      </c>
      <c r="E40" s="15" t="s">
        <v>5036</v>
      </c>
      <c r="F40" s="15" t="s">
        <v>1796</v>
      </c>
    </row>
    <row r="41" ht="12.0" customHeight="1">
      <c r="A41" s="18">
        <v>11.0</v>
      </c>
      <c r="B41" s="15" t="s">
        <v>1797</v>
      </c>
      <c r="C41" s="16" t="s">
        <v>3941</v>
      </c>
      <c r="D41" s="15" t="s">
        <v>3942</v>
      </c>
      <c r="E41" s="15" t="s">
        <v>3943</v>
      </c>
      <c r="F41" s="15" t="s">
        <v>1046</v>
      </c>
    </row>
    <row r="42" ht="12.0" customHeight="1">
      <c r="A42" s="18">
        <v>11.0</v>
      </c>
      <c r="B42" s="15" t="s">
        <v>1798</v>
      </c>
      <c r="C42" s="16" t="s">
        <v>5037</v>
      </c>
      <c r="D42" s="15" t="s">
        <v>5038</v>
      </c>
      <c r="E42" s="15" t="s">
        <v>5039</v>
      </c>
      <c r="F42" s="15" t="s">
        <v>1799</v>
      </c>
    </row>
    <row r="43" ht="12.0" customHeight="1">
      <c r="A43" s="18">
        <v>11.0</v>
      </c>
      <c r="B43" s="15" t="s">
        <v>1800</v>
      </c>
      <c r="C43" s="16" t="s">
        <v>5040</v>
      </c>
      <c r="D43" s="15" t="s">
        <v>5041</v>
      </c>
      <c r="E43" s="15" t="s">
        <v>5042</v>
      </c>
      <c r="F43" s="15" t="s">
        <v>1801</v>
      </c>
    </row>
    <row r="44" ht="12.0" customHeight="1">
      <c r="A44" s="18">
        <v>11.0</v>
      </c>
      <c r="B44" s="15" t="s">
        <v>1802</v>
      </c>
      <c r="C44" s="16" t="s">
        <v>5043</v>
      </c>
      <c r="D44" s="15" t="s">
        <v>5044</v>
      </c>
      <c r="E44" s="15" t="s">
        <v>5045</v>
      </c>
      <c r="F44" s="15" t="s">
        <v>1803</v>
      </c>
    </row>
    <row r="45" ht="12.0" customHeight="1">
      <c r="A45" s="18">
        <v>11.0</v>
      </c>
      <c r="B45" s="15" t="s">
        <v>1804</v>
      </c>
      <c r="C45" s="16" t="s">
        <v>5046</v>
      </c>
      <c r="D45" s="15" t="s">
        <v>5047</v>
      </c>
      <c r="E45" s="15" t="s">
        <v>5048</v>
      </c>
      <c r="F45" s="15" t="s">
        <v>1805</v>
      </c>
    </row>
    <row r="46" ht="12.0" customHeight="1">
      <c r="A46" s="18">
        <v>11.0</v>
      </c>
      <c r="B46" s="15" t="s">
        <v>1806</v>
      </c>
      <c r="C46" s="16" t="s">
        <v>5049</v>
      </c>
      <c r="D46" s="15" t="s">
        <v>5050</v>
      </c>
      <c r="E46" s="15" t="s">
        <v>5051</v>
      </c>
      <c r="F46" s="15" t="s">
        <v>1807</v>
      </c>
    </row>
    <row r="47" ht="12.0" customHeight="1">
      <c r="A47" s="18">
        <v>11.0</v>
      </c>
      <c r="B47" s="15" t="s">
        <v>1808</v>
      </c>
      <c r="C47" s="16" t="s">
        <v>5052</v>
      </c>
      <c r="D47" s="15" t="s">
        <v>5053</v>
      </c>
      <c r="E47" s="15" t="s">
        <v>5054</v>
      </c>
      <c r="F47" s="15" t="s">
        <v>1809</v>
      </c>
    </row>
    <row r="48" ht="12.0" customHeight="1">
      <c r="A48" s="18">
        <v>11.0</v>
      </c>
      <c r="B48" s="15" t="s">
        <v>1810</v>
      </c>
      <c r="C48" s="16" t="s">
        <v>5055</v>
      </c>
      <c r="D48" s="15" t="s">
        <v>5056</v>
      </c>
      <c r="E48" s="15" t="s">
        <v>5057</v>
      </c>
      <c r="F48" s="15" t="s">
        <v>1811</v>
      </c>
    </row>
    <row r="49" ht="11.25" customHeight="1">
      <c r="A49" s="18">
        <v>11.0</v>
      </c>
      <c r="B49" s="15" t="s">
        <v>1812</v>
      </c>
      <c r="C49" s="10"/>
      <c r="D49" s="15" t="s">
        <v>5058</v>
      </c>
      <c r="E49" s="15" t="s">
        <v>5059</v>
      </c>
      <c r="F49" s="10"/>
    </row>
    <row r="50" ht="16.5" customHeight="1">
      <c r="A50" s="18">
        <v>11.0</v>
      </c>
      <c r="B50" s="15" t="s">
        <v>1813</v>
      </c>
      <c r="C50" s="16" t="s">
        <v>5060</v>
      </c>
      <c r="D50" s="15" t="s">
        <v>5061</v>
      </c>
      <c r="E50" s="15" t="s">
        <v>5062</v>
      </c>
      <c r="F50" s="15" t="s">
        <v>1814</v>
      </c>
    </row>
    <row r="51" ht="7.5" customHeight="1">
      <c r="A51" s="17" t="s">
        <v>5063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1:G5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18.0"/>
    <col customWidth="1" min="4" max="4" width="21.71"/>
    <col customWidth="1" min="5" max="5" width="16.86"/>
    <col customWidth="1" min="6" max="6" width="58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8">
        <v>11.0</v>
      </c>
      <c r="B2" s="15" t="s">
        <v>1815</v>
      </c>
      <c r="C2" s="16" t="s">
        <v>5064</v>
      </c>
      <c r="D2" s="15" t="s">
        <v>5065</v>
      </c>
      <c r="E2" s="15" t="s">
        <v>5066</v>
      </c>
      <c r="F2" s="15" t="s">
        <v>1816</v>
      </c>
    </row>
    <row r="3" ht="12.0" customHeight="1">
      <c r="A3" s="18">
        <v>11.0</v>
      </c>
      <c r="B3" s="15" t="s">
        <v>1817</v>
      </c>
      <c r="C3" s="16" t="s">
        <v>5067</v>
      </c>
      <c r="D3" s="15" t="s">
        <v>5068</v>
      </c>
      <c r="E3" s="15" t="s">
        <v>5069</v>
      </c>
      <c r="F3" s="15" t="s">
        <v>1818</v>
      </c>
    </row>
    <row r="4" ht="12.0" customHeight="1">
      <c r="A4" s="18">
        <v>11.0</v>
      </c>
      <c r="B4" s="15" t="s">
        <v>1819</v>
      </c>
      <c r="C4" s="16" t="s">
        <v>5070</v>
      </c>
      <c r="D4" s="15" t="s">
        <v>5071</v>
      </c>
      <c r="E4" s="15" t="s">
        <v>5072</v>
      </c>
      <c r="F4" s="15" t="s">
        <v>1820</v>
      </c>
    </row>
    <row r="5" ht="12.0" customHeight="1">
      <c r="A5" s="18">
        <v>11.0</v>
      </c>
      <c r="B5" s="15" t="s">
        <v>1821</v>
      </c>
      <c r="C5" s="16" t="s">
        <v>5073</v>
      </c>
      <c r="D5" s="15" t="s">
        <v>5074</v>
      </c>
      <c r="E5" s="15" t="s">
        <v>5075</v>
      </c>
      <c r="F5" s="15" t="s">
        <v>1822</v>
      </c>
    </row>
    <row r="6" ht="12.0" customHeight="1">
      <c r="A6" s="18">
        <v>11.0</v>
      </c>
      <c r="B6" s="15" t="s">
        <v>1823</v>
      </c>
      <c r="C6" s="16" t="s">
        <v>5076</v>
      </c>
      <c r="D6" s="15" t="s">
        <v>5077</v>
      </c>
      <c r="E6" s="15" t="s">
        <v>5078</v>
      </c>
      <c r="F6" s="15" t="s">
        <v>1824</v>
      </c>
    </row>
    <row r="7" ht="23.25" customHeight="1">
      <c r="A7" s="26">
        <v>11.0</v>
      </c>
      <c r="B7" s="20" t="s">
        <v>1825</v>
      </c>
      <c r="C7" s="21" t="s">
        <v>5079</v>
      </c>
      <c r="D7" s="20" t="s">
        <v>5080</v>
      </c>
      <c r="E7" s="20" t="s">
        <v>5081</v>
      </c>
      <c r="F7" s="20" t="s">
        <v>1826</v>
      </c>
    </row>
    <row r="8" ht="12.0" customHeight="1">
      <c r="A8" s="25">
        <v>12.0</v>
      </c>
      <c r="B8" s="12" t="s">
        <v>1827</v>
      </c>
      <c r="C8" s="13" t="s">
        <v>5082</v>
      </c>
      <c r="D8" s="12" t="s">
        <v>5083</v>
      </c>
      <c r="E8" s="12" t="s">
        <v>5084</v>
      </c>
      <c r="F8" s="12" t="s">
        <v>1828</v>
      </c>
    </row>
    <row r="9" ht="12.0" customHeight="1">
      <c r="A9" s="18">
        <v>12.0</v>
      </c>
      <c r="B9" s="15" t="s">
        <v>1829</v>
      </c>
      <c r="C9" s="16" t="s">
        <v>5085</v>
      </c>
      <c r="D9" s="15" t="s">
        <v>5086</v>
      </c>
      <c r="E9" s="15" t="s">
        <v>5087</v>
      </c>
      <c r="F9" s="15" t="s">
        <v>1830</v>
      </c>
    </row>
    <row r="10" ht="12.0" customHeight="1">
      <c r="A10" s="18">
        <v>12.0</v>
      </c>
      <c r="B10" s="15" t="s">
        <v>1831</v>
      </c>
      <c r="C10" s="16" t="s">
        <v>5088</v>
      </c>
      <c r="D10" s="15" t="s">
        <v>5089</v>
      </c>
      <c r="E10" s="15" t="s">
        <v>5090</v>
      </c>
      <c r="F10" s="15" t="s">
        <v>1832</v>
      </c>
    </row>
    <row r="11" ht="12.0" customHeight="1">
      <c r="A11" s="18">
        <v>12.0</v>
      </c>
      <c r="B11" s="15" t="s">
        <v>1833</v>
      </c>
      <c r="C11" s="16" t="s">
        <v>5091</v>
      </c>
      <c r="D11" s="15" t="s">
        <v>5092</v>
      </c>
      <c r="E11" s="15" t="s">
        <v>5092</v>
      </c>
      <c r="F11" s="15" t="s">
        <v>1834</v>
      </c>
    </row>
    <row r="12" ht="12.0" customHeight="1">
      <c r="A12" s="18">
        <v>12.0</v>
      </c>
      <c r="B12" s="15" t="s">
        <v>1835</v>
      </c>
      <c r="C12" s="16" t="s">
        <v>5093</v>
      </c>
      <c r="D12" s="15" t="s">
        <v>5094</v>
      </c>
      <c r="E12" s="15" t="s">
        <v>5095</v>
      </c>
      <c r="F12" s="15" t="s">
        <v>1836</v>
      </c>
    </row>
    <row r="13" ht="12.0" customHeight="1">
      <c r="A13" s="18">
        <v>12.0</v>
      </c>
      <c r="B13" s="15" t="s">
        <v>1837</v>
      </c>
      <c r="C13" s="16" t="s">
        <v>5096</v>
      </c>
      <c r="D13" s="15" t="s">
        <v>5097</v>
      </c>
      <c r="E13" s="15" t="s">
        <v>5098</v>
      </c>
      <c r="F13" s="15" t="s">
        <v>1838</v>
      </c>
    </row>
    <row r="14" ht="12.0" customHeight="1">
      <c r="A14" s="18">
        <v>12.0</v>
      </c>
      <c r="B14" s="15" t="s">
        <v>1839</v>
      </c>
      <c r="C14" s="16" t="s">
        <v>5099</v>
      </c>
      <c r="D14" s="15" t="s">
        <v>5100</v>
      </c>
      <c r="E14" s="15" t="s">
        <v>5101</v>
      </c>
      <c r="F14" s="15" t="s">
        <v>1840</v>
      </c>
    </row>
    <row r="15" ht="12.0" customHeight="1">
      <c r="A15" s="18">
        <v>12.0</v>
      </c>
      <c r="B15" s="15" t="s">
        <v>1841</v>
      </c>
      <c r="C15" s="16" t="s">
        <v>5102</v>
      </c>
      <c r="D15" s="15" t="s">
        <v>5103</v>
      </c>
      <c r="E15" s="15" t="s">
        <v>5104</v>
      </c>
      <c r="F15" s="15" t="s">
        <v>1842</v>
      </c>
    </row>
    <row r="16" ht="12.0" customHeight="1">
      <c r="A16" s="18">
        <v>12.0</v>
      </c>
      <c r="B16" s="15" t="s">
        <v>1843</v>
      </c>
      <c r="C16" s="16" t="s">
        <v>5105</v>
      </c>
      <c r="D16" s="15" t="s">
        <v>5106</v>
      </c>
      <c r="E16" s="15" t="s">
        <v>5107</v>
      </c>
      <c r="F16" s="15" t="s">
        <v>1844</v>
      </c>
    </row>
    <row r="17" ht="12.0" customHeight="1">
      <c r="A17" s="18">
        <v>12.0</v>
      </c>
      <c r="B17" s="15" t="s">
        <v>1845</v>
      </c>
      <c r="C17" s="16" t="s">
        <v>5108</v>
      </c>
      <c r="D17" s="15" t="s">
        <v>5109</v>
      </c>
      <c r="E17" s="15" t="s">
        <v>5110</v>
      </c>
      <c r="F17" s="15" t="s">
        <v>1846</v>
      </c>
    </row>
    <row r="18" ht="12.0" customHeight="1">
      <c r="A18" s="18">
        <v>12.0</v>
      </c>
      <c r="B18" s="15" t="s">
        <v>1847</v>
      </c>
      <c r="C18" s="16" t="s">
        <v>5111</v>
      </c>
      <c r="D18" s="15" t="s">
        <v>5112</v>
      </c>
      <c r="E18" s="15" t="s">
        <v>5113</v>
      </c>
      <c r="F18" s="15" t="s">
        <v>1848</v>
      </c>
    </row>
    <row r="19" ht="12.0" customHeight="1">
      <c r="A19" s="18">
        <v>12.0</v>
      </c>
      <c r="B19" s="15" t="s">
        <v>1849</v>
      </c>
      <c r="C19" s="16" t="s">
        <v>5114</v>
      </c>
      <c r="D19" s="15" t="s">
        <v>5115</v>
      </c>
      <c r="E19" s="15" t="s">
        <v>5116</v>
      </c>
      <c r="F19" s="15" t="s">
        <v>1850</v>
      </c>
    </row>
    <row r="20" ht="12.0" customHeight="1">
      <c r="A20" s="18">
        <v>12.0</v>
      </c>
      <c r="B20" s="15" t="s">
        <v>1851</v>
      </c>
      <c r="C20" s="16" t="s">
        <v>5117</v>
      </c>
      <c r="D20" s="15" t="s">
        <v>5118</v>
      </c>
      <c r="E20" s="15" t="s">
        <v>5119</v>
      </c>
      <c r="F20" s="15" t="s">
        <v>1852</v>
      </c>
    </row>
    <row r="21" ht="12.0" customHeight="1">
      <c r="A21" s="18">
        <v>12.0</v>
      </c>
      <c r="B21" s="15" t="s">
        <v>1853</v>
      </c>
      <c r="C21" s="16" t="s">
        <v>5120</v>
      </c>
      <c r="D21" s="15" t="s">
        <v>5121</v>
      </c>
      <c r="E21" s="15" t="s">
        <v>5122</v>
      </c>
      <c r="F21" s="15" t="s">
        <v>1854</v>
      </c>
    </row>
    <row r="22" ht="12.0" customHeight="1">
      <c r="A22" s="18">
        <v>12.0</v>
      </c>
      <c r="B22" s="15" t="s">
        <v>1855</v>
      </c>
      <c r="C22" s="16" t="s">
        <v>5123</v>
      </c>
      <c r="D22" s="15" t="s">
        <v>5124</v>
      </c>
      <c r="E22" s="15" t="s">
        <v>5125</v>
      </c>
      <c r="F22" s="15" t="s">
        <v>1856</v>
      </c>
    </row>
    <row r="23" ht="12.0" customHeight="1">
      <c r="A23" s="18">
        <v>12.0</v>
      </c>
      <c r="B23" s="15" t="s">
        <v>1857</v>
      </c>
      <c r="C23" s="16" t="s">
        <v>5126</v>
      </c>
      <c r="D23" s="15" t="s">
        <v>5127</v>
      </c>
      <c r="E23" s="15" t="s">
        <v>5128</v>
      </c>
      <c r="F23" s="15" t="s">
        <v>1858</v>
      </c>
    </row>
    <row r="24" ht="12.0" customHeight="1">
      <c r="A24" s="18">
        <v>12.0</v>
      </c>
      <c r="B24" s="15" t="s">
        <v>1859</v>
      </c>
      <c r="C24" s="16" t="s">
        <v>5129</v>
      </c>
      <c r="D24" s="15" t="s">
        <v>5130</v>
      </c>
      <c r="E24" s="15" t="s">
        <v>5131</v>
      </c>
      <c r="F24" s="15" t="s">
        <v>1860</v>
      </c>
    </row>
    <row r="25" ht="12.0" customHeight="1">
      <c r="A25" s="18">
        <v>12.0</v>
      </c>
      <c r="B25" s="15" t="s">
        <v>1861</v>
      </c>
      <c r="C25" s="16" t="s">
        <v>5132</v>
      </c>
      <c r="D25" s="15" t="s">
        <v>5133</v>
      </c>
      <c r="E25" s="15" t="s">
        <v>5134</v>
      </c>
      <c r="F25" s="15" t="s">
        <v>1862</v>
      </c>
    </row>
    <row r="26" ht="12.0" customHeight="1">
      <c r="A26" s="18">
        <v>12.0</v>
      </c>
      <c r="B26" s="15" t="s">
        <v>1863</v>
      </c>
      <c r="C26" s="16" t="s">
        <v>5135</v>
      </c>
      <c r="D26" s="15" t="s">
        <v>5136</v>
      </c>
      <c r="E26" s="15" t="s">
        <v>5137</v>
      </c>
      <c r="F26" s="15" t="s">
        <v>1864</v>
      </c>
    </row>
    <row r="27" ht="12.0" customHeight="1">
      <c r="A27" s="18">
        <v>12.0</v>
      </c>
      <c r="B27" s="15" t="s">
        <v>1865</v>
      </c>
      <c r="C27" s="16" t="s">
        <v>5138</v>
      </c>
      <c r="D27" s="15" t="s">
        <v>5139</v>
      </c>
      <c r="E27" s="15" t="s">
        <v>5140</v>
      </c>
      <c r="F27" s="15" t="s">
        <v>1866</v>
      </c>
    </row>
    <row r="28" ht="12.0" customHeight="1">
      <c r="A28" s="18">
        <v>12.0</v>
      </c>
      <c r="B28" s="15" t="s">
        <v>1867</v>
      </c>
      <c r="C28" s="16" t="s">
        <v>5141</v>
      </c>
      <c r="D28" s="15" t="s">
        <v>5142</v>
      </c>
      <c r="E28" s="15" t="s">
        <v>5143</v>
      </c>
      <c r="F28" s="15" t="s">
        <v>1868</v>
      </c>
    </row>
    <row r="29" ht="12.0" customHeight="1">
      <c r="A29" s="18">
        <v>12.0</v>
      </c>
      <c r="B29" s="15" t="s">
        <v>1869</v>
      </c>
      <c r="C29" s="16" t="s">
        <v>5144</v>
      </c>
      <c r="D29" s="15" t="s">
        <v>5145</v>
      </c>
      <c r="E29" s="15" t="s">
        <v>5146</v>
      </c>
      <c r="F29" s="15" t="s">
        <v>1870</v>
      </c>
    </row>
    <row r="30" ht="12.0" customHeight="1">
      <c r="A30" s="18">
        <v>12.0</v>
      </c>
      <c r="B30" s="15" t="s">
        <v>1871</v>
      </c>
      <c r="C30" s="16" t="s">
        <v>5147</v>
      </c>
      <c r="D30" s="15" t="s">
        <v>5148</v>
      </c>
      <c r="E30" s="15" t="s">
        <v>5149</v>
      </c>
      <c r="F30" s="15" t="s">
        <v>1872</v>
      </c>
    </row>
    <row r="31" ht="12.0" customHeight="1">
      <c r="A31" s="18">
        <v>12.0</v>
      </c>
      <c r="B31" s="15" t="s">
        <v>1873</v>
      </c>
      <c r="C31" s="16" t="s">
        <v>5150</v>
      </c>
      <c r="D31" s="15" t="s">
        <v>5151</v>
      </c>
      <c r="E31" s="15" t="s">
        <v>5152</v>
      </c>
      <c r="F31" s="15" t="s">
        <v>1874</v>
      </c>
    </row>
    <row r="32" ht="12.0" customHeight="1">
      <c r="A32" s="18">
        <v>12.0</v>
      </c>
      <c r="B32" s="15" t="s">
        <v>1875</v>
      </c>
      <c r="C32" s="16" t="s">
        <v>5153</v>
      </c>
      <c r="D32" s="15" t="s">
        <v>5154</v>
      </c>
      <c r="E32" s="15" t="s">
        <v>5155</v>
      </c>
      <c r="F32" s="15" t="s">
        <v>1876</v>
      </c>
    </row>
    <row r="33" ht="12.0" customHeight="1">
      <c r="A33" s="18">
        <v>12.0</v>
      </c>
      <c r="B33" s="15" t="s">
        <v>1877</v>
      </c>
      <c r="C33" s="16" t="s">
        <v>5156</v>
      </c>
      <c r="D33" s="15" t="s">
        <v>5157</v>
      </c>
      <c r="E33" s="15" t="s">
        <v>5158</v>
      </c>
      <c r="F33" s="15" t="s">
        <v>1878</v>
      </c>
    </row>
    <row r="34" ht="12.0" customHeight="1">
      <c r="A34" s="18">
        <v>12.0</v>
      </c>
      <c r="B34" s="15" t="s">
        <v>1879</v>
      </c>
      <c r="C34" s="16" t="s">
        <v>5159</v>
      </c>
      <c r="D34" s="15" t="s">
        <v>5160</v>
      </c>
      <c r="E34" s="15" t="s">
        <v>5161</v>
      </c>
      <c r="F34" s="15" t="s">
        <v>1880</v>
      </c>
    </row>
    <row r="35" ht="12.0" customHeight="1">
      <c r="A35" s="18">
        <v>12.0</v>
      </c>
      <c r="B35" s="15" t="s">
        <v>1881</v>
      </c>
      <c r="C35" s="16" t="s">
        <v>5162</v>
      </c>
      <c r="D35" s="15" t="s">
        <v>5163</v>
      </c>
      <c r="E35" s="15" t="s">
        <v>5164</v>
      </c>
      <c r="F35" s="15" t="s">
        <v>1882</v>
      </c>
    </row>
    <row r="36" ht="12.0" customHeight="1">
      <c r="A36" s="18">
        <v>12.0</v>
      </c>
      <c r="B36" s="15" t="s">
        <v>1883</v>
      </c>
      <c r="C36" s="16" t="s">
        <v>5165</v>
      </c>
      <c r="D36" s="15" t="s">
        <v>5166</v>
      </c>
      <c r="E36" s="15" t="s">
        <v>5167</v>
      </c>
      <c r="F36" s="15" t="s">
        <v>1884</v>
      </c>
    </row>
    <row r="37" ht="12.0" customHeight="1">
      <c r="A37" s="18">
        <v>12.0</v>
      </c>
      <c r="B37" s="15" t="s">
        <v>1885</v>
      </c>
      <c r="C37" s="16" t="s">
        <v>5168</v>
      </c>
      <c r="D37" s="15" t="s">
        <v>5169</v>
      </c>
      <c r="E37" s="15" t="s">
        <v>5170</v>
      </c>
      <c r="F37" s="15" t="s">
        <v>1886</v>
      </c>
    </row>
    <row r="38" ht="12.0" customHeight="1">
      <c r="A38" s="18">
        <v>12.0</v>
      </c>
      <c r="B38" s="15" t="s">
        <v>1887</v>
      </c>
      <c r="C38" s="16" t="s">
        <v>5171</v>
      </c>
      <c r="D38" s="15" t="s">
        <v>5172</v>
      </c>
      <c r="E38" s="15" t="s">
        <v>5173</v>
      </c>
      <c r="F38" s="15" t="s">
        <v>1888</v>
      </c>
    </row>
    <row r="39" ht="12.0" customHeight="1">
      <c r="A39" s="18">
        <v>12.0</v>
      </c>
      <c r="B39" s="15" t="s">
        <v>1889</v>
      </c>
      <c r="C39" s="16" t="s">
        <v>5174</v>
      </c>
      <c r="D39" s="15" t="s">
        <v>5175</v>
      </c>
      <c r="E39" s="15" t="s">
        <v>5176</v>
      </c>
      <c r="F39" s="15" t="s">
        <v>1890</v>
      </c>
    </row>
    <row r="40" ht="12.0" customHeight="1">
      <c r="A40" s="18">
        <v>12.0</v>
      </c>
      <c r="B40" s="15" t="s">
        <v>1891</v>
      </c>
      <c r="C40" s="16" t="s">
        <v>5177</v>
      </c>
      <c r="D40" s="15" t="s">
        <v>5178</v>
      </c>
      <c r="E40" s="15" t="s">
        <v>5179</v>
      </c>
      <c r="F40" s="15" t="s">
        <v>1892</v>
      </c>
    </row>
    <row r="41" ht="12.0" customHeight="1">
      <c r="A41" s="18">
        <v>12.0</v>
      </c>
      <c r="B41" s="15" t="s">
        <v>1893</v>
      </c>
      <c r="C41" s="16" t="s">
        <v>5180</v>
      </c>
      <c r="D41" s="15" t="s">
        <v>5181</v>
      </c>
      <c r="E41" s="15" t="s">
        <v>5182</v>
      </c>
      <c r="F41" s="15" t="s">
        <v>1894</v>
      </c>
    </row>
    <row r="42" ht="12.0" customHeight="1">
      <c r="A42" s="18">
        <v>12.0</v>
      </c>
      <c r="B42" s="15" t="s">
        <v>1895</v>
      </c>
      <c r="C42" s="16" t="s">
        <v>5183</v>
      </c>
      <c r="D42" s="15" t="s">
        <v>5184</v>
      </c>
      <c r="E42" s="15" t="s">
        <v>5185</v>
      </c>
      <c r="F42" s="15" t="s">
        <v>1896</v>
      </c>
    </row>
    <row r="43" ht="12.0" customHeight="1">
      <c r="A43" s="18">
        <v>12.0</v>
      </c>
      <c r="B43" s="15" t="s">
        <v>1897</v>
      </c>
      <c r="C43" s="16" t="s">
        <v>5186</v>
      </c>
      <c r="D43" s="15" t="s">
        <v>5187</v>
      </c>
      <c r="E43" s="15" t="s">
        <v>5188</v>
      </c>
      <c r="F43" s="15" t="s">
        <v>1898</v>
      </c>
    </row>
    <row r="44" ht="12.0" customHeight="1">
      <c r="A44" s="18">
        <v>12.0</v>
      </c>
      <c r="B44" s="15" t="s">
        <v>1899</v>
      </c>
      <c r="C44" s="16" t="s">
        <v>5189</v>
      </c>
      <c r="D44" s="15" t="s">
        <v>5190</v>
      </c>
      <c r="E44" s="15" t="s">
        <v>5191</v>
      </c>
      <c r="F44" s="15" t="s">
        <v>1900</v>
      </c>
    </row>
    <row r="45" ht="12.0" customHeight="1">
      <c r="A45" s="18">
        <v>12.0</v>
      </c>
      <c r="B45" s="15" t="s">
        <v>1901</v>
      </c>
      <c r="C45" s="16" t="s">
        <v>5192</v>
      </c>
      <c r="D45" s="15" t="s">
        <v>5193</v>
      </c>
      <c r="E45" s="15" t="s">
        <v>5194</v>
      </c>
      <c r="F45" s="15" t="s">
        <v>1902</v>
      </c>
    </row>
    <row r="46" ht="12.0" customHeight="1">
      <c r="A46" s="18">
        <v>12.0</v>
      </c>
      <c r="B46" s="15" t="s">
        <v>1903</v>
      </c>
      <c r="C46" s="16" t="s">
        <v>5195</v>
      </c>
      <c r="D46" s="15" t="s">
        <v>5196</v>
      </c>
      <c r="E46" s="15" t="s">
        <v>5197</v>
      </c>
      <c r="F46" s="15" t="s">
        <v>1904</v>
      </c>
    </row>
    <row r="47" ht="12.0" customHeight="1">
      <c r="A47" s="18">
        <v>12.0</v>
      </c>
      <c r="B47" s="15" t="s">
        <v>1905</v>
      </c>
      <c r="C47" s="16" t="s">
        <v>5198</v>
      </c>
      <c r="D47" s="15" t="s">
        <v>5199</v>
      </c>
      <c r="E47" s="15" t="s">
        <v>5200</v>
      </c>
      <c r="F47" s="15" t="s">
        <v>1906</v>
      </c>
    </row>
    <row r="48" ht="12.0" customHeight="1">
      <c r="A48" s="18">
        <v>12.0</v>
      </c>
      <c r="B48" s="15" t="s">
        <v>1907</v>
      </c>
      <c r="C48" s="16" t="s">
        <v>5201</v>
      </c>
      <c r="D48" s="15" t="s">
        <v>5202</v>
      </c>
      <c r="E48" s="15" t="s">
        <v>5203</v>
      </c>
      <c r="F48" s="15" t="s">
        <v>1908</v>
      </c>
    </row>
    <row r="49" ht="15.75" customHeight="1">
      <c r="A49" s="18">
        <v>12.0</v>
      </c>
      <c r="B49" s="15" t="s">
        <v>1909</v>
      </c>
      <c r="C49" s="16" t="s">
        <v>5204</v>
      </c>
      <c r="D49" s="15" t="s">
        <v>5205</v>
      </c>
      <c r="E49" s="15" t="s">
        <v>4299</v>
      </c>
      <c r="F49" s="15" t="s">
        <v>1910</v>
      </c>
    </row>
    <row r="50" ht="7.5" customHeight="1">
      <c r="A50" s="17" t="s">
        <v>5206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3" width="17.86"/>
    <col customWidth="1" min="4" max="5" width="18.71"/>
    <col customWidth="1" min="6" max="6" width="57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8">
        <v>12.0</v>
      </c>
      <c r="B2" s="15" t="s">
        <v>1911</v>
      </c>
      <c r="C2" s="16" t="s">
        <v>3074</v>
      </c>
      <c r="D2" s="15" t="s">
        <v>3075</v>
      </c>
      <c r="E2" s="15" t="s">
        <v>5207</v>
      </c>
      <c r="F2" s="15" t="s">
        <v>1912</v>
      </c>
    </row>
    <row r="3" ht="12.0" customHeight="1">
      <c r="A3" s="18">
        <v>12.0</v>
      </c>
      <c r="B3" s="15" t="s">
        <v>1913</v>
      </c>
      <c r="C3" s="16" t="s">
        <v>5208</v>
      </c>
      <c r="D3" s="15" t="s">
        <v>5209</v>
      </c>
      <c r="E3" s="15" t="s">
        <v>5210</v>
      </c>
      <c r="F3" s="15" t="s">
        <v>1914</v>
      </c>
    </row>
    <row r="4" ht="12.0" customHeight="1">
      <c r="A4" s="18">
        <v>12.0</v>
      </c>
      <c r="B4" s="15" t="s">
        <v>1915</v>
      </c>
      <c r="C4" s="16" t="s">
        <v>5211</v>
      </c>
      <c r="D4" s="15" t="s">
        <v>5212</v>
      </c>
      <c r="E4" s="15" t="s">
        <v>5213</v>
      </c>
      <c r="F4" s="15" t="s">
        <v>1916</v>
      </c>
    </row>
    <row r="5" ht="12.0" customHeight="1">
      <c r="A5" s="18">
        <v>12.0</v>
      </c>
      <c r="B5" s="15" t="s">
        <v>1917</v>
      </c>
      <c r="C5" s="16" t="s">
        <v>5214</v>
      </c>
      <c r="D5" s="15" t="s">
        <v>5215</v>
      </c>
      <c r="E5" s="15" t="s">
        <v>5216</v>
      </c>
      <c r="F5" s="15" t="s">
        <v>1918</v>
      </c>
    </row>
    <row r="6" ht="12.0" customHeight="1">
      <c r="A6" s="18">
        <v>12.0</v>
      </c>
      <c r="B6" s="15" t="s">
        <v>1919</v>
      </c>
      <c r="C6" s="16" t="s">
        <v>5217</v>
      </c>
      <c r="D6" s="15" t="s">
        <v>5218</v>
      </c>
      <c r="E6" s="15" t="s">
        <v>5219</v>
      </c>
      <c r="F6" s="15" t="s">
        <v>1920</v>
      </c>
    </row>
    <row r="7" ht="12.0" customHeight="1">
      <c r="A7" s="18">
        <v>12.0</v>
      </c>
      <c r="B7" s="15" t="s">
        <v>1921</v>
      </c>
      <c r="C7" s="16" t="s">
        <v>5220</v>
      </c>
      <c r="D7" s="15" t="s">
        <v>5221</v>
      </c>
      <c r="E7" s="15" t="s">
        <v>5222</v>
      </c>
      <c r="F7" s="15" t="s">
        <v>1922</v>
      </c>
    </row>
    <row r="8" ht="12.0" customHeight="1">
      <c r="A8" s="18">
        <v>12.0</v>
      </c>
      <c r="B8" s="15" t="s">
        <v>1923</v>
      </c>
      <c r="C8" s="16" t="s">
        <v>5223</v>
      </c>
      <c r="D8" s="15" t="s">
        <v>5224</v>
      </c>
      <c r="E8" s="15" t="s">
        <v>5225</v>
      </c>
      <c r="F8" s="15" t="s">
        <v>1924</v>
      </c>
    </row>
    <row r="9" ht="12.0" customHeight="1">
      <c r="A9" s="18">
        <v>12.0</v>
      </c>
      <c r="B9" s="15" t="s">
        <v>1925</v>
      </c>
      <c r="C9" s="16" t="s">
        <v>5226</v>
      </c>
      <c r="D9" s="15" t="s">
        <v>5227</v>
      </c>
      <c r="E9" s="15" t="s">
        <v>5228</v>
      </c>
      <c r="F9" s="15" t="s">
        <v>1926</v>
      </c>
    </row>
    <row r="10" ht="12.0" customHeight="1">
      <c r="A10" s="18">
        <v>12.0</v>
      </c>
      <c r="B10" s="15" t="s">
        <v>1927</v>
      </c>
      <c r="C10" s="16" t="s">
        <v>5229</v>
      </c>
      <c r="D10" s="15" t="s">
        <v>5230</v>
      </c>
      <c r="E10" s="15" t="s">
        <v>5231</v>
      </c>
      <c r="F10" s="15" t="s">
        <v>1928</v>
      </c>
    </row>
    <row r="11" ht="12.0" customHeight="1">
      <c r="A11" s="18">
        <v>12.0</v>
      </c>
      <c r="B11" s="15" t="s">
        <v>1929</v>
      </c>
      <c r="C11" s="16" t="s">
        <v>5232</v>
      </c>
      <c r="D11" s="15" t="s">
        <v>5233</v>
      </c>
      <c r="E11" s="15" t="s">
        <v>5234</v>
      </c>
      <c r="F11" s="15" t="s">
        <v>1930</v>
      </c>
    </row>
    <row r="12" ht="12.0" customHeight="1">
      <c r="A12" s="18">
        <v>12.0</v>
      </c>
      <c r="B12" s="15" t="s">
        <v>1931</v>
      </c>
      <c r="C12" s="16" t="s">
        <v>5235</v>
      </c>
      <c r="D12" s="15" t="s">
        <v>5236</v>
      </c>
      <c r="E12" s="15" t="s">
        <v>5237</v>
      </c>
      <c r="F12" s="15" t="s">
        <v>1932</v>
      </c>
    </row>
    <row r="13" ht="12.0" customHeight="1">
      <c r="A13" s="18">
        <v>12.0</v>
      </c>
      <c r="B13" s="15" t="s">
        <v>1933</v>
      </c>
      <c r="C13" s="16" t="s">
        <v>5238</v>
      </c>
      <c r="D13" s="15" t="s">
        <v>5239</v>
      </c>
      <c r="E13" s="15" t="s">
        <v>5240</v>
      </c>
      <c r="F13" s="15" t="s">
        <v>1934</v>
      </c>
    </row>
    <row r="14" ht="12.0" customHeight="1">
      <c r="A14" s="18">
        <v>12.0</v>
      </c>
      <c r="B14" s="15" t="s">
        <v>1935</v>
      </c>
      <c r="C14" s="16" t="s">
        <v>5241</v>
      </c>
      <c r="D14" s="15" t="s">
        <v>5242</v>
      </c>
      <c r="E14" s="15" t="s">
        <v>5243</v>
      </c>
      <c r="F14" s="15" t="s">
        <v>1936</v>
      </c>
    </row>
    <row r="15" ht="12.0" customHeight="1">
      <c r="A15" s="18">
        <v>12.0</v>
      </c>
      <c r="B15" s="15" t="s">
        <v>1937</v>
      </c>
      <c r="C15" s="16" t="s">
        <v>5244</v>
      </c>
      <c r="D15" s="15" t="s">
        <v>5245</v>
      </c>
      <c r="E15" s="15" t="s">
        <v>5246</v>
      </c>
      <c r="F15" s="15" t="s">
        <v>1938</v>
      </c>
    </row>
    <row r="16" ht="12.0" customHeight="1">
      <c r="A16" s="18">
        <v>12.0</v>
      </c>
      <c r="B16" s="15" t="s">
        <v>1939</v>
      </c>
      <c r="C16" s="16" t="s">
        <v>5247</v>
      </c>
      <c r="D16" s="15" t="s">
        <v>5248</v>
      </c>
      <c r="E16" s="15" t="s">
        <v>5249</v>
      </c>
      <c r="F16" s="15" t="s">
        <v>1940</v>
      </c>
    </row>
    <row r="17" ht="12.0" customHeight="1">
      <c r="A17" s="18">
        <v>12.0</v>
      </c>
      <c r="B17" s="15" t="s">
        <v>1941</v>
      </c>
      <c r="C17" s="16" t="s">
        <v>5250</v>
      </c>
      <c r="D17" s="15" t="s">
        <v>5251</v>
      </c>
      <c r="E17" s="15" t="s">
        <v>5252</v>
      </c>
      <c r="F17" s="15" t="s">
        <v>1942</v>
      </c>
    </row>
    <row r="18" ht="12.0" customHeight="1">
      <c r="A18" s="18">
        <v>12.0</v>
      </c>
      <c r="B18" s="15" t="s">
        <v>1943</v>
      </c>
      <c r="C18" s="16" t="s">
        <v>5253</v>
      </c>
      <c r="D18" s="15" t="s">
        <v>5254</v>
      </c>
      <c r="E18" s="15" t="s">
        <v>5255</v>
      </c>
      <c r="F18" s="15" t="s">
        <v>1944</v>
      </c>
    </row>
    <row r="19" ht="12.0" customHeight="1">
      <c r="A19" s="18">
        <v>12.0</v>
      </c>
      <c r="B19" s="15" t="s">
        <v>1945</v>
      </c>
      <c r="C19" s="16" t="s">
        <v>5256</v>
      </c>
      <c r="D19" s="15" t="s">
        <v>5257</v>
      </c>
      <c r="E19" s="15" t="s">
        <v>5258</v>
      </c>
      <c r="F19" s="15" t="s">
        <v>1946</v>
      </c>
    </row>
    <row r="20" ht="12.0" customHeight="1">
      <c r="A20" s="18">
        <v>12.0</v>
      </c>
      <c r="B20" s="15" t="s">
        <v>1947</v>
      </c>
      <c r="C20" s="16" t="s">
        <v>5214</v>
      </c>
      <c r="D20" s="15" t="s">
        <v>5259</v>
      </c>
      <c r="E20" s="15" t="s">
        <v>5260</v>
      </c>
      <c r="F20" s="15" t="s">
        <v>1948</v>
      </c>
    </row>
    <row r="21" ht="12.0" customHeight="1">
      <c r="A21" s="18">
        <v>12.0</v>
      </c>
      <c r="B21" s="15" t="s">
        <v>1949</v>
      </c>
      <c r="C21" s="16" t="s">
        <v>5261</v>
      </c>
      <c r="D21" s="15" t="s">
        <v>5262</v>
      </c>
      <c r="E21" s="15" t="s">
        <v>5263</v>
      </c>
      <c r="F21" s="15" t="s">
        <v>1950</v>
      </c>
    </row>
    <row r="22" ht="23.25" customHeight="1">
      <c r="A22" s="26">
        <v>12.0</v>
      </c>
      <c r="B22" s="20" t="s">
        <v>1951</v>
      </c>
      <c r="C22" s="21" t="s">
        <v>2695</v>
      </c>
      <c r="D22" s="20" t="s">
        <v>2696</v>
      </c>
      <c r="E22" s="20" t="s">
        <v>2697</v>
      </c>
      <c r="F22" s="20" t="s">
        <v>207</v>
      </c>
    </row>
    <row r="23" ht="12.0" customHeight="1">
      <c r="A23" s="25">
        <v>13.0</v>
      </c>
      <c r="B23" s="12" t="s">
        <v>1952</v>
      </c>
      <c r="C23" s="13" t="s">
        <v>5264</v>
      </c>
      <c r="D23" s="12" t="s">
        <v>5265</v>
      </c>
      <c r="E23" s="12" t="s">
        <v>5266</v>
      </c>
      <c r="F23" s="12" t="s">
        <v>1953</v>
      </c>
    </row>
    <row r="24" ht="12.0" customHeight="1">
      <c r="A24" s="18">
        <v>13.0</v>
      </c>
      <c r="B24" s="15" t="s">
        <v>1954</v>
      </c>
      <c r="C24" s="16" t="s">
        <v>5267</v>
      </c>
      <c r="D24" s="15" t="s">
        <v>5268</v>
      </c>
      <c r="E24" s="15" t="s">
        <v>5269</v>
      </c>
      <c r="F24" s="15" t="s">
        <v>1955</v>
      </c>
    </row>
    <row r="25" ht="12.0" customHeight="1">
      <c r="A25" s="18">
        <v>13.0</v>
      </c>
      <c r="B25" s="15" t="s">
        <v>1956</v>
      </c>
      <c r="C25" s="16" t="s">
        <v>5270</v>
      </c>
      <c r="D25" s="15" t="s">
        <v>5271</v>
      </c>
      <c r="E25" s="15" t="s">
        <v>5272</v>
      </c>
      <c r="F25" s="15" t="s">
        <v>1957</v>
      </c>
    </row>
    <row r="26" ht="12.0" customHeight="1">
      <c r="A26" s="18">
        <v>13.0</v>
      </c>
      <c r="B26" s="15" t="s">
        <v>1958</v>
      </c>
      <c r="C26" s="16" t="s">
        <v>5273</v>
      </c>
      <c r="D26" s="15" t="s">
        <v>5274</v>
      </c>
      <c r="E26" s="15" t="s">
        <v>5275</v>
      </c>
      <c r="F26" s="15" t="s">
        <v>1959</v>
      </c>
    </row>
    <row r="27" ht="12.0" customHeight="1">
      <c r="A27" s="18">
        <v>13.0</v>
      </c>
      <c r="B27" s="15" t="s">
        <v>1960</v>
      </c>
      <c r="C27" s="16" t="s">
        <v>5276</v>
      </c>
      <c r="D27" s="15" t="s">
        <v>5277</v>
      </c>
      <c r="E27" s="15" t="s">
        <v>5278</v>
      </c>
      <c r="F27" s="15" t="s">
        <v>1961</v>
      </c>
    </row>
    <row r="28" ht="12.0" customHeight="1">
      <c r="A28" s="18">
        <v>13.0</v>
      </c>
      <c r="B28" s="15" t="s">
        <v>1962</v>
      </c>
      <c r="C28" s="16" t="s">
        <v>5279</v>
      </c>
      <c r="D28" s="15" t="s">
        <v>5280</v>
      </c>
      <c r="E28" s="15" t="s">
        <v>5281</v>
      </c>
      <c r="F28" s="15" t="s">
        <v>1963</v>
      </c>
    </row>
    <row r="29" ht="12.0" customHeight="1">
      <c r="A29" s="18">
        <v>13.0</v>
      </c>
      <c r="B29" s="15" t="s">
        <v>1964</v>
      </c>
      <c r="C29" s="16" t="s">
        <v>5282</v>
      </c>
      <c r="D29" s="15" t="s">
        <v>5283</v>
      </c>
      <c r="E29" s="15" t="s">
        <v>5284</v>
      </c>
      <c r="F29" s="15" t="s">
        <v>1965</v>
      </c>
    </row>
    <row r="30" ht="12.0" customHeight="1">
      <c r="A30" s="18">
        <v>13.0</v>
      </c>
      <c r="B30" s="15" t="s">
        <v>1966</v>
      </c>
      <c r="C30" s="16" t="s">
        <v>4425</v>
      </c>
      <c r="D30" s="15" t="s">
        <v>5285</v>
      </c>
      <c r="E30" s="15" t="s">
        <v>5286</v>
      </c>
      <c r="F30" s="15" t="s">
        <v>1379</v>
      </c>
    </row>
    <row r="31" ht="12.0" customHeight="1">
      <c r="A31" s="18">
        <v>13.0</v>
      </c>
      <c r="B31" s="15" t="s">
        <v>1967</v>
      </c>
      <c r="C31" s="16" t="s">
        <v>5287</v>
      </c>
      <c r="D31" s="15" t="s">
        <v>5288</v>
      </c>
      <c r="E31" s="15" t="s">
        <v>5289</v>
      </c>
      <c r="F31" s="15" t="s">
        <v>1968</v>
      </c>
    </row>
    <row r="32" ht="12.0" customHeight="1">
      <c r="A32" s="18">
        <v>13.0</v>
      </c>
      <c r="B32" s="15" t="s">
        <v>1969</v>
      </c>
      <c r="C32" s="16" t="s">
        <v>5290</v>
      </c>
      <c r="D32" s="15" t="s">
        <v>5291</v>
      </c>
      <c r="E32" s="15" t="s">
        <v>5292</v>
      </c>
      <c r="F32" s="15" t="s">
        <v>1970</v>
      </c>
    </row>
    <row r="33" ht="12.0" customHeight="1">
      <c r="A33" s="18">
        <v>13.0</v>
      </c>
      <c r="B33" s="15" t="s">
        <v>1971</v>
      </c>
      <c r="C33" s="16" t="s">
        <v>5293</v>
      </c>
      <c r="D33" s="15" t="s">
        <v>5294</v>
      </c>
      <c r="E33" s="15" t="s">
        <v>5295</v>
      </c>
      <c r="F33" s="15" t="s">
        <v>1972</v>
      </c>
    </row>
    <row r="34" ht="12.0" customHeight="1">
      <c r="A34" s="18">
        <v>13.0</v>
      </c>
      <c r="B34" s="15" t="s">
        <v>1973</v>
      </c>
      <c r="C34" s="16" t="s">
        <v>5296</v>
      </c>
      <c r="D34" s="15" t="s">
        <v>5297</v>
      </c>
      <c r="E34" s="15" t="s">
        <v>5298</v>
      </c>
      <c r="F34" s="15" t="s">
        <v>1974</v>
      </c>
    </row>
    <row r="35" ht="12.0" customHeight="1">
      <c r="A35" s="18">
        <v>13.0</v>
      </c>
      <c r="B35" s="15" t="s">
        <v>1975</v>
      </c>
      <c r="C35" s="16" t="s">
        <v>5299</v>
      </c>
      <c r="D35" s="15" t="s">
        <v>5300</v>
      </c>
      <c r="E35" s="15" t="s">
        <v>5301</v>
      </c>
      <c r="F35" s="15" t="s">
        <v>1976</v>
      </c>
    </row>
    <row r="36" ht="12.0" customHeight="1">
      <c r="A36" s="18">
        <v>13.0</v>
      </c>
      <c r="B36" s="15" t="s">
        <v>1977</v>
      </c>
      <c r="C36" s="16" t="s">
        <v>5302</v>
      </c>
      <c r="D36" s="15" t="s">
        <v>5303</v>
      </c>
      <c r="E36" s="15" t="s">
        <v>5304</v>
      </c>
      <c r="F36" s="15" t="s">
        <v>1978</v>
      </c>
    </row>
    <row r="37" ht="12.0" customHeight="1">
      <c r="A37" s="18">
        <v>13.0</v>
      </c>
      <c r="B37" s="15" t="s">
        <v>1979</v>
      </c>
      <c r="C37" s="16" t="s">
        <v>5305</v>
      </c>
      <c r="D37" s="15" t="s">
        <v>5306</v>
      </c>
      <c r="E37" s="15" t="s">
        <v>5307</v>
      </c>
      <c r="F37" s="15" t="s">
        <v>1980</v>
      </c>
    </row>
    <row r="38" ht="12.0" customHeight="1">
      <c r="A38" s="18">
        <v>13.0</v>
      </c>
      <c r="B38" s="15" t="s">
        <v>1981</v>
      </c>
      <c r="C38" s="16" t="s">
        <v>5308</v>
      </c>
      <c r="D38" s="15" t="s">
        <v>5309</v>
      </c>
      <c r="E38" s="15" t="s">
        <v>5310</v>
      </c>
      <c r="F38" s="15" t="s">
        <v>1982</v>
      </c>
    </row>
    <row r="39" ht="12.0" customHeight="1">
      <c r="A39" s="18">
        <v>13.0</v>
      </c>
      <c r="B39" s="15" t="s">
        <v>1983</v>
      </c>
      <c r="C39" s="16" t="s">
        <v>5311</v>
      </c>
      <c r="D39" s="15" t="s">
        <v>5312</v>
      </c>
      <c r="E39" s="15" t="s">
        <v>5313</v>
      </c>
      <c r="F39" s="15" t="s">
        <v>1984</v>
      </c>
    </row>
    <row r="40" ht="12.0" customHeight="1">
      <c r="A40" s="18">
        <v>13.0</v>
      </c>
      <c r="B40" s="15" t="s">
        <v>1985</v>
      </c>
      <c r="C40" s="16" t="s">
        <v>3208</v>
      </c>
      <c r="D40" s="15" t="s">
        <v>5314</v>
      </c>
      <c r="E40" s="15" t="s">
        <v>5315</v>
      </c>
      <c r="F40" s="15" t="s">
        <v>1986</v>
      </c>
    </row>
    <row r="41" ht="12.0" customHeight="1">
      <c r="A41" s="18">
        <v>13.0</v>
      </c>
      <c r="B41" s="15" t="s">
        <v>1987</v>
      </c>
      <c r="C41" s="16" t="s">
        <v>5316</v>
      </c>
      <c r="D41" s="15" t="s">
        <v>5317</v>
      </c>
      <c r="E41" s="15" t="s">
        <v>5318</v>
      </c>
      <c r="F41" s="15" t="s">
        <v>1988</v>
      </c>
    </row>
    <row r="42" ht="12.0" customHeight="1">
      <c r="A42" s="18">
        <v>13.0</v>
      </c>
      <c r="B42" s="15" t="s">
        <v>1989</v>
      </c>
      <c r="C42" s="16" t="s">
        <v>5319</v>
      </c>
      <c r="D42" s="15" t="s">
        <v>5320</v>
      </c>
      <c r="E42" s="15" t="s">
        <v>5321</v>
      </c>
      <c r="F42" s="15" t="s">
        <v>1990</v>
      </c>
    </row>
    <row r="43" ht="12.0" customHeight="1">
      <c r="A43" s="18">
        <v>13.0</v>
      </c>
      <c r="B43" s="15" t="s">
        <v>1991</v>
      </c>
      <c r="C43" s="16" t="s">
        <v>5322</v>
      </c>
      <c r="D43" s="15" t="s">
        <v>5323</v>
      </c>
      <c r="E43" s="15" t="s">
        <v>5324</v>
      </c>
      <c r="F43" s="15" t="s">
        <v>1992</v>
      </c>
    </row>
    <row r="44" ht="12.0" customHeight="1">
      <c r="A44" s="18">
        <v>13.0</v>
      </c>
      <c r="B44" s="15" t="s">
        <v>1993</v>
      </c>
      <c r="C44" s="16" t="s">
        <v>5325</v>
      </c>
      <c r="D44" s="15" t="s">
        <v>5326</v>
      </c>
      <c r="E44" s="15" t="s">
        <v>5327</v>
      </c>
      <c r="F44" s="15" t="s">
        <v>1994</v>
      </c>
    </row>
    <row r="45" ht="12.0" customHeight="1">
      <c r="A45" s="18">
        <v>13.0</v>
      </c>
      <c r="B45" s="15" t="s">
        <v>1995</v>
      </c>
      <c r="C45" s="16" t="s">
        <v>5328</v>
      </c>
      <c r="D45" s="15" t="s">
        <v>5329</v>
      </c>
      <c r="E45" s="15" t="s">
        <v>5330</v>
      </c>
      <c r="F45" s="15" t="s">
        <v>1996</v>
      </c>
    </row>
    <row r="46" ht="12.0" customHeight="1">
      <c r="A46" s="18">
        <v>13.0</v>
      </c>
      <c r="B46" s="15" t="s">
        <v>1997</v>
      </c>
      <c r="C46" s="16" t="s">
        <v>5331</v>
      </c>
      <c r="D46" s="15" t="s">
        <v>2684</v>
      </c>
      <c r="E46" s="15" t="s">
        <v>2685</v>
      </c>
      <c r="F46" s="15" t="s">
        <v>1998</v>
      </c>
    </row>
    <row r="47" ht="12.0" customHeight="1">
      <c r="A47" s="18">
        <v>13.0</v>
      </c>
      <c r="B47" s="15" t="s">
        <v>1999</v>
      </c>
      <c r="C47" s="16" t="s">
        <v>5332</v>
      </c>
      <c r="D47" s="15" t="s">
        <v>5333</v>
      </c>
      <c r="E47" s="15" t="s">
        <v>5334</v>
      </c>
      <c r="F47" s="15" t="s">
        <v>2000</v>
      </c>
    </row>
    <row r="48" ht="12.0" customHeight="1">
      <c r="A48" s="18">
        <v>13.0</v>
      </c>
      <c r="B48" s="15" t="s">
        <v>2001</v>
      </c>
      <c r="C48" s="16" t="s">
        <v>5335</v>
      </c>
      <c r="D48" s="15" t="s">
        <v>5336</v>
      </c>
      <c r="E48" s="15" t="s">
        <v>5337</v>
      </c>
      <c r="F48" s="15" t="s">
        <v>2002</v>
      </c>
    </row>
    <row r="49" ht="15.75" customHeight="1">
      <c r="A49" s="18">
        <v>13.0</v>
      </c>
      <c r="B49" s="15" t="s">
        <v>2003</v>
      </c>
      <c r="C49" s="16" t="s">
        <v>5338</v>
      </c>
      <c r="D49" s="15" t="s">
        <v>5339</v>
      </c>
      <c r="E49" s="15" t="s">
        <v>5340</v>
      </c>
      <c r="F49" s="15" t="s">
        <v>2004</v>
      </c>
    </row>
    <row r="50" ht="7.5" customHeight="1">
      <c r="A50" s="17" t="s">
        <v>5341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6" width="9.0"/>
  </cols>
  <sheetData>
    <row r="1" ht="27.0" customHeight="1">
      <c r="A1" s="8"/>
    </row>
    <row r="2" ht="12.75" customHeight="1">
      <c r="A2" s="2">
        <v>13.0</v>
      </c>
      <c r="B2" s="6" t="s">
        <v>2005</v>
      </c>
      <c r="C2" s="2" t="s">
        <v>8</v>
      </c>
      <c r="D2" s="2" t="s">
        <v>8</v>
      </c>
      <c r="E2" s="2" t="s">
        <v>8</v>
      </c>
      <c r="F2" s="2" t="s">
        <v>2006</v>
      </c>
    </row>
    <row r="3" ht="12.75" customHeight="1">
      <c r="A3" s="2">
        <v>13.0</v>
      </c>
      <c r="B3" s="2" t="s">
        <v>2007</v>
      </c>
      <c r="C3" s="2" t="s">
        <v>8</v>
      </c>
      <c r="D3" s="2" t="s">
        <v>8</v>
      </c>
      <c r="E3" s="2" t="s">
        <v>8</v>
      </c>
      <c r="F3" s="2" t="s">
        <v>2008</v>
      </c>
    </row>
    <row r="4" ht="12.75" customHeight="1">
      <c r="A4" s="2">
        <v>13.0</v>
      </c>
      <c r="B4" s="2" t="s">
        <v>2009</v>
      </c>
      <c r="C4" s="2" t="s">
        <v>8</v>
      </c>
      <c r="D4" s="2" t="s">
        <v>8</v>
      </c>
      <c r="E4" s="2" t="s">
        <v>8</v>
      </c>
      <c r="F4" s="2" t="s">
        <v>2010</v>
      </c>
    </row>
    <row r="5" ht="12.75" customHeight="1">
      <c r="A5" s="2">
        <v>13.0</v>
      </c>
      <c r="B5" s="2" t="s">
        <v>2011</v>
      </c>
      <c r="C5" s="2" t="s">
        <v>8</v>
      </c>
      <c r="D5" s="2" t="s">
        <v>8</v>
      </c>
      <c r="E5" s="2" t="s">
        <v>8</v>
      </c>
      <c r="F5" s="2" t="s">
        <v>2012</v>
      </c>
    </row>
    <row r="6" ht="12.75" customHeight="1">
      <c r="A6" s="2">
        <v>13.0</v>
      </c>
      <c r="B6" s="2" t="s">
        <v>2013</v>
      </c>
      <c r="C6" s="2" t="s">
        <v>8</v>
      </c>
      <c r="D6" s="2" t="s">
        <v>8</v>
      </c>
      <c r="E6" s="2" t="s">
        <v>8</v>
      </c>
      <c r="F6" s="2" t="s">
        <v>2014</v>
      </c>
    </row>
    <row r="7" ht="12.75" customHeight="1">
      <c r="A7" s="2">
        <v>13.0</v>
      </c>
      <c r="B7" s="2" t="s">
        <v>2015</v>
      </c>
      <c r="C7" s="2" t="s">
        <v>8</v>
      </c>
      <c r="D7" s="2" t="s">
        <v>8</v>
      </c>
      <c r="E7" s="2" t="s">
        <v>8</v>
      </c>
      <c r="F7" s="2" t="s">
        <v>2016</v>
      </c>
    </row>
    <row r="8" ht="12.75" customHeight="1">
      <c r="A8" s="2">
        <v>13.0</v>
      </c>
      <c r="B8" s="2" t="s">
        <v>2017</v>
      </c>
      <c r="C8" s="2" t="s">
        <v>8</v>
      </c>
      <c r="D8" s="2" t="s">
        <v>8</v>
      </c>
      <c r="E8" s="2" t="s">
        <v>8</v>
      </c>
      <c r="F8" s="2" t="s">
        <v>2018</v>
      </c>
    </row>
    <row r="9" ht="12.75" customHeight="1">
      <c r="A9" s="2">
        <v>13.0</v>
      </c>
      <c r="B9" s="2" t="s">
        <v>2019</v>
      </c>
      <c r="C9" s="2" t="s">
        <v>8</v>
      </c>
      <c r="D9" s="2" t="s">
        <v>8</v>
      </c>
      <c r="E9" s="2" t="s">
        <v>8</v>
      </c>
      <c r="F9" s="2" t="s">
        <v>2020</v>
      </c>
    </row>
    <row r="10" ht="12.75" customHeight="1">
      <c r="A10" s="2">
        <v>13.0</v>
      </c>
      <c r="B10" s="2" t="s">
        <v>2021</v>
      </c>
      <c r="C10" s="2" t="s">
        <v>8</v>
      </c>
      <c r="D10" s="2" t="s">
        <v>8</v>
      </c>
      <c r="E10" s="2" t="s">
        <v>8</v>
      </c>
      <c r="F10" s="2" t="s">
        <v>2022</v>
      </c>
    </row>
    <row r="11" ht="12.75" customHeight="1">
      <c r="A11" s="2">
        <v>13.0</v>
      </c>
      <c r="B11" s="2" t="s">
        <v>2023</v>
      </c>
      <c r="C11" s="2" t="s">
        <v>8</v>
      </c>
      <c r="D11" s="2" t="s">
        <v>8</v>
      </c>
      <c r="E11" s="2" t="s">
        <v>8</v>
      </c>
      <c r="F11" s="2" t="s">
        <v>2024</v>
      </c>
    </row>
    <row r="12" ht="12.75" customHeight="1">
      <c r="A12" s="2">
        <v>13.0</v>
      </c>
      <c r="B12" s="2" t="s">
        <v>2025</v>
      </c>
      <c r="C12" s="2" t="s">
        <v>8</v>
      </c>
      <c r="D12" s="2" t="s">
        <v>8</v>
      </c>
      <c r="E12" s="2" t="s">
        <v>8</v>
      </c>
      <c r="F12" s="2" t="s">
        <v>2026</v>
      </c>
    </row>
    <row r="13" ht="12.75" customHeight="1">
      <c r="A13" s="2">
        <v>13.0</v>
      </c>
      <c r="B13" s="2" t="s">
        <v>2027</v>
      </c>
      <c r="C13" s="2" t="s">
        <v>8</v>
      </c>
      <c r="D13" s="2" t="s">
        <v>8</v>
      </c>
      <c r="E13" s="2" t="s">
        <v>8</v>
      </c>
      <c r="F13" s="2" t="s">
        <v>2028</v>
      </c>
    </row>
    <row r="14" ht="12.75" customHeight="1">
      <c r="A14" s="2">
        <v>13.0</v>
      </c>
      <c r="B14" s="2" t="s">
        <v>2029</v>
      </c>
      <c r="C14" s="2" t="s">
        <v>8</v>
      </c>
      <c r="D14" s="2" t="s">
        <v>8</v>
      </c>
      <c r="E14" s="2" t="s">
        <v>8</v>
      </c>
      <c r="F14" s="2" t="s">
        <v>2030</v>
      </c>
    </row>
    <row r="15" ht="12.75" customHeight="1">
      <c r="A15" s="2">
        <v>13.0</v>
      </c>
      <c r="B15" s="2" t="s">
        <v>2031</v>
      </c>
      <c r="C15" s="2" t="s">
        <v>8</v>
      </c>
      <c r="D15" s="2" t="s">
        <v>8</v>
      </c>
      <c r="E15" s="2" t="s">
        <v>8</v>
      </c>
      <c r="F15" s="2" t="s">
        <v>2032</v>
      </c>
    </row>
    <row r="16" ht="12.75" customHeight="1">
      <c r="A16" s="2">
        <v>13.0</v>
      </c>
      <c r="B16" s="2" t="s">
        <v>2033</v>
      </c>
      <c r="C16" s="2" t="s">
        <v>8</v>
      </c>
      <c r="D16" s="2" t="s">
        <v>8</v>
      </c>
      <c r="E16" s="2" t="s">
        <v>8</v>
      </c>
      <c r="F16" s="2" t="s">
        <v>2034</v>
      </c>
    </row>
    <row r="17" ht="12.75" customHeight="1">
      <c r="A17" s="2">
        <v>13.0</v>
      </c>
      <c r="B17" s="2" t="s">
        <v>2035</v>
      </c>
      <c r="C17" s="2" t="s">
        <v>8</v>
      </c>
      <c r="D17" s="2" t="s">
        <v>8</v>
      </c>
      <c r="E17" s="2" t="s">
        <v>8</v>
      </c>
      <c r="F17" s="2" t="s">
        <v>2036</v>
      </c>
    </row>
    <row r="18" ht="12.75" customHeight="1">
      <c r="A18" s="2">
        <v>13.0</v>
      </c>
      <c r="B18" s="2" t="s">
        <v>2037</v>
      </c>
      <c r="C18" s="2" t="s">
        <v>8</v>
      </c>
      <c r="D18" s="2" t="s">
        <v>8</v>
      </c>
      <c r="E18" s="2" t="s">
        <v>8</v>
      </c>
      <c r="F18" s="2" t="s">
        <v>2038</v>
      </c>
    </row>
    <row r="19" ht="12.75" customHeight="1">
      <c r="A19" s="2">
        <v>13.0</v>
      </c>
      <c r="B19" s="2" t="s">
        <v>2039</v>
      </c>
      <c r="C19" s="2" t="s">
        <v>8</v>
      </c>
      <c r="D19" s="2" t="s">
        <v>8</v>
      </c>
      <c r="E19" s="2" t="s">
        <v>8</v>
      </c>
      <c r="F19" s="2" t="s">
        <v>2040</v>
      </c>
    </row>
    <row r="20" ht="12.75" customHeight="1">
      <c r="A20" s="2">
        <v>13.0</v>
      </c>
      <c r="B20" s="2" t="s">
        <v>2041</v>
      </c>
      <c r="C20" s="2" t="s">
        <v>8</v>
      </c>
      <c r="D20" s="2" t="s">
        <v>8</v>
      </c>
      <c r="E20" s="2" t="s">
        <v>8</v>
      </c>
      <c r="F20" s="2" t="s">
        <v>2042</v>
      </c>
    </row>
    <row r="21" ht="12.75" customHeight="1">
      <c r="A21" s="2">
        <v>13.0</v>
      </c>
      <c r="B21" s="2" t="s">
        <v>2043</v>
      </c>
      <c r="C21" s="2" t="s">
        <v>8</v>
      </c>
      <c r="D21" s="2" t="s">
        <v>8</v>
      </c>
      <c r="E21" s="2" t="s">
        <v>8</v>
      </c>
      <c r="F21" s="2" t="s">
        <v>2044</v>
      </c>
    </row>
    <row r="22" ht="12.75" customHeight="1">
      <c r="A22" s="2">
        <v>13.0</v>
      </c>
      <c r="B22" s="2" t="s">
        <v>2045</v>
      </c>
      <c r="C22" s="2" t="s">
        <v>8</v>
      </c>
      <c r="D22" s="2" t="s">
        <v>8</v>
      </c>
      <c r="E22" s="2" t="s">
        <v>8</v>
      </c>
      <c r="F22" s="2" t="s">
        <v>2046</v>
      </c>
    </row>
    <row r="23" ht="12.75" customHeight="1">
      <c r="A23" s="2">
        <v>13.0</v>
      </c>
      <c r="B23" s="2" t="s">
        <v>2047</v>
      </c>
      <c r="C23" s="2" t="s">
        <v>8</v>
      </c>
      <c r="D23" s="2" t="s">
        <v>8</v>
      </c>
      <c r="E23" s="2" t="s">
        <v>8</v>
      </c>
      <c r="F23" s="2" t="s">
        <v>2048</v>
      </c>
    </row>
    <row r="24" ht="12.75" customHeight="1">
      <c r="A24" s="2">
        <v>13.0</v>
      </c>
      <c r="B24" s="2" t="s">
        <v>2049</v>
      </c>
      <c r="C24" s="2" t="s">
        <v>8</v>
      </c>
      <c r="D24" s="2" t="s">
        <v>8</v>
      </c>
      <c r="E24" s="2" t="s">
        <v>8</v>
      </c>
      <c r="F24" s="2" t="s">
        <v>2050</v>
      </c>
    </row>
    <row r="25" ht="12.75" customHeight="1">
      <c r="A25" s="2">
        <v>13.0</v>
      </c>
      <c r="B25" s="2" t="s">
        <v>2051</v>
      </c>
      <c r="C25" s="2" t="s">
        <v>8</v>
      </c>
      <c r="D25" s="2" t="s">
        <v>8</v>
      </c>
      <c r="E25" s="2" t="s">
        <v>8</v>
      </c>
      <c r="F25" s="2" t="s">
        <v>2052</v>
      </c>
    </row>
    <row r="26" ht="12.75" customHeight="1">
      <c r="A26" s="2">
        <v>13.0</v>
      </c>
      <c r="B26" s="2" t="s">
        <v>2053</v>
      </c>
      <c r="C26" s="2" t="s">
        <v>8</v>
      </c>
      <c r="D26" s="2" t="s">
        <v>8</v>
      </c>
      <c r="E26" s="2" t="s">
        <v>8</v>
      </c>
      <c r="F26" s="2" t="s">
        <v>2054</v>
      </c>
    </row>
    <row r="27" ht="12.75" customHeight="1">
      <c r="A27" s="2">
        <v>13.0</v>
      </c>
      <c r="B27" s="2" t="s">
        <v>2055</v>
      </c>
      <c r="C27" s="2" t="s">
        <v>8</v>
      </c>
      <c r="D27" s="2" t="s">
        <v>8</v>
      </c>
      <c r="E27" s="2" t="s">
        <v>8</v>
      </c>
      <c r="F27" s="2" t="s">
        <v>2056</v>
      </c>
    </row>
    <row r="28" ht="12.75" customHeight="1">
      <c r="A28" s="2">
        <v>13.0</v>
      </c>
      <c r="B28" s="2" t="s">
        <v>2057</v>
      </c>
      <c r="C28" s="2" t="s">
        <v>8</v>
      </c>
      <c r="D28" s="2" t="s">
        <v>8</v>
      </c>
      <c r="E28" s="2" t="s">
        <v>8</v>
      </c>
      <c r="F28" s="2" t="s">
        <v>2058</v>
      </c>
    </row>
    <row r="29" ht="12.75" customHeight="1">
      <c r="A29" s="2">
        <v>13.0</v>
      </c>
      <c r="B29" s="2" t="s">
        <v>2059</v>
      </c>
      <c r="C29" s="2" t="s">
        <v>8</v>
      </c>
      <c r="D29" s="2" t="s">
        <v>8</v>
      </c>
      <c r="E29" s="2" t="s">
        <v>8</v>
      </c>
      <c r="F29" s="2" t="s">
        <v>2060</v>
      </c>
    </row>
    <row r="30" ht="12.75" customHeight="1">
      <c r="A30" s="2">
        <v>13.0</v>
      </c>
      <c r="B30" s="2" t="s">
        <v>2061</v>
      </c>
      <c r="C30" s="2" t="s">
        <v>8</v>
      </c>
      <c r="D30" s="2" t="s">
        <v>8</v>
      </c>
      <c r="E30" s="2" t="s">
        <v>8</v>
      </c>
      <c r="F30" s="2" t="s">
        <v>2062</v>
      </c>
    </row>
    <row r="31" ht="12.75" customHeight="1">
      <c r="A31" s="2">
        <v>13.0</v>
      </c>
      <c r="B31" s="2" t="s">
        <v>2063</v>
      </c>
      <c r="C31" s="2" t="s">
        <v>8</v>
      </c>
      <c r="D31" s="2" t="s">
        <v>8</v>
      </c>
      <c r="E31" s="2" t="s">
        <v>8</v>
      </c>
      <c r="F31" s="2" t="s">
        <v>2064</v>
      </c>
    </row>
    <row r="32" ht="12.75" customHeight="1">
      <c r="A32" s="2">
        <v>13.0</v>
      </c>
      <c r="B32" s="2" t="s">
        <v>2065</v>
      </c>
      <c r="C32" s="2" t="s">
        <v>8</v>
      </c>
      <c r="D32" s="2" t="s">
        <v>8</v>
      </c>
      <c r="E32" s="2" t="s">
        <v>8</v>
      </c>
      <c r="F32" s="2" t="s">
        <v>2066</v>
      </c>
    </row>
    <row r="33" ht="12.75" customHeight="1">
      <c r="A33" s="2">
        <v>13.0</v>
      </c>
      <c r="B33" s="2" t="s">
        <v>2067</v>
      </c>
      <c r="C33" s="2" t="s">
        <v>8</v>
      </c>
      <c r="D33" s="2" t="s">
        <v>8</v>
      </c>
      <c r="E33" s="2" t="s">
        <v>8</v>
      </c>
      <c r="F33" s="2" t="s">
        <v>2068</v>
      </c>
    </row>
    <row r="34" ht="12.75" customHeight="1">
      <c r="A34" s="2">
        <v>13.0</v>
      </c>
      <c r="B34" s="2" t="s">
        <v>2069</v>
      </c>
      <c r="C34" s="2" t="s">
        <v>8</v>
      </c>
      <c r="D34" s="2" t="s">
        <v>8</v>
      </c>
      <c r="E34" s="2" t="s">
        <v>8</v>
      </c>
      <c r="F34" s="2" t="s">
        <v>2070</v>
      </c>
    </row>
    <row r="35" ht="12.75" customHeight="1">
      <c r="A35" s="2">
        <v>13.0</v>
      </c>
      <c r="B35" s="2" t="s">
        <v>2071</v>
      </c>
      <c r="C35" s="2" t="s">
        <v>8</v>
      </c>
      <c r="D35" s="2" t="s">
        <v>8</v>
      </c>
      <c r="E35" s="2" t="s">
        <v>8</v>
      </c>
      <c r="F35" s="2" t="s">
        <v>2072</v>
      </c>
    </row>
    <row r="36" ht="12.75" customHeight="1">
      <c r="A36" s="2">
        <v>13.0</v>
      </c>
      <c r="B36" s="2" t="s">
        <v>2073</v>
      </c>
      <c r="C36" s="2" t="s">
        <v>8</v>
      </c>
      <c r="D36" s="2" t="s">
        <v>8</v>
      </c>
      <c r="E36" s="2" t="s">
        <v>8</v>
      </c>
      <c r="F36" s="2" t="s">
        <v>2074</v>
      </c>
    </row>
    <row r="37" ht="12.75" customHeight="1">
      <c r="A37" s="2">
        <v>13.0</v>
      </c>
      <c r="B37" s="2" t="s">
        <v>2075</v>
      </c>
      <c r="C37" s="2" t="s">
        <v>8</v>
      </c>
      <c r="D37" s="2" t="s">
        <v>8</v>
      </c>
      <c r="E37" s="2" t="s">
        <v>8</v>
      </c>
      <c r="F37" s="2" t="s">
        <v>2076</v>
      </c>
    </row>
    <row r="38" ht="12.75" customHeight="1">
      <c r="A38" s="2">
        <v>13.0</v>
      </c>
      <c r="B38" s="2" t="s">
        <v>2077</v>
      </c>
      <c r="C38" s="2" t="s">
        <v>8</v>
      </c>
      <c r="D38" s="2" t="s">
        <v>8</v>
      </c>
      <c r="E38" s="2" t="s">
        <v>8</v>
      </c>
      <c r="F38" s="2" t="s">
        <v>2078</v>
      </c>
    </row>
    <row r="39" ht="12.75" customHeight="1">
      <c r="A39" s="2">
        <v>13.0</v>
      </c>
      <c r="B39" s="2" t="s">
        <v>2079</v>
      </c>
      <c r="C39" s="2" t="s">
        <v>8</v>
      </c>
      <c r="D39" s="2" t="s">
        <v>8</v>
      </c>
      <c r="E39" s="2" t="s">
        <v>8</v>
      </c>
      <c r="F39" s="2" t="s">
        <v>2080</v>
      </c>
    </row>
    <row r="40" ht="12.75" customHeight="1">
      <c r="A40" s="2">
        <v>13.0</v>
      </c>
      <c r="B40" s="2" t="s">
        <v>2081</v>
      </c>
      <c r="C40" s="2" t="s">
        <v>8</v>
      </c>
      <c r="D40" s="2" t="s">
        <v>8</v>
      </c>
      <c r="E40" s="2" t="s">
        <v>8</v>
      </c>
      <c r="F40" s="2" t="s">
        <v>2082</v>
      </c>
    </row>
    <row r="41" ht="12.75" customHeight="1">
      <c r="A41" s="2">
        <v>13.0</v>
      </c>
      <c r="B41" s="2" t="s">
        <v>2083</v>
      </c>
      <c r="C41" s="2" t="s">
        <v>8</v>
      </c>
      <c r="D41" s="2" t="s">
        <v>8</v>
      </c>
      <c r="E41" s="2" t="s">
        <v>8</v>
      </c>
      <c r="F41" s="2" t="s">
        <v>2084</v>
      </c>
    </row>
    <row r="42" ht="12.75" customHeight="1">
      <c r="A42" s="2">
        <v>13.0</v>
      </c>
      <c r="B42" s="2" t="s">
        <v>2085</v>
      </c>
      <c r="C42" s="2" t="s">
        <v>8</v>
      </c>
      <c r="D42" s="2" t="s">
        <v>8</v>
      </c>
      <c r="E42" s="2" t="s">
        <v>8</v>
      </c>
      <c r="F42" s="2" t="s">
        <v>2086</v>
      </c>
    </row>
    <row r="43" ht="12.75" customHeight="1">
      <c r="A43" s="2">
        <v>13.0</v>
      </c>
      <c r="B43" s="2" t="s">
        <v>2087</v>
      </c>
      <c r="C43" s="2" t="s">
        <v>8</v>
      </c>
      <c r="D43" s="2" t="s">
        <v>8</v>
      </c>
      <c r="E43" s="2" t="s">
        <v>8</v>
      </c>
      <c r="F43" s="2" t="s">
        <v>2088</v>
      </c>
    </row>
    <row r="44" ht="12.75" customHeight="1">
      <c r="A44" s="2">
        <v>13.0</v>
      </c>
      <c r="B44" s="2" t="s">
        <v>2089</v>
      </c>
      <c r="C44" s="2" t="s">
        <v>8</v>
      </c>
      <c r="D44" s="2" t="s">
        <v>8</v>
      </c>
      <c r="E44" s="2" t="s">
        <v>8</v>
      </c>
      <c r="F44" s="2" t="s">
        <v>2090</v>
      </c>
    </row>
    <row r="45" ht="12.75" customHeight="1">
      <c r="A45" s="2">
        <v>13.0</v>
      </c>
      <c r="B45" s="2" t="s">
        <v>2091</v>
      </c>
      <c r="C45" s="2" t="s">
        <v>8</v>
      </c>
      <c r="D45" s="2" t="s">
        <v>8</v>
      </c>
      <c r="E45" s="2" t="s">
        <v>8</v>
      </c>
      <c r="F45" s="2" t="s">
        <v>2092</v>
      </c>
    </row>
    <row r="46" ht="12.75" customHeight="1">
      <c r="A46" s="2">
        <v>13.0</v>
      </c>
      <c r="B46" s="2" t="s">
        <v>2093</v>
      </c>
      <c r="C46" s="2" t="s">
        <v>8</v>
      </c>
      <c r="D46" s="2" t="s">
        <v>8</v>
      </c>
      <c r="E46" s="2" t="s">
        <v>8</v>
      </c>
      <c r="F46" s="2" t="s">
        <v>2094</v>
      </c>
    </row>
    <row r="47" ht="12.75" customHeight="1">
      <c r="A47" s="2">
        <v>13.0</v>
      </c>
      <c r="B47" s="2" t="s">
        <v>2095</v>
      </c>
      <c r="C47" s="2" t="s">
        <v>8</v>
      </c>
      <c r="D47" s="2" t="s">
        <v>8</v>
      </c>
      <c r="E47" s="2" t="s">
        <v>8</v>
      </c>
      <c r="F47" s="2" t="s">
        <v>2096</v>
      </c>
    </row>
    <row r="48" ht="12.75" customHeight="1">
      <c r="A48" s="2">
        <v>13.0</v>
      </c>
      <c r="B48" s="2" t="s">
        <v>2097</v>
      </c>
      <c r="C48" s="2" t="s">
        <v>8</v>
      </c>
      <c r="D48" s="2" t="s">
        <v>8</v>
      </c>
      <c r="E48" s="2" t="s">
        <v>8</v>
      </c>
      <c r="F48" s="2" t="s">
        <v>2098</v>
      </c>
    </row>
    <row r="49" ht="12.75" customHeight="1">
      <c r="A49" s="2">
        <v>13.0</v>
      </c>
      <c r="B49" s="2" t="s">
        <v>2099</v>
      </c>
      <c r="C49" s="2" t="s">
        <v>8</v>
      </c>
      <c r="D49" s="2" t="s">
        <v>8</v>
      </c>
      <c r="E49" s="2" t="s">
        <v>8</v>
      </c>
      <c r="F49" s="2" t="s">
        <v>2100</v>
      </c>
    </row>
    <row r="50" ht="12.75" customHeight="1">
      <c r="A50" s="2">
        <v>13.0</v>
      </c>
      <c r="B50" s="2" t="s">
        <v>2101</v>
      </c>
      <c r="C50" s="2" t="s">
        <v>8</v>
      </c>
      <c r="D50" s="2" t="s">
        <v>8</v>
      </c>
      <c r="E50" s="2" t="s">
        <v>8</v>
      </c>
      <c r="F50" s="2" t="s">
        <v>2102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86"/>
    <col customWidth="1" min="3" max="3" width="17.86"/>
    <col customWidth="1" min="4" max="4" width="19.86"/>
    <col customWidth="1" min="5" max="5" width="20.86"/>
    <col customWidth="1" min="6" max="6" width="56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8">
        <v>13.0</v>
      </c>
      <c r="B2" s="15" t="s">
        <v>2103</v>
      </c>
      <c r="C2" s="16" t="s">
        <v>5342</v>
      </c>
      <c r="D2" s="15" t="s">
        <v>5343</v>
      </c>
      <c r="E2" s="15" t="s">
        <v>5344</v>
      </c>
      <c r="F2" s="15" t="s">
        <v>2104</v>
      </c>
    </row>
    <row r="3" ht="11.25" customHeight="1">
      <c r="A3" s="18">
        <v>13.0</v>
      </c>
      <c r="B3" s="15" t="s">
        <v>2105</v>
      </c>
      <c r="C3" s="16" t="s">
        <v>5345</v>
      </c>
      <c r="D3" s="15" t="s">
        <v>5346</v>
      </c>
      <c r="E3" s="15" t="s">
        <v>5347</v>
      </c>
      <c r="F3" s="15" t="s">
        <v>2106</v>
      </c>
    </row>
    <row r="4" ht="12.0" customHeight="1">
      <c r="A4" s="18">
        <v>13.0</v>
      </c>
      <c r="B4" s="15" t="s">
        <v>2107</v>
      </c>
      <c r="C4" s="16" t="s">
        <v>5348</v>
      </c>
      <c r="D4" s="15" t="s">
        <v>5349</v>
      </c>
      <c r="E4" s="15" t="s">
        <v>5350</v>
      </c>
      <c r="F4" s="15" t="s">
        <v>2108</v>
      </c>
    </row>
    <row r="5" ht="12.0" customHeight="1">
      <c r="A5" s="18">
        <v>13.0</v>
      </c>
      <c r="B5" s="15" t="s">
        <v>2109</v>
      </c>
      <c r="C5" s="16" t="s">
        <v>5351</v>
      </c>
      <c r="D5" s="15" t="s">
        <v>5352</v>
      </c>
      <c r="E5" s="15" t="s">
        <v>5352</v>
      </c>
      <c r="F5" s="15" t="s">
        <v>2110</v>
      </c>
    </row>
    <row r="6" ht="12.0" customHeight="1">
      <c r="A6" s="18">
        <v>13.0</v>
      </c>
      <c r="B6" s="15" t="s">
        <v>2111</v>
      </c>
      <c r="C6" s="16" t="s">
        <v>5353</v>
      </c>
      <c r="D6" s="15" t="s">
        <v>5354</v>
      </c>
      <c r="E6" s="15" t="s">
        <v>5355</v>
      </c>
      <c r="F6" s="15" t="s">
        <v>2112</v>
      </c>
    </row>
    <row r="7" ht="12.0" customHeight="1">
      <c r="A7" s="18">
        <v>13.0</v>
      </c>
      <c r="B7" s="15" t="s">
        <v>2113</v>
      </c>
      <c r="C7" s="16" t="s">
        <v>5356</v>
      </c>
      <c r="D7" s="15" t="s">
        <v>5357</v>
      </c>
      <c r="E7" s="15" t="s">
        <v>5358</v>
      </c>
      <c r="F7" s="15" t="s">
        <v>2114</v>
      </c>
    </row>
    <row r="8" ht="12.0" customHeight="1">
      <c r="A8" s="18">
        <v>13.0</v>
      </c>
      <c r="B8" s="15" t="s">
        <v>2115</v>
      </c>
      <c r="C8" s="16" t="s">
        <v>5359</v>
      </c>
      <c r="D8" s="15" t="s">
        <v>5360</v>
      </c>
      <c r="E8" s="15" t="s">
        <v>5361</v>
      </c>
      <c r="F8" s="15" t="s">
        <v>2116</v>
      </c>
    </row>
    <row r="9" ht="12.0" customHeight="1">
      <c r="A9" s="18">
        <v>13.0</v>
      </c>
      <c r="B9" s="15" t="s">
        <v>2117</v>
      </c>
      <c r="C9" s="16" t="s">
        <v>5362</v>
      </c>
      <c r="D9" s="15" t="s">
        <v>5363</v>
      </c>
      <c r="E9" s="15" t="s">
        <v>5364</v>
      </c>
      <c r="F9" s="15" t="s">
        <v>2118</v>
      </c>
    </row>
    <row r="10" ht="12.0" customHeight="1">
      <c r="A10" s="18">
        <v>13.0</v>
      </c>
      <c r="B10" s="15" t="s">
        <v>2119</v>
      </c>
      <c r="C10" s="16" t="s">
        <v>5365</v>
      </c>
      <c r="D10" s="15" t="s">
        <v>5366</v>
      </c>
      <c r="E10" s="15" t="s">
        <v>5367</v>
      </c>
      <c r="F10" s="15" t="s">
        <v>2120</v>
      </c>
    </row>
    <row r="11" ht="12.0" customHeight="1">
      <c r="A11" s="18">
        <v>13.0</v>
      </c>
      <c r="B11" s="15" t="s">
        <v>2121</v>
      </c>
      <c r="C11" s="16" t="s">
        <v>5368</v>
      </c>
      <c r="D11" s="15" t="s">
        <v>5369</v>
      </c>
      <c r="E11" s="15" t="s">
        <v>5370</v>
      </c>
      <c r="F11" s="15" t="s">
        <v>2122</v>
      </c>
    </row>
    <row r="12" ht="12.0" customHeight="1">
      <c r="A12" s="18">
        <v>13.0</v>
      </c>
      <c r="B12" s="15" t="s">
        <v>2123</v>
      </c>
      <c r="C12" s="16" t="s">
        <v>5371</v>
      </c>
      <c r="D12" s="15" t="s">
        <v>5372</v>
      </c>
      <c r="E12" s="15" t="s">
        <v>5373</v>
      </c>
      <c r="F12" s="15" t="s">
        <v>2124</v>
      </c>
    </row>
    <row r="13" ht="12.0" customHeight="1">
      <c r="A13" s="18">
        <v>13.0</v>
      </c>
      <c r="B13" s="15" t="s">
        <v>2125</v>
      </c>
      <c r="C13" s="16" t="s">
        <v>5374</v>
      </c>
      <c r="D13" s="15" t="s">
        <v>5375</v>
      </c>
      <c r="E13" s="15" t="s">
        <v>5376</v>
      </c>
      <c r="F13" s="15" t="s">
        <v>2126</v>
      </c>
    </row>
    <row r="14" ht="12.0" customHeight="1">
      <c r="A14" s="18">
        <v>13.0</v>
      </c>
      <c r="B14" s="15" t="s">
        <v>2127</v>
      </c>
      <c r="C14" s="16" t="s">
        <v>5377</v>
      </c>
      <c r="D14" s="15" t="s">
        <v>5378</v>
      </c>
      <c r="E14" s="15" t="s">
        <v>5379</v>
      </c>
      <c r="F14" s="15" t="s">
        <v>2128</v>
      </c>
    </row>
    <row r="15" ht="12.0" customHeight="1">
      <c r="A15" s="18">
        <v>13.0</v>
      </c>
      <c r="B15" s="15" t="s">
        <v>2129</v>
      </c>
      <c r="C15" s="16" t="s">
        <v>5088</v>
      </c>
      <c r="D15" s="15" t="s">
        <v>5380</v>
      </c>
      <c r="E15" s="15" t="s">
        <v>5381</v>
      </c>
      <c r="F15" s="15" t="s">
        <v>2130</v>
      </c>
    </row>
    <row r="16" ht="12.0" customHeight="1">
      <c r="A16" s="18">
        <v>13.0</v>
      </c>
      <c r="B16" s="15" t="s">
        <v>2131</v>
      </c>
      <c r="C16" s="16" t="s">
        <v>5382</v>
      </c>
      <c r="D16" s="15" t="s">
        <v>5383</v>
      </c>
      <c r="E16" s="15" t="s">
        <v>5384</v>
      </c>
      <c r="F16" s="15" t="s">
        <v>2132</v>
      </c>
    </row>
    <row r="17" ht="12.0" customHeight="1">
      <c r="A17" s="18">
        <v>13.0</v>
      </c>
      <c r="B17" s="15" t="s">
        <v>2133</v>
      </c>
      <c r="C17" s="16" t="s">
        <v>5385</v>
      </c>
      <c r="D17" s="15" t="s">
        <v>5386</v>
      </c>
      <c r="E17" s="15" t="s">
        <v>5387</v>
      </c>
      <c r="F17" s="15" t="s">
        <v>2134</v>
      </c>
    </row>
    <row r="18" ht="12.0" customHeight="1">
      <c r="A18" s="18">
        <v>13.0</v>
      </c>
      <c r="B18" s="15" t="s">
        <v>2135</v>
      </c>
      <c r="C18" s="16" t="s">
        <v>5388</v>
      </c>
      <c r="D18" s="15" t="s">
        <v>5389</v>
      </c>
      <c r="E18" s="15" t="s">
        <v>5390</v>
      </c>
      <c r="F18" s="15" t="s">
        <v>2136</v>
      </c>
    </row>
    <row r="19" ht="12.0" customHeight="1">
      <c r="A19" s="18">
        <v>13.0</v>
      </c>
      <c r="B19" s="15" t="s">
        <v>2137</v>
      </c>
      <c r="C19" s="16" t="s">
        <v>5391</v>
      </c>
      <c r="D19" s="15" t="s">
        <v>5392</v>
      </c>
      <c r="E19" s="15" t="s">
        <v>5393</v>
      </c>
      <c r="F19" s="15" t="s">
        <v>2138</v>
      </c>
    </row>
    <row r="20" ht="12.0" customHeight="1">
      <c r="A20" s="18">
        <v>13.0</v>
      </c>
      <c r="B20" s="15" t="s">
        <v>2139</v>
      </c>
      <c r="C20" s="16" t="s">
        <v>5394</v>
      </c>
      <c r="D20" s="15" t="s">
        <v>5395</v>
      </c>
      <c r="E20" s="15" t="s">
        <v>5396</v>
      </c>
      <c r="F20" s="15" t="s">
        <v>2140</v>
      </c>
    </row>
    <row r="21" ht="12.0" customHeight="1">
      <c r="A21" s="18">
        <v>13.0</v>
      </c>
      <c r="B21" s="15" t="s">
        <v>2141</v>
      </c>
      <c r="C21" s="16" t="s">
        <v>5397</v>
      </c>
      <c r="D21" s="15" t="s">
        <v>5398</v>
      </c>
      <c r="E21" s="15" t="s">
        <v>5399</v>
      </c>
      <c r="F21" s="15" t="s">
        <v>2142</v>
      </c>
    </row>
    <row r="22" ht="12.0" customHeight="1">
      <c r="A22" s="18">
        <v>13.0</v>
      </c>
      <c r="B22" s="15" t="s">
        <v>2143</v>
      </c>
      <c r="C22" s="16" t="s">
        <v>5400</v>
      </c>
      <c r="D22" s="15" t="s">
        <v>5401</v>
      </c>
      <c r="E22" s="15" t="s">
        <v>5402</v>
      </c>
      <c r="F22" s="15" t="s">
        <v>2144</v>
      </c>
    </row>
    <row r="23" ht="12.0" customHeight="1">
      <c r="A23" s="18">
        <v>13.0</v>
      </c>
      <c r="B23" s="15" t="s">
        <v>2145</v>
      </c>
      <c r="C23" s="16" t="s">
        <v>5403</v>
      </c>
      <c r="D23" s="15" t="s">
        <v>5404</v>
      </c>
      <c r="E23" s="15" t="s">
        <v>5404</v>
      </c>
      <c r="F23" s="15" t="s">
        <v>2146</v>
      </c>
    </row>
    <row r="24" ht="12.0" customHeight="1">
      <c r="A24" s="18">
        <v>13.0</v>
      </c>
      <c r="B24" s="15" t="s">
        <v>2147</v>
      </c>
      <c r="C24" s="16" t="s">
        <v>5405</v>
      </c>
      <c r="D24" s="15" t="s">
        <v>5406</v>
      </c>
      <c r="E24" s="15" t="s">
        <v>5407</v>
      </c>
      <c r="F24" s="15" t="s">
        <v>2148</v>
      </c>
    </row>
    <row r="25" ht="12.0" customHeight="1">
      <c r="A25" s="18">
        <v>13.0</v>
      </c>
      <c r="B25" s="15" t="s">
        <v>2149</v>
      </c>
      <c r="C25" s="16" t="s">
        <v>2673</v>
      </c>
      <c r="D25" s="15" t="s">
        <v>2674</v>
      </c>
      <c r="E25" s="15" t="s">
        <v>2675</v>
      </c>
      <c r="F25" s="15" t="s">
        <v>2150</v>
      </c>
    </row>
    <row r="26" ht="23.25" customHeight="1">
      <c r="A26" s="26">
        <v>13.0</v>
      </c>
      <c r="B26" s="20" t="s">
        <v>2151</v>
      </c>
      <c r="C26" s="21" t="s">
        <v>5408</v>
      </c>
      <c r="D26" s="20" t="s">
        <v>3192</v>
      </c>
      <c r="E26" s="20" t="s">
        <v>3192</v>
      </c>
      <c r="F26" s="20" t="s">
        <v>2152</v>
      </c>
    </row>
    <row r="27" ht="12.0" customHeight="1">
      <c r="A27" s="25">
        <v>14.0</v>
      </c>
      <c r="B27" s="12" t="s">
        <v>2153</v>
      </c>
      <c r="C27" s="13" t="s">
        <v>5409</v>
      </c>
      <c r="D27" s="12" t="s">
        <v>5410</v>
      </c>
      <c r="E27" s="12" t="s">
        <v>5411</v>
      </c>
      <c r="F27" s="12" t="s">
        <v>2154</v>
      </c>
    </row>
    <row r="28" ht="12.0" customHeight="1">
      <c r="A28" s="18">
        <v>14.0</v>
      </c>
      <c r="B28" s="15" t="s">
        <v>2155</v>
      </c>
      <c r="C28" s="16" t="s">
        <v>5412</v>
      </c>
      <c r="D28" s="15" t="s">
        <v>5413</v>
      </c>
      <c r="E28" s="15" t="s">
        <v>5414</v>
      </c>
      <c r="F28" s="15" t="s">
        <v>2156</v>
      </c>
    </row>
    <row r="29" ht="12.0" customHeight="1">
      <c r="A29" s="18">
        <v>14.0</v>
      </c>
      <c r="B29" s="15" t="s">
        <v>2157</v>
      </c>
      <c r="C29" s="16" t="s">
        <v>5415</v>
      </c>
      <c r="D29" s="15" t="s">
        <v>5416</v>
      </c>
      <c r="E29" s="15" t="s">
        <v>5417</v>
      </c>
      <c r="F29" s="15" t="s">
        <v>2158</v>
      </c>
    </row>
    <row r="30" ht="12.0" customHeight="1">
      <c r="A30" s="18">
        <v>14.0</v>
      </c>
      <c r="B30" s="15" t="s">
        <v>2159</v>
      </c>
      <c r="C30" s="16" t="s">
        <v>5418</v>
      </c>
      <c r="D30" s="15" t="s">
        <v>5419</v>
      </c>
      <c r="E30" s="15" t="s">
        <v>5420</v>
      </c>
      <c r="F30" s="15" t="s">
        <v>2160</v>
      </c>
    </row>
    <row r="31" ht="12.0" customHeight="1">
      <c r="A31" s="18">
        <v>14.0</v>
      </c>
      <c r="B31" s="15" t="s">
        <v>2161</v>
      </c>
      <c r="C31" s="16" t="s">
        <v>5421</v>
      </c>
      <c r="D31" s="15" t="s">
        <v>5422</v>
      </c>
      <c r="E31" s="15" t="s">
        <v>5423</v>
      </c>
      <c r="F31" s="15" t="s">
        <v>2162</v>
      </c>
    </row>
    <row r="32" ht="12.0" customHeight="1">
      <c r="A32" s="18">
        <v>14.0</v>
      </c>
      <c r="B32" s="15" t="s">
        <v>2163</v>
      </c>
      <c r="C32" s="16" t="s">
        <v>5424</v>
      </c>
      <c r="D32" s="15" t="s">
        <v>5425</v>
      </c>
      <c r="E32" s="15" t="s">
        <v>5426</v>
      </c>
      <c r="F32" s="15" t="s">
        <v>2164</v>
      </c>
    </row>
    <row r="33" ht="12.0" customHeight="1">
      <c r="A33" s="18">
        <v>14.0</v>
      </c>
      <c r="B33" s="15" t="s">
        <v>2165</v>
      </c>
      <c r="C33" s="16" t="s">
        <v>5427</v>
      </c>
      <c r="D33" s="15" t="s">
        <v>5428</v>
      </c>
      <c r="E33" s="15" t="s">
        <v>5429</v>
      </c>
      <c r="F33" s="15" t="s">
        <v>2166</v>
      </c>
    </row>
    <row r="34" ht="12.0" customHeight="1">
      <c r="A34" s="18">
        <v>14.0</v>
      </c>
      <c r="B34" s="15" t="s">
        <v>2167</v>
      </c>
      <c r="C34" s="16" t="s">
        <v>5430</v>
      </c>
      <c r="D34" s="15" t="s">
        <v>5419</v>
      </c>
      <c r="E34" s="15" t="s">
        <v>5431</v>
      </c>
      <c r="F34" s="15" t="s">
        <v>2168</v>
      </c>
    </row>
    <row r="35" ht="12.0" customHeight="1">
      <c r="A35" s="18">
        <v>14.0</v>
      </c>
      <c r="B35" s="15" t="s">
        <v>2169</v>
      </c>
      <c r="C35" s="16" t="s">
        <v>5432</v>
      </c>
      <c r="D35" s="15" t="s">
        <v>5433</v>
      </c>
      <c r="E35" s="15" t="s">
        <v>5434</v>
      </c>
      <c r="F35" s="15" t="s">
        <v>2170</v>
      </c>
    </row>
    <row r="36" ht="12.0" customHeight="1">
      <c r="A36" s="18">
        <v>14.0</v>
      </c>
      <c r="B36" s="15" t="s">
        <v>2171</v>
      </c>
      <c r="C36" s="16" t="s">
        <v>5435</v>
      </c>
      <c r="D36" s="15" t="s">
        <v>5436</v>
      </c>
      <c r="E36" s="15" t="s">
        <v>5437</v>
      </c>
      <c r="F36" s="15" t="s">
        <v>2172</v>
      </c>
    </row>
    <row r="37" ht="12.0" customHeight="1">
      <c r="A37" s="18">
        <v>14.0</v>
      </c>
      <c r="B37" s="15" t="s">
        <v>2173</v>
      </c>
      <c r="C37" s="16" t="s">
        <v>5438</v>
      </c>
      <c r="D37" s="15" t="s">
        <v>5439</v>
      </c>
      <c r="E37" s="15" t="s">
        <v>5440</v>
      </c>
      <c r="F37" s="15" t="s">
        <v>2174</v>
      </c>
    </row>
    <row r="38" ht="12.0" customHeight="1">
      <c r="A38" s="18">
        <v>14.0</v>
      </c>
      <c r="B38" s="15" t="s">
        <v>2175</v>
      </c>
      <c r="C38" s="16" t="s">
        <v>5441</v>
      </c>
      <c r="D38" s="15" t="s">
        <v>5442</v>
      </c>
      <c r="E38" s="15" t="s">
        <v>5443</v>
      </c>
      <c r="F38" s="15" t="s">
        <v>2176</v>
      </c>
    </row>
    <row r="39" ht="12.0" customHeight="1">
      <c r="A39" s="18">
        <v>14.0</v>
      </c>
      <c r="B39" s="15" t="s">
        <v>2177</v>
      </c>
      <c r="C39" s="16" t="s">
        <v>5444</v>
      </c>
      <c r="D39" s="15" t="s">
        <v>5445</v>
      </c>
      <c r="E39" s="15" t="s">
        <v>5446</v>
      </c>
      <c r="F39" s="15" t="s">
        <v>2178</v>
      </c>
    </row>
    <row r="40" ht="12.0" customHeight="1">
      <c r="A40" s="18">
        <v>14.0</v>
      </c>
      <c r="B40" s="15" t="s">
        <v>2179</v>
      </c>
      <c r="C40" s="16" t="s">
        <v>5447</v>
      </c>
      <c r="D40" s="15" t="s">
        <v>5448</v>
      </c>
      <c r="E40" s="15" t="s">
        <v>5449</v>
      </c>
      <c r="F40" s="15" t="s">
        <v>2180</v>
      </c>
    </row>
    <row r="41" ht="12.0" customHeight="1">
      <c r="A41" s="18">
        <v>14.0</v>
      </c>
      <c r="B41" s="15" t="s">
        <v>2181</v>
      </c>
      <c r="C41" s="16" t="s">
        <v>5450</v>
      </c>
      <c r="D41" s="15" t="s">
        <v>5451</v>
      </c>
      <c r="E41" s="15" t="s">
        <v>5452</v>
      </c>
      <c r="F41" s="15" t="s">
        <v>2182</v>
      </c>
    </row>
    <row r="42" ht="12.0" customHeight="1">
      <c r="A42" s="18">
        <v>14.0</v>
      </c>
      <c r="B42" s="15" t="s">
        <v>2183</v>
      </c>
      <c r="C42" s="16" t="s">
        <v>5453</v>
      </c>
      <c r="D42" s="15" t="s">
        <v>5454</v>
      </c>
      <c r="E42" s="15" t="s">
        <v>5455</v>
      </c>
      <c r="F42" s="15" t="s">
        <v>2184</v>
      </c>
    </row>
    <row r="43" ht="12.0" customHeight="1">
      <c r="A43" s="18">
        <v>14.0</v>
      </c>
      <c r="B43" s="15" t="s">
        <v>2185</v>
      </c>
      <c r="C43" s="16" t="s">
        <v>5456</v>
      </c>
      <c r="D43" s="15" t="s">
        <v>5457</v>
      </c>
      <c r="E43" s="15" t="s">
        <v>5458</v>
      </c>
      <c r="F43" s="15" t="s">
        <v>2186</v>
      </c>
    </row>
    <row r="44" ht="12.0" customHeight="1">
      <c r="A44" s="18">
        <v>14.0</v>
      </c>
      <c r="B44" s="15" t="s">
        <v>2187</v>
      </c>
      <c r="C44" s="16" t="s">
        <v>5459</v>
      </c>
      <c r="D44" s="15" t="s">
        <v>5460</v>
      </c>
      <c r="E44" s="15" t="s">
        <v>2808</v>
      </c>
      <c r="F44" s="15" t="s">
        <v>2188</v>
      </c>
    </row>
    <row r="45" ht="12.0" customHeight="1">
      <c r="A45" s="18">
        <v>14.0</v>
      </c>
      <c r="B45" s="15" t="s">
        <v>2189</v>
      </c>
      <c r="C45" s="16" t="s">
        <v>5461</v>
      </c>
      <c r="D45" s="15" t="s">
        <v>5462</v>
      </c>
      <c r="E45" s="15" t="s">
        <v>5463</v>
      </c>
      <c r="F45" s="15" t="s">
        <v>2190</v>
      </c>
    </row>
    <row r="46" ht="12.0" customHeight="1">
      <c r="A46" s="18">
        <v>14.0</v>
      </c>
      <c r="B46" s="15" t="s">
        <v>2191</v>
      </c>
      <c r="C46" s="16" t="s">
        <v>5464</v>
      </c>
      <c r="D46" s="15" t="s">
        <v>5465</v>
      </c>
      <c r="E46" s="15" t="s">
        <v>5466</v>
      </c>
      <c r="F46" s="15" t="s">
        <v>2192</v>
      </c>
    </row>
    <row r="47" ht="12.0" customHeight="1">
      <c r="A47" s="18">
        <v>14.0</v>
      </c>
      <c r="B47" s="15" t="s">
        <v>2193</v>
      </c>
      <c r="C47" s="16" t="s">
        <v>5467</v>
      </c>
      <c r="D47" s="15" t="s">
        <v>5468</v>
      </c>
      <c r="E47" s="15" t="s">
        <v>5469</v>
      </c>
      <c r="F47" s="15" t="s">
        <v>2194</v>
      </c>
    </row>
    <row r="48" ht="12.0" customHeight="1">
      <c r="A48" s="18">
        <v>14.0</v>
      </c>
      <c r="B48" s="15" t="s">
        <v>2195</v>
      </c>
      <c r="C48" s="16" t="s">
        <v>5470</v>
      </c>
      <c r="D48" s="15" t="s">
        <v>5471</v>
      </c>
      <c r="E48" s="15" t="s">
        <v>5472</v>
      </c>
      <c r="F48" s="15" t="s">
        <v>2196</v>
      </c>
    </row>
    <row r="49" ht="15.75" customHeight="1">
      <c r="A49" s="18">
        <v>14.0</v>
      </c>
      <c r="B49" s="15" t="s">
        <v>2197</v>
      </c>
      <c r="C49" s="16" t="s">
        <v>5473</v>
      </c>
      <c r="D49" s="15" t="s">
        <v>5474</v>
      </c>
      <c r="E49" s="15" t="s">
        <v>5475</v>
      </c>
      <c r="F49" s="15" t="s">
        <v>2198</v>
      </c>
    </row>
    <row r="50" ht="7.5" customHeight="1">
      <c r="A50" s="17" t="s">
        <v>5476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3" width="16.86"/>
    <col customWidth="1" min="4" max="4" width="20.86"/>
    <col customWidth="1" min="5" max="5" width="19.86"/>
    <col customWidth="1" min="6" max="6" width="56.57"/>
    <col customWidth="1" min="7" max="7" width="1.86"/>
    <col customWidth="1" min="8" max="26" width="9.0"/>
  </cols>
  <sheetData>
    <row r="1" ht="6.0" customHeight="1">
      <c r="A1" s="8" t="s">
        <v>2396</v>
      </c>
    </row>
    <row r="2" ht="15.75" customHeight="1">
      <c r="A2" s="18">
        <v>14.0</v>
      </c>
      <c r="B2" s="15" t="s">
        <v>2199</v>
      </c>
      <c r="C2" s="16" t="s">
        <v>3899</v>
      </c>
      <c r="D2" s="15" t="s">
        <v>5477</v>
      </c>
      <c r="E2" s="15" t="s">
        <v>3901</v>
      </c>
      <c r="F2" s="15" t="s">
        <v>1016</v>
      </c>
    </row>
    <row r="3" ht="12.0" customHeight="1">
      <c r="A3" s="18">
        <v>14.0</v>
      </c>
      <c r="B3" s="15" t="s">
        <v>2200</v>
      </c>
      <c r="C3" s="16" t="s">
        <v>5478</v>
      </c>
      <c r="D3" s="15" t="s">
        <v>5479</v>
      </c>
      <c r="E3" s="15" t="s">
        <v>5480</v>
      </c>
      <c r="F3" s="15" t="s">
        <v>2201</v>
      </c>
    </row>
    <row r="4" ht="12.0" customHeight="1">
      <c r="A4" s="18">
        <v>14.0</v>
      </c>
      <c r="B4" s="15" t="s">
        <v>2202</v>
      </c>
      <c r="C4" s="16" t="s">
        <v>5481</v>
      </c>
      <c r="D4" s="15" t="s">
        <v>5482</v>
      </c>
      <c r="E4" s="15" t="s">
        <v>5483</v>
      </c>
      <c r="F4" s="15" t="s">
        <v>2203</v>
      </c>
    </row>
    <row r="5" ht="12.0" customHeight="1">
      <c r="A5" s="18">
        <v>14.0</v>
      </c>
      <c r="B5" s="15" t="s">
        <v>2204</v>
      </c>
      <c r="C5" s="16" t="s">
        <v>5484</v>
      </c>
      <c r="D5" s="15" t="s">
        <v>5485</v>
      </c>
      <c r="E5" s="15" t="s">
        <v>5486</v>
      </c>
      <c r="F5" s="15" t="s">
        <v>2205</v>
      </c>
    </row>
    <row r="6" ht="12.0" customHeight="1">
      <c r="A6" s="18">
        <v>14.0</v>
      </c>
      <c r="B6" s="15" t="s">
        <v>2206</v>
      </c>
      <c r="C6" s="16" t="s">
        <v>5487</v>
      </c>
      <c r="D6" s="15" t="s">
        <v>5488</v>
      </c>
      <c r="E6" s="15" t="s">
        <v>5489</v>
      </c>
      <c r="F6" s="15" t="s">
        <v>2207</v>
      </c>
    </row>
    <row r="7" ht="12.0" customHeight="1">
      <c r="A7" s="18">
        <v>14.0</v>
      </c>
      <c r="B7" s="15" t="s">
        <v>2208</v>
      </c>
      <c r="C7" s="16" t="s">
        <v>5490</v>
      </c>
      <c r="D7" s="15" t="s">
        <v>5491</v>
      </c>
      <c r="E7" s="15" t="s">
        <v>5492</v>
      </c>
      <c r="F7" s="15" t="s">
        <v>2209</v>
      </c>
    </row>
    <row r="8" ht="12.0" customHeight="1">
      <c r="A8" s="18">
        <v>14.0</v>
      </c>
      <c r="B8" s="15" t="s">
        <v>2210</v>
      </c>
      <c r="C8" s="16" t="s">
        <v>5493</v>
      </c>
      <c r="D8" s="15" t="s">
        <v>5494</v>
      </c>
      <c r="E8" s="15" t="s">
        <v>5495</v>
      </c>
      <c r="F8" s="15" t="s">
        <v>2211</v>
      </c>
    </row>
    <row r="9" ht="11.25" customHeight="1">
      <c r="A9" s="18">
        <v>14.0</v>
      </c>
      <c r="B9" s="15" t="s">
        <v>2212</v>
      </c>
      <c r="C9" s="16" t="s">
        <v>5496</v>
      </c>
      <c r="D9" s="15" t="s">
        <v>5497</v>
      </c>
      <c r="E9" s="15" t="s">
        <v>5498</v>
      </c>
      <c r="F9" s="15" t="s">
        <v>2213</v>
      </c>
    </row>
    <row r="10" ht="12.0" customHeight="1">
      <c r="A10" s="18">
        <v>14.0</v>
      </c>
      <c r="B10" s="15" t="s">
        <v>2214</v>
      </c>
      <c r="C10" s="16" t="s">
        <v>5499</v>
      </c>
      <c r="D10" s="15" t="s">
        <v>5500</v>
      </c>
      <c r="E10" s="15" t="s">
        <v>5501</v>
      </c>
      <c r="F10" s="15" t="s">
        <v>2215</v>
      </c>
    </row>
    <row r="11" ht="12.0" customHeight="1">
      <c r="A11" s="18">
        <v>14.0</v>
      </c>
      <c r="B11" s="15" t="s">
        <v>2216</v>
      </c>
      <c r="C11" s="16" t="s">
        <v>5502</v>
      </c>
      <c r="D11" s="15" t="s">
        <v>5503</v>
      </c>
      <c r="E11" s="15" t="s">
        <v>5504</v>
      </c>
      <c r="F11" s="15" t="s">
        <v>2217</v>
      </c>
    </row>
    <row r="12" ht="12.0" customHeight="1">
      <c r="A12" s="18">
        <v>14.0</v>
      </c>
      <c r="B12" s="15" t="s">
        <v>2218</v>
      </c>
      <c r="C12" s="16" t="s">
        <v>5505</v>
      </c>
      <c r="D12" s="15" t="s">
        <v>5506</v>
      </c>
      <c r="E12" s="15" t="s">
        <v>5507</v>
      </c>
      <c r="F12" s="15" t="s">
        <v>2219</v>
      </c>
    </row>
    <row r="13" ht="12.0" customHeight="1">
      <c r="A13" s="18">
        <v>14.0</v>
      </c>
      <c r="B13" s="15" t="s">
        <v>2220</v>
      </c>
      <c r="C13" s="16" t="s">
        <v>5508</v>
      </c>
      <c r="D13" s="15" t="s">
        <v>5509</v>
      </c>
      <c r="E13" s="15" t="s">
        <v>5510</v>
      </c>
      <c r="F13" s="15" t="s">
        <v>2221</v>
      </c>
    </row>
    <row r="14" ht="12.0" customHeight="1">
      <c r="A14" s="18">
        <v>14.0</v>
      </c>
      <c r="B14" s="15" t="s">
        <v>2222</v>
      </c>
      <c r="C14" s="16" t="s">
        <v>5511</v>
      </c>
      <c r="D14" s="15" t="s">
        <v>5512</v>
      </c>
      <c r="E14" s="15" t="s">
        <v>5513</v>
      </c>
      <c r="F14" s="15" t="s">
        <v>2223</v>
      </c>
    </row>
    <row r="15" ht="12.0" customHeight="1">
      <c r="A15" s="18">
        <v>14.0</v>
      </c>
      <c r="B15" s="15" t="s">
        <v>2224</v>
      </c>
      <c r="C15" s="16" t="s">
        <v>2637</v>
      </c>
      <c r="D15" s="15" t="s">
        <v>5514</v>
      </c>
      <c r="E15" s="15" t="s">
        <v>5515</v>
      </c>
      <c r="F15" s="15" t="s">
        <v>2225</v>
      </c>
    </row>
    <row r="16" ht="12.0" customHeight="1">
      <c r="A16" s="18">
        <v>14.0</v>
      </c>
      <c r="B16" s="15" t="s">
        <v>2226</v>
      </c>
      <c r="C16" s="16" t="s">
        <v>4510</v>
      </c>
      <c r="D16" s="15" t="s">
        <v>5516</v>
      </c>
      <c r="E16" s="15" t="s">
        <v>4512</v>
      </c>
      <c r="F16" s="15" t="s">
        <v>2227</v>
      </c>
    </row>
    <row r="17" ht="12.0" customHeight="1">
      <c r="A17" s="18">
        <v>14.0</v>
      </c>
      <c r="B17" s="15" t="s">
        <v>2228</v>
      </c>
      <c r="C17" s="16" t="s">
        <v>5517</v>
      </c>
      <c r="D17" s="15" t="s">
        <v>5518</v>
      </c>
      <c r="E17" s="15" t="s">
        <v>5519</v>
      </c>
      <c r="F17" s="15" t="s">
        <v>2229</v>
      </c>
    </row>
    <row r="18" ht="12.0" customHeight="1">
      <c r="A18" s="18">
        <v>14.0</v>
      </c>
      <c r="B18" s="15" t="s">
        <v>2230</v>
      </c>
      <c r="C18" s="16" t="s">
        <v>5520</v>
      </c>
      <c r="D18" s="15" t="s">
        <v>5521</v>
      </c>
      <c r="E18" s="15" t="s">
        <v>5522</v>
      </c>
      <c r="F18" s="15" t="s">
        <v>2231</v>
      </c>
    </row>
    <row r="19" ht="12.0" customHeight="1">
      <c r="A19" s="18">
        <v>14.0</v>
      </c>
      <c r="B19" s="15" t="s">
        <v>2232</v>
      </c>
      <c r="C19" s="16" t="s">
        <v>5523</v>
      </c>
      <c r="D19" s="15" t="s">
        <v>5524</v>
      </c>
      <c r="E19" s="15" t="s">
        <v>5525</v>
      </c>
      <c r="F19" s="15" t="s">
        <v>2233</v>
      </c>
    </row>
    <row r="20" ht="12.0" customHeight="1">
      <c r="A20" s="18">
        <v>14.0</v>
      </c>
      <c r="B20" s="15" t="s">
        <v>2234</v>
      </c>
      <c r="C20" s="16" t="s">
        <v>5526</v>
      </c>
      <c r="D20" s="15" t="s">
        <v>5527</v>
      </c>
      <c r="E20" s="15" t="s">
        <v>5528</v>
      </c>
      <c r="F20" s="15" t="s">
        <v>2235</v>
      </c>
    </row>
    <row r="21" ht="12.0" customHeight="1">
      <c r="A21" s="18">
        <v>14.0</v>
      </c>
      <c r="B21" s="15" t="s">
        <v>2236</v>
      </c>
      <c r="C21" s="16" t="s">
        <v>5529</v>
      </c>
      <c r="D21" s="15" t="s">
        <v>5530</v>
      </c>
      <c r="E21" s="15" t="s">
        <v>5531</v>
      </c>
      <c r="F21" s="15" t="s">
        <v>2237</v>
      </c>
    </row>
    <row r="22" ht="12.0" customHeight="1">
      <c r="A22" s="18">
        <v>14.0</v>
      </c>
      <c r="B22" s="15" t="s">
        <v>2238</v>
      </c>
      <c r="C22" s="16" t="s">
        <v>5532</v>
      </c>
      <c r="D22" s="15" t="s">
        <v>5533</v>
      </c>
      <c r="E22" s="15" t="s">
        <v>5534</v>
      </c>
      <c r="F22" s="15" t="s">
        <v>2239</v>
      </c>
    </row>
    <row r="23" ht="12.0" customHeight="1">
      <c r="A23" s="18">
        <v>14.0</v>
      </c>
      <c r="B23" s="15" t="s">
        <v>2240</v>
      </c>
      <c r="C23" s="16" t="s">
        <v>5535</v>
      </c>
      <c r="D23" s="15" t="s">
        <v>5536</v>
      </c>
      <c r="E23" s="15" t="s">
        <v>5537</v>
      </c>
      <c r="F23" s="15" t="s">
        <v>2241</v>
      </c>
    </row>
    <row r="24" ht="12.0" customHeight="1">
      <c r="A24" s="18">
        <v>14.0</v>
      </c>
      <c r="B24" s="15" t="s">
        <v>2242</v>
      </c>
      <c r="C24" s="16" t="s">
        <v>5538</v>
      </c>
      <c r="D24" s="15" t="s">
        <v>5539</v>
      </c>
      <c r="E24" s="15" t="s">
        <v>5540</v>
      </c>
      <c r="F24" s="15" t="s">
        <v>2243</v>
      </c>
    </row>
    <row r="25" ht="12.0" customHeight="1">
      <c r="A25" s="18">
        <v>14.0</v>
      </c>
      <c r="B25" s="15" t="s">
        <v>2244</v>
      </c>
      <c r="C25" s="16" t="s">
        <v>5541</v>
      </c>
      <c r="D25" s="15" t="s">
        <v>5542</v>
      </c>
      <c r="E25" s="15" t="s">
        <v>5472</v>
      </c>
      <c r="F25" s="15" t="s">
        <v>2245</v>
      </c>
    </row>
    <row r="26" ht="12.0" customHeight="1">
      <c r="A26" s="18">
        <v>14.0</v>
      </c>
      <c r="B26" s="15" t="s">
        <v>2246</v>
      </c>
      <c r="C26" s="16" t="s">
        <v>5543</v>
      </c>
      <c r="D26" s="15" t="s">
        <v>5544</v>
      </c>
      <c r="E26" s="15" t="s">
        <v>5545</v>
      </c>
      <c r="F26" s="15" t="s">
        <v>2247</v>
      </c>
    </row>
    <row r="27" ht="12.0" customHeight="1">
      <c r="A27" s="18">
        <v>14.0</v>
      </c>
      <c r="B27" s="15" t="s">
        <v>2248</v>
      </c>
      <c r="C27" s="16" t="s">
        <v>5546</v>
      </c>
      <c r="D27" s="15" t="s">
        <v>5547</v>
      </c>
      <c r="E27" s="15" t="s">
        <v>5548</v>
      </c>
      <c r="F27" s="15" t="s">
        <v>2249</v>
      </c>
    </row>
    <row r="28" ht="12.0" customHeight="1">
      <c r="A28" s="18">
        <v>14.0</v>
      </c>
      <c r="B28" s="15" t="s">
        <v>2250</v>
      </c>
      <c r="C28" s="16" t="s">
        <v>5549</v>
      </c>
      <c r="D28" s="15" t="s">
        <v>5550</v>
      </c>
      <c r="E28" s="15" t="s">
        <v>5551</v>
      </c>
      <c r="F28" s="15" t="s">
        <v>2251</v>
      </c>
    </row>
    <row r="29" ht="12.0" customHeight="1">
      <c r="A29" s="18">
        <v>14.0</v>
      </c>
      <c r="B29" s="15" t="s">
        <v>2252</v>
      </c>
      <c r="C29" s="16" t="s">
        <v>5552</v>
      </c>
      <c r="D29" s="15" t="s">
        <v>5553</v>
      </c>
      <c r="E29" s="15" t="s">
        <v>5554</v>
      </c>
      <c r="F29" s="15" t="s">
        <v>2253</v>
      </c>
    </row>
    <row r="30" ht="11.25" customHeight="1">
      <c r="A30" s="18">
        <v>14.0</v>
      </c>
      <c r="B30" s="15" t="s">
        <v>2254</v>
      </c>
      <c r="C30" s="16" t="s">
        <v>5555</v>
      </c>
      <c r="D30" s="15" t="s">
        <v>5556</v>
      </c>
      <c r="E30" s="15" t="s">
        <v>5557</v>
      </c>
      <c r="F30" s="15" t="s">
        <v>2255</v>
      </c>
    </row>
    <row r="31" ht="12.0" customHeight="1">
      <c r="A31" s="18">
        <v>14.0</v>
      </c>
      <c r="B31" s="15" t="s">
        <v>2256</v>
      </c>
      <c r="C31" s="16" t="s">
        <v>5558</v>
      </c>
      <c r="D31" s="15" t="s">
        <v>5559</v>
      </c>
      <c r="E31" s="15" t="s">
        <v>5560</v>
      </c>
      <c r="F31" s="15" t="s">
        <v>2257</v>
      </c>
    </row>
    <row r="32" ht="12.0" customHeight="1">
      <c r="A32" s="18">
        <v>14.0</v>
      </c>
      <c r="B32" s="15" t="s">
        <v>2258</v>
      </c>
      <c r="C32" s="16" t="s">
        <v>5561</v>
      </c>
      <c r="D32" s="15" t="s">
        <v>5562</v>
      </c>
      <c r="E32" s="15" t="s">
        <v>5563</v>
      </c>
      <c r="F32" s="15" t="s">
        <v>2259</v>
      </c>
    </row>
    <row r="33" ht="12.0" customHeight="1">
      <c r="A33" s="18">
        <v>14.0</v>
      </c>
      <c r="B33" s="15" t="s">
        <v>2260</v>
      </c>
      <c r="C33" s="16" t="s">
        <v>5564</v>
      </c>
      <c r="D33" s="15" t="s">
        <v>5565</v>
      </c>
      <c r="E33" s="15" t="s">
        <v>5566</v>
      </c>
      <c r="F33" s="15" t="s">
        <v>2261</v>
      </c>
    </row>
    <row r="34" ht="12.0" customHeight="1">
      <c r="A34" s="18">
        <v>14.0</v>
      </c>
      <c r="B34" s="15" t="s">
        <v>2262</v>
      </c>
      <c r="C34" s="16" t="s">
        <v>5567</v>
      </c>
      <c r="D34" s="15" t="s">
        <v>5568</v>
      </c>
      <c r="E34" s="15" t="s">
        <v>5569</v>
      </c>
      <c r="F34" s="15" t="s">
        <v>2263</v>
      </c>
    </row>
    <row r="35" ht="12.0" customHeight="1">
      <c r="A35" s="18">
        <v>14.0</v>
      </c>
      <c r="B35" s="15" t="s">
        <v>2264</v>
      </c>
      <c r="C35" s="16" t="s">
        <v>5570</v>
      </c>
      <c r="D35" s="15" t="s">
        <v>5571</v>
      </c>
      <c r="E35" s="15" t="s">
        <v>5572</v>
      </c>
      <c r="F35" s="15" t="s">
        <v>2265</v>
      </c>
    </row>
    <row r="36" ht="12.0" customHeight="1">
      <c r="A36" s="18">
        <v>14.0</v>
      </c>
      <c r="B36" s="15" t="s">
        <v>2266</v>
      </c>
      <c r="C36" s="16" t="s">
        <v>5573</v>
      </c>
      <c r="D36" s="15" t="s">
        <v>5574</v>
      </c>
      <c r="E36" s="15" t="s">
        <v>5575</v>
      </c>
      <c r="F36" s="15" t="s">
        <v>2267</v>
      </c>
    </row>
    <row r="37" ht="12.0" customHeight="1">
      <c r="A37" s="18">
        <v>14.0</v>
      </c>
      <c r="B37" s="15" t="s">
        <v>2268</v>
      </c>
      <c r="C37" s="16" t="s">
        <v>5576</v>
      </c>
      <c r="D37" s="15" t="s">
        <v>5577</v>
      </c>
      <c r="E37" s="15" t="s">
        <v>5578</v>
      </c>
      <c r="F37" s="15" t="s">
        <v>2269</v>
      </c>
    </row>
    <row r="38" ht="12.0" customHeight="1">
      <c r="A38" s="18">
        <v>14.0</v>
      </c>
      <c r="B38" s="15" t="s">
        <v>2270</v>
      </c>
      <c r="C38" s="16" t="s">
        <v>4592</v>
      </c>
      <c r="D38" s="15" t="s">
        <v>5579</v>
      </c>
      <c r="E38" s="15" t="s">
        <v>4594</v>
      </c>
      <c r="F38" s="15" t="s">
        <v>1491</v>
      </c>
    </row>
    <row r="39" ht="12.0" customHeight="1">
      <c r="A39" s="18">
        <v>14.0</v>
      </c>
      <c r="B39" s="15" t="s">
        <v>2271</v>
      </c>
      <c r="C39" s="16" t="s">
        <v>5580</v>
      </c>
      <c r="D39" s="15" t="s">
        <v>5581</v>
      </c>
      <c r="E39" s="15" t="s">
        <v>5582</v>
      </c>
      <c r="F39" s="15" t="s">
        <v>2272</v>
      </c>
    </row>
    <row r="40" ht="12.0" customHeight="1">
      <c r="A40" s="18">
        <v>14.0</v>
      </c>
      <c r="B40" s="15" t="s">
        <v>2273</v>
      </c>
      <c r="C40" s="16" t="s">
        <v>5583</v>
      </c>
      <c r="D40" s="15" t="s">
        <v>5584</v>
      </c>
      <c r="E40" s="15" t="s">
        <v>5585</v>
      </c>
      <c r="F40" s="15" t="s">
        <v>2274</v>
      </c>
    </row>
    <row r="41" ht="12.0" customHeight="1">
      <c r="A41" s="18">
        <v>14.0</v>
      </c>
      <c r="B41" s="15" t="s">
        <v>2275</v>
      </c>
      <c r="C41" s="16" t="s">
        <v>5586</v>
      </c>
      <c r="D41" s="15" t="s">
        <v>4085</v>
      </c>
      <c r="E41" s="15" t="s">
        <v>5587</v>
      </c>
      <c r="F41" s="15" t="s">
        <v>2276</v>
      </c>
    </row>
    <row r="42" ht="12.0" customHeight="1">
      <c r="A42" s="18">
        <v>14.0</v>
      </c>
      <c r="B42" s="15" t="s">
        <v>2277</v>
      </c>
      <c r="C42" s="16" t="s">
        <v>5588</v>
      </c>
      <c r="D42" s="15" t="s">
        <v>5589</v>
      </c>
      <c r="E42" s="15" t="s">
        <v>5590</v>
      </c>
      <c r="F42" s="15" t="s">
        <v>2278</v>
      </c>
    </row>
    <row r="43" ht="12.0" customHeight="1">
      <c r="A43" s="18">
        <v>14.0</v>
      </c>
      <c r="B43" s="15" t="s">
        <v>2279</v>
      </c>
      <c r="C43" s="16" t="s">
        <v>5591</v>
      </c>
      <c r="D43" s="15" t="s">
        <v>5592</v>
      </c>
      <c r="E43" s="15" t="s">
        <v>5593</v>
      </c>
      <c r="F43" s="15" t="s">
        <v>2280</v>
      </c>
    </row>
    <row r="44" ht="12.0" customHeight="1">
      <c r="A44" s="18">
        <v>14.0</v>
      </c>
      <c r="B44" s="15" t="s">
        <v>2281</v>
      </c>
      <c r="C44" s="16" t="s">
        <v>5594</v>
      </c>
      <c r="D44" s="15" t="s">
        <v>5595</v>
      </c>
      <c r="E44" s="15" t="s">
        <v>5596</v>
      </c>
      <c r="F44" s="15" t="s">
        <v>2282</v>
      </c>
    </row>
    <row r="45" ht="12.0" customHeight="1">
      <c r="A45" s="18">
        <v>14.0</v>
      </c>
      <c r="B45" s="15" t="s">
        <v>2283</v>
      </c>
      <c r="C45" s="16" t="s">
        <v>5597</v>
      </c>
      <c r="D45" s="15" t="s">
        <v>5598</v>
      </c>
      <c r="E45" s="15" t="s">
        <v>5599</v>
      </c>
      <c r="F45" s="15" t="s">
        <v>2284</v>
      </c>
    </row>
    <row r="46" ht="23.25" customHeight="1">
      <c r="A46" s="26">
        <v>14.0</v>
      </c>
      <c r="B46" s="20" t="s">
        <v>2285</v>
      </c>
      <c r="C46" s="21" t="s">
        <v>5600</v>
      </c>
      <c r="D46" s="20" t="s">
        <v>5601</v>
      </c>
      <c r="E46" s="20" t="s">
        <v>5602</v>
      </c>
      <c r="F46" s="20" t="s">
        <v>2286</v>
      </c>
    </row>
    <row r="47" ht="12.0" customHeight="1">
      <c r="A47" s="25">
        <v>15.0</v>
      </c>
      <c r="B47" s="12" t="s">
        <v>2287</v>
      </c>
      <c r="C47" s="13" t="s">
        <v>5603</v>
      </c>
      <c r="D47" s="12" t="s">
        <v>5604</v>
      </c>
      <c r="E47" s="12" t="s">
        <v>5605</v>
      </c>
      <c r="F47" s="12" t="s">
        <v>2288</v>
      </c>
    </row>
    <row r="48" ht="12.0" customHeight="1">
      <c r="A48" s="18">
        <v>15.0</v>
      </c>
      <c r="B48" s="15" t="s">
        <v>2289</v>
      </c>
      <c r="C48" s="16" t="s">
        <v>5606</v>
      </c>
      <c r="D48" s="15" t="s">
        <v>5607</v>
      </c>
      <c r="E48" s="15" t="s">
        <v>5608</v>
      </c>
      <c r="F48" s="15" t="s">
        <v>2290</v>
      </c>
    </row>
    <row r="49" ht="15.75" customHeight="1">
      <c r="A49" s="18">
        <v>15.0</v>
      </c>
      <c r="B49" s="15" t="s">
        <v>2291</v>
      </c>
      <c r="C49" s="16" t="s">
        <v>5609</v>
      </c>
      <c r="D49" s="15" t="s">
        <v>5610</v>
      </c>
      <c r="E49" s="15" t="s">
        <v>5611</v>
      </c>
      <c r="F49" s="15" t="s">
        <v>2292</v>
      </c>
    </row>
    <row r="50" ht="7.5" customHeight="1">
      <c r="A50" s="17" t="s">
        <v>5612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5.86"/>
    <col customWidth="1" min="3" max="3" width="18.71"/>
    <col customWidth="1" min="4" max="4" width="20.71"/>
    <col customWidth="1" min="5" max="5" width="16.86"/>
    <col customWidth="1" min="6" max="6" width="33.0"/>
    <col customWidth="1" min="7" max="7" width="27.86"/>
    <col customWidth="1" min="8" max="26" width="9.0"/>
  </cols>
  <sheetData>
    <row r="1" ht="6.0" customHeight="1">
      <c r="A1" s="8" t="s">
        <v>2396</v>
      </c>
    </row>
    <row r="2" ht="15.75" customHeight="1">
      <c r="A2" s="18">
        <v>15.0</v>
      </c>
      <c r="B2" s="15" t="s">
        <v>2293</v>
      </c>
      <c r="C2" s="16" t="s">
        <v>5613</v>
      </c>
      <c r="D2" s="15" t="s">
        <v>5614</v>
      </c>
      <c r="E2" s="15" t="s">
        <v>5615</v>
      </c>
      <c r="F2" s="15" t="s">
        <v>2294</v>
      </c>
    </row>
    <row r="3" ht="12.0" customHeight="1">
      <c r="A3" s="18">
        <v>15.0</v>
      </c>
      <c r="B3" s="15" t="s">
        <v>2295</v>
      </c>
      <c r="C3" s="16" t="s">
        <v>5616</v>
      </c>
      <c r="D3" s="15" t="s">
        <v>5617</v>
      </c>
      <c r="E3" s="15" t="s">
        <v>5618</v>
      </c>
      <c r="F3" s="15" t="s">
        <v>2296</v>
      </c>
    </row>
    <row r="4" ht="12.0" customHeight="1">
      <c r="A4" s="18">
        <v>15.0</v>
      </c>
      <c r="B4" s="15" t="s">
        <v>2297</v>
      </c>
      <c r="C4" s="16" t="s">
        <v>5619</v>
      </c>
      <c r="D4" s="15" t="s">
        <v>5620</v>
      </c>
      <c r="E4" s="15" t="s">
        <v>5621</v>
      </c>
      <c r="F4" s="15" t="s">
        <v>2298</v>
      </c>
    </row>
    <row r="5" ht="12.0" customHeight="1">
      <c r="A5" s="18">
        <v>15.0</v>
      </c>
      <c r="B5" s="15" t="s">
        <v>2299</v>
      </c>
      <c r="C5" s="16" t="s">
        <v>5622</v>
      </c>
      <c r="D5" s="15" t="s">
        <v>5623</v>
      </c>
      <c r="E5" s="15" t="s">
        <v>5624</v>
      </c>
      <c r="F5" s="15" t="s">
        <v>2300</v>
      </c>
    </row>
    <row r="6" ht="12.0" customHeight="1">
      <c r="A6" s="18">
        <v>15.0</v>
      </c>
      <c r="B6" s="15" t="s">
        <v>2301</v>
      </c>
      <c r="C6" s="16" t="s">
        <v>5625</v>
      </c>
      <c r="D6" s="15" t="s">
        <v>5626</v>
      </c>
      <c r="E6" s="15" t="s">
        <v>5627</v>
      </c>
      <c r="F6" s="15" t="s">
        <v>2302</v>
      </c>
    </row>
    <row r="7" ht="12.0" customHeight="1">
      <c r="A7" s="18">
        <v>15.0</v>
      </c>
      <c r="B7" s="15" t="s">
        <v>2303</v>
      </c>
      <c r="C7" s="16" t="s">
        <v>5628</v>
      </c>
      <c r="D7" s="15" t="s">
        <v>5629</v>
      </c>
      <c r="E7" s="15" t="s">
        <v>5630</v>
      </c>
      <c r="F7" s="15" t="s">
        <v>2304</v>
      </c>
    </row>
    <row r="8" ht="12.0" customHeight="1">
      <c r="A8" s="18">
        <v>15.0</v>
      </c>
      <c r="B8" s="15" t="s">
        <v>2305</v>
      </c>
      <c r="C8" s="16" t="s">
        <v>5631</v>
      </c>
      <c r="D8" s="15" t="s">
        <v>5632</v>
      </c>
      <c r="E8" s="15" t="s">
        <v>5633</v>
      </c>
      <c r="F8" s="15" t="s">
        <v>2306</v>
      </c>
    </row>
    <row r="9" ht="12.0" customHeight="1">
      <c r="A9" s="18">
        <v>15.0</v>
      </c>
      <c r="B9" s="15" t="s">
        <v>2307</v>
      </c>
      <c r="C9" s="16" t="s">
        <v>5634</v>
      </c>
      <c r="D9" s="15" t="s">
        <v>5635</v>
      </c>
      <c r="E9" s="15" t="s">
        <v>5636</v>
      </c>
      <c r="F9" s="15" t="s">
        <v>2308</v>
      </c>
    </row>
    <row r="10" ht="12.0" customHeight="1">
      <c r="A10" s="18">
        <v>15.0</v>
      </c>
      <c r="B10" s="15" t="s">
        <v>2309</v>
      </c>
      <c r="C10" s="16" t="s">
        <v>4359</v>
      </c>
      <c r="D10" s="15" t="s">
        <v>5637</v>
      </c>
      <c r="E10" s="15" t="s">
        <v>5638</v>
      </c>
      <c r="F10" s="15" t="s">
        <v>1331</v>
      </c>
    </row>
    <row r="11" ht="12.0" customHeight="1">
      <c r="A11" s="18">
        <v>15.0</v>
      </c>
      <c r="B11" s="15" t="s">
        <v>2310</v>
      </c>
      <c r="C11" s="16" t="s">
        <v>5639</v>
      </c>
      <c r="D11" s="15" t="s">
        <v>5640</v>
      </c>
      <c r="E11" s="15" t="s">
        <v>5641</v>
      </c>
      <c r="F11" s="15" t="s">
        <v>2311</v>
      </c>
    </row>
    <row r="12" ht="12.0" customHeight="1">
      <c r="A12" s="18">
        <v>15.0</v>
      </c>
      <c r="B12" s="15" t="s">
        <v>2312</v>
      </c>
      <c r="C12" s="16" t="s">
        <v>5642</v>
      </c>
      <c r="D12" s="15" t="s">
        <v>5643</v>
      </c>
      <c r="E12" s="15" t="s">
        <v>5644</v>
      </c>
      <c r="F12" s="15" t="s">
        <v>2313</v>
      </c>
    </row>
    <row r="13" ht="12.0" customHeight="1">
      <c r="A13" s="18">
        <v>15.0</v>
      </c>
      <c r="B13" s="15" t="s">
        <v>2314</v>
      </c>
      <c r="C13" s="16" t="s">
        <v>5645</v>
      </c>
      <c r="D13" s="15" t="s">
        <v>5646</v>
      </c>
      <c r="E13" s="15" t="s">
        <v>5647</v>
      </c>
      <c r="F13" s="15" t="s">
        <v>2315</v>
      </c>
    </row>
    <row r="14" ht="12.0" customHeight="1">
      <c r="A14" s="18">
        <v>15.0</v>
      </c>
      <c r="B14" s="15" t="s">
        <v>2316</v>
      </c>
      <c r="C14" s="16" t="s">
        <v>5648</v>
      </c>
      <c r="D14" s="15" t="s">
        <v>5649</v>
      </c>
      <c r="E14" s="15" t="s">
        <v>5650</v>
      </c>
      <c r="F14" s="15" t="s">
        <v>2317</v>
      </c>
    </row>
    <row r="15" ht="12.0" customHeight="1">
      <c r="A15" s="18">
        <v>15.0</v>
      </c>
      <c r="B15" s="15" t="s">
        <v>2318</v>
      </c>
      <c r="C15" s="16" t="s">
        <v>5651</v>
      </c>
      <c r="D15" s="15" t="s">
        <v>5652</v>
      </c>
      <c r="E15" s="15" t="s">
        <v>5653</v>
      </c>
      <c r="F15" s="15" t="s">
        <v>2319</v>
      </c>
    </row>
    <row r="16" ht="12.0" customHeight="1">
      <c r="A16" s="18">
        <v>15.0</v>
      </c>
      <c r="B16" s="15" t="s">
        <v>2320</v>
      </c>
      <c r="C16" s="16" t="s">
        <v>5654</v>
      </c>
      <c r="D16" s="15" t="s">
        <v>5655</v>
      </c>
      <c r="E16" s="15" t="s">
        <v>5656</v>
      </c>
      <c r="F16" s="15" t="s">
        <v>2321</v>
      </c>
    </row>
    <row r="17" ht="12.0" customHeight="1">
      <c r="A17" s="18">
        <v>15.0</v>
      </c>
      <c r="B17" s="15" t="s">
        <v>2322</v>
      </c>
      <c r="C17" s="16" t="s">
        <v>5657</v>
      </c>
      <c r="D17" s="15" t="s">
        <v>5658</v>
      </c>
      <c r="E17" s="15" t="s">
        <v>5659</v>
      </c>
      <c r="F17" s="15" t="s">
        <v>2323</v>
      </c>
    </row>
    <row r="18" ht="12.0" customHeight="1">
      <c r="A18" s="18">
        <v>15.0</v>
      </c>
      <c r="B18" s="15" t="s">
        <v>2324</v>
      </c>
      <c r="C18" s="16" t="s">
        <v>5660</v>
      </c>
      <c r="D18" s="15" t="s">
        <v>5661</v>
      </c>
      <c r="E18" s="15" t="s">
        <v>5662</v>
      </c>
      <c r="F18" s="15" t="s">
        <v>2325</v>
      </c>
    </row>
    <row r="19" ht="12.0" customHeight="1">
      <c r="A19" s="18">
        <v>15.0</v>
      </c>
      <c r="B19" s="15" t="s">
        <v>2326</v>
      </c>
      <c r="C19" s="16" t="s">
        <v>5663</v>
      </c>
      <c r="D19" s="15" t="s">
        <v>5664</v>
      </c>
      <c r="E19" s="15" t="s">
        <v>5665</v>
      </c>
      <c r="F19" s="15" t="s">
        <v>2327</v>
      </c>
    </row>
    <row r="20" ht="12.0" customHeight="1">
      <c r="A20" s="18">
        <v>15.0</v>
      </c>
      <c r="B20" s="15" t="s">
        <v>2328</v>
      </c>
      <c r="C20" s="16" t="s">
        <v>5666</v>
      </c>
      <c r="D20" s="15" t="s">
        <v>5667</v>
      </c>
      <c r="E20" s="15" t="s">
        <v>5668</v>
      </c>
      <c r="F20" s="15" t="s">
        <v>2329</v>
      </c>
    </row>
    <row r="21" ht="12.0" customHeight="1">
      <c r="A21" s="18">
        <v>15.0</v>
      </c>
      <c r="B21" s="15" t="s">
        <v>2330</v>
      </c>
      <c r="C21" s="16" t="s">
        <v>5669</v>
      </c>
      <c r="D21" s="15" t="s">
        <v>5670</v>
      </c>
      <c r="E21" s="15" t="s">
        <v>5671</v>
      </c>
      <c r="F21" s="15" t="s">
        <v>2331</v>
      </c>
    </row>
    <row r="22" ht="12.0" customHeight="1">
      <c r="A22" s="18">
        <v>15.0</v>
      </c>
      <c r="B22" s="15" t="s">
        <v>2332</v>
      </c>
      <c r="C22" s="16" t="s">
        <v>5672</v>
      </c>
      <c r="D22" s="15" t="s">
        <v>5673</v>
      </c>
      <c r="E22" s="15" t="s">
        <v>5674</v>
      </c>
      <c r="F22" s="15" t="s">
        <v>2333</v>
      </c>
    </row>
    <row r="23" ht="12.0" customHeight="1">
      <c r="A23" s="18">
        <v>15.0</v>
      </c>
      <c r="B23" s="15" t="s">
        <v>2334</v>
      </c>
      <c r="C23" s="16" t="s">
        <v>5675</v>
      </c>
      <c r="D23" s="15" t="s">
        <v>3304</v>
      </c>
      <c r="E23" s="15" t="s">
        <v>5676</v>
      </c>
      <c r="F23" s="15" t="s">
        <v>2335</v>
      </c>
    </row>
    <row r="24" ht="12.0" customHeight="1">
      <c r="A24" s="18">
        <v>15.0</v>
      </c>
      <c r="B24" s="15" t="s">
        <v>2336</v>
      </c>
      <c r="C24" s="16" t="s">
        <v>5677</v>
      </c>
      <c r="D24" s="15" t="s">
        <v>5678</v>
      </c>
      <c r="E24" s="15" t="s">
        <v>5679</v>
      </c>
      <c r="F24" s="15" t="s">
        <v>2337</v>
      </c>
    </row>
    <row r="25" ht="12.0" customHeight="1">
      <c r="A25" s="18">
        <v>15.0</v>
      </c>
      <c r="B25" s="15" t="s">
        <v>2338</v>
      </c>
      <c r="C25" s="16" t="s">
        <v>5680</v>
      </c>
      <c r="D25" s="15" t="s">
        <v>5681</v>
      </c>
      <c r="E25" s="15" t="s">
        <v>5682</v>
      </c>
      <c r="F25" s="15" t="s">
        <v>2339</v>
      </c>
    </row>
    <row r="26" ht="12.0" customHeight="1">
      <c r="A26" s="18">
        <v>15.0</v>
      </c>
      <c r="B26" s="15" t="s">
        <v>2340</v>
      </c>
      <c r="C26" s="16" t="s">
        <v>5683</v>
      </c>
      <c r="D26" s="15" t="s">
        <v>5684</v>
      </c>
      <c r="E26" s="15" t="s">
        <v>5685</v>
      </c>
      <c r="F26" s="15" t="s">
        <v>2341</v>
      </c>
    </row>
    <row r="27" ht="12.0" customHeight="1">
      <c r="A27" s="18">
        <v>15.0</v>
      </c>
      <c r="B27" s="15" t="s">
        <v>2342</v>
      </c>
      <c r="C27" s="16" t="s">
        <v>5686</v>
      </c>
      <c r="D27" s="15" t="s">
        <v>5687</v>
      </c>
      <c r="E27" s="15" t="s">
        <v>5688</v>
      </c>
      <c r="F27" s="15" t="s">
        <v>2343</v>
      </c>
    </row>
    <row r="28" ht="12.0" customHeight="1">
      <c r="A28" s="18">
        <v>15.0</v>
      </c>
      <c r="B28" s="15" t="s">
        <v>2344</v>
      </c>
      <c r="C28" s="16" t="s">
        <v>5689</v>
      </c>
      <c r="D28" s="15" t="s">
        <v>5690</v>
      </c>
      <c r="E28" s="15" t="s">
        <v>5690</v>
      </c>
      <c r="F28" s="15" t="s">
        <v>2345</v>
      </c>
    </row>
    <row r="29" ht="12.0" customHeight="1">
      <c r="A29" s="18">
        <v>15.0</v>
      </c>
      <c r="B29" s="15" t="s">
        <v>2346</v>
      </c>
      <c r="C29" s="16" t="s">
        <v>5691</v>
      </c>
      <c r="D29" s="15" t="s">
        <v>5692</v>
      </c>
      <c r="E29" s="15" t="s">
        <v>5693</v>
      </c>
      <c r="F29" s="15" t="s">
        <v>2347</v>
      </c>
    </row>
    <row r="30" ht="12.0" customHeight="1">
      <c r="A30" s="18">
        <v>15.0</v>
      </c>
      <c r="B30" s="15" t="s">
        <v>2348</v>
      </c>
      <c r="C30" s="16" t="s">
        <v>5694</v>
      </c>
      <c r="D30" s="15" t="s">
        <v>5695</v>
      </c>
      <c r="E30" s="15" t="s">
        <v>5696</v>
      </c>
      <c r="F30" s="15" t="s">
        <v>2349</v>
      </c>
    </row>
    <row r="31" ht="12.0" customHeight="1">
      <c r="A31" s="18">
        <v>15.0</v>
      </c>
      <c r="B31" s="15" t="s">
        <v>2350</v>
      </c>
      <c r="C31" s="16" t="s">
        <v>5697</v>
      </c>
      <c r="D31" s="15" t="s">
        <v>5698</v>
      </c>
      <c r="E31" s="15" t="s">
        <v>5699</v>
      </c>
      <c r="F31" s="15" t="s">
        <v>2351</v>
      </c>
    </row>
    <row r="32" ht="12.0" customHeight="1">
      <c r="A32" s="18">
        <v>15.0</v>
      </c>
      <c r="B32" s="15" t="s">
        <v>2352</v>
      </c>
      <c r="C32" s="16" t="s">
        <v>5296</v>
      </c>
      <c r="D32" s="15" t="s">
        <v>5700</v>
      </c>
      <c r="E32" s="15" t="s">
        <v>5701</v>
      </c>
      <c r="F32" s="15" t="s">
        <v>2353</v>
      </c>
    </row>
    <row r="33" ht="12.0" customHeight="1">
      <c r="A33" s="18">
        <v>15.0</v>
      </c>
      <c r="B33" s="15" t="s">
        <v>2354</v>
      </c>
      <c r="C33" s="16" t="s">
        <v>5702</v>
      </c>
      <c r="D33" s="15" t="s">
        <v>5703</v>
      </c>
      <c r="E33" s="15" t="s">
        <v>5704</v>
      </c>
      <c r="F33" s="15" t="s">
        <v>2355</v>
      </c>
    </row>
    <row r="34" ht="12.0" customHeight="1">
      <c r="A34" s="18">
        <v>15.0</v>
      </c>
      <c r="B34" s="15" t="s">
        <v>2356</v>
      </c>
      <c r="C34" s="16" t="s">
        <v>5705</v>
      </c>
      <c r="D34" s="15" t="s">
        <v>5706</v>
      </c>
      <c r="E34" s="15" t="s">
        <v>5707</v>
      </c>
      <c r="F34" s="15" t="s">
        <v>2357</v>
      </c>
    </row>
    <row r="35" ht="12.0" customHeight="1">
      <c r="A35" s="18">
        <v>15.0</v>
      </c>
      <c r="B35" s="15" t="s">
        <v>2358</v>
      </c>
      <c r="C35" s="16" t="s">
        <v>5708</v>
      </c>
      <c r="D35" s="15" t="s">
        <v>5709</v>
      </c>
      <c r="E35" s="15" t="s">
        <v>5710</v>
      </c>
      <c r="F35" s="15" t="s">
        <v>2359</v>
      </c>
    </row>
    <row r="36" ht="12.0" customHeight="1">
      <c r="A36" s="18">
        <v>15.0</v>
      </c>
      <c r="B36" s="15" t="s">
        <v>2360</v>
      </c>
      <c r="C36" s="16" t="s">
        <v>5711</v>
      </c>
      <c r="D36" s="15" t="s">
        <v>5712</v>
      </c>
      <c r="E36" s="15" t="s">
        <v>5713</v>
      </c>
      <c r="F36" s="15" t="s">
        <v>2361</v>
      </c>
    </row>
    <row r="37" ht="12.0" customHeight="1">
      <c r="A37" s="18">
        <v>15.0</v>
      </c>
      <c r="B37" s="15" t="s">
        <v>2362</v>
      </c>
      <c r="C37" s="16" t="s">
        <v>5714</v>
      </c>
      <c r="D37" s="15" t="s">
        <v>5715</v>
      </c>
      <c r="E37" s="15" t="s">
        <v>5716</v>
      </c>
      <c r="F37" s="15" t="s">
        <v>2363</v>
      </c>
    </row>
    <row r="38" ht="12.0" customHeight="1">
      <c r="A38" s="18">
        <v>15.0</v>
      </c>
      <c r="B38" s="15" t="s">
        <v>2364</v>
      </c>
      <c r="C38" s="16" t="s">
        <v>4187</v>
      </c>
      <c r="D38" s="15" t="s">
        <v>4188</v>
      </c>
      <c r="E38" s="15" t="s">
        <v>4189</v>
      </c>
      <c r="F38" s="15" t="s">
        <v>1211</v>
      </c>
    </row>
    <row r="39" ht="12.0" customHeight="1">
      <c r="A39" s="18">
        <v>15.0</v>
      </c>
      <c r="B39" s="15" t="s">
        <v>2365</v>
      </c>
      <c r="C39" s="16" t="s">
        <v>5717</v>
      </c>
      <c r="D39" s="15" t="s">
        <v>5718</v>
      </c>
      <c r="E39" s="15" t="s">
        <v>5719</v>
      </c>
      <c r="F39" s="15" t="s">
        <v>2366</v>
      </c>
    </row>
    <row r="40" ht="12.0" customHeight="1">
      <c r="A40" s="18">
        <v>15.0</v>
      </c>
      <c r="B40" s="15" t="s">
        <v>2367</v>
      </c>
      <c r="C40" s="16" t="s">
        <v>5720</v>
      </c>
      <c r="D40" s="15" t="s">
        <v>5721</v>
      </c>
      <c r="E40" s="15" t="s">
        <v>5722</v>
      </c>
      <c r="F40" s="15" t="s">
        <v>2368</v>
      </c>
    </row>
    <row r="41" ht="12.0" customHeight="1">
      <c r="A41" s="18">
        <v>15.0</v>
      </c>
      <c r="B41" s="15" t="s">
        <v>2369</v>
      </c>
      <c r="C41" s="16" t="s">
        <v>5723</v>
      </c>
      <c r="D41" s="15" t="s">
        <v>5724</v>
      </c>
      <c r="E41" s="15" t="s">
        <v>5725</v>
      </c>
      <c r="F41" s="15" t="s">
        <v>2370</v>
      </c>
    </row>
    <row r="42" ht="12.0" customHeight="1">
      <c r="A42" s="18">
        <v>15.0</v>
      </c>
      <c r="B42" s="15" t="s">
        <v>2371</v>
      </c>
      <c r="C42" s="16" t="s">
        <v>5726</v>
      </c>
      <c r="D42" s="15" t="s">
        <v>5727</v>
      </c>
      <c r="E42" s="15" t="s">
        <v>5728</v>
      </c>
      <c r="F42" s="15" t="s">
        <v>2372</v>
      </c>
    </row>
    <row r="43" ht="12.0" customHeight="1">
      <c r="A43" s="18">
        <v>15.0</v>
      </c>
      <c r="B43" s="15" t="s">
        <v>2373</v>
      </c>
      <c r="C43" s="16" t="s">
        <v>5729</v>
      </c>
      <c r="D43" s="15" t="s">
        <v>5730</v>
      </c>
      <c r="E43" s="15" t="s">
        <v>5731</v>
      </c>
      <c r="F43" s="15" t="s">
        <v>2374</v>
      </c>
    </row>
    <row r="44" ht="12.0" customHeight="1">
      <c r="A44" s="18">
        <v>15.0</v>
      </c>
      <c r="B44" s="15" t="s">
        <v>2375</v>
      </c>
      <c r="C44" s="16" t="s">
        <v>5732</v>
      </c>
      <c r="D44" s="15" t="s">
        <v>5733</v>
      </c>
      <c r="E44" s="15" t="s">
        <v>5734</v>
      </c>
      <c r="F44" s="15" t="s">
        <v>2376</v>
      </c>
    </row>
    <row r="45" ht="12.0" customHeight="1">
      <c r="A45" s="18">
        <v>15.0</v>
      </c>
      <c r="B45" s="15" t="s">
        <v>2377</v>
      </c>
      <c r="C45" s="16" t="s">
        <v>5735</v>
      </c>
      <c r="D45" s="15" t="s">
        <v>5736</v>
      </c>
      <c r="E45" s="15" t="s">
        <v>5737</v>
      </c>
      <c r="F45" s="15" t="s">
        <v>2378</v>
      </c>
    </row>
    <row r="46" ht="11.25" customHeight="1">
      <c r="A46" s="18">
        <v>15.0</v>
      </c>
      <c r="B46" s="15" t="s">
        <v>2379</v>
      </c>
      <c r="C46" s="16" t="s">
        <v>5738</v>
      </c>
      <c r="D46" s="15" t="s">
        <v>5739</v>
      </c>
      <c r="E46" s="15" t="s">
        <v>5740</v>
      </c>
      <c r="F46" s="15" t="s">
        <v>2380</v>
      </c>
    </row>
    <row r="47" ht="12.0" customHeight="1">
      <c r="A47" s="18">
        <v>15.0</v>
      </c>
      <c r="B47" s="15" t="s">
        <v>2381</v>
      </c>
      <c r="C47" s="16" t="s">
        <v>5741</v>
      </c>
      <c r="D47" s="15" t="s">
        <v>5742</v>
      </c>
      <c r="E47" s="15" t="s">
        <v>5743</v>
      </c>
      <c r="F47" s="15" t="s">
        <v>2382</v>
      </c>
    </row>
    <row r="48" ht="12.0" customHeight="1">
      <c r="A48" s="18">
        <v>15.0</v>
      </c>
      <c r="B48" s="15" t="s">
        <v>2383</v>
      </c>
      <c r="C48" s="16" t="s">
        <v>5744</v>
      </c>
      <c r="D48" s="15" t="s">
        <v>5745</v>
      </c>
      <c r="E48" s="15" t="s">
        <v>5746</v>
      </c>
      <c r="F48" s="15" t="s">
        <v>2384</v>
      </c>
    </row>
    <row r="49" ht="12.0" customHeight="1">
      <c r="A49" s="18">
        <v>15.0</v>
      </c>
      <c r="B49" s="15" t="s">
        <v>2385</v>
      </c>
      <c r="C49" s="16" t="s">
        <v>5747</v>
      </c>
      <c r="D49" s="15" t="s">
        <v>5748</v>
      </c>
      <c r="E49" s="15" t="s">
        <v>5749</v>
      </c>
      <c r="F49" s="15" t="s">
        <v>2386</v>
      </c>
    </row>
    <row r="50" ht="15.75" customHeight="1">
      <c r="A50" s="18">
        <v>15.0</v>
      </c>
      <c r="B50" s="15" t="s">
        <v>2387</v>
      </c>
      <c r="C50" s="16" t="s">
        <v>5750</v>
      </c>
      <c r="D50" s="15" t="s">
        <v>2705</v>
      </c>
      <c r="E50" s="15" t="s">
        <v>5751</v>
      </c>
      <c r="F50" s="15" t="s">
        <v>2388</v>
      </c>
    </row>
    <row r="51" ht="7.5" customHeight="1">
      <c r="A51" s="17" t="s">
        <v>5752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1"/>
    <mergeCell ref="A51:G51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86"/>
    <col customWidth="1" min="3" max="4" width="18.71"/>
    <col customWidth="1" min="5" max="5" width="48.71"/>
    <col customWidth="1" min="6" max="6" width="17.86"/>
    <col customWidth="1" min="7" max="26" width="9.0"/>
  </cols>
  <sheetData>
    <row r="1" ht="6.0" customHeight="1">
      <c r="A1" s="8" t="s">
        <v>2396</v>
      </c>
    </row>
    <row r="2" ht="17.25" customHeight="1">
      <c r="A2" s="15" t="s">
        <v>5753</v>
      </c>
      <c r="B2" s="27" t="s">
        <v>5754</v>
      </c>
      <c r="C2" s="15" t="s">
        <v>5755</v>
      </c>
      <c r="D2" s="15" t="s">
        <v>5756</v>
      </c>
      <c r="E2" s="15" t="s">
        <v>2390</v>
      </c>
    </row>
    <row r="3" ht="15.75" customHeight="1">
      <c r="A3" s="15" t="s">
        <v>5757</v>
      </c>
      <c r="B3" s="16" t="s">
        <v>5758</v>
      </c>
      <c r="C3" s="15" t="s">
        <v>5759</v>
      </c>
      <c r="D3" s="15" t="s">
        <v>5759</v>
      </c>
      <c r="E3" s="15" t="s">
        <v>2392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2020-10-24T10:15:00Z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