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1925" activeTab="1"/>
  </bookViews>
  <sheets>
    <sheet name="路线图" sheetId="52" r:id="rId1"/>
    <sheet name="甘特图" sheetId="54" r:id="rId2"/>
    <sheet name="价值表" sheetId="28" r:id="rId3"/>
    <sheet name="活动评级标准" sheetId="55" r:id="rId4"/>
    <sheet name="商店" sheetId="25" state="hidden" r:id="rId5"/>
    <sheet name="新商店" sheetId="30" state="hidden" r:id="rId6"/>
    <sheet name="首充" sheetId="29" r:id="rId7"/>
    <sheet name="日月周礼包" sheetId="24" r:id="rId8"/>
    <sheet name="大小月卡" sheetId="19" r:id="rId9"/>
    <sheet name="每周周卡" sheetId="20" r:id="rId10"/>
    <sheet name="体力战令" sheetId="21" r:id="rId11"/>
    <sheet name="钻石基金" sheetId="22" r:id="rId12"/>
    <sheet name="每日特惠" sheetId="23" r:id="rId13"/>
    <sheet name="章节礼包" sheetId="26" r:id="rId14"/>
    <sheet name="红卡皮肤转盘" sheetId="42" r:id="rId15" state="hidden"/>
    <sheet name="1每日商店" sheetId="47" r:id="rId16"/>
    <sheet name="1.0首月活动" sheetId="37" r:id="rId17" state="hidden"/>
    <sheet name="1.1首发抽奖" sheetId="36" r:id="rId18" state="hidden"/>
    <sheet name="2.0次月活动" sheetId="40" r:id="rId19" state="hidden"/>
    <sheet name="2.1次月签到" sheetId="41" r:id="rId20" state="hidden"/>
    <sheet name="招募狂欢" sheetId="58" r:id="rId21" state="hidden"/>
    <sheet name="招募冲刺" sheetId="44" r:id="rId22" state="hidden"/>
    <sheet name="符文冲刺" sheetId="45" r:id="rId23" state="hidden"/>
    <sheet name="秘宝冲刺" sheetId="43" r:id="rId24" state="hidden"/>
    <sheet name="1.0联动活动" sheetId="33" r:id="rId25" state="hidden"/>
    <sheet name="等级宝箱" sheetId="59" r:id="rId26"/>
    <sheet name="2.0大富翁抽奖" sheetId="38" r:id="rId27" state="hidden"/>
    <sheet name="2.1大富翁签到" sheetId="39" r:id="rId28" state="hidden"/>
    <sheet name="粉卡抽奖" sheetId="46" r:id="rId29" state="hidden"/>
    <sheet name="红卡抽奖up (2)" sheetId="57" r:id="rId30" state="hidden"/>
    <sheet name="粉卡试炼" sheetId="49" r:id="rId31" state="hidden"/>
    <sheet name="粉卡保底计算" sheetId="48" r:id="rId32" state="hidden"/>
    <sheet name="符文焕新" sheetId="51" r:id="rId33" state="hidden"/>
    <sheet name="草稿" sheetId="50" r:id="rId34" state="hidden"/>
    <sheet name="现行活动索引" sheetId="60" r:id="rId42"/>
    <sheet name="现行活动商品" sheetId="61" r:id="rId43"/>
    <sheet name="现行任务奖励" sheetId="62" r:id="rId44"/>
    <sheet name="现行招募日期" sheetId="63" r:id="rId45"/>
    <sheet name="现行抽卡消耗" sheetId="64" r:id="rId46"/>
    <sheet name="现行奖池权重" sheetId="65" r:id="rId47"/>
    <sheet name="现行奖池奖励" sheetId="66" r:id="rId48"/>
  </sheets>
  <externalReferences>
    <externalReference r:id="rId35"/>
    <externalReference r:id="rId36"/>
    <externalReference r:id="rId37"/>
  </externalReferences>
  <definedNames>
    <definedName name="积分定价">'2.0大富翁抽奖'!$E$129</definedName>
    <definedName name="骰子价值">'2.0大富翁抽奖'!$E$20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<sst xmlns="http://schemas.openxmlformats.org/spreadsheetml/2006/main" count="7732" uniqueCount="2104">
  <si>
    <t>时间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</si>
  <si>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</si>
  <si>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</si>
  <si>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</si>
  <si>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</si>
  <si>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</si>
  <si>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</si>
  <si>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</si>
  <si>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</si>
  <si>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</si>
  <si>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</si>
  <si>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</si>
  <si>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</si>
  <si>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</si>
  <si>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</si>
  <si>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</si>
  <si>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满活跃非r主线</t>
  </si>
  <si>
    <t>满活跃小R主线（四卡党）</t>
  </si>
  <si>
    <t>满活跃中R主线（四卡党+活动）1000+，日产200抽</t>
  </si>
  <si>
    <t>满活跃大R主线3000+</t>
  </si>
  <si>
    <r>
      <rPr>
        <b/>
        <sz val="10"/>
        <color rgb="FF000000"/>
        <rFont val="微软雅黑"/>
        <charset val="134"/>
      </rPr>
      <t>养成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梦灵线</t>
    </r>
  </si>
  <si>
    <t>梦灵</t>
  </si>
  <si>
    <t>2-3紫（5级</t>
  </si>
  <si>
    <t>东方/镭射</t>
  </si>
  <si>
    <t>亚瑟</t>
  </si>
  <si>
    <t>蜘蛛</t>
  </si>
  <si>
    <t>唐小僧</t>
  </si>
  <si>
    <t>神灯</t>
  </si>
  <si>
    <t>关羽</t>
  </si>
  <si>
    <t>后羿/诸葛/我爱沙</t>
  </si>
  <si>
    <t>海拉/妲己</t>
  </si>
  <si>
    <t>白素贞</t>
  </si>
  <si>
    <t>零日骇客UP活动
(31天）（35天进普池）</t>
  </si>
  <si>
    <r>
      <rPr>
        <sz val="10"/>
        <color rgb="FF000000"/>
        <rFont val="微软雅黑"/>
        <charset val="134"/>
      </rPr>
      <t>雅典娜UP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(59天）</t>
    </r>
  </si>
  <si>
    <r>
      <rPr>
        <sz val="10"/>
        <color rgb="FF000000"/>
        <rFont val="微软雅黑"/>
        <charset val="134"/>
      </rPr>
      <t>女娲UP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(73天）</t>
    </r>
  </si>
  <si>
    <r>
      <rPr>
        <sz val="10"/>
        <color rgb="FF000000"/>
        <rFont val="微软雅黑"/>
        <charset val="134"/>
      </rPr>
      <t>杨戬UP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(102天）</t>
    </r>
  </si>
  <si>
    <r>
      <rPr>
        <sz val="10"/>
        <color rgb="FF000000"/>
        <rFont val="微软雅黑"/>
        <charset val="134"/>
      </rPr>
      <t>挂件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解锁条件-主角等级</t>
    </r>
  </si>
  <si>
    <t>弹幕流/全图流/爆发流</t>
  </si>
  <si>
    <t>能量流</t>
  </si>
  <si>
    <t>召唤流</t>
  </si>
  <si>
    <t>共鸣流</t>
  </si>
  <si>
    <r>
      <rPr>
        <sz val="11"/>
        <color rgb="FF000000"/>
        <rFont val="微软雅黑"/>
        <charset val="134"/>
      </rPr>
      <t>赛季挂件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(S0)</t>
    </r>
  </si>
  <si>
    <r>
      <rPr>
        <sz val="11"/>
        <color rgb="FF000000"/>
        <rFont val="微软雅黑"/>
        <charset val="134"/>
      </rPr>
      <t>赛季挂件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(S1)</t>
    </r>
  </si>
  <si>
    <t>符文</t>
  </si>
  <si>
    <t>开启</t>
  </si>
  <si>
    <r>
      <rPr>
        <b/>
        <sz val="10"/>
        <color rgb="FF000000"/>
        <rFont val="微软雅黑"/>
        <charset val="134"/>
      </rPr>
      <t>养成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主角线</t>
    </r>
  </si>
  <si>
    <t>装备</t>
  </si>
  <si>
    <t>红装</t>
  </si>
  <si>
    <t>粉装</t>
  </si>
  <si>
    <t>彩装</t>
  </si>
  <si>
    <t>彩虹装</t>
  </si>
  <si>
    <t>武器</t>
  </si>
  <si>
    <t>开局+1</t>
  </si>
  <si>
    <t>秘宝</t>
  </si>
  <si>
    <t>藏品</t>
  </si>
  <si>
    <r>
      <rPr>
        <b/>
        <sz val="10"/>
        <color rgb="FFFF0000"/>
        <rFont val="微软雅黑"/>
        <charset val="134"/>
      </rPr>
      <t>藏品系统（15天）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（静默开启）</t>
    </r>
  </si>
  <si>
    <t>载具</t>
  </si>
  <si>
    <r>
      <rPr>
        <b/>
        <sz val="10"/>
        <color rgb="FFF54A45"/>
        <rFont val="微软雅黑"/>
        <charset val="134"/>
      </rPr>
      <t>载具系统</t>
    </r>
    <r>
      <rPr>
        <b/>
        <sz val="10"/>
        <color rgb="FFF54A45"/>
        <rFont val="微软雅黑"/>
        <charset val="134"/>
      </rPr>
      <t xml:space="preserve">
</t>
    </r>
    <r>
      <rPr>
        <b/>
        <sz val="10"/>
        <color rgb="FFF54A45"/>
        <rFont val="微软雅黑"/>
        <charset val="134"/>
      </rPr>
      <t>（22天）</t>
    </r>
  </si>
  <si>
    <t>宠物</t>
  </si>
  <si>
    <r>
      <rPr>
        <b/>
        <sz val="10"/>
        <color rgb="FFFF0000"/>
        <rFont val="微软雅黑"/>
        <charset val="134"/>
      </rPr>
      <t>宠物系统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（60天）</t>
    </r>
  </si>
  <si>
    <t>玩法</t>
  </si>
  <si>
    <t>荧幕争锋</t>
  </si>
  <si>
    <t>梦域巡航</t>
  </si>
  <si>
    <t>难度1</t>
  </si>
  <si>
    <t>难度2</t>
  </si>
  <si>
    <t>难度3</t>
  </si>
  <si>
    <t>难度4</t>
  </si>
  <si>
    <t>难度5</t>
  </si>
  <si>
    <t>难度6/难度7</t>
  </si>
  <si>
    <t>难度8</t>
  </si>
  <si>
    <t>难度9</t>
  </si>
  <si>
    <r>
      <rPr>
        <sz val="10"/>
        <color rgb="FF000000"/>
        <rFont val="微软雅黑"/>
        <charset val="134"/>
      </rPr>
      <t>难度10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彩虹关1(藏品)</t>
    </r>
  </si>
  <si>
    <t>彩虹2</t>
  </si>
  <si>
    <t>彩虹3</t>
  </si>
  <si>
    <t>彩虹4</t>
  </si>
  <si>
    <t>海底捞金</t>
  </si>
  <si>
    <t>贪吃大作战</t>
  </si>
  <si>
    <t>升级</t>
  </si>
  <si>
    <t>梦隙迷廊</t>
  </si>
  <si>
    <t>宠物玩法</t>
  </si>
  <si>
    <t>赛季玩法</t>
  </si>
  <si>
    <t>S1玩法</t>
  </si>
  <si>
    <t>活动</t>
  </si>
  <si>
    <r>
      <rPr>
        <sz val="10"/>
        <color rgb="FF000000"/>
        <rFont val="微软雅黑"/>
        <charset val="134"/>
      </rPr>
      <t>赛季循环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（长周期投辅线）</t>
    </r>
  </si>
  <si>
    <t>S0赛季-梦境启航（过度赛季）</t>
  </si>
  <si>
    <t>S1赛季-我有一座恐怖屋（主推射手、法师)</t>
  </si>
  <si>
    <r>
      <rPr>
        <sz val="10"/>
        <color rgb="FFFFFFFF"/>
        <rFont val="微软雅黑"/>
        <charset val="134"/>
      </rPr>
      <t>主投：红梦灵及皮肤、红色符文（好词条）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辅投：橙、紫梦灵及皮肤、符文祝福石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进度：B级冒险家+散件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荣誉：主角氛围特效-白日梦想（S）</t>
    </r>
  </si>
  <si>
    <r>
      <rPr>
        <sz val="10"/>
        <color rgb="FFFFFFFF"/>
        <rFont val="微软雅黑"/>
        <charset val="134"/>
      </rPr>
      <t>主投：粉梦灵皮肤、红色符文（好词条）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辅投：橙、红梦灵及皮肤、符文祝福石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进度：B级 小鬼当家+散件</t>
    </r>
    <r>
      <rPr>
        <sz val="10"/>
        <color rgb="FFFFFFFF"/>
        <rFont val="微软雅黑"/>
        <charset val="134"/>
      </rPr>
      <t xml:space="preserve">
</t>
    </r>
    <r>
      <rPr>
        <sz val="10"/>
        <color rgb="FFFFFFFF"/>
        <rFont val="微软雅黑"/>
        <charset val="134"/>
      </rPr>
      <t>荣誉：主角氛围特效-百鬼夜行（S）</t>
    </r>
  </si>
  <si>
    <r>
      <rPr>
        <sz val="10"/>
        <color rgb="FF000000"/>
        <rFont val="微软雅黑"/>
        <charset val="134"/>
      </rPr>
      <t>周循环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（循环投养成）</t>
    </r>
  </si>
  <si>
    <t>开服冲刺//根据抽数达成配置奖励，同时玩家首日抽卡次数保留到开服冲刺</t>
  </si>
  <si>
    <t>招募冲刺【根据第7天招募次数达成中位数来设置首档和后续的奖励】</t>
  </si>
  <si>
    <t>符文冲刺(boss)</t>
  </si>
  <si>
    <r>
      <rPr>
        <sz val="10"/>
        <color rgb="FF000000"/>
        <rFont val="微软雅黑"/>
        <charset val="134"/>
      </rPr>
      <t>秘宝冲刺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（排行投皮肤）</t>
    </r>
  </si>
  <si>
    <t>招募冲刺</t>
  </si>
  <si>
    <t>秘宝冲刺</t>
  </si>
  <si>
    <r>
      <rPr>
        <b/>
        <sz val="10"/>
        <color rgb="FFFF0000"/>
        <rFont val="微软雅黑"/>
        <charset val="134"/>
      </rPr>
      <t>招募冲刺</t>
    </r>
    <r>
      <rPr>
        <b/>
        <sz val="10"/>
        <color rgb="FFFF0000"/>
        <rFont val="微软雅黑"/>
        <charset val="134"/>
      </rPr>
      <t xml:space="preserve">
</t>
    </r>
    <r>
      <rPr>
        <b/>
        <sz val="10"/>
        <color rgb="FFFF0000"/>
        <rFont val="微软雅黑"/>
        <charset val="134"/>
      </rPr>
      <t>（跨服）</t>
    </r>
  </si>
  <si>
    <t>符文冲刺</t>
  </si>
  <si>
    <t>悬赏（1档）</t>
  </si>
  <si>
    <t>悬赏（2档）</t>
  </si>
  <si>
    <t>悬赏（3档）</t>
  </si>
  <si>
    <t>悬赏（4档）</t>
  </si>
  <si>
    <r>
      <rPr>
        <sz val="10"/>
        <color rgb="FF000000"/>
        <rFont val="微软雅黑"/>
        <charset val="134"/>
      </rPr>
      <t>红符文、随机橙藏品、指定橙藏品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第三周（符文产品）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第四周（载具产品）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第五周（招募冲刺</t>
    </r>
  </si>
  <si>
    <r>
      <rPr>
        <sz val="10"/>
        <color rgb="FF000000"/>
        <rFont val="微软雅黑"/>
        <charset val="134"/>
      </rPr>
      <t>红符文、载具粉零件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第6周（彩虹关的藏品</t>
    </r>
  </si>
  <si>
    <t>载具粉零件、红符文、指定橙藏品...</t>
  </si>
  <si>
    <r>
      <rPr>
        <sz val="10"/>
        <color rgb="FF000000"/>
        <rFont val="微软雅黑"/>
        <charset val="134"/>
      </rPr>
      <t>限时活动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（短周期投核心线)</t>
    </r>
  </si>
  <si>
    <t>橙卡试炼</t>
  </si>
  <si>
    <t>时装抽奖【星轨探测】聚焦皮肤</t>
  </si>
  <si>
    <t>红卡试炼(13-16天)</t>
  </si>
  <si>
    <t>粉卡试炼</t>
  </si>
  <si>
    <r>
      <rPr>
        <sz val="10"/>
        <color rgb="FF000000"/>
        <rFont val="微软雅黑"/>
        <charset val="134"/>
      </rPr>
      <t>橙卡皮肤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专属符文（红卡预告）</t>
    </r>
  </si>
  <si>
    <r>
      <rPr>
        <sz val="10"/>
        <color rgb="FF000000"/>
        <rFont val="微软雅黑"/>
        <charset val="134"/>
      </rPr>
      <t>天使套-A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（S0）</t>
    </r>
  </si>
  <si>
    <r>
      <rPr>
        <sz val="10"/>
        <color rgb="FF000000"/>
        <rFont val="微软雅黑"/>
        <charset val="134"/>
      </rPr>
      <t>红卡皮肤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</t>
    </r>
  </si>
  <si>
    <r>
      <rPr>
        <sz val="10"/>
        <color rgb="FF000000"/>
        <rFont val="微软雅黑"/>
        <charset val="134"/>
      </rPr>
      <t>粉卡皮肤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专属符文</t>
    </r>
  </si>
  <si>
    <r>
      <rPr>
        <sz val="10"/>
        <color rgb="FF000000"/>
        <rFont val="微软雅黑"/>
        <charset val="134"/>
      </rPr>
      <t>粉卡皮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肤专属符文</t>
    </r>
  </si>
  <si>
    <t>1.梦灵节奏适当压缩了一点（粉卡阶段采用的蔚蓝上一版本的节奏，因为我们存量不够）</t>
  </si>
  <si>
    <t>2.三类活动线的做了调整：</t>
  </si>
  <si>
    <t>月活动→赛季：主要做主轴目标和荣誉追求，投放辅线的资源</t>
  </si>
  <si>
    <t>周循环活动：做中小R的钻石消耗和付费转化，主要承载中小R的长期目标和小额付费转化，投放养成资源</t>
  </si>
  <si>
    <t>限时活动：拉收，短周期，投放核心资源</t>
  </si>
  <si>
    <t>一个核心调整思路就是要把一些投放内容隔离到只有限时活动投放</t>
  </si>
  <si>
    <t>3.目前盘下来，需要一个大颗粒度的投放内容去支撑上面这个投放结构，目前考虑下来还是藏品比较合适。对应的秘宝的价值要做上去，现在被当成藏品在投放。</t>
  </si>
  <si>
    <t>首周：</t>
  </si>
  <si>
    <t>1.关卡战力压制</t>
  </si>
  <si>
    <t>2.梦灵节点追求</t>
  </si>
  <si>
    <t>次周：</t>
  </si>
  <si>
    <t>1.符文概率调整</t>
  </si>
  <si>
    <t>2.天使套投放</t>
  </si>
  <si>
    <t>3.橙红卡的节点体验</t>
  </si>
  <si>
    <t>4.招募冲刺产销匹配，投放优化</t>
  </si>
  <si>
    <t>三周：</t>
  </si>
  <si>
    <t>1.藏品和悬赏</t>
  </si>
  <si>
    <t>2.符文冲刺产销匹配，投放优化</t>
  </si>
  <si>
    <t>四周：</t>
  </si>
  <si>
    <t>1.载具系统</t>
  </si>
  <si>
    <t>功能新增</t>
  </si>
  <si>
    <t>粉卡</t>
  </si>
  <si>
    <t>天数</t>
  </si>
  <si>
    <t>6元首冲</t>
  </si>
  <si>
    <t>每日特惠(1、6、18) 优化1、6、18元随机宝箱，提高返利</t>
  </si>
  <si>
    <t>日/周/月礼包</t>
  </si>
  <si>
    <t>每日充值(25元赠送1个传说祝福石)</t>
  </si>
  <si>
    <t>大小月卡 18/30</t>
  </si>
  <si>
    <t>体力战令28/68</t>
  </si>
  <si>
    <t>体力战令28/68（68元增加自选，加一些材料）</t>
  </si>
  <si>
    <t>体力战令28/68（68元增加自选）</t>
  </si>
  <si>
    <t>周卡（新增金币扫荡）</t>
  </si>
  <si>
    <t>周卡（金币扫荡）</t>
  </si>
  <si>
    <t>周卡（（组队双倍）（金币扫荡）</t>
  </si>
  <si>
    <t>钻石战令Ⅰ Ⅱ</t>
  </si>
  <si>
    <t>载具战令</t>
  </si>
  <si>
    <t>七日目标//玩法活跃引导</t>
  </si>
  <si>
    <t>章节礼包</t>
  </si>
  <si>
    <t>招募狂欢（3200）</t>
  </si>
  <si>
    <t>招募冲刺（红卡魂魄）</t>
  </si>
  <si>
    <t>符文冲刺（符文宝石）</t>
  </si>
  <si>
    <t>秘宝冲刺（秘宝皮肤）</t>
  </si>
  <si>
    <t>招募冲刺（粉卡魂魄）（藏品）</t>
  </si>
  <si>
    <t>秘宝冲刺（皮肤+藏品）</t>
  </si>
  <si>
    <t>橙卡试炼【皮肤、符文】</t>
  </si>
  <si>
    <t>红卡试炼【符文、皮肤】</t>
  </si>
  <si>
    <t>礼包</t>
  </si>
  <si>
    <t>悬赏活动1【符文洗炼藏品】</t>
  </si>
  <si>
    <t>悬赏活动2【组队藏品】</t>
  </si>
  <si>
    <t>悬赏活动3【招募藏品】</t>
  </si>
  <si>
    <t>悬赏活动1【周卡迷廊藏品】</t>
  </si>
  <si>
    <t>悬赏活动1【符文洗炼藏品、符文】</t>
  </si>
  <si>
    <t>月度活动（红色皮肤、专属符文（限制1个4档）主要是投放皮肤）</t>
  </si>
  <si>
    <t>次月活动（粉卡皮肤）</t>
  </si>
  <si>
    <t>限时活动</t>
  </si>
  <si>
    <t>皮肤（天使套）直抽月光炼梦改【5+5】A</t>
  </si>
  <si>
    <t>神秘套【月光炼梦】</t>
  </si>
  <si>
    <t>载具转盘（主投皮肤）星轨探测改（A）</t>
  </si>
  <si>
    <t>限时UP</t>
  </si>
  <si>
    <t>宇宙套【月光炼梦】</t>
  </si>
  <si>
    <t>限时up（15天）（骇客）</t>
  </si>
  <si>
    <t>限时up（15天）（雅典娜）</t>
  </si>
  <si>
    <t>主要投放途径</t>
  </si>
  <si>
    <t>序号</t>
  </si>
  <si>
    <t>道具名称</t>
  </si>
  <si>
    <t>道具ID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</si>
  <si>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</si>
  <si>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</si>
  <si>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</si>
  <si>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</si>
  <si>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</si>
  <si>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</si>
  <si>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</si>
  <si>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</si>
  <si>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钻石</t>
  </si>
  <si>
    <t>货币类</t>
  </si>
  <si>
    <t>任务/成就/主线三星</t>
  </si>
  <si>
    <t>充值</t>
  </si>
  <si>
    <t>做各阶层的能力阶梯</t>
  </si>
  <si>
    <t>体力</t>
  </si>
  <si>
    <t>快捷购买</t>
  </si>
  <si>
    <t>金币</t>
  </si>
  <si>
    <t>日周月商店</t>
  </si>
  <si>
    <t>心梦宝石</t>
  </si>
  <si>
    <t>每日特惠</t>
  </si>
  <si>
    <t>排行冲刺</t>
  </si>
  <si>
    <t>做中R的付费质感（前期中R）</t>
  </si>
  <si>
    <t>战令宝箱</t>
  </si>
  <si>
    <t>每日特惠宝箱</t>
  </si>
  <si>
    <t>咩菲特的雕像</t>
  </si>
  <si>
    <t>织梦宝箱</t>
  </si>
  <si>
    <t>筑梦快递箱</t>
  </si>
  <si>
    <t>筑梦典藏箱</t>
  </si>
  <si>
    <t>巡航门票</t>
  </si>
  <si>
    <t>超能特饮</t>
  </si>
  <si>
    <t>能量特饮</t>
  </si>
  <si>
    <t>梦灵类</t>
  </si>
  <si>
    <t>体力产出</t>
  </si>
  <si>
    <t>做非R的基础体验</t>
  </si>
  <si>
    <t>梦境招募器</t>
  </si>
  <si>
    <t>情绪净化/主线任务</t>
  </si>
  <si>
    <t>商店购买</t>
  </si>
  <si>
    <t>做各阶层的能力阶梯（前期质变）</t>
  </si>
  <si>
    <t>梦愿水晶</t>
  </si>
  <si>
    <t>招募累计</t>
  </si>
  <si>
    <t>心愿招募</t>
  </si>
  <si>
    <t>限定招募</t>
  </si>
  <si>
    <t>做大R的付费边界（后期质变）</t>
  </si>
  <si>
    <t>稀有梦灵</t>
  </si>
  <si>
    <t>英雄招募</t>
  </si>
  <si>
    <t>本体；碎片*10</t>
  </si>
  <si>
    <t>史诗梦灵</t>
  </si>
  <si>
    <t>传说梦灵</t>
  </si>
  <si>
    <t>神话梦灵</t>
  </si>
  <si>
    <t>彩虹梦灵</t>
  </si>
  <si>
    <t>稀有梦灵碎片</t>
  </si>
  <si>
    <t>史诗梦灵碎片</t>
  </si>
  <si>
    <t>传说梦灵碎片</t>
  </si>
  <si>
    <t>神话梦灵碎片</t>
  </si>
  <si>
    <t>彩虹梦灵碎片</t>
  </si>
  <si>
    <t/>
  </si>
  <si>
    <t>零号骇客</t>
  </si>
  <si>
    <t>公会贡献</t>
  </si>
  <si>
    <t>转运石</t>
  </si>
  <si>
    <t>友情值</t>
  </si>
  <si>
    <t>传说祝福石</t>
  </si>
  <si>
    <t>神话祝福石</t>
  </si>
  <si>
    <t>创世祝福石</t>
  </si>
  <si>
    <t>装备图纸</t>
  </si>
  <si>
    <t>装备类</t>
  </si>
  <si>
    <t>做非R长线活跃养成</t>
  </si>
  <si>
    <t>锻造晶石</t>
  </si>
  <si>
    <t>装备洗练</t>
  </si>
  <si>
    <t>主线装备箱</t>
  </si>
  <si>
    <t>队长大箱子</t>
  </si>
  <si>
    <t>队长小箱子</t>
  </si>
  <si>
    <t>随机普通装备</t>
  </si>
  <si>
    <t>随机优秀装备</t>
  </si>
  <si>
    <t>随机稀有装备</t>
  </si>
  <si>
    <t>随机史诗装备</t>
  </si>
  <si>
    <t>随机传说装备</t>
  </si>
  <si>
    <t>随机神话装备</t>
  </si>
  <si>
    <t>随机创世装备</t>
  </si>
  <si>
    <t>专属传说符文</t>
  </si>
  <si>
    <t>星之初愿</t>
  </si>
  <si>
    <t>宝石类</t>
  </si>
  <si>
    <t>宝石低抽</t>
  </si>
  <si>
    <t>星辉秘契</t>
  </si>
  <si>
    <t>宝石高抽</t>
  </si>
  <si>
    <t>符引结晶</t>
  </si>
  <si>
    <t>低级洗练石</t>
  </si>
  <si>
    <t>幻梦晶核</t>
  </si>
  <si>
    <t>高级洗练石</t>
  </si>
  <si>
    <t>做中R的付费质感</t>
  </si>
  <si>
    <t>普通符文</t>
  </si>
  <si>
    <t>白宝石</t>
  </si>
  <si>
    <t>优秀符文</t>
  </si>
  <si>
    <t>绿宝石</t>
  </si>
  <si>
    <t>稀有符文</t>
  </si>
  <si>
    <t>蓝宝石</t>
  </si>
  <si>
    <t>史诗符文</t>
  </si>
  <si>
    <t>紫宝石</t>
  </si>
  <si>
    <t>传说符文</t>
  </si>
  <si>
    <t>橙宝石</t>
  </si>
  <si>
    <t>神话符文</t>
  </si>
  <si>
    <t>红宝石</t>
  </si>
  <si>
    <t>做大R的付费质感</t>
  </si>
  <si>
    <t>创世符文</t>
  </si>
  <si>
    <t>彩宝石</t>
  </si>
  <si>
    <t>做大R的付费边界</t>
  </si>
  <si>
    <t>传说英雄随机珍稀符文</t>
  </si>
  <si>
    <t>梦灵试炼（橙卡）</t>
  </si>
  <si>
    <t>传说英雄随机稀世符文</t>
  </si>
  <si>
    <t>梦灵试炼（红卡）</t>
  </si>
  <si>
    <t>绝世英雄传说随机专属符文</t>
  </si>
  <si>
    <t>绝世英雄神话随机专属符文</t>
  </si>
  <si>
    <t>符文宝箱</t>
  </si>
  <si>
    <t>织梦微尘</t>
  </si>
  <si>
    <t>基因类</t>
  </si>
  <si>
    <t>基因低级材料</t>
  </si>
  <si>
    <t>潜能棱晶</t>
  </si>
  <si>
    <t>主线三星</t>
  </si>
  <si>
    <t>基因高级材料</t>
  </si>
  <si>
    <t>加速沙漏</t>
  </si>
  <si>
    <t>通过SS类活动做分层</t>
  </si>
  <si>
    <t>晶石</t>
  </si>
  <si>
    <t>秘宝类</t>
  </si>
  <si>
    <t>公会活动</t>
  </si>
  <si>
    <t>竞技场币</t>
  </si>
  <si>
    <t>玩法类</t>
  </si>
  <si>
    <t>boss积分</t>
  </si>
  <si>
    <t>活动抽奖道具</t>
  </si>
  <si>
    <t>星路通票</t>
  </si>
  <si>
    <t>运营活动</t>
  </si>
  <si>
    <t>限对应活动抽奖替代价</t>
  </si>
  <si>
    <t>星路里程</t>
  </si>
  <si>
    <t>普通骰子</t>
  </si>
  <si>
    <t>限山河巡游310100</t>
  </si>
  <si>
    <t>金骰子</t>
  </si>
  <si>
    <t>本期规划名义价</t>
  </si>
  <si>
    <t>大富翁积分</t>
  </si>
  <si>
    <t>战利品宝箱</t>
  </si>
  <si>
    <t>祈星券</t>
  </si>
  <si>
    <t>限祈星转盘40008</t>
  </si>
  <si>
    <t>祈愿水晶</t>
  </si>
  <si>
    <t>试炼抽奖券</t>
  </si>
  <si>
    <t>实际售卖rmb</t>
  </si>
  <si>
    <t>史诗梦灵皮肤</t>
  </si>
  <si>
    <t>传说梦灵皮肤</t>
  </si>
  <si>
    <t>神话梦灵皮肤</t>
  </si>
  <si>
    <t>史诗武器皮肤</t>
  </si>
  <si>
    <t>传说武器皮肤</t>
  </si>
  <si>
    <t>神话武器皮肤</t>
  </si>
  <si>
    <t>史诗时装皮肤</t>
  </si>
  <si>
    <t>传说时装皮肤</t>
  </si>
  <si>
    <t>做中小R的钻销体系+大R的付费隔绝</t>
  </si>
  <si>
    <t>神话时装皮肤</t>
  </si>
  <si>
    <t>史诗秘宝皮肤</t>
  </si>
  <si>
    <t>传说秘宝皮肤</t>
  </si>
  <si>
    <t>神话秘宝皮肤</t>
  </si>
  <si>
    <t>史诗主角挂件</t>
  </si>
  <si>
    <t>传说主角挂件</t>
  </si>
  <si>
    <t>神话主角挂件</t>
  </si>
  <si>
    <t>金币吸收器</t>
  </si>
  <si>
    <t>智械发条</t>
  </si>
  <si>
    <t>抽奖道具</t>
  </si>
  <si>
    <t>橙</t>
  </si>
  <si>
    <t>精密齿轮</t>
  </si>
  <si>
    <t>零件</t>
  </si>
  <si>
    <t>紫</t>
  </si>
  <si>
    <t>随机史诗零件碎片</t>
  </si>
  <si>
    <t>随机传说零件碎片</t>
  </si>
  <si>
    <t>随机神话零件碎片</t>
  </si>
  <si>
    <t>红</t>
  </si>
  <si>
    <t>随机创世零件碎片</t>
  </si>
  <si>
    <t>粉</t>
  </si>
  <si>
    <t>随机史诗零件</t>
  </si>
  <si>
    <t>随机传说零件</t>
  </si>
  <si>
    <t>随机神话零件</t>
  </si>
  <si>
    <t>随机创世零件</t>
  </si>
  <si>
    <t>织梦捕星机</t>
  </si>
  <si>
    <t>体力战令</t>
  </si>
  <si>
    <t>基本不投</t>
  </si>
  <si>
    <t>加速队长天赋升级</t>
  </si>
  <si>
    <t>组队门票</t>
  </si>
  <si>
    <t>欧气补给箱</t>
  </si>
  <si>
    <t>冲刺活动</t>
  </si>
  <si>
    <t>欧气补给袋</t>
  </si>
  <si>
    <t>紫色藏品</t>
  </si>
  <si>
    <t>橙色藏品</t>
  </si>
  <si>
    <t>红色藏品</t>
  </si>
  <si>
    <t>奏响胜利</t>
  </si>
  <si>
    <t>小鸟栖息地</t>
  </si>
  <si>
    <t>嘀嗒时光</t>
  </si>
  <si>
    <t>咯咯哒争霸</t>
  </si>
  <si>
    <t>星期八计划</t>
  </si>
  <si>
    <t>独家零食</t>
  </si>
  <si>
    <t>秘仪初成</t>
  </si>
  <si>
    <t>记载胜利</t>
  </si>
  <si>
    <t>再来一箭</t>
  </si>
  <si>
    <t>越毒越痛</t>
  </si>
  <si>
    <t>万福摇摇机</t>
  </si>
  <si>
    <t>怦怦时刻</t>
  </si>
  <si>
    <t>意外之喜</t>
  </si>
  <si>
    <t>双倍碰撞</t>
  </si>
  <si>
    <t>酣眠的祝福</t>
  </si>
  <si>
    <t>抵达深空</t>
  </si>
  <si>
    <t>潮玩挂板</t>
  </si>
  <si>
    <t>奇点铃铛</t>
  </si>
  <si>
    <t>奏响胜利·碎片</t>
  </si>
  <si>
    <t>小鸟栖息地·碎片</t>
  </si>
  <si>
    <t>嘀嗒时光·碎片</t>
  </si>
  <si>
    <t>咯咯哒争霸·碎片</t>
  </si>
  <si>
    <t>星期八计划·碎片</t>
  </si>
  <si>
    <t>独家零食·碎片</t>
  </si>
  <si>
    <t>秘仪初成·碎片</t>
  </si>
  <si>
    <t>记载胜利·碎片</t>
  </si>
  <si>
    <t>再来一箭·碎片</t>
  </si>
  <si>
    <t>越毒越痛·碎片</t>
  </si>
  <si>
    <t>万福摇摇机·碎片</t>
  </si>
  <si>
    <t>怦怦时刻·碎片</t>
  </si>
  <si>
    <t>意外之喜·碎片</t>
  </si>
  <si>
    <t>双倍碰撞·碎片</t>
  </si>
  <si>
    <t>酣眠的祝福·碎片</t>
  </si>
  <si>
    <t>抵达深空·碎片</t>
  </si>
  <si>
    <t>潮玩挂板·碎片</t>
  </si>
  <si>
    <t>奇点铃铛·碎片</t>
  </si>
  <si>
    <t>随机史诗藏品箱</t>
  </si>
  <si>
    <t>随机传说藏品箱</t>
  </si>
  <si>
    <t>随机神话藏品箱</t>
  </si>
  <si>
    <t>自选史诗藏品箱</t>
  </si>
  <si>
    <t>自选传说藏品箱</t>
  </si>
  <si>
    <t>自选神话藏品箱</t>
  </si>
  <si>
    <t>随机史诗藏品碎片</t>
  </si>
  <si>
    <t>随机传说藏品碎片</t>
  </si>
  <si>
    <t>随机神话藏品碎片</t>
  </si>
  <si>
    <t>自选史诗藏品碎片</t>
  </si>
  <si>
    <t>自选传说藏品碎片</t>
  </si>
  <si>
    <t>自选神话藏品碎片</t>
  </si>
  <si>
    <t>价态</t>
  </si>
  <si>
    <t>适用条件/限制</t>
  </si>
  <si>
    <t>当天特权卡</t>
  </si>
  <si>
    <t>按使用计</t>
  </si>
  <si>
    <t>首充当天生效的跳广告、刷新和体力上限权益；实际价值依当日使用，不设固定钻价</t>
  </si>
  <si>
    <t>咕勇者服饰</t>
  </si>
  <si>
    <t>套装合价</t>
  </si>
  <si>
    <t>仅当咕勇者服饰与头饰各1件同赠时，两件合计7000钻；单件无通用价</t>
  </si>
  <si>
    <t>咕勇者头饰</t>
  </si>
  <si>
    <t>寻梦探仪</t>
  </si>
  <si>
    <t>条件价</t>
  </si>
  <si>
    <t>仅寻梦礼包的对应抽取；不可作为跨活动全局道具价</t>
  </si>
  <si>
    <t>寻珍画券</t>
  </si>
  <si>
    <t>仅寻珍助礼战令、寻珍礼包的对应抽取；不可作为跨活动全局道具价</t>
  </si>
  <si>
    <t>仅在50026与50002升级消耗等效时按3钻；两ID不可直接混同</t>
  </si>
  <si>
    <t>梦境惊喜宝箱</t>
  </si>
  <si>
    <t>80钻是当前箱池期望，实际开箱随机；不可称每箱必得80钻；道具配置value=40与当前商业锚不一致，勿回填</t>
  </si>
  <si>
    <t>许愿券</t>
  </si>
  <si>
    <t>仅适用脚本所列同一期活动的抽奖/购买替代成本</t>
  </si>
  <si>
    <t>仅许愿补给的对应抽取；不可作为跨活动全局道具价</t>
  </si>
  <si>
    <t>贝壳券</t>
  </si>
  <si>
    <t>探测仪</t>
  </si>
  <si>
    <t>仅星轨礼包的对应抽取；不可作为跨活动全局道具价</t>
  </si>
  <si>
    <t>炼梦魔药</t>
  </si>
  <si>
    <t>仅炼梦礼包的对应抽取；不可作为跨活动全局道具价</t>
  </si>
  <si>
    <t>公会礼包1</t>
  </si>
  <si>
    <t>30钻只计购买者本人使用后获得1普通骰；公会他人收益另计</t>
  </si>
  <si>
    <t>喵喵锤</t>
  </si>
  <si>
    <t>仅相应品质、箱体或历史藏品口径</t>
  </si>
  <si>
    <t>随机传说梦灵</t>
  </si>
  <si>
    <t>仅相应品质、箱体或历史藏品口径；道具配置value=80与当前商业锚不一致，勿回填</t>
  </si>
  <si>
    <t>梦境衣橱礼包</t>
  </si>
  <si>
    <t>绮梦衣橱盒Ⅰ</t>
  </si>
  <si>
    <t>万象自选宝盒Ⅰ</t>
  </si>
  <si>
    <t>绮梦衣橱盒V</t>
  </si>
  <si>
    <t>4000钻/盒是用户确认的规划名义条件锚；实际增量价值随皮肤进度变化，仅满星后成功回收才有2000钻/张兑现值；代币成本另算</t>
  </si>
  <si>
    <t>繁星衣橱盒Ⅰ</t>
  </si>
  <si>
    <t>仅限证据所示活动/道具功能和当前配置</t>
  </si>
  <si>
    <t>繁星衣橱盒Ⅱ</t>
  </si>
  <si>
    <t>万象宝盒Ⅰ</t>
  </si>
  <si>
    <t>星航礼盒</t>
  </si>
  <si>
    <t>谜律诡探礼盒</t>
  </si>
  <si>
    <t>幻衣自选宝箱Ⅰ</t>
  </si>
  <si>
    <t>武器自选宝箱Ⅰ</t>
  </si>
  <si>
    <t>绮梦衣橱礼盒Ⅱ</t>
  </si>
  <si>
    <t>大开眼戒</t>
  </si>
  <si>
    <t>宇宙之心</t>
  </si>
  <si>
    <t>万象宝盒Ⅱ</t>
  </si>
  <si>
    <t>超频天使礼盒</t>
  </si>
  <si>
    <t>落子黑白礼盒</t>
  </si>
  <si>
    <t>海岸圣域礼盒</t>
  </si>
  <si>
    <t>绮梦衣橱礼盒Ⅰ</t>
  </si>
  <si>
    <t>待定义</t>
  </si>
  <si>
    <t>繁星衣橱礼盒Ⅰ</t>
  </si>
  <si>
    <t>繁星衣橱礼盒Ⅱ</t>
  </si>
  <si>
    <t>万象自选宝盒Ⅱ</t>
  </si>
  <si>
    <t>奇异权杖</t>
  </si>
  <si>
    <t>开翼未来</t>
  </si>
  <si>
    <t>神秘影袍</t>
  </si>
  <si>
    <t>关羽碎片</t>
  </si>
  <si>
    <t>按同品质梦灵碎片类目规划价估值，正式type/quality/value交叉吻合；不是该ID独立直售价</t>
  </si>
  <si>
    <t>唐小僧碎片</t>
  </si>
  <si>
    <t>神灯王子碎片</t>
  </si>
  <si>
    <t>亚瑟碎片</t>
  </si>
  <si>
    <t>炽焰巫师碎片</t>
  </si>
  <si>
    <t>忍者鲨手碎片</t>
  </si>
  <si>
    <t>路人甲碎片</t>
  </si>
  <si>
    <t>吟游诗人碎片</t>
  </si>
  <si>
    <t>甜心护士</t>
  </si>
  <si>
    <t>雷震子碎片</t>
  </si>
  <si>
    <t>果冻少女碎片</t>
  </si>
  <si>
    <t>蜘蛛女王碎片</t>
  </si>
  <si>
    <t>镭射碎片</t>
  </si>
  <si>
    <t>贪吃挑战门票</t>
  </si>
  <si>
    <t>童话绮梦礼盒</t>
  </si>
  <si>
    <t>咕勇者礼盒</t>
  </si>
  <si>
    <t>海拉</t>
  </si>
  <si>
    <t>仅限证据所示活动/道具功能和当前配置；道具配置value=160与当前商业锚不一致，勿回填</t>
  </si>
  <si>
    <t>镭射</t>
  </si>
  <si>
    <t>小狗锤</t>
  </si>
  <si>
    <t>限时金骰子</t>
  </si>
  <si>
    <t>六角螺栓·碎片</t>
  </si>
  <si>
    <t>维修扳手·碎片</t>
  </si>
  <si>
    <t>十字螺丝刀·碎片</t>
  </si>
  <si>
    <t>橡胶密封圈·碎片</t>
  </si>
  <si>
    <t>小齿轮·碎片</t>
  </si>
  <si>
    <t>减震弹簧·碎片</t>
  </si>
  <si>
    <t>扭矩扳手·碎片</t>
  </si>
  <si>
    <t>散热风扇·碎片</t>
  </si>
  <si>
    <t>刹车油管·碎片</t>
  </si>
  <si>
    <t>诊断扫描仪·碎片</t>
  </si>
  <si>
    <t>校准芯片·碎片</t>
  </si>
  <si>
    <t>侦察摄像头·碎片</t>
  </si>
  <si>
    <t>激光雷达头·碎片</t>
  </si>
  <si>
    <t>仪表控制面板·碎片</t>
  </si>
  <si>
    <t>轮毂电机·碎片</t>
  </si>
  <si>
    <t>燃料箱组件·碎片</t>
  </si>
  <si>
    <t>高能蓄电池·碎片</t>
  </si>
  <si>
    <t>主推进喷射器·碎片</t>
  </si>
  <si>
    <t>尾翼稳定器·碎片</t>
  </si>
  <si>
    <t>屏障发生器·碎片</t>
  </si>
  <si>
    <t>反应堆核心·碎片</t>
  </si>
  <si>
    <t>妲己碎片</t>
  </si>
  <si>
    <t>我爱沙碎片</t>
  </si>
  <si>
    <t>海拉碎片</t>
  </si>
  <si>
    <t>神算诸葛碎片</t>
  </si>
  <si>
    <t>无心睡眠</t>
  </si>
  <si>
    <t>仅相应品质、箱体或历史藏品口径；道具配置value=3000与当前商业锚不一致，勿回填</t>
  </si>
  <si>
    <t>后羿碎片</t>
  </si>
  <si>
    <t>白素贞碎片</t>
  </si>
  <si>
    <t>零日骇客梦魄</t>
  </si>
  <si>
    <t>雅典娜梦魄</t>
  </si>
  <si>
    <t>直接锚</t>
  </si>
  <si>
    <t>仅同名/同品质或同奖池、相应箱体</t>
  </si>
  <si>
    <t>随机能量特饮</t>
  </si>
  <si>
    <t>头盔图纸</t>
  </si>
  <si>
    <t>用户确认的跨商品规划基础锚3钻/张；格位2.5钻/张为折后售价，不改基础锚</t>
  </si>
  <si>
    <t>衣服图纸</t>
  </si>
  <si>
    <t>护臂图纸</t>
  </si>
  <si>
    <t>裤子图纸</t>
  </si>
  <si>
    <t>鞋子图纸</t>
  </si>
  <si>
    <t>手套图纸</t>
  </si>
  <si>
    <t>稀缺度</t>
  </si>
  <si>
    <t>定义</t>
  </si>
  <si>
    <t>投放约束</t>
  </si>
  <si>
    <t>设计思路</t>
  </si>
  <si>
    <t>常规</t>
  </si>
  <si>
    <t>存在稳定、重复获取渠道</t>
  </si>
  <si>
    <t>可进入日常、常驻商店和普通礼包</t>
  </si>
  <si>
    <t>基于日周月礼包锚定性价比折算返利</t>
  </si>
  <si>
    <t>受限</t>
  </si>
  <si>
    <t>稳定出现，但存在周期或数量限制</t>
  </si>
  <si>
    <t>可进入周循环、战令、限购礼包</t>
  </si>
  <si>
    <t>分层</t>
  </si>
  <si>
    <t>档位</t>
  </si>
  <si>
    <t>总计花费</t>
  </si>
  <si>
    <t>返利比($)</t>
  </si>
  <si>
    <t>总价/每月($)</t>
  </si>
  <si>
    <t>稀缺</t>
  </si>
  <si>
    <t>只在少量运营活动中周期投放</t>
  </si>
  <si>
    <t>控制月度总量，禁止日常大量投放</t>
  </si>
  <si>
    <t>首充</t>
  </si>
  <si>
    <t>大小月卡</t>
  </si>
  <si>
    <t>周卡</t>
  </si>
  <si>
    <t>日周月礼包</t>
  </si>
  <si>
    <t>钻石基金</t>
  </si>
  <si>
    <t>战令</t>
  </si>
  <si>
    <t>月度活动</t>
  </si>
  <si>
    <t>节日活动</t>
  </si>
  <si>
    <t>皮肤转盘</t>
  </si>
  <si>
    <t>限定</t>
  </si>
  <si>
    <t>赛季、联动、首发或特定时间独占</t>
  </si>
  <si>
    <t>限定渠道、限定周期，返场需单独审核</t>
  </si>
  <si>
    <t>非R</t>
  </si>
  <si>
    <t>豹子头</t>
  </si>
  <si>
    <t>小R</t>
  </si>
  <si>
    <t>首冲玩家</t>
  </si>
  <si>
    <t>材料返利比</t>
  </si>
  <si>
    <t>购买部分特权</t>
  </si>
  <si>
    <t>特权买齐</t>
  </si>
  <si>
    <t>直购档位/RMB</t>
  </si>
  <si>
    <t>标准返比</t>
  </si>
  <si>
    <t>示例</t>
  </si>
  <si>
    <t>月卡、周卡、基金、战令类，返比&gt;1000%</t>
  </si>
  <si>
    <t>中R</t>
  </si>
  <si>
    <t>追求主养成模块</t>
  </si>
  <si>
    <t>6元=6高抽+60钻</t>
  </si>
  <si>
    <t>基础资源</t>
  </si>
  <si>
    <t>30元=36小时</t>
  </si>
  <si>
    <t>追求多个养成模块</t>
  </si>
  <si>
    <t>68元=72小时</t>
  </si>
  <si>
    <r>
      <rPr>
        <sz val="11"/>
        <color rgb="FF000000"/>
        <rFont val="微软雅黑"/>
        <charset val="134"/>
      </rPr>
      <t>追求全部养成模块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在边界上不付费</t>
    </r>
  </si>
  <si>
    <t>30元=10心愿抽+300钻</t>
  </si>
  <si>
    <t>大R</t>
  </si>
  <si>
    <t>每月活动拉满</t>
  </si>
  <si>
    <t>基金</t>
  </si>
  <si>
    <t>每周礼包拉满</t>
  </si>
  <si>
    <t>每日消费拉满</t>
  </si>
  <si>
    <t>超R</t>
  </si>
  <si>
    <t>付费内容拉满</t>
  </si>
  <si>
    <t>基于养成系统对应</t>
  </si>
  <si>
    <t>类</t>
  </si>
  <si>
    <t>模块</t>
  </si>
  <si>
    <t>贡献占比/每月</t>
  </si>
  <si>
    <t>钻石消耗活动直购礼包返利比</t>
  </si>
  <si>
    <t>充值返利</t>
  </si>
  <si>
    <t>梦灵升级</t>
  </si>
  <si>
    <t>活动返利比</t>
  </si>
  <si>
    <t>活动评级</t>
  </si>
  <si>
    <t>S</t>
  </si>
  <si>
    <t>A</t>
  </si>
  <si>
    <t>200%-225%</t>
  </si>
  <si>
    <t>B</t>
  </si>
  <si>
    <t>150%-175%</t>
  </si>
  <si>
    <t>单价（人民币）</t>
  </si>
  <si>
    <t>道具id</t>
  </si>
  <si>
    <t>道具【梦境】</t>
  </si>
  <si>
    <t>单价（钻石）</t>
  </si>
  <si>
    <t>稀有程度</t>
  </si>
  <si>
    <t>特殊运营活动价格（人民币）</t>
  </si>
  <si>
    <t>类型</t>
  </si>
  <si>
    <t>品质</t>
  </si>
  <si>
    <t>针对玩家</t>
  </si>
  <si>
    <t>刷新权重</t>
  </si>
  <si>
    <t>总权重</t>
  </si>
  <si>
    <t>刷新几率</t>
  </si>
  <si>
    <t>每日个数</t>
  </si>
  <si>
    <t>货币</t>
  </si>
  <si>
    <t>/</t>
  </si>
  <si>
    <t>梦幻遥感</t>
  </si>
  <si>
    <t>蓝</t>
  </si>
  <si>
    <t>职业经验</t>
  </si>
  <si>
    <t>兑换道具</t>
  </si>
  <si>
    <t>每日特惠/循环冲刺活动，兑换商店货币）</t>
  </si>
  <si>
    <t>洗练石</t>
  </si>
  <si>
    <t>消耗道具</t>
  </si>
  <si>
    <t>锤子</t>
  </si>
  <si>
    <t>梦境奇迹宝箱</t>
  </si>
  <si>
    <t>每日特惠礼包</t>
  </si>
  <si>
    <t>英雄碎片</t>
  </si>
  <si>
    <t>悬赏线索</t>
  </si>
  <si>
    <t>悬赏活动产出的价值</t>
  </si>
  <si>
    <t>队长道具</t>
  </si>
  <si>
    <t>梦灵道具</t>
  </si>
  <si>
    <t>万能特饮</t>
  </si>
  <si>
    <t>随机史诗梦灵碎片</t>
  </si>
  <si>
    <t>id</t>
  </si>
  <si>
    <t>物品</t>
  </si>
  <si>
    <t>随机库</t>
  </si>
  <si>
    <t>随机权重</t>
  </si>
  <si>
    <t xml:space="preserve">购买消耗
</t>
  </si>
  <si>
    <t>原价</t>
  </si>
  <si>
    <t>商店备注</t>
  </si>
  <si>
    <t>做非R的基础体验，随机职业特饮</t>
  </si>
  <si>
    <t>11,2}]</t>
  </si>
  <si>
    <t>2,6000}]</t>
  </si>
  <si>
    <t>[]</t>
  </si>
  <si>
    <t>梦幻摇杆*5</t>
  </si>
  <si>
    <t>自选史诗梦灵碎片</t>
  </si>
  <si>
    <t>11,10}]</t>
  </si>
  <si>
    <t>2,12000}]</t>
  </si>
  <si>
    <t>梦幻摇杆*10</t>
  </si>
  <si>
    <t>自选传说梦灵碎片</t>
  </si>
  <si>
    <t>自选神话梦灵碎片</t>
  </si>
  <si>
    <t>11,20}]</t>
  </si>
  <si>
    <t>2,24000}]</t>
  </si>
  <si>
    <t>梦幻摇杆*20</t>
  </si>
  <si>
    <t>自选创世梦灵碎片</t>
  </si>
  <si>
    <t>1,120}]</t>
  </si>
  <si>
    <t>随机史诗梦灵</t>
  </si>
  <si>
    <t>1,240}]</t>
  </si>
  <si>
    <t>1,480}]</t>
  </si>
  <si>
    <t>本体</t>
  </si>
  <si>
    <t>随机神话梦灵</t>
  </si>
  <si>
    <t>5103002,50}]</t>
  </si>
  <si>
    <t>2,2000}]</t>
  </si>
  <si>
    <t>职业经验*50</t>
  </si>
  <si>
    <t>随机创世梦灵</t>
  </si>
  <si>
    <t>5103002,100}]</t>
  </si>
  <si>
    <t>随机稀有梦灵碎片</t>
  </si>
  <si>
    <t>2,4000}]</t>
  </si>
  <si>
    <t>职业经验*100</t>
  </si>
  <si>
    <t>自选史诗梦灵</t>
  </si>
  <si>
    <t>5103002,200}]</t>
  </si>
  <si>
    <t>2,8000}]</t>
  </si>
  <si>
    <t>职业经验*200</t>
  </si>
  <si>
    <t>自选传说梦灵</t>
  </si>
  <si>
    <t>随机传说梦灵碎片</t>
  </si>
  <si>
    <t>1,50}]</t>
  </si>
  <si>
    <t>自选神话梦灵</t>
  </si>
  <si>
    <t>随机神话梦灵碎片</t>
  </si>
  <si>
    <t>1,100}]</t>
  </si>
  <si>
    <t>自选创世梦灵</t>
  </si>
  <si>
    <t>随机彩虹梦灵碎片</t>
  </si>
  <si>
    <t>1,200}]</t>
  </si>
  <si>
    <t>装备道具</t>
  </si>
  <si>
    <t>自选稀有梦灵碎片</t>
  </si>
  <si>
    <t>50003,10}]</t>
  </si>
  <si>
    <t>2,1000}]</t>
  </si>
  <si>
    <t>头盔图纸*10</t>
  </si>
  <si>
    <t>固定部位装备图纸</t>
  </si>
  <si>
    <t>50003,20}]</t>
  </si>
  <si>
    <t>头盔图纸*20</t>
  </si>
  <si>
    <t>50003,40}]</t>
  </si>
  <si>
    <t>头盔图纸*40</t>
  </si>
  <si>
    <t>200个合成1个，紫色的需要符引结晶</t>
  </si>
  <si>
    <t>1,40}]</t>
  </si>
  <si>
    <t>1,80}]</t>
  </si>
  <si>
    <t>1,160}]</t>
  </si>
  <si>
    <t>50004,10}]</t>
  </si>
  <si>
    <t>衣服图纸*10</t>
  </si>
  <si>
    <t>50004,20}]</t>
  </si>
  <si>
    <t>衣服图纸*20</t>
  </si>
  <si>
    <t>50004,40}]</t>
  </si>
  <si>
    <t>衣服图纸*40</t>
  </si>
  <si>
    <t>日常获取4折</t>
  </si>
  <si>
    <t>50005,10}]</t>
  </si>
  <si>
    <t>护臂图纸*10</t>
  </si>
  <si>
    <t>自选普通符文</t>
  </si>
  <si>
    <t>50005,20}]</t>
  </si>
  <si>
    <t>护臂图纸*20</t>
  </si>
  <si>
    <t>自选优秀符文</t>
  </si>
  <si>
    <t>50005,40}]</t>
  </si>
  <si>
    <t>护臂图纸*40</t>
  </si>
  <si>
    <t>自选稀有符文</t>
  </si>
  <si>
    <t>自选史诗符文</t>
  </si>
  <si>
    <t>自选传说符文</t>
  </si>
  <si>
    <t>自选神话符文</t>
  </si>
  <si>
    <t>50006,10}]</t>
  </si>
  <si>
    <t>裤子图纸*10</t>
  </si>
  <si>
    <t>自选创世符文</t>
  </si>
  <si>
    <t>50006,40}]</t>
  </si>
  <si>
    <t>裤子图纸*40</t>
  </si>
  <si>
    <t>1【普通】</t>
  </si>
  <si>
    <t>2【普通】</t>
  </si>
  <si>
    <t>50006,20}]</t>
  </si>
  <si>
    <t>裤子图纸*20</t>
  </si>
  <si>
    <t>3【普通】</t>
  </si>
  <si>
    <t>4【专属】</t>
  </si>
  <si>
    <t>5【稀有】</t>
  </si>
  <si>
    <t>6【宝属性】</t>
  </si>
  <si>
    <t>洗练定价【获取+洗练价格】80洗一次，200合一个，合2.5一个，主要是暴击率的洗练</t>
  </si>
  <si>
    <t>8【专属】</t>
  </si>
  <si>
    <t>50007,10}]</t>
  </si>
  <si>
    <t>鞋子图纸*10</t>
  </si>
  <si>
    <t>50007,20}]</t>
  </si>
  <si>
    <t>鞋子图纸*20</t>
  </si>
  <si>
    <t>50007,40}]</t>
  </si>
  <si>
    <t>鞋子图纸*40</t>
  </si>
  <si>
    <t>洗练定价【独立洗练价格】</t>
  </si>
  <si>
    <t>50008,10}]</t>
  </si>
  <si>
    <t>手套图纸*10</t>
  </si>
  <si>
    <t>50008,20}]</t>
  </si>
  <si>
    <t>手套图纸*20</t>
  </si>
  <si>
    <t>50008,40}]</t>
  </si>
  <si>
    <t>手套图纸*40</t>
  </si>
  <si>
    <t>5305001,1}]</t>
  </si>
  <si>
    <t>1,48}]</t>
  </si>
  <si>
    <t>1310100,1}]</t>
  </si>
  <si>
    <t>2,240}]</t>
  </si>
  <si>
    <t>寒冰射手*1</t>
  </si>
  <si>
    <t>1210400,1}]</t>
  </si>
  <si>
    <t>炽焰巫师*1</t>
  </si>
  <si>
    <t>1230100,1}]</t>
  </si>
  <si>
    <t>吟游诗人*1</t>
  </si>
  <si>
    <t>1420200,1}]</t>
  </si>
  <si>
    <t>2,360}]</t>
  </si>
  <si>
    <t>摇滚巨石*1</t>
  </si>
  <si>
    <t>1320100,1}]</t>
  </si>
  <si>
    <t>果冻少女*1</t>
  </si>
  <si>
    <t>1210600,1}]</t>
  </si>
  <si>
    <t>忍者鲨手*1</t>
  </si>
  <si>
    <t>1230400,1}]</t>
  </si>
  <si>
    <t>甜心护士*1</t>
  </si>
  <si>
    <t>1310300,1}]</t>
  </si>
  <si>
    <t>雷震子*1</t>
  </si>
  <si>
    <t>1110100,1}]</t>
  </si>
  <si>
    <t>关羽*1</t>
  </si>
  <si>
    <t>1130100,1}]</t>
  </si>
  <si>
    <t>2,1200}]</t>
  </si>
  <si>
    <t>东方不败*1</t>
  </si>
  <si>
    <t>1530100,1}]</t>
  </si>
  <si>
    <t>镭射眼*1</t>
  </si>
  <si>
    <t>1210300,1}]</t>
  </si>
  <si>
    <t>亚瑟*1</t>
  </si>
  <si>
    <t>6元首冲礼包</t>
  </si>
  <si>
    <t>1430700,1}]</t>
  </si>
  <si>
    <t>实际售价（旧</t>
  </si>
  <si>
    <t>蜘蛛女王*1</t>
  </si>
  <si>
    <t>1140100,1}]</t>
  </si>
  <si>
    <t>server_open_day,2}]</t>
  </si>
  <si>
    <t>紫色</t>
  </si>
  <si>
    <t>随机/自选一个价</t>
  </si>
  <si>
    <t>1140200,1}]</t>
  </si>
  <si>
    <t>橙色</t>
  </si>
  <si>
    <t>1310100,2}]</t>
  </si>
  <si>
    <t>2,480}]</t>
  </si>
  <si>
    <t>红色</t>
  </si>
  <si>
    <t>创世梦灵皮肤</t>
  </si>
  <si>
    <t>粉色</t>
  </si>
  <si>
    <t>1210400,2}]</t>
  </si>
  <si>
    <t>炽焰巫师*2</t>
  </si>
  <si>
    <t>1230100,2}]</t>
  </si>
  <si>
    <t>1420200,2}]</t>
  </si>
  <si>
    <t>2,720}]</t>
  </si>
  <si>
    <t>1210600,2}]</t>
  </si>
  <si>
    <t>1230400,2}]</t>
  </si>
  <si>
    <t>1310300,2}]</t>
  </si>
  <si>
    <t>自选传说秘宝皮肤</t>
  </si>
  <si>
    <t>1110100,2}]</t>
  </si>
  <si>
    <t>关羽*2</t>
  </si>
  <si>
    <t>自选神话秘宝皮肤</t>
  </si>
  <si>
    <t>1130100,2}]</t>
  </si>
  <si>
    <t>2,2400}]</t>
  </si>
  <si>
    <t>东方不败*2</t>
  </si>
  <si>
    <t>1530100,2}]</t>
  </si>
  <si>
    <t>镭射眼*2</t>
  </si>
  <si>
    <t>1210300,2}]</t>
  </si>
  <si>
    <t>亚瑟*2</t>
  </si>
  <si>
    <t>1430700,2}]</t>
  </si>
  <si>
    <t>蜘蛛女王*2</t>
  </si>
  <si>
    <t>1140100,2}]</t>
  </si>
  <si>
    <t>唐小僧*2</t>
  </si>
  <si>
    <t>月度活动抽奖券</t>
  </si>
  <si>
    <t>1140200,2}]</t>
  </si>
  <si>
    <t>神灯王子*2</t>
  </si>
  <si>
    <t>自选史诗梦灵皮肤</t>
  </si>
  <si>
    <t>皮肤道具</t>
  </si>
  <si>
    <t>1230400,3}]</t>
  </si>
  <si>
    <t>2,1080}]</t>
  </si>
  <si>
    <t>甜心护士*3</t>
  </si>
  <si>
    <t>自选传说梦灵皮肤</t>
  </si>
  <si>
    <t>1310300,3}]</t>
  </si>
  <si>
    <t>雷震子*3</t>
  </si>
  <si>
    <t>自选神话梦灵皮肤</t>
  </si>
  <si>
    <t>1110100,3}]</t>
  </si>
  <si>
    <t>关羽*3</t>
  </si>
  <si>
    <t>自选创世梦灵皮肤</t>
  </si>
  <si>
    <t>1130100,3}]</t>
  </si>
  <si>
    <t>东方不败*3</t>
  </si>
  <si>
    <t>随机史诗梦灵皮肤</t>
  </si>
  <si>
    <t>1530100,3}]</t>
  </si>
  <si>
    <t>镭射眼*3</t>
  </si>
  <si>
    <t>随机传说梦灵皮肤</t>
  </si>
  <si>
    <t>1210300,3}]</t>
  </si>
  <si>
    <t>亚瑟*3</t>
  </si>
  <si>
    <t>随机神话梦灵皮肤</t>
  </si>
  <si>
    <t>1430700,3}]</t>
  </si>
  <si>
    <t>蜘蛛女王*3</t>
  </si>
  <si>
    <t>随机创世梦灵皮肤</t>
  </si>
  <si>
    <t>1140100,3}]</t>
  </si>
  <si>
    <t>唐小僧*3</t>
  </si>
  <si>
    <t>传说武器队长皮肤</t>
  </si>
  <si>
    <t>1140200,3}]</t>
  </si>
  <si>
    <t>神灯王子*3</t>
  </si>
  <si>
    <t>神话武器队长皮肤</t>
  </si>
  <si>
    <t>寒冰射手*5</t>
  </si>
  <si>
    <t>史诗幻衣队长皮肤</t>
  </si>
  <si>
    <t>炽焰巫师*5</t>
  </si>
  <si>
    <t>传说幻衣队长皮肤</t>
  </si>
  <si>
    <t>吟游诗人*5</t>
  </si>
  <si>
    <t>神话幻衣队长皮肤</t>
  </si>
  <si>
    <t>摇滚巨石*5</t>
  </si>
  <si>
    <t>头像</t>
  </si>
  <si>
    <t>按照属性给与价值</t>
  </si>
  <si>
    <t>2,1800}]</t>
  </si>
  <si>
    <t>忍者鲨手*5</t>
  </si>
  <si>
    <t>头像框</t>
  </si>
  <si>
    <t>甜心护士*5</t>
  </si>
  <si>
    <t>称号</t>
  </si>
  <si>
    <t>雷震子*5</t>
  </si>
  <si>
    <t>聊天框</t>
  </si>
  <si>
    <t>东方不败*5</t>
  </si>
  <si>
    <t>名片秀</t>
  </si>
  <si>
    <t>镭射眼*5</t>
  </si>
  <si>
    <t>亚瑟*5</t>
  </si>
  <si>
    <t>蜘蛛女王*5</t>
  </si>
  <si>
    <t>唐小僧*5</t>
  </si>
  <si>
    <t>神灯王子*5</t>
  </si>
  <si>
    <t>队长天赋加速（蔚蓝是直接的，是控制金币的消耗？）</t>
  </si>
  <si>
    <t>1,6}]</t>
  </si>
  <si>
    <t>1,9}]</t>
  </si>
  <si>
    <t>1,30}]</t>
  </si>
  <si>
    <t>唐小僧*1</t>
  </si>
  <si>
    <t>神灯王子*1</t>
  </si>
  <si>
    <t>1,12}]</t>
  </si>
  <si>
    <t>寒冰射手*2</t>
  </si>
  <si>
    <t>吟游诗人*2</t>
  </si>
  <si>
    <t>1,18}]</t>
  </si>
  <si>
    <t>摇滚巨石*2</t>
  </si>
  <si>
    <t>1320100,2}]</t>
  </si>
  <si>
    <t>果冻少女*2</t>
  </si>
  <si>
    <t>忍者鲨手*2</t>
  </si>
  <si>
    <t>甜心护士*2</t>
  </si>
  <si>
    <t>雷震子*2</t>
  </si>
  <si>
    <t>1,60}]</t>
  </si>
  <si>
    <t>1310100,3}]</t>
  </si>
  <si>
    <t>寒冰射手*3</t>
  </si>
  <si>
    <t>1210400,3}]</t>
  </si>
  <si>
    <t>炽焰巫师*3</t>
  </si>
  <si>
    <t>1230100,3}]</t>
  </si>
  <si>
    <t>吟游诗人*3</t>
  </si>
  <si>
    <t>1420200,3}]</t>
  </si>
  <si>
    <t>1,27}]</t>
  </si>
  <si>
    <t>摇滚巨石*3</t>
  </si>
  <si>
    <t>1320100,3}]</t>
  </si>
  <si>
    <t>果冻少女*3</t>
  </si>
  <si>
    <t>1210600,3}]</t>
  </si>
  <si>
    <t>忍者鲨手*3</t>
  </si>
  <si>
    <t>1,90}]</t>
  </si>
  <si>
    <t>1,45}]</t>
  </si>
  <si>
    <t>果冻少女*5</t>
  </si>
  <si>
    <t>关羽*5</t>
  </si>
  <si>
    <t>1,150}]</t>
  </si>
  <si>
    <t>设计预期</t>
  </si>
  <si>
    <t>前7天小非R日均消耗8000~12000, 7天后日均16000~24000. 中大R日均16000, 7日后日均32000</t>
  </si>
  <si>
    <t>组id</t>
  </si>
  <si>
    <t>内容名</t>
  </si>
  <si>
    <t>钻石比例</t>
  </si>
  <si>
    <t>小R日均次数</t>
  </si>
  <si>
    <t>大R日均次数</t>
  </si>
  <si>
    <t>最小天数</t>
  </si>
  <si>
    <t>最大天数</t>
  </si>
  <si>
    <t>上限次数</t>
  </si>
  <si>
    <t>目标用户</t>
  </si>
  <si>
    <t>道具名</t>
  </si>
  <si>
    <t>数量</t>
  </si>
  <si>
    <t>修正权重</t>
  </si>
  <si>
    <t>标准权重</t>
  </si>
  <si>
    <t>价值</t>
  </si>
  <si>
    <t>性价比</t>
  </si>
  <si>
    <t>梦境招募券</t>
  </si>
  <si>
    <t>初愿摇杆</t>
  </si>
  <si>
    <t>秘藏摇杆</t>
  </si>
  <si>
    <t>寒冰射手碎片</t>
  </si>
  <si>
    <t>摇滚巨石碎片</t>
  </si>
  <si>
    <t>东方不败碎片</t>
  </si>
  <si>
    <t>镭射眼碎片</t>
  </si>
  <si>
    <t>首充挡位</t>
  </si>
  <si>
    <t>首充类型</t>
  </si>
  <si>
    <t>道具</t>
  </si>
  <si>
    <t>总价值(钻石)</t>
  </si>
  <si>
    <t>价格</t>
  </si>
  <si>
    <t>总和</t>
  </si>
  <si>
    <t>当天特权体验卡</t>
  </si>
  <si>
    <t>列1</t>
  </si>
  <si>
    <t>累充</t>
  </si>
  <si>
    <t>随机</t>
  </si>
  <si>
    <t>第二天</t>
  </si>
  <si>
    <t>第三天</t>
  </si>
  <si>
    <t>第二天开启</t>
  </si>
  <si>
    <t>直充</t>
  </si>
  <si>
    <t>玉如意</t>
  </si>
  <si>
    <t>总产出</t>
  </si>
  <si>
    <t>ID</t>
  </si>
  <si>
    <t>每日</t>
  </si>
  <si>
    <t>每周</t>
  </si>
  <si>
    <t>每月</t>
  </si>
  <si>
    <t>日周月礼包这边核心道具的标准价值</t>
  </si>
  <si>
    <t>周商店里面</t>
  </si>
  <si>
    <t>价值（钻</t>
  </si>
  <si>
    <t>折扣</t>
  </si>
  <si>
    <t>招募卷</t>
  </si>
  <si>
    <t>7折礼包</t>
  </si>
  <si>
    <t>6折礼包</t>
  </si>
  <si>
    <t>8折</t>
  </si>
  <si>
    <t>6折</t>
  </si>
  <si>
    <t>开服时间节点</t>
  </si>
  <si>
    <t>商品名称</t>
  </si>
  <si>
    <t>奖励</t>
  </si>
  <si>
    <t>购买次数</t>
  </si>
  <si>
    <t>物品ID</t>
  </si>
  <si>
    <t>总价值</t>
  </si>
  <si>
    <t>折扣配置</t>
  </si>
  <si>
    <t>免费体力</t>
  </si>
  <si>
    <t>[{13,10}]</t>
  </si>
  <si>
    <t>[{13,60}]</t>
  </si>
  <si>
    <t>[{1,96}]</t>
  </si>
  <si>
    <t>[{2,5000}]</t>
  </si>
  <si>
    <t>[{1,125}]</t>
  </si>
  <si>
    <t>5折</t>
  </si>
  <si>
    <t>删除</t>
  </si>
  <si>
    <t>招募令</t>
  </si>
  <si>
    <t>[{11,20}]</t>
  </si>
  <si>
    <t>[{1,480}]</t>
  </si>
  <si>
    <t>[{5103001,400}]</t>
  </si>
  <si>
    <t>[{1,200}]</t>
  </si>
  <si>
    <t>[{5104001,200}]</t>
  </si>
  <si>
    <t>[{50002,100}]</t>
  </si>
  <si>
    <t>[{1,240}]</t>
  </si>
  <si>
    <t>[{30,2}]</t>
  </si>
  <si>
    <t>[{1,392}]</t>
  </si>
  <si>
    <t>7折</t>
  </si>
  <si>
    <t>[{30,5}]</t>
  </si>
  <si>
    <t>[{1,840}]</t>
  </si>
  <si>
    <t>[{5303001,50}]</t>
  </si>
  <si>
    <t>[{1,225}]</t>
  </si>
  <si>
    <t>9折</t>
  </si>
  <si>
    <t>[{5203001,100}]</t>
  </si>
  <si>
    <t>[{1,210}]</t>
  </si>
  <si>
    <t>[{50001,500}]</t>
  </si>
  <si>
    <t>[{1,300}]</t>
  </si>
  <si>
    <t>[{5305001,6}]</t>
  </si>
  <si>
    <t>[{1,216}]</t>
  </si>
  <si>
    <t>[{5523001,1000}]</t>
  </si>
  <si>
    <t>[{1,198}]</t>
  </si>
  <si>
    <t>[{1,84}]</t>
  </si>
  <si>
    <t>[{2,10000}]</t>
  </si>
  <si>
    <t>4折</t>
  </si>
  <si>
    <t>[{11,50}]</t>
  </si>
  <si>
    <t>[{1,1050}]</t>
  </si>
  <si>
    <t>[{11,100}]</t>
  </si>
  <si>
    <t>[{1,1800}]</t>
  </si>
  <si>
    <t>[{5104001,400}]</t>
  </si>
  <si>
    <t>[{1,320}]</t>
  </si>
  <si>
    <t>[{50002,200}]</t>
  </si>
  <si>
    <t>[{1,360}]</t>
  </si>
  <si>
    <t>[{30,10}]</t>
  </si>
  <si>
    <t>[{1,1400}]</t>
  </si>
  <si>
    <t>[{30,20}]</t>
  </si>
  <si>
    <t>[{1,2240}]</t>
  </si>
  <si>
    <t>[{5303001,100}]</t>
  </si>
  <si>
    <t>[{1,400}]</t>
  </si>
  <si>
    <t>[{5305001,12}]</t>
  </si>
  <si>
    <t>[{5203001,200}]</t>
  </si>
  <si>
    <t>[{5204001,24}]</t>
  </si>
  <si>
    <t>梦境衣橱盒</t>
  </si>
  <si>
    <t>[{100009,1}]</t>
  </si>
  <si>
    <t>[{1,980}]</t>
  </si>
  <si>
    <t>1折</t>
  </si>
  <si>
    <t>[{5523001,3000}]</t>
  </si>
  <si>
    <t>[{1,500}]</t>
  </si>
  <si>
    <t>[{1,750}]</t>
  </si>
  <si>
    <t>[{11,200}]</t>
  </si>
  <si>
    <t>[{1,3300}]</t>
  </si>
  <si>
    <t>[{5104001,1000}]</t>
  </si>
  <si>
    <t>[{1,600}]</t>
  </si>
  <si>
    <t>3折</t>
  </si>
  <si>
    <t>[{50002,400}]</t>
  </si>
  <si>
    <t>[{5305001,30}]</t>
  </si>
  <si>
    <t>[{1,900}]</t>
  </si>
  <si>
    <t>[{5305001,130}]</t>
  </si>
  <si>
    <t>[{1,3120}]</t>
  </si>
  <si>
    <t>[{100008,1}]</t>
  </si>
  <si>
    <t>[{1,3280}]</t>
  </si>
  <si>
    <t>[{30,40}]</t>
  </si>
  <si>
    <t>[{1,4480}]</t>
  </si>
  <si>
    <t>[{5305000,1}]</t>
  </si>
  <si>
    <t>[{1,1380}]</t>
  </si>
  <si>
    <t>[{5306000,1}]</t>
  </si>
  <si>
    <t>[{1,6480}]</t>
  </si>
  <si>
    <t>[{5523001,10000}]</t>
  </si>
  <si>
    <t>[{1,1320}]</t>
  </si>
  <si>
    <t>前期先不开放永久卡</t>
  </si>
  <si>
    <t>双月卡区分权限：特权卡+扫荡卡，且双卡都能每日领取资源</t>
  </si>
  <si>
    <t>有月度双卡共鸣效果，进一步给出钩子</t>
  </si>
  <si>
    <t>付费性价比</t>
  </si>
  <si>
    <t>招募券</t>
  </si>
  <si>
    <t>月卡特权</t>
  </si>
  <si>
    <t>月卡类型</t>
  </si>
  <si>
    <t>特权</t>
  </si>
  <si>
    <t>购买即得</t>
  </si>
  <si>
    <t>每日福利</t>
  </si>
  <si>
    <t>购买价格/人民币</t>
  </si>
  <si>
    <t>每日奖励</t>
  </si>
  <si>
    <t>特权月卡</t>
  </si>
  <si>
    <t>特权无限次数使用</t>
  </si>
  <si>
    <t>梦境招募卷*10</t>
  </si>
  <si>
    <t>60钻石+30体力</t>
  </si>
  <si>
    <t>体力上限+20</t>
  </si>
  <si>
    <t>商店刷新次数+3</t>
  </si>
  <si>
    <t>福利月卡</t>
  </si>
  <si>
    <t>快速扫荡不限次数</t>
  </si>
  <si>
    <t>梦境招募卷*20</t>
  </si>
  <si>
    <t>100钻石+抽奖券*10</t>
  </si>
  <si>
    <t>已通关主线2倍速</t>
  </si>
  <si>
    <t>挂机时间+4小时，收益+30%</t>
  </si>
  <si>
    <t>双卡共鸣</t>
  </si>
  <si>
    <t>方案id</t>
  </si>
  <si>
    <t>登录天</t>
  </si>
  <si>
    <t>免费奖励</t>
  </si>
  <si>
    <t>免费数量</t>
  </si>
  <si>
    <t>付费奖励</t>
  </si>
  <si>
    <t>付费数量</t>
  </si>
  <si>
    <t>免费奖励2</t>
  </si>
  <si>
    <t>付费奖励2</t>
  </si>
  <si>
    <t>累计性价比</t>
  </si>
  <si>
    <t>10</t>
  </si>
  <si>
    <t>50</t>
  </si>
  <si>
    <t>1</t>
  </si>
  <si>
    <t>5</t>
  </si>
  <si>
    <t>活动性价比</t>
  </si>
  <si>
    <t>活动占比</t>
  </si>
  <si>
    <t>总性价比</t>
  </si>
  <si>
    <t>免费档</t>
  </si>
  <si>
    <t>25元档</t>
  </si>
  <si>
    <t>68元档</t>
  </si>
  <si>
    <t>基金1</t>
  </si>
  <si>
    <t>基金2</t>
  </si>
  <si>
    <t>配置</t>
  </si>
  <si>
    <t>道具1价值</t>
  </si>
  <si>
    <t>售价</t>
  </si>
  <si>
    <t>返利比</t>
  </si>
  <si>
    <t>基础奖励</t>
  </si>
  <si>
    <t>高级奖励</t>
  </si>
  <si>
    <t>章节</t>
  </si>
  <si>
    <t>物品类型</t>
  </si>
  <si>
    <t>物品类型2</t>
  </si>
  <si>
    <t>数量2</t>
  </si>
  <si>
    <t>价值2</t>
  </si>
  <si>
    <t>蔚蓝参考</t>
  </si>
  <si>
    <t>关卡条件</t>
  </si>
  <si>
    <t>预期抽数</t>
  </si>
  <si>
    <t>抽卡进度</t>
  </si>
  <si>
    <t>主线章节</t>
  </si>
  <si>
    <t>已通关玩家数</t>
  </si>
  <si>
    <t>首通时对应累抽数</t>
  </si>
  <si>
    <t>首通时对应基因进度</t>
  </si>
  <si>
    <t>首通时对应主角等级</t>
  </si>
  <si>
    <t>中位数</t>
  </si>
  <si>
    <t>前25分位</t>
  </si>
  <si>
    <t>极值</t>
  </si>
  <si>
    <t>礼包内容</t>
  </si>
  <si>
    <t>免费礼包</t>
  </si>
  <si>
    <t>1元礼包</t>
  </si>
  <si>
    <t>6元礼包</t>
  </si>
  <si>
    <t>18元礼包</t>
  </si>
  <si>
    <t>礼包id</t>
  </si>
  <si>
    <t>礼包类型</t>
  </si>
  <si>
    <t>购买消耗</t>
  </si>
  <si>
    <t>描述</t>
  </si>
  <si>
    <t>超值数值</t>
  </si>
  <si>
    <t>触发条件</t>
  </si>
  <si>
    <t>奖励列表</t>
  </si>
  <si>
    <t>[{1,680}]</t>
  </si>
  <si>
    <t>梦泊远航</t>
  </si>
  <si>
    <t>[{11,30},{5104001,400},{50026,120}]</t>
  </si>
  <si>
    <t>船长幻想</t>
  </si>
  <si>
    <t>[{100009,1},{5104001,600},{50026,200}]</t>
  </si>
  <si>
    <t>海誓蓝梦</t>
  </si>
  <si>
    <t>[{11,50},{5104001,800},{50026,240}]</t>
  </si>
  <si>
    <t>[{1,1280}]</t>
  </si>
  <si>
    <t>码头梦启</t>
  </si>
  <si>
    <t>[{11,80},{5104001,1000},{50026,280}]</t>
  </si>
  <si>
    <t>[{1,1680}]</t>
  </si>
  <si>
    <t>梦港归帆</t>
  </si>
  <si>
    <t>[{11,100},{5104001,1200},{50026,350}]</t>
  </si>
  <si>
    <t>航梦无涯</t>
  </si>
  <si>
    <t>[{30,20},{5305001,6},{50026,400}]</t>
  </si>
  <si>
    <t>[{1,1980}]</t>
  </si>
  <si>
    <t>孤独童心</t>
  </si>
  <si>
    <t>[{5305000,1},{5305001,12},{50026,500}]</t>
  </si>
  <si>
    <t>[{5305000,2},{5305001,24},{50026,600}]</t>
  </si>
  <si>
    <t>[{5306000,1},{5104001,2000},{50026,1200}]</t>
  </si>
  <si>
    <t>抽卡道具</t>
  </si>
  <si>
    <t>祈福石</t>
  </si>
  <si>
    <t>祈福石价值</t>
  </si>
  <si>
    <t>单抽价值</t>
  </si>
  <si>
    <t>20~22天</t>
  </si>
  <si>
    <t>主角时装</t>
  </si>
  <si>
    <t>单抽返利比</t>
  </si>
  <si>
    <t>主角武器</t>
  </si>
  <si>
    <t>单轮抽奖时，X抽有对应的消耗数值。第1抽消耗1个抽卡道具，第3抽消耗2个抽卡道具</t>
  </si>
  <si>
    <t>自选宝箱</t>
  </si>
  <si>
    <t>试炼宝箱</t>
  </si>
  <si>
    <t>权重</t>
  </si>
  <si>
    <t>前N次必不出</t>
  </si>
  <si>
    <t>层数</t>
  </si>
  <si>
    <t>第一层</t>
  </si>
  <si>
    <t>（后羿、诸葛、海拉）</t>
  </si>
  <si>
    <t>第二层</t>
  </si>
  <si>
    <t>第三层</t>
  </si>
  <si>
    <t>自选</t>
  </si>
  <si>
    <t>第四层</t>
  </si>
  <si>
    <t>权重一样</t>
  </si>
  <si>
    <t>后羿</t>
  </si>
  <si>
    <t>诸葛</t>
  </si>
  <si>
    <t>单轮总价值</t>
  </si>
  <si>
    <t>注意</t>
  </si>
  <si>
    <t>保底内容：第四抽必定获得第二层奖励</t>
  </si>
  <si>
    <t>如果在1-3抽已经获得第二层奖励，则该判断该保底已经生效过，第四抽不生效</t>
  </si>
  <si>
    <t>商店数值</t>
  </si>
  <si>
    <t>任务数值</t>
  </si>
  <si>
    <t>仅统计活动期</t>
  </si>
  <si>
    <t>任务汇总</t>
  </si>
  <si>
    <t>刷新频率</t>
  </si>
  <si>
    <t>任务类型</t>
  </si>
  <si>
    <t>奖励内容</t>
  </si>
  <si>
    <t>奖励数量</t>
  </si>
  <si>
    <t>奖励价值</t>
  </si>
  <si>
    <t>红卡皮肤抽奖-划断</t>
  </si>
  <si>
    <t>日常</t>
  </si>
  <si>
    <t>每日刷新</t>
  </si>
  <si>
    <t>每日登录游戏</t>
  </si>
  <si>
    <t>1、开服天数≥20天的，开服时间为0318-0321，自然日：4.9-4.11开启</t>
  </si>
  <si>
    <t>核心循环</t>
  </si>
  <si>
    <t>一次性</t>
  </si>
  <si>
    <t>竞技场挑战次数</t>
  </si>
  <si>
    <t>2、开服天数＜20天的，开始时间在0322及以后的，开服20-22天开启</t>
  </si>
  <si>
    <t>当期消耗</t>
  </si>
  <si>
    <t>秘宝等级达到</t>
  </si>
  <si>
    <t>合作本挑战</t>
  </si>
  <si>
    <t>礼包名称</t>
  </si>
  <si>
    <t>价格（人民币）</t>
  </si>
  <si>
    <t>限购次数</t>
  </si>
  <si>
    <t>12元礼包</t>
  </si>
  <si>
    <t>30元礼包</t>
  </si>
  <si>
    <t>98元礼包</t>
  </si>
  <si>
    <t>单轮第X抽</t>
  </si>
  <si>
    <t>第1轮</t>
  </si>
  <si>
    <t>第2轮</t>
  </si>
  <si>
    <t>第3轮</t>
  </si>
  <si>
    <t>第4轮</t>
  </si>
  <si>
    <t>第5轮</t>
  </si>
  <si>
    <t>第6轮</t>
  </si>
  <si>
    <t>第7轮</t>
  </si>
  <si>
    <t>签到数值</t>
  </si>
  <si>
    <t>投入渠道</t>
  </si>
  <si>
    <t>获得门槛（品牌定）</t>
  </si>
  <si>
    <t>奖品</t>
  </si>
  <si>
    <t>图标</t>
  </si>
  <si>
    <t>解锁-通关</t>
  </si>
  <si>
    <t>触发标题</t>
  </si>
  <si>
    <t>仅送</t>
  </si>
  <si>
    <t>触发朋友圈</t>
  </si>
  <si>
    <t>全平台里程碑奖励</t>
  </si>
  <si>
    <t>20w</t>
  </si>
  <si>
    <t>体力*30、超能特饮*100、装备图纸*60</t>
  </si>
  <si>
    <t>20万预约礼</t>
  </si>
  <si>
    <t>装备图纸*60</t>
  </si>
  <si>
    <t>诶呀，不小心偶遇了大家期待已久的小队长！不用太羡慕我的运气哟~</t>
  </si>
  <si>
    <t>50w</t>
  </si>
  <si>
    <r>
      <rPr>
        <b/>
        <sz val="10"/>
        <color rgb="FFC00000"/>
        <rFont val="宋体"/>
        <charset val="134"/>
      </rPr>
      <t>预约专属头像框、</t>
    </r>
    <r>
      <rPr>
        <sz val="10"/>
        <color rgb="FF000000"/>
        <rFont val="宋体"/>
        <charset val="134"/>
      </rPr>
      <t>星之初愿*5、梦境招募器*20</t>
    </r>
  </si>
  <si>
    <t>50万预约礼</t>
  </si>
  <si>
    <t>星之初愿*5</t>
  </si>
  <si>
    <t>今天心情好，咨询打八折。</t>
  </si>
  <si>
    <t>100w</t>
  </si>
  <si>
    <t>随机史诗符文*1、星辉秘契*1、符引结晶*50</t>
  </si>
  <si>
    <t>100万预约礼</t>
  </si>
  <si>
    <t>给今天下单的朋友抱拳了！骑手之神也找不到路在何方！但顺利的话，今后或许可以开启顺风车副业……</t>
  </si>
  <si>
    <t>120w</t>
  </si>
  <si>
    <r>
      <rPr>
        <b/>
        <sz val="10"/>
        <color rgb="FFC00000"/>
        <rFont val="宋体"/>
        <charset val="134"/>
      </rPr>
      <t>预约专属称号、</t>
    </r>
    <r>
      <rPr>
        <sz val="10"/>
        <color rgb="FF000000"/>
        <rFont val="宋体"/>
        <charset val="134"/>
      </rPr>
      <t>幻梦晶核*6、梦境招募器*30</t>
    </r>
  </si>
  <si>
    <t>150万预约礼</t>
  </si>
  <si>
    <t>就算在太空里休息也有创意产出，这就是专业模特的职业素养！下一季的秀场通告，又会有值得期待的时尚新突破哟~</t>
  </si>
  <si>
    <t>150w</t>
  </si>
  <si>
    <r>
      <rPr>
        <b/>
        <sz val="10"/>
        <color rgb="FFC00000"/>
        <rFont val="宋体"/>
        <charset val="134"/>
      </rPr>
      <t>梦境衣橱礼包</t>
    </r>
    <r>
      <rPr>
        <sz val="10"/>
        <color rgb="FF000000"/>
        <rFont val="宋体"/>
        <charset val="134"/>
      </rPr>
      <t>、随机传说符文*1、星辉秘契*1</t>
    </r>
  </si>
  <si>
    <t>200万预约礼</t>
  </si>
  <si>
    <t>有认识卖地图的吗？</t>
  </si>
  <si>
    <t>开服第1~7天</t>
  </si>
  <si>
    <t>朋友圈</t>
  </si>
  <si>
    <t>第1天</t>
  </si>
  <si>
    <t>第2天</t>
  </si>
  <si>
    <t>去掉此任务</t>
  </si>
  <si>
    <t>通关10关</t>
  </si>
  <si>
    <t>组队</t>
  </si>
  <si>
    <t>第3天</t>
  </si>
  <si>
    <t>组队本首次获得SS评分</t>
  </si>
  <si>
    <t>组队本装备宝箱</t>
  </si>
  <si>
    <t>组队本符文宝箱</t>
  </si>
  <si>
    <t>第4天</t>
  </si>
  <si>
    <t>3星通关20关</t>
  </si>
  <si>
    <t>装备洗炼石</t>
  </si>
  <si>
    <t>深夜订单</t>
  </si>
  <si>
    <t>唉……看来以后的深夜单有必要问清楚，是不是需要避开父母的清醒时间送达……</t>
  </si>
  <si>
    <t>第5天</t>
  </si>
  <si>
    <t>首个橙卡5级</t>
  </si>
  <si>
    <t>梦灵获取</t>
  </si>
  <si>
    <t>有点苦恼呢</t>
  </si>
  <si>
    <t>今天的临时助理广受好评哟~想不到我们的小队长还有这个天赋（笑）</t>
  </si>
  <si>
    <t>第6天</t>
  </si>
  <si>
    <t>首个橙卡10级</t>
  </si>
  <si>
    <t>梦灵升星</t>
  </si>
  <si>
    <t>哦？又是你</t>
  </si>
  <si>
    <t>温馨提示：本人动向不在情报咨询范围内，再问涨价。</t>
  </si>
  <si>
    <t>第7天</t>
  </si>
  <si>
    <t>首个红卡5级</t>
  </si>
  <si>
    <t>讨厌的故事会</t>
  </si>
  <si>
    <t>欺诈！赤裸裸的欺诈！说好的温馨故事接龙呢？！到底是从谁开始走歪成灵异故事大会的！</t>
  </si>
  <si>
    <t>第8天</t>
  </si>
  <si>
    <t>首个红卡10级</t>
  </si>
  <si>
    <t>专属应援棒</t>
  </si>
  <si>
    <t>应援棒打call初体验！尝试了之后才发现，原来粉丝们的应援付出了这么多心血……我也得加油，拿出配得上应援的舞台才行呢~</t>
  </si>
  <si>
    <t>第9天</t>
  </si>
  <si>
    <t>电玩城</t>
  </si>
  <si>
    <t>解锁2个大地块</t>
  </si>
  <si>
    <t>首月活动</t>
  </si>
  <si>
    <t>第10天</t>
  </si>
  <si>
    <t>解锁5个大地块</t>
  </si>
  <si>
    <t>第一宇宙头像框</t>
  </si>
  <si>
    <t>校服头饰</t>
  </si>
  <si>
    <t>第11天</t>
  </si>
  <si>
    <t>解锁10个大地块</t>
  </si>
  <si>
    <t>第12天</t>
  </si>
  <si>
    <t>解锁16个大地块</t>
  </si>
  <si>
    <t>校服衣服</t>
  </si>
  <si>
    <t>第13天</t>
  </si>
  <si>
    <t>电影院</t>
  </si>
  <si>
    <t>第二宇宙头像框</t>
  </si>
  <si>
    <t>**引导红色梦灵</t>
  </si>
  <si>
    <t>第15天</t>
  </si>
  <si>
    <t>第16天</t>
  </si>
  <si>
    <t>第17天</t>
  </si>
  <si>
    <t>太空</t>
  </si>
  <si>
    <t>第三宇宙头像框</t>
  </si>
  <si>
    <t>第18天</t>
  </si>
  <si>
    <t>第19天</t>
  </si>
  <si>
    <t>首月头像框</t>
  </si>
  <si>
    <t>第20天</t>
  </si>
  <si>
    <t>梦灵来信</t>
  </si>
  <si>
    <t>登录</t>
  </si>
  <si>
    <t>不要以貌取人</t>
  </si>
  <si>
    <t>白天是个阳光保安，夜里只是个在被窝里给社交电池充电的可怜人……</t>
  </si>
  <si>
    <t>第21天</t>
  </si>
  <si>
    <t>T人？F人？</t>
  </si>
  <si>
    <t>虽然所谓的MBTI人格分类有些太简单，但作为快速定位客人性格的工具而言，还算不错。</t>
  </si>
  <si>
    <t>**引导符文洗练</t>
  </si>
  <si>
    <t>第22天</t>
  </si>
  <si>
    <t>传说心愿石</t>
  </si>
  <si>
    <t>以角色为主体</t>
  </si>
  <si>
    <t>偶像的自觉</t>
  </si>
  <si>
    <t>我可不是跟不上潮流的落后偶像！让我来看看，我是十六人格里的哪一个吧~</t>
  </si>
  <si>
    <t>第23天</t>
  </si>
  <si>
    <t>偶像的MBTI</t>
  </si>
  <si>
    <t>锤子姐……听起来就很适合全开麦唱跳！</t>
  </si>
  <si>
    <t>第24天</t>
  </si>
  <si>
    <t>第30天</t>
  </si>
  <si>
    <t>猜猜看？</t>
  </si>
  <si>
    <t>可恶！队长怎么会一下就能猜出我的MBTI！这不就一点都不好玩了吗？</t>
  </si>
  <si>
    <t>第25天</t>
  </si>
  <si>
    <t>第26天</t>
  </si>
  <si>
    <t>第27天</t>
  </si>
  <si>
    <t>第28天</t>
  </si>
  <si>
    <t>**红色梦灵自选</t>
  </si>
  <si>
    <t>随机神话梦灵（仅作用于15日签到）</t>
  </si>
  <si>
    <t>概率</t>
  </si>
  <si>
    <t>神算诸葛</t>
  </si>
  <si>
    <t>我爱沙</t>
  </si>
  <si>
    <t>妲己</t>
  </si>
  <si>
    <t>地块奖励</t>
  </si>
  <si>
    <t>积分获得</t>
  </si>
  <si>
    <t>首通对应的玩法类型，可获得积分。单关首通指该玩法的某个新关卡被首通时可获得的积分。</t>
  </si>
  <si>
    <t>1、小地块奖励</t>
  </si>
  <si>
    <t>不展示</t>
  </si>
  <si>
    <t>消耗弹出</t>
  </si>
  <si>
    <t>恭喜获得弹窗</t>
  </si>
  <si>
    <t>单关首通可</t>
  </si>
  <si>
    <t>非r前25分数</t>
  </si>
  <si>
    <t>氪佬前25分数</t>
  </si>
  <si>
    <t>2、大地块奖励</t>
  </si>
  <si>
    <t>主线</t>
  </si>
  <si>
    <t>金币本</t>
  </si>
  <si>
    <t>25+25</t>
  </si>
  <si>
    <t>组队本</t>
  </si>
  <si>
    <t>3、关键地块奖励</t>
  </si>
  <si>
    <t>大奖励</t>
  </si>
  <si>
    <t>梦灵事件</t>
  </si>
  <si>
    <t>小地块宝箱</t>
  </si>
  <si>
    <t>节点宝箱</t>
  </si>
  <si>
    <t>每消耗1个积分可激活1个小地块，获得小地块宝箱</t>
  </si>
  <si>
    <t>单个地块累积消耗5积分时会激活该地块，获得大地块宝箱</t>
  </si>
  <si>
    <t>两者不会重复消耗</t>
  </si>
  <si>
    <t>至多可解锁300次小地块，75个大地块</t>
  </si>
  <si>
    <t>超过300后的积分进行投递时只会获得小地块宝箱，但不会有位置移动，且不会再解锁大地块宝箱</t>
  </si>
  <si>
    <t>1、改图标</t>
  </si>
  <si>
    <t>如何强化玩家的目标感</t>
  </si>
  <si>
    <t>告知玩家某个地方有奖励</t>
  </si>
  <si>
    <t>1、奖励放进去</t>
  </si>
  <si>
    <t>大地块宝箱</t>
  </si>
  <si>
    <t>至多可获得75次大地块宝箱，超过75次后再消耗积分时无法获得宝箱</t>
  </si>
  <si>
    <t>2、梦灵事件下调</t>
  </si>
  <si>
    <t>固定在地块10</t>
  </si>
  <si>
    <t>首月活动抽奖券</t>
  </si>
  <si>
    <t>全服进度奖励</t>
  </si>
  <si>
    <t>全服进度宝箱</t>
  </si>
  <si>
    <t>进度</t>
  </si>
  <si>
    <t>宇航员武器</t>
  </si>
  <si>
    <t>导量人数</t>
  </si>
  <si>
    <t>留存参考</t>
  </si>
  <si>
    <t>用户数</t>
  </si>
  <si>
    <t>日产量</t>
  </si>
  <si>
    <t>总产量</t>
  </si>
  <si>
    <t>注水量级</t>
  </si>
  <si>
    <t>奖励档次</t>
  </si>
  <si>
    <t>碎片</t>
  </si>
  <si>
    <t>活跃数</t>
  </si>
  <si>
    <t>产出途径</t>
  </si>
  <si>
    <t>梦灵朋友圈</t>
  </si>
  <si>
    <t>首月签到</t>
  </si>
  <si>
    <t>大地块</t>
  </si>
  <si>
    <t>全服宝箱</t>
  </si>
  <si>
    <t>抽奖池</t>
  </si>
  <si>
    <t>保底</t>
  </si>
  <si>
    <t>期望</t>
  </si>
  <si>
    <t>实际概率</t>
  </si>
  <si>
    <t>概率预览</t>
  </si>
  <si>
    <t>单抽</t>
  </si>
  <si>
    <t>1000抽</t>
  </si>
  <si>
    <t>奖励库</t>
  </si>
  <si>
    <t>实际</t>
  </si>
  <si>
    <t>单抽价格</t>
  </si>
  <si>
    <t>期望数量</t>
  </si>
  <si>
    <t>库id</t>
  </si>
  <si>
    <t>库名称</t>
  </si>
  <si>
    <t>N次必出</t>
  </si>
  <si>
    <t>中后N次必不出</t>
  </si>
  <si>
    <t>抽取概率</t>
  </si>
  <si>
    <t>保底概率</t>
  </si>
  <si>
    <t>期望起抽</t>
  </si>
  <si>
    <t>时装</t>
  </si>
  <si>
    <t>高级抽奖道具</t>
  </si>
  <si>
    <t>代币</t>
  </si>
  <si>
    <t>返比</t>
  </si>
  <si>
    <t>分库权重</t>
  </si>
  <si>
    <t>分库概率</t>
  </si>
  <si>
    <t>总库概率</t>
  </si>
  <si>
    <t>单抽数量</t>
  </si>
  <si>
    <t>活动可获取上限</t>
  </si>
  <si>
    <t>皮肤相关</t>
  </si>
  <si>
    <t>代币相关</t>
  </si>
  <si>
    <t>节点数值</t>
  </si>
  <si>
    <t>抽取次数</t>
  </si>
  <si>
    <t>兑换商店</t>
  </si>
  <si>
    <t>物品名称</t>
  </si>
  <si>
    <t>可兑换次数</t>
  </si>
  <si>
    <t>兑换消耗</t>
  </si>
  <si>
    <t>宇航员套装</t>
  </si>
  <si>
    <t>随机传说秘宝皮肤</t>
  </si>
  <si>
    <t>葫芦秘宝</t>
  </si>
  <si>
    <t>青蛙小兵</t>
  </si>
  <si>
    <t>大份</t>
  </si>
  <si>
    <t>个人进度</t>
  </si>
  <si>
    <t>位置</t>
  </si>
  <si>
    <t>大奖库</t>
  </si>
  <si>
    <t>分库类别</t>
  </si>
  <si>
    <t>801a</t>
  </si>
  <si>
    <t>801b</t>
  </si>
  <si>
    <t xml:space="preserve">     m </t>
  </si>
  <si>
    <t>802b</t>
  </si>
  <si>
    <t>战令数值</t>
  </si>
  <si>
    <t>持续时间</t>
  </si>
  <si>
    <t>21天</t>
  </si>
  <si>
    <t>定价</t>
  </si>
  <si>
    <t>购买等级</t>
  </si>
  <si>
    <t>20天</t>
  </si>
  <si>
    <t>1级</t>
  </si>
  <si>
    <t>50点活跃度</t>
  </si>
  <si>
    <t>25钻</t>
  </si>
  <si>
    <t>免费</t>
  </si>
  <si>
    <t>活跃度要求</t>
  </si>
  <si>
    <t>等级</t>
  </si>
  <si>
    <t>付费产出</t>
  </si>
  <si>
    <t>免费产出</t>
  </si>
  <si>
    <t>次月活动</t>
  </si>
  <si>
    <t>总价值（去除大奖）</t>
  </si>
  <si>
    <t>地块数值</t>
  </si>
  <si>
    <t>大地块解锁奖励</t>
  </si>
  <si>
    <t>75+15</t>
  </si>
  <si>
    <t>积分任务</t>
  </si>
  <si>
    <t>任务持续</t>
  </si>
  <si>
    <t>统计</t>
  </si>
  <si>
    <t>单进度展示</t>
  </si>
  <si>
    <t>任务类别</t>
  </si>
  <si>
    <t>关卡进度</t>
  </si>
  <si>
    <t>奖励谁</t>
  </si>
  <si>
    <t>解锁地块数量</t>
  </si>
  <si>
    <t>主线通关</t>
  </si>
  <si>
    <t>单周循环</t>
  </si>
  <si>
    <t>战令任务</t>
  </si>
  <si>
    <t>周重置</t>
  </si>
  <si>
    <t>组队挑战次数</t>
  </si>
  <si>
    <t>组队协助</t>
  </si>
  <si>
    <t>体力消耗</t>
  </si>
  <si>
    <t>梦境招募</t>
  </si>
  <si>
    <t>竞技场挑战</t>
  </si>
  <si>
    <t>1~7天</t>
  </si>
  <si>
    <t>核心奖励</t>
  </si>
  <si>
    <r>
      <rPr>
        <b/>
        <sz val="10"/>
        <color rgb="FFFF0000"/>
        <rFont val="Helvetica"/>
        <charset val="134"/>
      </rPr>
      <t>随机红卡</t>
    </r>
    <r>
      <rPr>
        <sz val="10"/>
        <color rgb="FF000000"/>
        <rFont val="Helvetica"/>
        <charset val="134"/>
      </rPr>
      <t>，红卡获得需要的招募券数量在系统出第一张红卡之后</t>
    </r>
  </si>
  <si>
    <t>新服收集</t>
  </si>
  <si>
    <t>A_活动收集_activity_collect_data</t>
  </si>
  <si>
    <t>东方不败镭射眼</t>
  </si>
  <si>
    <t>史诗符文自选箱*1</t>
  </si>
  <si>
    <t>全能经验*300</t>
  </si>
  <si>
    <t>#初始送了1500抽</t>
  </si>
  <si>
    <t>消耗招募券数量</t>
  </si>
  <si>
    <t>奖励1</t>
  </si>
  <si>
    <t>数量1</t>
  </si>
  <si>
    <t>奖励2</t>
  </si>
  <si>
    <t>累计抽数</t>
  </si>
  <si>
    <t>招募冲刺/狂欢</t>
  </si>
  <si>
    <t>[{11,5},{5103002,30}]</t>
  </si>
  <si>
    <t>A_活动轮循任务_activity_round_cycle_data</t>
  </si>
  <si>
    <t>A_活动商店_activity_shop_data</t>
  </si>
  <si>
    <t>A_活动任务_activity_tasks_data</t>
  </si>
  <si>
    <t>[{11,10},{5103002,50}]</t>
  </si>
  <si>
    <t>A_活动排行_activity_rank_data</t>
  </si>
  <si>
    <t>梦灵试炼</t>
  </si>
  <si>
    <t>A_活动试炼目标_activity_train_data</t>
  </si>
  <si>
    <t>亚瑟唐小僧</t>
  </si>
  <si>
    <t>全能经验*500</t>
  </si>
  <si>
    <t>（原第3天的限时推送礼包）（蜘蛛ui的那个）</t>
  </si>
  <si>
    <t>[{11,5},{5103002,50}]</t>
  </si>
  <si>
    <t>***钻石</t>
  </si>
  <si>
    <t>[{11,10},{5103002,80}]</t>
  </si>
  <si>
    <t>【蜘蛛女王】、【神灯王子】、【关羽】</t>
  </si>
  <si>
    <t>全能经验*800</t>
  </si>
  <si>
    <t>[{11,15},{5103002,100}]</t>
  </si>
  <si>
    <t>红卡随机</t>
  </si>
  <si>
    <t>传说稀有符文箱</t>
  </si>
  <si>
    <t>全能经验*1000</t>
  </si>
  <si>
    <t>所需抽数</t>
  </si>
  <si>
    <t>[{11,20},{5103002,120}]</t>
  </si>
  <si>
    <t>3000四轮</t>
  </si>
  <si>
    <t>招募狂欢</t>
  </si>
  <si>
    <t>轮次奖励</t>
  </si>
  <si>
    <t>限时奖励</t>
  </si>
  <si>
    <t>开服第8天~第14天</t>
  </si>
  <si>
    <t>轮次</t>
  </si>
  <si>
    <t>第一轮</t>
  </si>
  <si>
    <t>第二轮</t>
  </si>
  <si>
    <t>第三轮</t>
  </si>
  <si>
    <t>第四轮</t>
  </si>
  <si>
    <t>星珀</t>
  </si>
  <si>
    <t>第8轮</t>
  </si>
  <si>
    <t>每日免费礼包</t>
  </si>
  <si>
    <t>钻石礼包</t>
  </si>
  <si>
    <t>排行榜</t>
  </si>
  <si>
    <t>排名</t>
  </si>
  <si>
    <t>4~5</t>
  </si>
  <si>
    <t>6~10</t>
  </si>
  <si>
    <t>11~30</t>
  </si>
  <si>
    <t>31~60</t>
  </si>
  <si>
    <t>61~100</t>
  </si>
  <si>
    <t>101~150</t>
  </si>
  <si>
    <t>151~200</t>
  </si>
  <si>
    <t>201~300</t>
  </si>
  <si>
    <t>301~500</t>
  </si>
  <si>
    <t>第五轮</t>
  </si>
  <si>
    <t>第六轮</t>
  </si>
  <si>
    <t>第七轮</t>
  </si>
  <si>
    <t>第八轮</t>
  </si>
  <si>
    <t>符文主题</t>
  </si>
  <si>
    <t>1分</t>
  </si>
  <si>
    <t>5分</t>
  </si>
  <si>
    <t>轮次数值</t>
  </si>
  <si>
    <t>运营验收</t>
  </si>
  <si>
    <t>✅️</t>
  </si>
  <si>
    <t>任务</t>
  </si>
  <si>
    <t>消耗200体力</t>
  </si>
  <si>
    <t>消耗500体力</t>
  </si>
  <si>
    <t>消耗1000体力</t>
  </si>
  <si>
    <t>参与5次竞技场</t>
  </si>
  <si>
    <t>参与10次竞技场</t>
  </si>
  <si>
    <t>参与20次竞技场</t>
  </si>
  <si>
    <t>展示内容</t>
  </si>
  <si>
    <t>第一格</t>
  </si>
  <si>
    <t>本轮返还奖励</t>
  </si>
  <si>
    <t>第二格</t>
  </si>
  <si>
    <t>排行榜奖励数值</t>
  </si>
  <si>
    <t>第三格</t>
  </si>
  <si>
    <t>下一轮奖励返还奖励</t>
  </si>
  <si>
    <t>排行榜数值</t>
  </si>
  <si>
    <t>神话稀有符文箱</t>
  </si>
  <si>
    <t>红色稀有符文</t>
  </si>
  <si>
    <t>随机稀有符文箱</t>
  </si>
  <si>
    <t>红橙随机稀有符文</t>
  </si>
  <si>
    <t>传说稀有符文</t>
  </si>
  <si>
    <t>8~14天</t>
  </si>
  <si>
    <t>消耗晶石数量</t>
  </si>
  <si>
    <t>晶石礼包</t>
  </si>
  <si>
    <t>累计数量</t>
  </si>
  <si>
    <t>累计花费</t>
  </si>
  <si>
    <t>获取晶石范围</t>
  </si>
  <si>
    <t>240~240</t>
  </si>
  <si>
    <t>188~388</t>
  </si>
  <si>
    <t>680~8800</t>
  </si>
  <si>
    <t>晶石权重</t>
  </si>
  <si>
    <t>冲刺礼包</t>
  </si>
  <si>
    <t>晶石大礼包</t>
  </si>
  <si>
    <t>钻石购买</t>
  </si>
  <si>
    <t>直购</t>
  </si>
  <si>
    <t>限购</t>
  </si>
  <si>
    <t>晶石累产</t>
  </si>
  <si>
    <t>累计消耗</t>
  </si>
  <si>
    <t>RMB</t>
  </si>
  <si>
    <t>秘宝等级</t>
  </si>
  <si>
    <t>秘宝强度/关卡</t>
  </si>
  <si>
    <t>240~360</t>
  </si>
  <si>
    <t>800~1200</t>
  </si>
  <si>
    <t>直购礼包</t>
  </si>
  <si>
    <t>排行榜奖励</t>
  </si>
  <si>
    <t>日常产出</t>
  </si>
  <si>
    <t>产出</t>
  </si>
  <si>
    <t>披风消耗</t>
  </si>
  <si>
    <t>技能升级消耗</t>
  </si>
  <si>
    <t>预期强度</t>
  </si>
  <si>
    <t>任务内容</t>
  </si>
  <si>
    <t>大礼包</t>
  </si>
  <si>
    <t>分解装备50件</t>
  </si>
  <si>
    <t>分解装备100件</t>
  </si>
  <si>
    <t>分解装备200件</t>
  </si>
  <si>
    <t>梦域巡航挑战5次</t>
  </si>
  <si>
    <t>梦域巡航挑战10次</t>
  </si>
  <si>
    <t>梦域巡航挑战15次</t>
  </si>
  <si>
    <t>葫芦娃签到&amp;战令</t>
  </si>
  <si>
    <t>签到</t>
  </si>
  <si>
    <t>葫芦宝箱</t>
  </si>
  <si>
    <t>不放回抽奖，出1个少1个</t>
  </si>
  <si>
    <t>随机主角联动时装</t>
  </si>
  <si>
    <t>妖精哪里跑</t>
  </si>
  <si>
    <t>大娃</t>
  </si>
  <si>
    <t>二娃</t>
  </si>
  <si>
    <t>葫芦种子</t>
  </si>
  <si>
    <t>三娃</t>
  </si>
  <si>
    <t>四娃</t>
  </si>
  <si>
    <t>五娃</t>
  </si>
  <si>
    <t>六娃</t>
  </si>
  <si>
    <t>七娃</t>
  </si>
  <si>
    <t>rmb</t>
  </si>
  <si>
    <t>每级所需活跃度</t>
  </si>
  <si>
    <t>葫芦兑换</t>
  </si>
  <si>
    <t>每消耗10点体力可获得1个葫芦宝箱</t>
  </si>
  <si>
    <t>代币价值</t>
  </si>
  <si>
    <t>总体力极限</t>
  </si>
  <si>
    <t>途径</t>
  </si>
  <si>
    <t>周期</t>
  </si>
  <si>
    <t>每周总产出</t>
  </si>
  <si>
    <t>终生</t>
  </si>
  <si>
    <t>每日回复</t>
  </si>
  <si>
    <t>每日免费</t>
  </si>
  <si>
    <t>能量站</t>
  </si>
  <si>
    <t>宝箱产出</t>
  </si>
  <si>
    <t>葫芦籽</t>
  </si>
  <si>
    <t>每日礼包</t>
  </si>
  <si>
    <t>签到获得</t>
  </si>
  <si>
    <t>战令获得</t>
  </si>
  <si>
    <t>每周礼包</t>
  </si>
  <si>
    <t>月卡</t>
  </si>
  <si>
    <t>每日购买</t>
  </si>
  <si>
    <t>葫芦宝箱数值</t>
  </si>
  <si>
    <t>期望价值</t>
  </si>
  <si>
    <t>成本</t>
  </si>
  <si>
    <t>神山</t>
  </si>
  <si>
    <t>秘宝皮肤</t>
  </si>
  <si>
    <t>减少期数</t>
  </si>
  <si>
    <t>减少总额</t>
  </si>
  <si>
    <t>七彩神山</t>
  </si>
  <si>
    <t>奖池数值</t>
  </si>
  <si>
    <t>任务要求</t>
  </si>
  <si>
    <t>奖励道具</t>
  </si>
  <si>
    <t>每日活跃度达到100</t>
  </si>
  <si>
    <t>七彩连花</t>
  </si>
  <si>
    <t>累积消耗葫芦籽1000</t>
  </si>
  <si>
    <t>活动期</t>
  </si>
  <si>
    <t>累积消耗葫芦籽2000</t>
  </si>
  <si>
    <t>累积消耗葫芦籽3000</t>
  </si>
  <si>
    <t>首发</t>
  </si>
  <si>
    <t>通关第8关</t>
  </si>
  <si>
    <t>联动</t>
  </si>
  <si>
    <t>通关第3关</t>
  </si>
  <si>
    <t>获取条件</t>
  </si>
  <si>
    <t>等级奖励</t>
  </si>
  <si>
    <t>主轴道具</t>
  </si>
  <si>
    <t>填充道具</t>
  </si>
  <si>
    <t>名称</t>
  </si>
  <si>
    <t>预期时间</t>
  </si>
  <si>
    <t>紫卡梦灵</t>
  </si>
  <si>
    <t>橙卡梦灵</t>
  </si>
  <si>
    <t>晶石解锁</t>
  </si>
  <si>
    <t>洗练</t>
  </si>
  <si>
    <t>梦灵冲榜</t>
  </si>
  <si>
    <t>符文冲榜</t>
  </si>
  <si>
    <t>活动预期</t>
  </si>
  <si>
    <t>时装强度</t>
  </si>
  <si>
    <t>推关预期</t>
  </si>
  <si>
    <t>单关价格</t>
  </si>
  <si>
    <t>个人大目标：跑圈获得圈数奖励+兑换商店拿时装大奖，上层到争榜的追求</t>
  </si>
  <si>
    <t>1+1    推3关</t>
  </si>
  <si>
    <t>个人小目标：消耗骰子→走随机事件格子即刻奖励反馈→获得更多的积分和商店兑换券→兑换</t>
  </si>
  <si>
    <t>1+3    推5关</t>
  </si>
  <si>
    <t>个人行为：更快更多地跑圈，用金骰子走快速通道，购买高性价比的商人事件</t>
  </si>
  <si>
    <t>1+5    推10关</t>
  </si>
  <si>
    <t>5+5    推20关</t>
  </si>
  <si>
    <t>公会大目标：公会积分进度追求，上层到争榜的追求</t>
  </si>
  <si>
    <t>公会小目标：进入活跃公会，能够更多人互助（省骰子）、抱大腿（大佬发公会好礼，拿骰子），个人跑得更快</t>
  </si>
  <si>
    <t>公会大佬目标：争榜（实力认证）、给全盟发福利（荣誉性）、有冗余的金骰子拿来踩公会花田（造福公会向）</t>
  </si>
  <si>
    <t>个人即可参与，但加入公会奖励更进一步，更强调集体利益而非集体对抗</t>
  </si>
  <si>
    <t>大富翁规划</t>
  </si>
  <si>
    <t>开启节奏</t>
  </si>
  <si>
    <t>内容</t>
  </si>
  <si>
    <t>1~14</t>
  </si>
  <si>
    <t>15~999</t>
  </si>
  <si>
    <t>签到、大富翁</t>
  </si>
  <si>
    <t>基础内容</t>
  </si>
  <si>
    <t>参数</t>
  </si>
  <si>
    <t>预期</t>
  </si>
  <si>
    <t>骰子定价</t>
  </si>
  <si>
    <t>骰子恢复上限</t>
  </si>
  <si>
    <t>x</t>
  </si>
  <si>
    <t>骰子上限</t>
  </si>
  <si>
    <t>骰子恢复</t>
  </si>
  <si>
    <t>每天3次恢复时间点</t>
  </si>
  <si>
    <t>战令付费buff</t>
  </si>
  <si>
    <t>骰子恢复上限+20</t>
  </si>
  <si>
    <t>#这里调好核心产出体验，匹配目标用户和目标金额</t>
  </si>
  <si>
    <t>每日次数（预期）</t>
  </si>
  <si>
    <t>每日骰子</t>
  </si>
  <si>
    <t>每日钻石</t>
  </si>
  <si>
    <t>每日RMB</t>
  </si>
  <si>
    <t>骰子</t>
  </si>
  <si>
    <t>点数1-6</t>
  </si>
  <si>
    <t>每日0点过期，每消耗x个骰子可获得一个金骰子</t>
  </si>
  <si>
    <t>四卡</t>
  </si>
  <si>
    <t>不过期</t>
  </si>
  <si>
    <t>每日次数</t>
  </si>
  <si>
    <t>单次骰子</t>
  </si>
  <si>
    <t>钻石性价比</t>
  </si>
  <si>
    <t>RMB性价比</t>
  </si>
  <si>
    <t>创号初始</t>
  </si>
  <si>
    <t>骰子恢复/小时</t>
  </si>
  <si>
    <t>每日任务</t>
  </si>
  <si>
    <t>公会分享</t>
  </si>
  <si>
    <t>战令购买</t>
  </si>
  <si>
    <t>直购98礼包</t>
  </si>
  <si>
    <t>时装馈赠</t>
  </si>
  <si>
    <t>直购钻石礼包</t>
  </si>
  <si>
    <t>每日购买骰子</t>
  </si>
  <si>
    <t>直购328礼包</t>
  </si>
  <si>
    <t>热卖礼包</t>
  </si>
  <si>
    <t>钻石消耗</t>
  </si>
  <si>
    <t>热卖商店</t>
  </si>
  <si>
    <t>rmb直购</t>
  </si>
  <si>
    <t>骰子 + 兑换券</t>
  </si>
  <si>
    <t>战令等级</t>
  </si>
  <si>
    <t>付费奖励1</t>
  </si>
  <si>
    <t>数量3</t>
  </si>
  <si>
    <t>按照获取积分做触发器</t>
  </si>
  <si>
    <t>免费线</t>
  </si>
  <si>
    <t>养成道具+骰子</t>
  </si>
  <si>
    <t>付费线</t>
  </si>
  <si>
    <t>骰子+金骰子</t>
  </si>
  <si>
    <t>付费buff</t>
  </si>
  <si>
    <t>体力上限+x</t>
  </si>
  <si>
    <t>金骰子规划</t>
  </si>
  <si>
    <t>每日金骰子</t>
  </si>
  <si>
    <t>花田</t>
  </si>
  <si>
    <t>商人购买</t>
  </si>
  <si>
    <t>98礼包</t>
  </si>
  <si>
    <t>328礼包</t>
  </si>
  <si>
    <t>荣誉展示</t>
  </si>
  <si>
    <t>馈赠</t>
  </si>
  <si>
    <t>持有星航/神秘衣服的玩家，每日登录可获得2骰子</t>
  </si>
  <si>
    <t>公会好礼</t>
  </si>
  <si>
    <t>公会每人可获得2骰子</t>
  </si>
  <si>
    <t>公会好礼上限</t>
  </si>
  <si>
    <t>公会每人每天至多获得公会好礼的10个骰子</t>
  </si>
  <si>
    <t>玩法奖励数值</t>
  </si>
  <si>
    <t>把控奖励的画面，做好占比、每个产出的定位体验</t>
  </si>
  <si>
    <t>玩法总产出</t>
  </si>
  <si>
    <t>子类别</t>
  </si>
  <si>
    <t>预期价值</t>
  </si>
  <si>
    <t>预期次数</t>
  </si>
  <si>
    <t>积分奖励</t>
  </si>
  <si>
    <t>装备强化书</t>
  </si>
  <si>
    <t>大富翁玩法</t>
  </si>
  <si>
    <t>神秘商人</t>
  </si>
  <si>
    <t>公会花田</t>
  </si>
  <si>
    <t>挑战事件</t>
  </si>
  <si>
    <t>普通增益</t>
  </si>
  <si>
    <t>高级增益</t>
  </si>
  <si>
    <t>快速通道</t>
  </si>
  <si>
    <t>外围玩法</t>
  </si>
  <si>
    <t>任务奖励</t>
  </si>
  <si>
    <t>进度奖励</t>
  </si>
  <si>
    <t>战令奖励</t>
  </si>
  <si>
    <t>事件数值</t>
  </si>
  <si>
    <t>事件</t>
  </si>
  <si>
    <t>所有事件固定产出格式：积分 + 兑换券 + 事件奖励（养成材料）</t>
  </si>
  <si>
    <t>快速通道奖励</t>
  </si>
  <si>
    <t>高品质养成材料</t>
  </si>
  <si>
    <t>商人-钻消（同屏3档）</t>
  </si>
  <si>
    <t>养成材料 + 金骰子 + 宝箱（概率出成品神探）</t>
  </si>
  <si>
    <t>高档位商人购买后给全公会发放公会好礼（大佬荣誉）</t>
  </si>
  <si>
    <t>挑战格子（怪物/陷阱随机）</t>
  </si>
  <si>
    <t>怪物</t>
  </si>
  <si>
    <t>分品质（至多3个），分别需要消耗不同数量的骰子</t>
  </si>
  <si>
    <t>陷阱</t>
  </si>
  <si>
    <t>求助 / 消耗x骰子</t>
  </si>
  <si>
    <t>普通增益（道具宝箱/buff）</t>
  </si>
  <si>
    <t>中品质养成材料</t>
  </si>
  <si>
    <t>高级增益（道具宝箱/buff）</t>
  </si>
  <si>
    <t>公会花田（2个，踩上浇水)</t>
  </si>
  <si>
    <t>每次浇水奖励</t>
  </si>
  <si>
    <t>浇水等级进度奖励</t>
  </si>
  <si>
    <t>圈数奖励，养成材料道具</t>
  </si>
  <si>
    <t>圈数节点，穿插加成buff（兑换券获取效率+x%、积分获取效率+x%）</t>
  </si>
  <si>
    <t>公会进度</t>
  </si>
  <si>
    <t>积分进度</t>
  </si>
  <si>
    <t>积分定价</t>
  </si>
  <si>
    <t>金骰子价值</t>
  </si>
  <si>
    <t>通道路径1</t>
  </si>
  <si>
    <t>通道路径2</t>
  </si>
  <si>
    <t>通道路径3</t>
  </si>
  <si>
    <t>快速通道类型</t>
  </si>
  <si>
    <t>道具奖励1</t>
  </si>
  <si>
    <t>道具数量1</t>
  </si>
  <si>
    <t>道具奖励2</t>
  </si>
  <si>
    <t>道具数量2</t>
  </si>
  <si>
    <t>道具奖励3</t>
  </si>
  <si>
    <t>道具数量3</t>
  </si>
  <si>
    <t>道具数量4</t>
  </si>
  <si>
    <t>道具奖励4</t>
  </si>
  <si>
    <t>道具数量5</t>
  </si>
  <si>
    <t>道具奖励5</t>
  </si>
  <si>
    <t>钻石通道</t>
  </si>
  <si>
    <t>商人类型</t>
  </si>
  <si>
    <t>公会礼包</t>
  </si>
  <si>
    <t>钻石价格</t>
  </si>
  <si>
    <t>RMB价格</t>
  </si>
  <si>
    <t>骰子性价比</t>
  </si>
  <si>
    <t>商人豪礼</t>
  </si>
  <si>
    <t>道具1</t>
  </si>
  <si>
    <t>钻石商人</t>
  </si>
  <si>
    <t>免费商人</t>
  </si>
  <si>
    <t>事件类型</t>
  </si>
  <si>
    <t>事件ID</t>
  </si>
  <si>
    <t>奖励组权重</t>
  </si>
  <si>
    <t>奖励组id</t>
  </si>
  <si>
    <t>积分产出</t>
  </si>
  <si>
    <t>低级怪物</t>
  </si>
  <si>
    <t>中级怪物</t>
  </si>
  <si>
    <t>花田奖励</t>
  </si>
  <si>
    <t>额外获得随机buff</t>
  </si>
  <si>
    <t>起点</t>
  </si>
  <si>
    <t>空事件</t>
  </si>
  <si>
    <t>奖励组</t>
  </si>
  <si>
    <t>buff类型</t>
  </si>
  <si>
    <t>buff词条</t>
  </si>
  <si>
    <t>公会建筑</t>
  </si>
  <si>
    <t>buff加成</t>
  </si>
  <si>
    <t>升级经验</t>
  </si>
  <si>
    <t>次数</t>
  </si>
  <si>
    <t>无视下一次陷阱事件</t>
  </si>
  <si>
    <t>下一次敌人事件的奖励翻倍</t>
  </si>
  <si>
    <t>积分加成10%</t>
  </si>
  <si>
    <t>兑换券*500</t>
  </si>
  <si>
    <t>下一次高级增益奖励翻倍（分数和积分也翻倍）</t>
  </si>
  <si>
    <t>积分加成20%</t>
  </si>
  <si>
    <t>下一次到达花田事件时获得双倍的花田进度和停留奖励</t>
  </si>
  <si>
    <t>积分加成30%</t>
  </si>
  <si>
    <t>下一次普通增益奖励翻倍</t>
  </si>
  <si>
    <t>立刻生效</t>
  </si>
  <si>
    <t>获得100游园兑换券和200游园积分</t>
  </si>
  <si>
    <t>获得1枚金骰子</t>
  </si>
  <si>
    <t>获得5个骰子</t>
  </si>
  <si>
    <t>获得2个骰子</t>
  </si>
  <si>
    <t>获得1个骰子</t>
  </si>
  <si>
    <t>花田进度奖励</t>
  </si>
  <si>
    <t>个人任务</t>
  </si>
  <si>
    <t>总计60抽</t>
  </si>
  <si>
    <t>任务ID</t>
  </si>
  <si>
    <t>任务次数</t>
  </si>
  <si>
    <t>总数</t>
  </si>
  <si>
    <t>每日登录</t>
  </si>
  <si>
    <t>主线挑战</t>
  </si>
  <si>
    <t>公会boss挑战</t>
  </si>
  <si>
    <t>消耗抽奖券</t>
  </si>
  <si>
    <t>消耗体力</t>
  </si>
  <si>
    <t>消耗钻石</t>
  </si>
  <si>
    <t>排行数值</t>
  </si>
  <si>
    <t>个人排行榜</t>
  </si>
  <si>
    <t>积分排名</t>
  </si>
  <si>
    <t>公会排行榜</t>
  </si>
  <si>
    <t>公会积分排名</t>
  </si>
  <si>
    <t>预期排名</t>
  </si>
  <si>
    <t>个人排行</t>
  </si>
  <si>
    <t>公会排行</t>
  </si>
  <si>
    <t>最大名次</t>
  </si>
  <si>
    <t>最小名次</t>
  </si>
  <si>
    <t>奖励内容1</t>
  </si>
  <si>
    <t>奖励数量1</t>
  </si>
  <si>
    <t>奖励内容2</t>
  </si>
  <si>
    <t>奖励数量2</t>
  </si>
  <si>
    <t>奖励内容3</t>
  </si>
  <si>
    <t>奖励数量3</t>
  </si>
  <si>
    <t>奖励内容4</t>
  </si>
  <si>
    <t>奖励数量4</t>
  </si>
  <si>
    <t>奖励内容5</t>
  </si>
  <si>
    <t>奖励数量5</t>
  </si>
  <si>
    <t>称号1</t>
  </si>
  <si>
    <t>称号2</t>
  </si>
  <si>
    <t>称号3</t>
  </si>
  <si>
    <t>奖励内容6</t>
  </si>
  <si>
    <t>奖励数量6</t>
  </si>
  <si>
    <t>圈数</t>
  </si>
  <si>
    <t>buff</t>
  </si>
  <si>
    <t>返利</t>
  </si>
  <si>
    <t>嘉年华兑换券</t>
  </si>
  <si>
    <t>兑换券产出+5%</t>
  </si>
  <si>
    <t>非R极限</t>
  </si>
  <si>
    <t>小R极限</t>
  </si>
  <si>
    <t>中R极限</t>
  </si>
  <si>
    <t>大R极限</t>
  </si>
  <si>
    <t>3层，获取/消耗 x积分后可进入下一层商店</t>
  </si>
  <si>
    <t>低级 / 中级 / 高级</t>
  </si>
  <si>
    <t>预期积分</t>
  </si>
  <si>
    <t>积分商店</t>
  </si>
  <si>
    <t>奖品定位</t>
  </si>
  <si>
    <t>限购类型</t>
  </si>
  <si>
    <t>预期折扣</t>
  </si>
  <si>
    <t>限购数量</t>
  </si>
  <si>
    <t>开启条件</t>
  </si>
  <si>
    <t>进入下层条件</t>
  </si>
  <si>
    <t>列12</t>
  </si>
  <si>
    <t>列2</t>
  </si>
  <si>
    <t>高级</t>
  </si>
  <si>
    <t>传说城墙皮肤</t>
  </si>
  <si>
    <t>中级</t>
  </si>
  <si>
    <t>&gt;28天</t>
  </si>
  <si>
    <t>零件核心</t>
  </si>
  <si>
    <t>创世零件</t>
  </si>
  <si>
    <t>初级</t>
  </si>
  <si>
    <t>神话零件</t>
  </si>
  <si>
    <t>三冲榜材料</t>
  </si>
  <si>
    <t>VBA模拟</t>
  </si>
  <si>
    <t>#调整事件数量比例观察反馈</t>
  </si>
  <si>
    <t>事件返利</t>
  </si>
  <si>
    <t>事件数量</t>
  </si>
  <si>
    <t>事件权重</t>
  </si>
  <si>
    <t>事件价值</t>
  </si>
  <si>
    <t>单次事件价值</t>
  </si>
  <si>
    <t>用户层级</t>
  </si>
  <si>
    <t>预期天数</t>
  </si>
  <si>
    <t>庆典烟花产出</t>
  </si>
  <si>
    <t>掉落库产出</t>
  </si>
  <si>
    <t>庆典烟花</t>
  </si>
  <si>
    <t>产出上限</t>
  </si>
  <si>
    <t>庆典烟花回收</t>
  </si>
  <si>
    <t>100金币*1</t>
  </si>
  <si>
    <t>庆典烟花宝箱</t>
  </si>
  <si>
    <t>宝箱数量</t>
  </si>
  <si>
    <t>全服进度</t>
  </si>
  <si>
    <t>上台奖励</t>
  </si>
  <si>
    <t>注水量/分钟</t>
  </si>
  <si>
    <t>人员</t>
  </si>
  <si>
    <t>数量分布</t>
  </si>
  <si>
    <t>主持人*2</t>
  </si>
  <si>
    <t>榜三*2</t>
  </si>
  <si>
    <t>榜二*2</t>
  </si>
  <si>
    <t>榜一*2</t>
  </si>
  <si>
    <t>庆典宝箱</t>
  </si>
  <si>
    <t>期望产出</t>
  </si>
  <si>
    <t>随机皮肤礼包</t>
  </si>
  <si>
    <t>登录天数</t>
  </si>
  <si>
    <t>金骰</t>
  </si>
  <si>
    <t>棕色邮差皮肤礼盒</t>
  </si>
  <si>
    <t>高级增益格子</t>
  </si>
  <si>
    <t>普通增益格子</t>
  </si>
  <si>
    <t>商人</t>
  </si>
  <si>
    <t>秘境出口1</t>
  </si>
  <si>
    <t>挑战格子</t>
  </si>
  <si>
    <t>向日葵花田</t>
  </si>
  <si>
    <r>
      <rPr>
        <sz val="11"/>
        <color rgb="FF000000"/>
        <rFont val="宋体"/>
        <charset val="134"/>
      </rPr>
      <t>⬆️</t>
    </r>
  </si>
  <si>
    <r>
      <rPr>
        <sz val="11"/>
        <color rgb="FF000000"/>
        <rFont val="宋体"/>
        <charset val="134"/>
      </rPr>
      <t>⭐</t>
    </r>
  </si>
  <si>
    <t>秘境入口1</t>
  </si>
  <si>
    <t>郁金香花田</t>
  </si>
  <si>
    <t>grid_id</t>
  </si>
  <si>
    <t>事件内容</t>
  </si>
  <si>
    <t>额外参数</t>
  </si>
  <si>
    <t>格子权重</t>
  </si>
  <si>
    <t>商品定价</t>
  </si>
  <si>
    <t>粉卡招募券</t>
  </si>
  <si>
    <t>普通招募卷</t>
  </si>
  <si>
    <t>粉卡碎片*1</t>
  </si>
  <si>
    <t>红卡碎片*10</t>
  </si>
  <si>
    <t>粉卡累计坑深</t>
  </si>
  <si>
    <t>橙卡</t>
  </si>
  <si>
    <t>招募预期</t>
  </si>
  <si>
    <t>粉卡的升级消耗</t>
  </si>
  <si>
    <t>产出预期</t>
  </si>
  <si>
    <t>消耗</t>
  </si>
  <si>
    <t>用户分层</t>
  </si>
  <si>
    <t>累计钻石</t>
  </si>
  <si>
    <t>目标等级</t>
  </si>
  <si>
    <t>对标红卡</t>
  </si>
  <si>
    <t>累计次数</t>
  </si>
  <si>
    <t>单次招募券</t>
  </si>
  <si>
    <t>活动任务</t>
  </si>
  <si>
    <t>免费商店</t>
  </si>
  <si>
    <t>累计价值</t>
  </si>
  <si>
    <t>招募概率</t>
  </si>
  <si>
    <t>招募等级</t>
  </si>
  <si>
    <t>灵感钥匙</t>
  </si>
  <si>
    <t>职业经验*25</t>
  </si>
  <si>
    <t>蓝卡</t>
  </si>
  <si>
    <t>紫卡</t>
  </si>
  <si>
    <t>红卡</t>
  </si>
  <si>
    <t>综合概率</t>
  </si>
  <si>
    <t>配置概率</t>
  </si>
  <si>
    <t>保底期望</t>
  </si>
  <si>
    <t>上限个数</t>
  </si>
  <si>
    <t>最早出现轮次</t>
  </si>
  <si>
    <t>展示概率</t>
  </si>
  <si>
    <t>粉卡升级</t>
  </si>
  <si>
    <t>粉卡等级</t>
  </si>
  <si>
    <t>升级消耗</t>
  </si>
  <si>
    <t>红卡对照强度</t>
  </si>
  <si>
    <t>任务id</t>
  </si>
  <si>
    <t>任务参数</t>
  </si>
  <si>
    <t>消耗招募券</t>
  </si>
  <si>
    <t>通关主线</t>
  </si>
  <si>
    <t>通关组队</t>
  </si>
  <si>
    <t>概率对比</t>
  </si>
  <si>
    <t>出红</t>
  </si>
  <si>
    <t>所需砖石/普通池</t>
  </si>
  <si>
    <t>所需砖石/高级池</t>
  </si>
  <si>
    <t>红卡招募券</t>
  </si>
  <si>
    <t>lv1</t>
  </si>
  <si>
    <t>lv2</t>
  </si>
  <si>
    <t>1.2一个（常驻）</t>
  </si>
  <si>
    <t>橙卡*10</t>
  </si>
  <si>
    <t>lv3</t>
  </si>
  <si>
    <t>lv4</t>
  </si>
  <si>
    <t>lv5</t>
  </si>
  <si>
    <t>lv6</t>
  </si>
  <si>
    <t>lv7</t>
  </si>
  <si>
    <t>饮料</t>
  </si>
  <si>
    <t>累计花费钻石</t>
  </si>
  <si>
    <t>对标橙卡</t>
  </si>
  <si>
    <t>对标紫卡</t>
  </si>
  <si>
    <t>结论：</t>
  </si>
  <si>
    <t>25</t>
  </si>
  <si>
    <t>进lv2池后125普抽，出一个红碎*10</t>
  </si>
  <si>
    <t>up池红卡</t>
  </si>
  <si>
    <t>非r极限前七天可在招募狂欢中拿10个红碎片</t>
  </si>
  <si>
    <r>
      <rPr>
        <sz val="11"/>
        <color theme="1"/>
        <rFont val="宋体"/>
        <charset val="134"/>
        <scheme val="minor"/>
      </rPr>
      <t>第一周第一张红色，砖石+活动送出去，这里还有</t>
    </r>
    <r>
      <rPr>
        <sz val="11"/>
        <color rgb="FFFF0000"/>
        <rFont val="宋体"/>
        <charset val="134"/>
        <scheme val="minor"/>
      </rPr>
      <t>50抽空间</t>
    </r>
  </si>
  <si>
    <t>5.14%的概率</t>
  </si>
  <si>
    <t>30抽保底</t>
  </si>
  <si>
    <t>应该可以送15抽免费，可以送到冲刺里面</t>
  </si>
  <si>
    <t>前5抽必不出</t>
  </si>
  <si>
    <t>非r白嫖两周拿一个lv5红</t>
  </si>
  <si>
    <t>第一期第一张lv5红需要100抽，需要额外花90块，5个6块礼包+3个30礼包</t>
  </si>
  <si>
    <t>此处有推送礼包，实际只需要50块</t>
  </si>
  <si>
    <t>1期第二张红卡需要：150块+6+30</t>
  </si>
  <si>
    <t>限时时间:2天</t>
  </si>
  <si>
    <t>推送礼包(1折)</t>
  </si>
  <si>
    <t>链式推送礼包</t>
  </si>
  <si>
    <t>对应梦灵碎片</t>
  </si>
  <si>
    <t>红卡池子数量</t>
  </si>
  <si>
    <t>心愿招募等级</t>
  </si>
  <si>
    <t>红卡*10</t>
  </si>
  <si>
    <t>sum</t>
  </si>
  <si>
    <t>每30抽保底一发</t>
  </si>
  <si>
    <t>新版up池</t>
  </si>
  <si>
    <t>1期中实际获取代价</t>
  </si>
  <si>
    <t>原15%</t>
  </si>
  <si>
    <t>红卡节点</t>
  </si>
  <si>
    <t>消耗碎片</t>
  </si>
  <si>
    <t>标准定价消耗砖石</t>
  </si>
  <si>
    <t>rmb定价</t>
  </si>
  <si>
    <t>实际上钻石转rmb是100比1的关系（300：1）</t>
  </si>
  <si>
    <t>lv10</t>
  </si>
  <si>
    <t>小r 6/30买一关</t>
  </si>
  <si>
    <t>lv15</t>
  </si>
  <si>
    <t>lv20</t>
  </si>
  <si>
    <t>lv25</t>
  </si>
  <si>
    <t>lv30</t>
  </si>
  <si>
    <t>红卡升级</t>
  </si>
  <si>
    <t>升一级过五关</t>
  </si>
  <si>
    <t>5000砖升一级</t>
  </si>
  <si>
    <t>一关1000砖</t>
  </si>
  <si>
    <t>橙卡对照强度</t>
  </si>
  <si>
    <t>紫卡强度对照</t>
  </si>
  <si>
    <t>紫卡消耗</t>
  </si>
  <si>
    <t>橙卡消耗</t>
  </si>
  <si>
    <t>红卡消耗</t>
  </si>
  <si>
    <t>每周刷新（7天一次</t>
  </si>
  <si>
    <t>第一期六天，后面都七天</t>
  </si>
  <si>
    <t>荧幕争锋次数</t>
  </si>
  <si>
    <t>金币本次数</t>
  </si>
  <si>
    <t>组队巡航次数</t>
  </si>
  <si>
    <t>红卡推送礼包</t>
  </si>
  <si>
    <t>试炼目标</t>
  </si>
  <si>
    <t>活动目标</t>
  </si>
  <si>
    <t>活动购买</t>
  </si>
  <si>
    <t>总抽数</t>
  </si>
  <si>
    <t>每日抽奖</t>
  </si>
  <si>
    <t>消耗抽数</t>
  </si>
  <si>
    <t>上限抽数</t>
  </si>
  <si>
    <t>配置折扣</t>
  </si>
  <si>
    <t>法师特饮</t>
  </si>
  <si>
    <t>卡池</t>
  </si>
  <si>
    <t>卡池名</t>
  </si>
  <si>
    <t>常规池</t>
  </si>
  <si>
    <t>梦灵卡池</t>
  </si>
  <si>
    <t>符文卡池</t>
  </si>
  <si>
    <t>单抽性价比</t>
  </si>
  <si>
    <t>保底次数</t>
  </si>
  <si>
    <t>洗练狂欢</t>
  </si>
  <si>
    <t>积分途径</t>
  </si>
  <si>
    <t>数值</t>
  </si>
  <si>
    <t>积分</t>
  </si>
  <si>
    <t>消耗洗练石</t>
  </si>
  <si>
    <t>符文洗练</t>
  </si>
  <si>
    <t>挑战零件副本</t>
  </si>
  <si>
    <t>消耗符文抽</t>
  </si>
  <si>
    <t>日常获取（4折）</t>
  </si>
  <si>
    <t>单颗定价</t>
  </si>
  <si>
    <t>橙色符文价格</t>
  </si>
  <si>
    <t>日常获取（10折）</t>
  </si>
  <si>
    <t>镭射专属洗练价格</t>
  </si>
  <si>
    <t>诸葛专属洗练价格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</si>
</sst>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 "/>
    <numFmt numFmtId="178" formatCode="[=0]&quot;&quot;;0"/>
    <numFmt numFmtId="179" formatCode="0_);[Red]\(0\)"/>
    <numFmt numFmtId="180" formatCode="0.0_ "/>
    <numFmt numFmtId="181" formatCode="#,##0.00_ "/>
    <numFmt numFmtId="182" formatCode="\¥#,##0_);[Red]\(\¥#,##0\)"/>
    <numFmt numFmtId="183" formatCode="m&quot;月&quot;d&quot;日&quot;;@"/>
    <numFmt numFmtId="184" formatCode="0.00_ "/>
    <numFmt numFmtId="185" formatCode="0.0"/>
    <numFmt numFmtId="186" formatCode="0.00_);[Red]\(0.00\)"/>
    <numFmt numFmtId="187" formatCode="0.000%"/>
    <numFmt numFmtId="188" formatCode="0.0_);[Red]\(0.0\)"/>
    <numFmt numFmtId="189" formatCode="_ * #,##0.00_ ;_ * \-#,##0.00_ ;_ * &quot;-&quot;??.00_ ;_ @_ "/>
  </numFmts>
  <fonts count="96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rgb="FFFFFFFF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color theme="4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9"/>
      <color rgb="FFFA7D00"/>
      <name val="宋体"/>
      <charset val="134"/>
      <scheme val="minor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FFFFFF"/>
      <name val="宋体"/>
      <charset val="134"/>
      <scheme val="minor"/>
    </font>
    <font>
      <b/>
      <sz val="11"/>
      <color rgb="FF00000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sz val="10"/>
      <color theme="0"/>
      <name val="微软雅黑"/>
      <charset val="134"/>
    </font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0"/>
      <color rgb="FFFF0000"/>
      <name val="Microsoft YaHei"/>
      <charset val="134"/>
    </font>
    <font>
      <b/>
      <sz val="10"/>
      <color rgb="FFFF0000"/>
      <name val="Microsoft YaHei"/>
      <charset val="134"/>
    </font>
    <font>
      <b/>
      <sz val="10"/>
      <color rgb="FFDE3C36"/>
      <name val="Microsoft YaHei"/>
      <charset val="134"/>
    </font>
    <font>
      <sz val="10"/>
      <color rgb="FF2972F4"/>
      <name val="Microsoft YaHei"/>
      <charset val="134"/>
    </font>
    <font>
      <b/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FF0000"/>
      <name val="Helvetica"/>
      <charset val="134"/>
    </font>
    <font>
      <sz val="10"/>
      <color rgb="FF2972F4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FFFFFF"/>
      <name val="微软雅黑"/>
      <charset val="134"/>
    </font>
    <font>
      <b/>
      <sz val="10"/>
      <color theme="1"/>
      <name val="微软雅黑"/>
      <charset val="134"/>
    </font>
    <font>
      <sz val="9"/>
      <name val="微软雅黑"/>
      <charset val="134"/>
    </font>
    <font>
      <sz val="11"/>
      <name val="宋体"/>
      <charset val="134"/>
      <scheme val="minor"/>
    </font>
    <font>
      <strike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A7D00"/>
      <name val="微软雅黑"/>
      <charset val="134"/>
    </font>
    <font>
      <sz val="10"/>
      <color theme="9"/>
      <name val="宋体"/>
      <charset val="134"/>
      <scheme val="minor"/>
    </font>
    <font>
      <b/>
      <sz val="10"/>
      <color theme="9"/>
      <name val="宋体"/>
      <charset val="134"/>
      <scheme val="minor"/>
    </font>
    <font>
      <sz val="9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0"/>
      <name val="微软雅黑"/>
      <charset val="134"/>
    </font>
    <font>
      <sz val="12"/>
      <name val="微软雅黑"/>
      <charset val="134"/>
    </font>
    <font>
      <b/>
      <sz val="9"/>
      <color theme="0"/>
      <name val="微软雅黑"/>
      <charset val="134"/>
    </font>
    <font>
      <b/>
      <sz val="12"/>
      <color rgb="FFFFFFFF"/>
      <name val="微软雅黑"/>
      <charset val="134"/>
    </font>
    <font>
      <b/>
      <sz val="9"/>
      <color rgb="FF7030A0"/>
      <name val="微软雅黑"/>
      <charset val="134"/>
    </font>
    <font>
      <b/>
      <sz val="9"/>
      <color rgb="FFFFC000"/>
      <name val="微软雅黑"/>
      <charset val="134"/>
    </font>
    <font>
      <b/>
      <sz val="9"/>
      <color rgb="FFFF0000"/>
      <name val="微软雅黑"/>
      <charset val="134"/>
    </font>
    <font>
      <b/>
      <sz val="9"/>
      <color rgb="FFEF939E"/>
      <name val="微软雅黑"/>
      <charset val="134"/>
    </font>
    <font>
      <b/>
      <sz val="12"/>
      <color rgb="FF000000"/>
      <name val="微软雅黑"/>
      <charset val="134"/>
    </font>
    <font>
      <sz val="20"/>
      <color rgb="FF000000"/>
      <name val="微软雅黑"/>
      <charset val="134"/>
    </font>
    <font>
      <b/>
      <sz val="11"/>
      <color rgb="FFDE3C36"/>
      <name val="微软雅黑"/>
      <charset val="134"/>
    </font>
    <font>
      <sz val="11"/>
      <color rgb="FF000000"/>
      <name val="宋体"/>
      <charset val="134"/>
    </font>
    <font>
      <sz val="10"/>
      <color rgb="FFF54A45"/>
      <name val="微软雅黑"/>
      <charset val="134"/>
    </font>
    <font>
      <b/>
      <sz val="10"/>
      <color rgb="FFF54A45"/>
      <name val="微软雅黑"/>
      <charset val="134"/>
    </font>
    <font>
      <sz val="10"/>
      <color rgb="FF1F2329"/>
      <name val="微软雅黑"/>
      <charset val="134"/>
    </font>
    <font>
      <sz val="10"/>
      <color rgb="FF000000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C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Helvetica"/>
      <charset val="134"/>
    </font>
  </fonts>
  <fills count="1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 tint="0.3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D5F2EF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EF939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8CDAB"/>
        <bgColor indexed="64"/>
      </patternFill>
    </fill>
    <fill>
      <patternFill patternType="solid">
        <fgColor rgb="FFC31E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F1CC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ACE5E0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1F232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DDDEF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04B49C"/>
        <bgColor indexed="64"/>
      </patternFill>
    </fill>
    <fill>
      <patternFill patternType="solid">
        <fgColor rgb="FFF57AC0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8FAC02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01D94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485368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1274A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rgb="FF91ACE0"/>
      </left>
      <right/>
      <top style="thin">
        <color rgb="FF91ACE0"/>
      </top>
      <bottom style="thin">
        <color rgb="FF91ACE0"/>
      </bottom>
      <diagonal/>
    </border>
    <border>
      <left/>
      <right/>
      <top style="thin">
        <color rgb="FF91ACE0"/>
      </top>
      <bottom style="thin">
        <color rgb="FF91ACE0"/>
      </bottom>
      <diagonal/>
    </border>
    <border>
      <left/>
      <right style="thin">
        <color rgb="FF91ACE0"/>
      </right>
      <top style="thin">
        <color rgb="FF91ACE0"/>
      </top>
      <bottom style="thin">
        <color rgb="FF91ACE0"/>
      </bottom>
      <diagonal/>
    </border>
    <border>
      <left style="thin">
        <color rgb="FF91ACE0"/>
      </left>
      <right style="thin">
        <color rgb="FF91ACE0"/>
      </right>
      <top style="thin">
        <color rgb="FF91ACE0"/>
      </top>
      <bottom style="thin">
        <color rgb="FF91ACE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/>
      <diagonal/>
    </border>
    <border>
      <left style="thin">
        <color rgb="FF000000"/>
      </left>
      <right style="thin">
        <color rgb="FF000000"/>
      </right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0" fillId="82" borderId="67" applyNumberFormat="0" applyFon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68" applyNumberFormat="0" applyFill="0" applyAlignment="0" applyProtection="0">
      <alignment vertical="center"/>
    </xf>
    <xf numFmtId="0" fontId="80" fillId="0" borderId="68" applyNumberFormat="0" applyFill="0" applyAlignment="0" applyProtection="0">
      <alignment vertical="center"/>
    </xf>
    <xf numFmtId="0" fontId="81" fillId="0" borderId="69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83" borderId="70" applyNumberFormat="0" applyAlignment="0" applyProtection="0">
      <alignment vertical="center"/>
    </xf>
    <xf numFmtId="0" fontId="83" fillId="75" borderId="71" applyNumberFormat="0" applyAlignment="0" applyProtection="0">
      <alignment vertical="center"/>
    </xf>
    <xf numFmtId="0" fontId="84" fillId="75" borderId="70" applyNumberFormat="0" applyAlignment="0" applyProtection="0">
      <alignment vertical="center"/>
    </xf>
    <xf numFmtId="0" fontId="85" fillId="84" borderId="72" applyNumberFormat="0" applyAlignment="0" applyProtection="0">
      <alignment vertical="center"/>
    </xf>
    <xf numFmtId="0" fontId="86" fillId="0" borderId="73" applyNumberFormat="0" applyFill="0" applyAlignment="0" applyProtection="0">
      <alignment vertical="center"/>
    </xf>
    <xf numFmtId="0" fontId="87" fillId="0" borderId="74" applyNumberFormat="0" applyFill="0" applyAlignment="0" applyProtection="0">
      <alignment vertical="center"/>
    </xf>
    <xf numFmtId="0" fontId="88" fillId="85" borderId="0" applyNumberFormat="0" applyBorder="0" applyAlignment="0" applyProtection="0">
      <alignment vertical="center"/>
    </xf>
    <xf numFmtId="0" fontId="89" fillId="86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1" fillId="87" borderId="0" applyNumberFormat="0" applyBorder="0" applyAlignment="0" applyProtection="0">
      <alignment vertical="center"/>
    </xf>
    <xf numFmtId="0" fontId="92" fillId="88" borderId="0" applyNumberFormat="0" applyBorder="0" applyAlignment="0" applyProtection="0">
      <alignment vertical="center"/>
    </xf>
    <xf numFmtId="0" fontId="92" fillId="89" borderId="0" applyNumberFormat="0" applyBorder="0" applyAlignment="0" applyProtection="0">
      <alignment vertical="center"/>
    </xf>
    <xf numFmtId="0" fontId="91" fillId="90" borderId="0" applyNumberFormat="0" applyBorder="0" applyAlignment="0" applyProtection="0">
      <alignment vertical="center"/>
    </xf>
    <xf numFmtId="0" fontId="91" fillId="91" borderId="0" applyNumberFormat="0" applyBorder="0" applyAlignment="0" applyProtection="0">
      <alignment vertical="center"/>
    </xf>
    <xf numFmtId="0" fontId="92" fillId="92" borderId="0" applyNumberFormat="0" applyBorder="0" applyAlignment="0" applyProtection="0">
      <alignment vertical="center"/>
    </xf>
    <xf numFmtId="0" fontId="92" fillId="93" borderId="0" applyNumberFormat="0" applyBorder="0" applyAlignment="0" applyProtection="0">
      <alignment vertical="center"/>
    </xf>
    <xf numFmtId="0" fontId="91" fillId="94" borderId="0" applyNumberFormat="0" applyBorder="0" applyAlignment="0" applyProtection="0">
      <alignment vertical="center"/>
    </xf>
    <xf numFmtId="0" fontId="91" fillId="95" borderId="0" applyNumberFormat="0" applyBorder="0" applyAlignment="0" applyProtection="0">
      <alignment vertical="center"/>
    </xf>
    <xf numFmtId="0" fontId="92" fillId="96" borderId="0" applyNumberFormat="0" applyBorder="0" applyAlignment="0" applyProtection="0">
      <alignment vertical="center"/>
    </xf>
    <xf numFmtId="0" fontId="92" fillId="97" borderId="0" applyNumberFormat="0" applyBorder="0" applyAlignment="0" applyProtection="0">
      <alignment vertical="center"/>
    </xf>
    <xf numFmtId="0" fontId="91" fillId="98" borderId="0" applyNumberFormat="0" applyBorder="0" applyAlignment="0" applyProtection="0">
      <alignment vertical="center"/>
    </xf>
    <xf numFmtId="0" fontId="91" fillId="99" borderId="0" applyNumberFormat="0" applyBorder="0" applyAlignment="0" applyProtection="0">
      <alignment vertical="center"/>
    </xf>
    <xf numFmtId="0" fontId="92" fillId="100" borderId="0" applyNumberFormat="0" applyBorder="0" applyAlignment="0" applyProtection="0">
      <alignment vertical="center"/>
    </xf>
    <xf numFmtId="0" fontId="92" fillId="101" borderId="0" applyNumberFormat="0" applyBorder="0" applyAlignment="0" applyProtection="0">
      <alignment vertical="center"/>
    </xf>
    <xf numFmtId="0" fontId="91" fillId="102" borderId="0" applyNumberFormat="0" applyBorder="0" applyAlignment="0" applyProtection="0">
      <alignment vertical="center"/>
    </xf>
    <xf numFmtId="0" fontId="91" fillId="103" borderId="0" applyNumberFormat="0" applyBorder="0" applyAlignment="0" applyProtection="0">
      <alignment vertical="center"/>
    </xf>
    <xf numFmtId="0" fontId="92" fillId="104" borderId="0" applyNumberFormat="0" applyBorder="0" applyAlignment="0" applyProtection="0">
      <alignment vertical="center"/>
    </xf>
    <xf numFmtId="0" fontId="92" fillId="105" borderId="0" applyNumberFormat="0" applyBorder="0" applyAlignment="0" applyProtection="0">
      <alignment vertical="center"/>
    </xf>
    <xf numFmtId="0" fontId="91" fillId="106" borderId="0" applyNumberFormat="0" applyBorder="0" applyAlignment="0" applyProtection="0">
      <alignment vertical="center"/>
    </xf>
    <xf numFmtId="0" fontId="91" fillId="80" borderId="0" applyNumberFormat="0" applyBorder="0" applyAlignment="0" applyProtection="0">
      <alignment vertical="center"/>
    </xf>
    <xf numFmtId="0" fontId="92" fillId="107" borderId="0" applyNumberFormat="0" applyBorder="0" applyAlignment="0" applyProtection="0">
      <alignment vertical="center"/>
    </xf>
    <xf numFmtId="0" fontId="92" fillId="108" borderId="0" applyNumberFormat="0" applyBorder="0" applyAlignment="0" applyProtection="0">
      <alignment vertical="center"/>
    </xf>
    <xf numFmtId="0" fontId="91" fillId="10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7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9" fontId="6" fillId="8" borderId="5" xfId="3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0" fillId="0" borderId="11" xfId="0" applyBorder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10" borderId="12" xfId="0" applyFont="1" applyFill="1" applyBorder="1" applyAlignment="1">
      <alignment horizontal="center" vertical="center"/>
    </xf>
    <xf numFmtId="9" fontId="0" fillId="0" borderId="0" xfId="3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3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0" fontId="0" fillId="6" borderId="0" xfId="3" applyNumberForma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6" borderId="7" xfId="3" applyNumberFormat="1" applyFont="1" applyFill="1" applyBorder="1" applyAlignment="1">
      <alignment horizontal="center" vertical="center"/>
    </xf>
    <xf numFmtId="176" fontId="11" fillId="0" borderId="7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9" fontId="11" fillId="0" borderId="7" xfId="0" applyNumberFormat="1" applyFon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176" fontId="11" fillId="0" borderId="7" xfId="3" applyNumberFormat="1" applyFont="1" applyBorder="1" applyAlignment="1">
      <alignment horizontal="center" vertical="center"/>
    </xf>
    <xf numFmtId="176" fontId="11" fillId="0" borderId="0" xfId="3" applyNumberFormat="1" applyFont="1" applyAlignment="1">
      <alignment horizontal="center" vertical="center"/>
    </xf>
    <xf numFmtId="176" fontId="0" fillId="4" borderId="0" xfId="3" applyNumberFormat="1" applyFill="1" applyAlignment="1">
      <alignment horizontal="center" vertical="center"/>
    </xf>
    <xf numFmtId="176" fontId="13" fillId="13" borderId="7" xfId="3" applyNumberFormat="1" applyFont="1" applyFill="1" applyBorder="1" applyAlignment="1">
      <alignment horizontal="center" vertical="center"/>
    </xf>
    <xf numFmtId="10" fontId="13" fillId="13" borderId="7" xfId="3" applyNumberFormat="1" applyFont="1" applyFill="1" applyBorder="1" applyAlignment="1">
      <alignment horizontal="center" vertical="center"/>
    </xf>
    <xf numFmtId="0" fontId="13" fillId="13" borderId="7" xfId="3" applyNumberFormat="1" applyFont="1" applyFill="1" applyBorder="1" applyAlignment="1">
      <alignment horizontal="center" vertical="center"/>
    </xf>
    <xf numFmtId="10" fontId="13" fillId="13" borderId="0" xfId="3" applyNumberFormat="1" applyFont="1" applyFill="1" applyAlignment="1">
      <alignment horizontal="center" vertical="center"/>
    </xf>
    <xf numFmtId="0" fontId="13" fillId="13" borderId="0" xfId="3" applyNumberFormat="1" applyFont="1" applyFill="1" applyAlignment="1">
      <alignment horizontal="center" vertical="center"/>
    </xf>
    <xf numFmtId="176" fontId="11" fillId="0" borderId="8" xfId="3" applyNumberFormat="1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9" fontId="0" fillId="0" borderId="0" xfId="3" applyNumberFormat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11" fillId="0" borderId="14" xfId="3" applyNumberFormat="1" applyFont="1" applyBorder="1" applyAlignment="1">
      <alignment horizontal="center" vertical="center"/>
    </xf>
    <xf numFmtId="176" fontId="11" fillId="0" borderId="15" xfId="3" applyNumberFormat="1" applyFont="1" applyBorder="1" applyAlignment="1">
      <alignment horizontal="center" vertical="center"/>
    </xf>
    <xf numFmtId="0" fontId="11" fillId="0" borderId="7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1" fillId="0" borderId="7" xfId="0" applyNumberFormat="1" applyFont="1" applyFill="1" applyBorder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9" fontId="3" fillId="0" borderId="0" xfId="3" applyFont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9" fontId="5" fillId="0" borderId="0" xfId="3" applyFont="1" applyFill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9" fontId="0" fillId="0" borderId="7" xfId="3" applyNumberFormat="1" applyFont="1" applyBorder="1" applyAlignment="1">
      <alignment horizontal="center" vertical="center"/>
    </xf>
    <xf numFmtId="0" fontId="0" fillId="0" borderId="7" xfId="3" applyNumberFormat="1" applyFont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6" borderId="7" xfId="0" applyNumberFormat="1" applyFont="1" applyFill="1" applyBorder="1" applyAlignment="1">
      <alignment horizontal="center" vertical="center"/>
    </xf>
    <xf numFmtId="176" fontId="13" fillId="13" borderId="0" xfId="3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13" fillId="13" borderId="7" xfId="3" applyFont="1" applyFill="1" applyBorder="1" applyAlignment="1">
      <alignment horizontal="center" vertical="center"/>
    </xf>
    <xf numFmtId="9" fontId="13" fillId="13" borderId="7" xfId="3" applyNumberFormat="1" applyFont="1" applyFill="1" applyBorder="1" applyAlignment="1">
      <alignment horizontal="center" vertical="center"/>
    </xf>
    <xf numFmtId="9" fontId="11" fillId="0" borderId="0" xfId="0" applyNumberFormat="1" applyFont="1" applyFill="1" applyAlignment="1">
      <alignment horizontal="center" vertical="center"/>
    </xf>
    <xf numFmtId="9" fontId="13" fillId="13" borderId="0" xfId="3" applyFont="1" applyFill="1" applyAlignment="1">
      <alignment horizontal="center" vertical="center"/>
    </xf>
    <xf numFmtId="9" fontId="13" fillId="13" borderId="0" xfId="3" applyNumberFormat="1" applyFont="1" applyFill="1" applyAlignment="1">
      <alignment horizontal="center" vertical="center"/>
    </xf>
    <xf numFmtId="176" fontId="0" fillId="0" borderId="0" xfId="3" applyNumberFormat="1" applyAlignment="1">
      <alignment horizontal="center" vertical="center"/>
    </xf>
    <xf numFmtId="9" fontId="5" fillId="0" borderId="13" xfId="3" applyFont="1" applyFill="1" applyBorder="1" applyAlignment="1">
      <alignment horizontal="center" vertical="center"/>
    </xf>
    <xf numFmtId="9" fontId="5" fillId="0" borderId="13" xfId="3" applyNumberFormat="1" applyFont="1" applyFill="1" applyBorder="1" applyAlignment="1">
      <alignment horizontal="center" vertical="center"/>
    </xf>
    <xf numFmtId="0" fontId="15" fillId="14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15" borderId="0" xfId="0" applyFont="1" applyFill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6" borderId="0" xfId="0" applyNumberFormat="1" applyFont="1" applyFill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 vertical="center"/>
    </xf>
    <xf numFmtId="177" fontId="3" fillId="0" borderId="17" xfId="0" applyNumberFormat="1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22" fillId="0" borderId="20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23" fillId="0" borderId="21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9" fontId="16" fillId="6" borderId="21" xfId="3" applyFont="1" applyFill="1" applyBorder="1" applyAlignment="1">
      <alignment horizontal="center" vertical="center"/>
    </xf>
    <xf numFmtId="9" fontId="3" fillId="0" borderId="0" xfId="0" applyNumberFormat="1" applyFont="1" applyFill="1" applyAlignment="1">
      <alignment horizontal="center" vertical="center"/>
    </xf>
    <xf numFmtId="0" fontId="16" fillId="6" borderId="21" xfId="0" applyNumberFormat="1" applyFont="1" applyFill="1" applyBorder="1" applyAlignment="1">
      <alignment horizontal="center" vertical="center"/>
    </xf>
    <xf numFmtId="9" fontId="16" fillId="0" borderId="21" xfId="3" applyFont="1" applyFill="1" applyBorder="1" applyAlignment="1">
      <alignment horizontal="center" vertical="center"/>
    </xf>
    <xf numFmtId="0" fontId="16" fillId="0" borderId="21" xfId="0" applyNumberFormat="1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center" vertical="center"/>
    </xf>
    <xf numFmtId="9" fontId="17" fillId="0" borderId="21" xfId="3" applyFont="1" applyFill="1" applyBorder="1" applyAlignment="1">
      <alignment horizontal="center" vertical="center"/>
    </xf>
    <xf numFmtId="0" fontId="17" fillId="0" borderId="21" xfId="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7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24" fillId="0" borderId="20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left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3" xfId="0" applyFont="1" applyFill="1" applyBorder="1" applyAlignment="1">
      <alignment horizontal="left" vertical="center"/>
    </xf>
    <xf numFmtId="0" fontId="16" fillId="0" borderId="20" xfId="0" applyFont="1" applyFill="1" applyBorder="1" applyAlignment="1">
      <alignment horizontal="left" vertical="center"/>
    </xf>
    <xf numFmtId="0" fontId="16" fillId="0" borderId="21" xfId="0" applyFont="1" applyFill="1" applyBorder="1" applyAlignment="1">
      <alignment horizontal="left" vertical="center"/>
    </xf>
    <xf numFmtId="9" fontId="16" fillId="0" borderId="21" xfId="0" applyNumberFormat="1" applyFont="1" applyFill="1" applyBorder="1" applyAlignment="1">
      <alignment horizontal="left" vertical="center"/>
    </xf>
    <xf numFmtId="0" fontId="3" fillId="6" borderId="0" xfId="0" applyNumberFormat="1" applyFont="1" applyFill="1" applyAlignment="1">
      <alignment horizontal="center" vertical="center"/>
    </xf>
    <xf numFmtId="179" fontId="16" fillId="0" borderId="21" xfId="0" applyNumberFormat="1" applyFont="1" applyFill="1" applyBorder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179" fontId="16" fillId="6" borderId="21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/>
    </xf>
    <xf numFmtId="0" fontId="20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3" fillId="17" borderId="0" xfId="0" applyNumberFormat="1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16" fillId="13" borderId="20" xfId="0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0" fontId="3" fillId="13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5" fillId="2" borderId="4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27" fillId="2" borderId="24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5" fillId="0" borderId="10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9" fontId="5" fillId="18" borderId="0" xfId="3" applyFont="1" applyFill="1" applyAlignment="1">
      <alignment horizontal="center" vertical="center"/>
    </xf>
    <xf numFmtId="0" fontId="5" fillId="18" borderId="0" xfId="0" applyFont="1" applyFill="1" applyAlignment="1">
      <alignment horizontal="right" vertical="center"/>
    </xf>
    <xf numFmtId="0" fontId="5" fillId="6" borderId="10" xfId="0" applyFont="1" applyFill="1" applyBorder="1" applyAlignment="1">
      <alignment horizontal="center" vertical="center"/>
    </xf>
    <xf numFmtId="1" fontId="5" fillId="18" borderId="10" xfId="0" applyNumberFormat="1" applyFont="1" applyFill="1" applyBorder="1" applyAlignment="1">
      <alignment horizontal="center" vertical="center"/>
    </xf>
    <xf numFmtId="9" fontId="5" fillId="18" borderId="10" xfId="3" applyFont="1" applyFill="1" applyBorder="1" applyAlignment="1">
      <alignment horizontal="center" vertical="center"/>
    </xf>
    <xf numFmtId="2" fontId="5" fillId="18" borderId="0" xfId="0" applyNumberFormat="1" applyFont="1" applyFill="1" applyAlignment="1">
      <alignment horizontal="center" vertical="center"/>
    </xf>
    <xf numFmtId="9" fontId="5" fillId="18" borderId="0" xfId="0" applyNumberFormat="1" applyFont="1" applyFill="1" applyAlignment="1">
      <alignment horizontal="center" vertical="center"/>
    </xf>
    <xf numFmtId="0" fontId="5" fillId="18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9" fontId="5" fillId="18" borderId="0" xfId="3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29" fillId="7" borderId="1" xfId="0" applyFont="1" applyFill="1" applyBorder="1" applyAlignment="1">
      <alignment vertical="center"/>
    </xf>
    <xf numFmtId="0" fontId="28" fillId="0" borderId="0" xfId="0" applyFont="1" applyFill="1" applyAlignment="1">
      <alignment horizontal="center" vertical="center"/>
    </xf>
    <xf numFmtId="0" fontId="28" fillId="14" borderId="0" xfId="0" applyFont="1" applyFill="1" applyAlignment="1">
      <alignment vertical="center"/>
    </xf>
    <xf numFmtId="0" fontId="28" fillId="19" borderId="0" xfId="0" applyFont="1" applyFill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8" fillId="20" borderId="1" xfId="0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center" vertical="center"/>
    </xf>
    <xf numFmtId="9" fontId="28" fillId="21" borderId="1" xfId="0" applyNumberFormat="1" applyFont="1" applyFill="1" applyBorder="1" applyAlignment="1">
      <alignment horizontal="left" vertical="center"/>
    </xf>
    <xf numFmtId="9" fontId="31" fillId="0" borderId="1" xfId="0" applyNumberFormat="1" applyFont="1" applyFill="1" applyBorder="1" applyAlignment="1">
      <alignment horizontal="center" vertical="center"/>
    </xf>
    <xf numFmtId="9" fontId="28" fillId="0" borderId="0" xfId="0" applyNumberFormat="1" applyFont="1" applyFill="1" applyAlignment="1">
      <alignment vertical="center"/>
    </xf>
    <xf numFmtId="49" fontId="28" fillId="0" borderId="1" xfId="0" applyNumberFormat="1" applyFont="1" applyFill="1" applyBorder="1" applyAlignment="1">
      <alignment horizontal="center" vertical="center"/>
    </xf>
    <xf numFmtId="181" fontId="28" fillId="0" borderId="1" xfId="0" applyNumberFormat="1" applyFont="1" applyFill="1" applyBorder="1" applyAlignment="1">
      <alignment horizontal="center" vertical="center"/>
    </xf>
    <xf numFmtId="10" fontId="28" fillId="0" borderId="1" xfId="0" applyNumberFormat="1" applyFont="1" applyFill="1" applyBorder="1" applyAlignment="1">
      <alignment horizontal="center" vertical="center"/>
    </xf>
    <xf numFmtId="0" fontId="28" fillId="21" borderId="4" xfId="0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center" vertical="center"/>
    </xf>
    <xf numFmtId="2" fontId="32" fillId="0" borderId="1" xfId="0" applyNumberFormat="1" applyFont="1" applyFill="1" applyBorder="1" applyAlignment="1">
      <alignment horizontal="center" vertical="center"/>
    </xf>
    <xf numFmtId="182" fontId="28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0" fontId="28" fillId="23" borderId="1" xfId="0" applyFont="1" applyFill="1" applyBorder="1" applyAlignment="1">
      <alignment horizontal="center" vertical="center"/>
    </xf>
    <xf numFmtId="183" fontId="28" fillId="0" borderId="1" xfId="0" applyNumberFormat="1" applyFont="1" applyFill="1" applyBorder="1" applyAlignment="1">
      <alignment horizontal="left" vertical="center"/>
    </xf>
    <xf numFmtId="0" fontId="28" fillId="0" borderId="1" xfId="0" applyFont="1" applyFill="1" applyBorder="1" applyAlignment="1">
      <alignment vertical="center"/>
    </xf>
    <xf numFmtId="0" fontId="33" fillId="2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9" fontId="34" fillId="0" borderId="1" xfId="0" applyNumberFormat="1" applyFont="1" applyFill="1" applyBorder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84" fontId="2" fillId="3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9" fontId="34" fillId="4" borderId="1" xfId="0" applyNumberFormat="1" applyFont="1" applyFill="1" applyBorder="1" applyAlignment="1">
      <alignment horizontal="center" vertical="center"/>
    </xf>
    <xf numFmtId="0" fontId="37" fillId="7" borderId="1" xfId="0" applyFont="1" applyFill="1" applyBorder="1">
      <alignment vertical="center"/>
    </xf>
    <xf numFmtId="0" fontId="37" fillId="7" borderId="1" xfId="0" applyFont="1" applyFill="1" applyBorder="1" applyAlignment="1">
      <alignment horizontal="left" vertical="center"/>
    </xf>
    <xf numFmtId="0" fontId="38" fillId="7" borderId="1" xfId="0" applyFont="1" applyFill="1" applyBorder="1">
      <alignment vertical="center"/>
    </xf>
    <xf numFmtId="0" fontId="39" fillId="7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40" fillId="24" borderId="0" xfId="0" applyFont="1" applyFill="1" applyAlignment="1">
      <alignment horizontal="right" vertical="center"/>
    </xf>
    <xf numFmtId="0" fontId="4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6" fillId="19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9" fontId="6" fillId="21" borderId="1" xfId="3" applyFont="1" applyFill="1" applyBorder="1" applyAlignment="1">
      <alignment horizontal="left" vertical="center"/>
    </xf>
    <xf numFmtId="0" fontId="17" fillId="9" borderId="0" xfId="0" applyNumberFormat="1" applyFont="1" applyFill="1" applyBorder="1" applyAlignment="1" applyProtection="1">
      <alignment horizontal="center" vertical="center"/>
    </xf>
    <xf numFmtId="9" fontId="34" fillId="0" borderId="1" xfId="3" applyNumberFormat="1" applyFont="1" applyBorder="1" applyAlignment="1">
      <alignment horizontal="center" vertical="center"/>
    </xf>
    <xf numFmtId="9" fontId="43" fillId="0" borderId="0" xfId="3" applyNumberFormat="1" applyFont="1">
      <alignment vertical="center"/>
    </xf>
    <xf numFmtId="0" fontId="5" fillId="18" borderId="0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24" fillId="2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/>
    </xf>
    <xf numFmtId="0" fontId="45" fillId="6" borderId="29" xfId="0" applyFont="1" applyFill="1" applyBorder="1" applyAlignment="1">
      <alignment horizontal="center" vertical="center"/>
    </xf>
    <xf numFmtId="0" fontId="45" fillId="6" borderId="28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/>
    </xf>
    <xf numFmtId="0" fontId="26" fillId="26" borderId="0" xfId="0" applyFont="1" applyFill="1" applyAlignment="1">
      <alignment horizontal="center" vertical="center"/>
    </xf>
    <xf numFmtId="0" fontId="14" fillId="26" borderId="0" xfId="0" applyFont="1" applyFill="1" applyAlignment="1">
      <alignment horizontal="center" vertical="center"/>
    </xf>
    <xf numFmtId="0" fontId="46" fillId="27" borderId="1" xfId="0" applyFont="1" applyFill="1" applyBorder="1" applyAlignment="1">
      <alignment horizontal="center" vertical="center"/>
    </xf>
    <xf numFmtId="0" fontId="46" fillId="27" borderId="3" xfId="0" applyFont="1" applyFill="1" applyBorder="1" applyAlignment="1">
      <alignment horizontal="center" vertical="center"/>
    </xf>
    <xf numFmtId="0" fontId="13" fillId="26" borderId="0" xfId="0" applyFont="1" applyFill="1" applyAlignment="1">
      <alignment vertical="center"/>
    </xf>
    <xf numFmtId="0" fontId="3" fillId="3" borderId="0" xfId="0" applyFont="1" applyFill="1" applyAlignment="1"/>
    <xf numFmtId="0" fontId="13" fillId="26" borderId="0" xfId="0" applyFont="1" applyFill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9" fontId="14" fillId="4" borderId="28" xfId="0" applyNumberFormat="1" applyFont="1" applyFill="1" applyBorder="1" applyAlignment="1">
      <alignment horizontal="center" vertical="center"/>
    </xf>
    <xf numFmtId="185" fontId="14" fillId="26" borderId="0" xfId="0" applyNumberFormat="1" applyFont="1" applyFill="1" applyAlignment="1">
      <alignment horizontal="center" vertical="center"/>
    </xf>
    <xf numFmtId="0" fontId="14" fillId="26" borderId="0" xfId="0" applyFont="1" applyFill="1" applyAlignment="1">
      <alignment horizontal="right" vertical="center"/>
    </xf>
    <xf numFmtId="0" fontId="14" fillId="26" borderId="1" xfId="0" applyFont="1" applyFill="1" applyBorder="1" applyAlignment="1">
      <alignment horizontal="center" vertical="center"/>
    </xf>
    <xf numFmtId="0" fontId="14" fillId="26" borderId="3" xfId="0" applyFont="1" applyFill="1" applyBorder="1" applyAlignment="1">
      <alignment horizontal="center" vertical="center"/>
    </xf>
    <xf numFmtId="179" fontId="14" fillId="26" borderId="3" xfId="0" applyNumberFormat="1" applyFont="1" applyFill="1" applyBorder="1" applyAlignment="1">
      <alignment horizontal="center" vertical="center"/>
    </xf>
    <xf numFmtId="0" fontId="14" fillId="26" borderId="29" xfId="0" applyFont="1" applyFill="1" applyBorder="1" applyAlignment="1">
      <alignment horizontal="center" vertical="center"/>
    </xf>
    <xf numFmtId="0" fontId="14" fillId="26" borderId="28" xfId="0" applyFont="1" applyFill="1" applyBorder="1" applyAlignment="1">
      <alignment horizontal="center" vertical="center"/>
    </xf>
    <xf numFmtId="179" fontId="14" fillId="26" borderId="29" xfId="0" applyNumberFormat="1" applyFont="1" applyFill="1" applyBorder="1" applyAlignment="1">
      <alignment horizontal="center" vertical="center"/>
    </xf>
    <xf numFmtId="0" fontId="3" fillId="0" borderId="29" xfId="0" applyFont="1" applyFill="1" applyBorder="1" applyAlignment="1"/>
    <xf numFmtId="0" fontId="14" fillId="4" borderId="1" xfId="0" applyFont="1" applyFill="1" applyBorder="1" applyAlignment="1">
      <alignment horizontal="center" vertical="center"/>
    </xf>
    <xf numFmtId="9" fontId="14" fillId="4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18" borderId="32" xfId="0" applyFont="1" applyFill="1" applyBorder="1" applyAlignment="1">
      <alignment horizontal="center" vertical="center"/>
    </xf>
    <xf numFmtId="0" fontId="5" fillId="18" borderId="33" xfId="0" applyFont="1" applyFill="1" applyBorder="1" applyAlignment="1">
      <alignment horizontal="center" vertical="center"/>
    </xf>
    <xf numFmtId="0" fontId="14" fillId="18" borderId="0" xfId="0" applyNumberFormat="1" applyFont="1" applyFill="1" applyBorder="1" applyAlignment="1">
      <alignment horizontal="center" vertical="center"/>
    </xf>
    <xf numFmtId="0" fontId="5" fillId="18" borderId="0" xfId="0" applyFont="1" applyFill="1" applyAlignment="1">
      <alignment vertical="center"/>
    </xf>
    <xf numFmtId="0" fontId="5" fillId="18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7" fillId="18" borderId="0" xfId="0" applyFont="1" applyFill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86" fontId="17" fillId="0" borderId="2" xfId="49" applyNumberFormat="1" applyFont="1" applyFill="1" applyBorder="1" applyAlignment="1">
      <alignment horizontal="center" vertical="center"/>
    </xf>
    <xf numFmtId="176" fontId="5" fillId="0" borderId="10" xfId="3" applyNumberFormat="1" applyFont="1" applyFill="1" applyBorder="1" applyAlignment="1">
      <alignment horizontal="center" vertical="center"/>
    </xf>
    <xf numFmtId="176" fontId="5" fillId="0" borderId="0" xfId="3" applyNumberFormat="1" applyFont="1" applyFill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10" fontId="5" fillId="18" borderId="10" xfId="3" applyNumberFormat="1" applyFont="1" applyFill="1" applyBorder="1" applyAlignment="1">
      <alignment horizontal="center" vertical="center"/>
    </xf>
    <xf numFmtId="186" fontId="5" fillId="18" borderId="10" xfId="3" applyNumberFormat="1" applyFont="1" applyFill="1" applyBorder="1" applyAlignment="1">
      <alignment horizontal="center" vertical="center"/>
    </xf>
    <xf numFmtId="185" fontId="5" fillId="18" borderId="10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76" fontId="5" fillId="18" borderId="10" xfId="49" applyNumberFormat="1" applyFont="1" applyFill="1" applyBorder="1" applyAlignment="1">
      <alignment horizontal="center" vertical="center"/>
    </xf>
    <xf numFmtId="10" fontId="5" fillId="0" borderId="10" xfId="3" applyNumberFormat="1" applyFont="1" applyFill="1" applyBorder="1" applyAlignment="1">
      <alignment horizontal="center" vertical="center"/>
    </xf>
    <xf numFmtId="186" fontId="5" fillId="0" borderId="10" xfId="0" applyNumberFormat="1" applyFont="1" applyFill="1" applyBorder="1" applyAlignment="1">
      <alignment horizontal="center" vertical="center"/>
    </xf>
    <xf numFmtId="180" fontId="5" fillId="0" borderId="10" xfId="0" applyNumberFormat="1" applyFont="1" applyFill="1" applyBorder="1" applyAlignment="1">
      <alignment horizontal="center" vertical="center"/>
    </xf>
    <xf numFmtId="186" fontId="5" fillId="18" borderId="0" xfId="0" applyNumberFormat="1" applyFont="1" applyFill="1" applyAlignment="1">
      <alignment horizontal="center" vertical="center"/>
    </xf>
    <xf numFmtId="0" fontId="5" fillId="18" borderId="10" xfId="0" applyNumberFormat="1" applyFont="1" applyFill="1" applyBorder="1" applyAlignment="1">
      <alignment horizontal="center" vertical="center"/>
    </xf>
    <xf numFmtId="0" fontId="17" fillId="0" borderId="34" xfId="0" applyFont="1" applyFill="1" applyBorder="1" applyAlignment="1">
      <alignment horizontal="center" vertical="center"/>
    </xf>
    <xf numFmtId="176" fontId="5" fillId="18" borderId="32" xfId="49" applyNumberFormat="1" applyFont="1" applyFill="1" applyBorder="1" applyAlignment="1">
      <alignment horizontal="center" vertical="center"/>
    </xf>
    <xf numFmtId="186" fontId="5" fillId="0" borderId="32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9" fontId="25" fillId="2" borderId="0" xfId="3" applyFont="1" applyFill="1" applyAlignment="1">
      <alignment horizontal="center" vertical="center"/>
    </xf>
    <xf numFmtId="179" fontId="5" fillId="0" borderId="10" xfId="3" applyNumberFormat="1" applyFont="1" applyFill="1" applyBorder="1" applyAlignment="1">
      <alignment horizontal="center" vertical="center"/>
    </xf>
    <xf numFmtId="9" fontId="5" fillId="18" borderId="10" xfId="0" applyNumberFormat="1" applyFont="1" applyFill="1" applyBorder="1" applyAlignment="1">
      <alignment horizontal="center" vertical="center"/>
    </xf>
    <xf numFmtId="0" fontId="5" fillId="6" borderId="10" xfId="0" applyNumberFormat="1" applyFont="1" applyFill="1" applyBorder="1" applyAlignment="1">
      <alignment horizontal="center" vertical="center"/>
    </xf>
    <xf numFmtId="187" fontId="5" fillId="0" borderId="10" xfId="3" applyNumberFormat="1" applyFont="1" applyFill="1" applyBorder="1" applyAlignment="1">
      <alignment horizontal="center" vertical="center"/>
    </xf>
    <xf numFmtId="1" fontId="5" fillId="0" borderId="10" xfId="0" applyNumberFormat="1" applyFont="1" applyFill="1" applyBorder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9" fontId="5" fillId="18" borderId="10" xfId="49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9" fontId="5" fillId="6" borderId="10" xfId="49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186" fontId="5" fillId="0" borderId="0" xfId="3" applyNumberFormat="1" applyFont="1" applyFill="1" applyAlignment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86" fontId="5" fillId="0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8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5" fillId="4" borderId="10" xfId="0" applyNumberFormat="1" applyFont="1" applyFill="1" applyBorder="1" applyAlignment="1">
      <alignment horizontal="center" vertical="center"/>
    </xf>
    <xf numFmtId="9" fontId="5" fillId="18" borderId="0" xfId="49" applyFont="1" applyFill="1" applyAlignment="1">
      <alignment horizontal="center" vertical="center"/>
    </xf>
    <xf numFmtId="0" fontId="3" fillId="0" borderId="0" xfId="0" applyFont="1" applyFill="1" applyAlignment="1"/>
    <xf numFmtId="179" fontId="14" fillId="26" borderId="0" xfId="0" applyNumberFormat="1" applyFont="1" applyFill="1" applyAlignment="1">
      <alignment horizontal="center" vertical="center"/>
    </xf>
    <xf numFmtId="0" fontId="14" fillId="26" borderId="35" xfId="0" applyFont="1" applyFill="1" applyBorder="1" applyAlignment="1">
      <alignment horizontal="center" vertical="center"/>
    </xf>
    <xf numFmtId="0" fontId="3" fillId="0" borderId="35" xfId="0" applyFont="1" applyFill="1" applyBorder="1" applyAlignment="1"/>
    <xf numFmtId="0" fontId="46" fillId="27" borderId="28" xfId="0" applyFont="1" applyFill="1" applyBorder="1" applyAlignment="1">
      <alignment horizontal="center" vertical="center"/>
    </xf>
    <xf numFmtId="0" fontId="46" fillId="27" borderId="29" xfId="0" applyFont="1" applyFill="1" applyBorder="1" applyAlignment="1">
      <alignment horizontal="center" vertical="center"/>
    </xf>
    <xf numFmtId="186" fontId="17" fillId="0" borderId="2" xfId="49" applyNumberFormat="1" applyFont="1" applyBorder="1" applyAlignment="1">
      <alignment horizontal="center" vertical="center"/>
    </xf>
    <xf numFmtId="176" fontId="5" fillId="0" borderId="10" xfId="3" applyNumberFormat="1" applyFont="1" applyBorder="1" applyAlignment="1">
      <alignment horizontal="center" vertical="center"/>
    </xf>
    <xf numFmtId="176" fontId="5" fillId="0" borderId="0" xfId="3" applyNumberFormat="1" applyFont="1" applyAlignment="1">
      <alignment horizontal="center" vertical="center"/>
    </xf>
    <xf numFmtId="10" fontId="5" fillId="0" borderId="10" xfId="3" applyNumberFormat="1" applyFont="1" applyBorder="1" applyAlignment="1">
      <alignment horizontal="center" vertical="center"/>
    </xf>
    <xf numFmtId="186" fontId="5" fillId="0" borderId="0" xfId="3" applyNumberFormat="1" applyFont="1" applyAlignment="1">
      <alignment horizontal="center" vertical="center"/>
    </xf>
    <xf numFmtId="0" fontId="5" fillId="18" borderId="36" xfId="0" applyFont="1" applyFill="1" applyBorder="1" applyAlignment="1">
      <alignment horizontal="center" vertical="center" wrapText="1"/>
    </xf>
    <xf numFmtId="0" fontId="5" fillId="18" borderId="37" xfId="0" applyFont="1" applyFill="1" applyBorder="1" applyAlignment="1">
      <alignment horizontal="center" vertical="center" wrapText="1"/>
    </xf>
    <xf numFmtId="9" fontId="5" fillId="0" borderId="10" xfId="3" applyFont="1" applyBorder="1" applyAlignment="1">
      <alignment horizontal="center" vertical="center"/>
    </xf>
    <xf numFmtId="2" fontId="5" fillId="0" borderId="1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5" fillId="18" borderId="36" xfId="0" applyFont="1" applyFill="1" applyBorder="1" applyAlignment="1">
      <alignment horizontal="center" vertical="center"/>
    </xf>
    <xf numFmtId="0" fontId="5" fillId="18" borderId="37" xfId="0" applyFont="1" applyFill="1" applyBorder="1" applyAlignment="1">
      <alignment horizontal="center" vertical="center"/>
    </xf>
    <xf numFmtId="186" fontId="5" fillId="0" borderId="0" xfId="49" applyNumberFormat="1" applyFont="1" applyAlignment="1">
      <alignment horizontal="center" vertical="center"/>
    </xf>
    <xf numFmtId="0" fontId="5" fillId="18" borderId="38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center" vertical="center"/>
    </xf>
    <xf numFmtId="0" fontId="5" fillId="28" borderId="10" xfId="0" applyFont="1" applyFill="1" applyBorder="1" applyAlignment="1">
      <alignment horizontal="center" vertical="center"/>
    </xf>
    <xf numFmtId="0" fontId="5" fillId="28" borderId="10" xfId="0" applyFont="1" applyFill="1" applyBorder="1" applyAlignment="1">
      <alignment horizontal="center"/>
    </xf>
    <xf numFmtId="9" fontId="5" fillId="28" borderId="10" xfId="3" applyFont="1" applyFill="1" applyBorder="1" applyAlignment="1">
      <alignment horizontal="center" vertical="center"/>
    </xf>
    <xf numFmtId="0" fontId="47" fillId="18" borderId="0" xfId="0" applyFont="1" applyFill="1" applyAlignment="1">
      <alignment horizontal="left" vertical="center"/>
    </xf>
    <xf numFmtId="0" fontId="5" fillId="18" borderId="0" xfId="0" applyNumberFormat="1" applyFont="1" applyFill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/>
    <xf numFmtId="0" fontId="1" fillId="0" borderId="0" xfId="0" applyFont="1" applyFill="1" applyAlignment="1">
      <alignment vertical="center"/>
    </xf>
    <xf numFmtId="0" fontId="27" fillId="2" borderId="10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0" fillId="18" borderId="10" xfId="0" applyFont="1" applyFill="1" applyBorder="1" applyAlignment="1">
      <alignment horizontal="right" vertical="center"/>
    </xf>
    <xf numFmtId="0" fontId="50" fillId="18" borderId="10" xfId="0" applyFont="1" applyFill="1" applyBorder="1" applyAlignment="1">
      <alignment horizontal="center" vertical="center"/>
    </xf>
    <xf numFmtId="0" fontId="50" fillId="18" borderId="0" xfId="0" applyNumberFormat="1" applyFont="1" applyFill="1" applyAlignment="1">
      <alignment horizontal="center" vertical="center"/>
    </xf>
    <xf numFmtId="0" fontId="5" fillId="4" borderId="10" xfId="0" applyFont="1" applyFill="1" applyBorder="1" applyAlignment="1">
      <alignment horizontal="right" vertical="center"/>
    </xf>
    <xf numFmtId="0" fontId="5" fillId="4" borderId="0" xfId="0" applyNumberFormat="1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51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6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185" fontId="17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51" fillId="8" borderId="0" xfId="0" applyFont="1" applyFill="1" applyAlignment="1">
      <alignment horizontal="center" vertical="center"/>
    </xf>
    <xf numFmtId="176" fontId="17" fillId="8" borderId="1" xfId="0" applyNumberFormat="1" applyFont="1" applyFill="1" applyBorder="1" applyAlignment="1">
      <alignment horizontal="center" vertical="center"/>
    </xf>
    <xf numFmtId="188" fontId="17" fillId="8" borderId="0" xfId="0" applyNumberFormat="1" applyFont="1" applyFill="1" applyAlignment="1">
      <alignment horizontal="center" vertical="center"/>
    </xf>
    <xf numFmtId="9" fontId="17" fillId="8" borderId="0" xfId="0" applyNumberFormat="1" applyFont="1" applyFill="1" applyAlignment="1">
      <alignment horizontal="center" vertical="center"/>
    </xf>
    <xf numFmtId="9" fontId="17" fillId="4" borderId="1" xfId="0" applyNumberFormat="1" applyFont="1" applyFill="1" applyBorder="1" applyAlignment="1">
      <alignment horizontal="center" vertical="center"/>
    </xf>
    <xf numFmtId="188" fontId="17" fillId="8" borderId="1" xfId="0" applyNumberFormat="1" applyFont="1" applyFill="1" applyBorder="1" applyAlignment="1">
      <alignment horizontal="center" vertical="center"/>
    </xf>
    <xf numFmtId="176" fontId="17" fillId="4" borderId="1" xfId="0" applyNumberFormat="1" applyFont="1" applyFill="1" applyBorder="1" applyAlignment="1">
      <alignment horizontal="center" vertical="center"/>
    </xf>
    <xf numFmtId="0" fontId="49" fillId="0" borderId="0" xfId="0" applyFont="1" applyFill="1" applyAlignment="1">
      <alignment horizontal="center" vertical="center"/>
    </xf>
    <xf numFmtId="176" fontId="49" fillId="0" borderId="0" xfId="0" applyNumberFormat="1" applyFont="1" applyFill="1" applyAlignment="1">
      <alignment horizontal="center" vertical="center"/>
    </xf>
    <xf numFmtId="0" fontId="0" fillId="29" borderId="0" xfId="0" applyFill="1" applyAlignment="1">
      <alignment horizontal="left" vertical="center"/>
    </xf>
    <xf numFmtId="0" fontId="0" fillId="29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52" fillId="16" borderId="39" xfId="0" applyFont="1" applyFill="1" applyBorder="1" applyAlignment="1">
      <alignment horizontal="center" vertical="center"/>
    </xf>
    <xf numFmtId="0" fontId="52" fillId="16" borderId="39" xfId="0" applyFont="1" applyFill="1" applyBorder="1" applyAlignment="1">
      <alignment horizontal="center" vertical="center" wrapText="1"/>
    </xf>
    <xf numFmtId="0" fontId="0" fillId="3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7" fillId="0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9" fontId="6" fillId="8" borderId="0" xfId="0" applyNumberFormat="1" applyFont="1" applyFill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3" fillId="8" borderId="0" xfId="0" applyFont="1" applyFill="1" applyAlignment="1">
      <alignment horizontal="center" vertical="center"/>
    </xf>
    <xf numFmtId="0" fontId="53" fillId="8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0" fontId="5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right" vertical="center"/>
    </xf>
    <xf numFmtId="0" fontId="34" fillId="8" borderId="1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" xfId="0" applyFont="1" applyFill="1" applyBorder="1">
      <alignment vertical="center"/>
    </xf>
    <xf numFmtId="0" fontId="6" fillId="0" borderId="2" xfId="0" applyFont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0" fontId="6" fillId="8" borderId="0" xfId="0" applyFont="1" applyFill="1" applyAlignment="1"/>
    <xf numFmtId="0" fontId="52" fillId="16" borderId="10" xfId="0" applyFont="1" applyFill="1" applyBorder="1" applyAlignment="1">
      <alignment horizontal="center" vertical="center"/>
    </xf>
    <xf numFmtId="0" fontId="52" fillId="16" borderId="10" xfId="0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 applyProtection="1">
      <alignment horizontal="center" vertical="center"/>
    </xf>
    <xf numFmtId="0" fontId="17" fillId="0" borderId="0" xfId="0" applyNumberFormat="1" applyFont="1" applyFill="1" applyBorder="1" applyAlignment="1" applyProtection="1">
      <alignment horizontal="center"/>
    </xf>
    <xf numFmtId="9" fontId="20" fillId="0" borderId="0" xfId="3" applyFont="1" applyAlignment="1">
      <alignment horizontal="center" vertical="center"/>
    </xf>
    <xf numFmtId="0" fontId="17" fillId="0" borderId="0" xfId="0" applyNumberFormat="1" applyFont="1" applyFill="1" applyBorder="1" applyAlignment="1" applyProtection="1">
      <alignment horizontal="center" wrapText="1"/>
    </xf>
    <xf numFmtId="0" fontId="3" fillId="0" borderId="0" xfId="0" applyFont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0" fillId="0" borderId="40" xfId="0" applyNumberFormat="1" applyFont="1" applyBorder="1" applyAlignment="1">
      <alignment horizontal="center" vertical="center"/>
    </xf>
    <xf numFmtId="9" fontId="0" fillId="0" borderId="40" xfId="3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9" fontId="20" fillId="0" borderId="10" xfId="3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14" fillId="0" borderId="0" xfId="0" applyNumberFormat="1" applyFont="1" applyFill="1" applyAlignment="1" applyProtection="1">
      <alignment horizontal="center"/>
    </xf>
    <xf numFmtId="0" fontId="45" fillId="0" borderId="0" xfId="0" applyNumberFormat="1" applyFont="1" applyFill="1" applyBorder="1" applyAlignment="1" applyProtection="1">
      <alignment horizontal="center"/>
    </xf>
    <xf numFmtId="0" fontId="45" fillId="0" borderId="0" xfId="0" applyNumberFormat="1" applyFont="1" applyFill="1" applyAlignment="1" applyProtection="1">
      <alignment horizontal="center"/>
    </xf>
    <xf numFmtId="58" fontId="3" fillId="0" borderId="0" xfId="0" applyNumberFormat="1" applyFont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3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9" fontId="43" fillId="0" borderId="0" xfId="3" applyFont="1" applyAlignment="1">
      <alignment horizontal="center" vertical="center"/>
    </xf>
    <xf numFmtId="0" fontId="55" fillId="0" borderId="0" xfId="0" applyNumberFormat="1" applyFont="1" applyFill="1" applyBorder="1" applyAlignment="1" applyProtection="1">
      <alignment horizontal="center"/>
    </xf>
    <xf numFmtId="0" fontId="5" fillId="7" borderId="0" xfId="0" applyFont="1" applyFill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9" fontId="13" fillId="0" borderId="10" xfId="3" applyFont="1" applyFill="1" applyBorder="1" applyAlignment="1">
      <alignment horizontal="center" vertical="center"/>
    </xf>
    <xf numFmtId="0" fontId="21" fillId="10" borderId="42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4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NumberFormat="1" applyFont="1">
      <alignment vertical="center"/>
    </xf>
    <xf numFmtId="0" fontId="56" fillId="0" borderId="0" xfId="0" applyFont="1">
      <alignment vertical="center"/>
    </xf>
    <xf numFmtId="0" fontId="55" fillId="29" borderId="0" xfId="0" applyNumberFormat="1" applyFont="1" applyFill="1" applyBorder="1" applyAlignment="1" applyProtection="1">
      <alignment horizontal="center"/>
    </xf>
    <xf numFmtId="0" fontId="55" fillId="29" borderId="0" xfId="0" applyNumberFormat="1" applyFont="1" applyFill="1" applyBorder="1" applyAlignment="1" applyProtection="1">
      <alignment horizontal="center" vertical="center"/>
    </xf>
    <xf numFmtId="0" fontId="3" fillId="29" borderId="0" xfId="0" applyFont="1" applyFill="1" applyAlignment="1">
      <alignment horizontal="center" vertical="center"/>
    </xf>
    <xf numFmtId="9" fontId="20" fillId="29" borderId="0" xfId="3" applyFont="1" applyFill="1" applyAlignment="1">
      <alignment horizontal="center" vertical="center"/>
    </xf>
    <xf numFmtId="0" fontId="3" fillId="29" borderId="0" xfId="0" applyNumberFormat="1" applyFont="1" applyFill="1">
      <alignment vertical="center"/>
    </xf>
    <xf numFmtId="0" fontId="55" fillId="0" borderId="0" xfId="0" applyNumberFormat="1" applyFont="1" applyFill="1" applyBorder="1" applyAlignment="1" applyProtection="1">
      <alignment horizontal="center" vertical="center"/>
    </xf>
    <xf numFmtId="0" fontId="20" fillId="0" borderId="0" xfId="0" applyFont="1">
      <alignment vertical="center"/>
    </xf>
    <xf numFmtId="9" fontId="20" fillId="0" borderId="0" xfId="3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57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8" fillId="0" borderId="25" xfId="0" applyFont="1" applyFill="1" applyBorder="1" applyAlignment="1">
      <alignment horizontal="center"/>
    </xf>
    <xf numFmtId="9" fontId="58" fillId="0" borderId="25" xfId="0" applyNumberFormat="1" applyFont="1" applyFill="1" applyBorder="1" applyAlignment="1">
      <alignment horizontal="center"/>
    </xf>
    <xf numFmtId="0" fontId="59" fillId="34" borderId="43" xfId="0" applyFont="1" applyFill="1" applyBorder="1" applyAlignment="1">
      <alignment horizontal="center" vertical="center"/>
    </xf>
    <xf numFmtId="0" fontId="59" fillId="34" borderId="43" xfId="0" applyFont="1" applyFill="1" applyBorder="1" applyAlignment="1">
      <alignment horizontal="left" vertical="center"/>
    </xf>
    <xf numFmtId="0" fontId="60" fillId="7" borderId="29" xfId="0" applyFont="1" applyFill="1" applyBorder="1" applyAlignment="1">
      <alignment horizontal="center" vertical="center"/>
    </xf>
    <xf numFmtId="0" fontId="55" fillId="35" borderId="43" xfId="0" applyFont="1" applyFill="1" applyBorder="1" applyAlignment="1">
      <alignment horizontal="center"/>
    </xf>
    <xf numFmtId="0" fontId="55" fillId="35" borderId="43" xfId="0" applyFont="1" applyFill="1" applyBorder="1" applyAlignment="1">
      <alignment horizontal="left"/>
    </xf>
    <xf numFmtId="180" fontId="58" fillId="0" borderId="25" xfId="0" applyNumberFormat="1" applyFont="1" applyFill="1" applyBorder="1" applyAlignment="1">
      <alignment horizontal="center"/>
    </xf>
    <xf numFmtId="0" fontId="55" fillId="36" borderId="43" xfId="0" applyFont="1" applyFill="1" applyBorder="1" applyAlignment="1">
      <alignment horizontal="center"/>
    </xf>
    <xf numFmtId="0" fontId="55" fillId="0" borderId="43" xfId="0" applyFont="1" applyBorder="1" applyAlignment="1">
      <alignment horizontal="center"/>
    </xf>
    <xf numFmtId="0" fontId="55" fillId="36" borderId="43" xfId="0" applyFont="1" applyFill="1" applyBorder="1" applyAlignment="1">
      <alignment horizontal="left"/>
    </xf>
    <xf numFmtId="0" fontId="55" fillId="0" borderId="43" xfId="0" applyFont="1" applyBorder="1" applyAlignment="1">
      <alignment horizontal="left"/>
    </xf>
    <xf numFmtId="0" fontId="55" fillId="37" borderId="43" xfId="0" applyFont="1" applyFill="1" applyBorder="1" applyAlignment="1">
      <alignment horizontal="center"/>
    </xf>
    <xf numFmtId="0" fontId="55" fillId="37" borderId="43" xfId="0" applyFont="1" applyFill="1" applyBorder="1" applyAlignment="1">
      <alignment horizontal="left"/>
    </xf>
    <xf numFmtId="0" fontId="55" fillId="38" borderId="43" xfId="0" applyFont="1" applyFill="1" applyBorder="1" applyAlignment="1">
      <alignment horizontal="center"/>
    </xf>
    <xf numFmtId="0" fontId="55" fillId="38" borderId="43" xfId="0" applyFont="1" applyFill="1" applyBorder="1" applyAlignment="1">
      <alignment horizontal="left"/>
    </xf>
    <xf numFmtId="49" fontId="52" fillId="16" borderId="39" xfId="0" applyNumberFormat="1" applyFont="1" applyFill="1" applyBorder="1" applyAlignment="1">
      <alignment horizontal="center" vertical="center"/>
    </xf>
    <xf numFmtId="0" fontId="17" fillId="6" borderId="0" xfId="0" applyNumberFormat="1" applyFont="1" applyFill="1" applyBorder="1" applyAlignment="1" applyProtection="1">
      <alignment horizontal="center"/>
    </xf>
    <xf numFmtId="0" fontId="17" fillId="6" borderId="0" xfId="0" applyFont="1" applyFill="1" applyAlignment="1">
      <alignment horizontal="center" vertical="center"/>
    </xf>
    <xf numFmtId="49" fontId="17" fillId="0" borderId="0" xfId="0" applyNumberFormat="1" applyFont="1" applyFill="1" applyAlignment="1" applyProtection="1">
      <alignment horizontal="center"/>
    </xf>
    <xf numFmtId="0" fontId="17" fillId="0" borderId="0" xfId="0" applyNumberFormat="1" applyFont="1" applyFill="1" applyAlignment="1" applyProtection="1">
      <alignment horizontal="center"/>
    </xf>
    <xf numFmtId="177" fontId="17" fillId="0" borderId="0" xfId="0" applyNumberFormat="1" applyFont="1" applyFill="1" applyBorder="1" applyAlignment="1" applyProtection="1">
      <alignment horizontal="center"/>
    </xf>
    <xf numFmtId="0" fontId="55" fillId="39" borderId="0" xfId="0" applyNumberFormat="1" applyFont="1" applyFill="1" applyBorder="1" applyAlignment="1" applyProtection="1">
      <alignment horizontal="center" vertical="center"/>
    </xf>
    <xf numFmtId="0" fontId="55" fillId="40" borderId="43" xfId="0" applyFont="1" applyFill="1" applyBorder="1" applyAlignment="1">
      <alignment horizontal="left"/>
    </xf>
    <xf numFmtId="0" fontId="61" fillId="36" borderId="43" xfId="0" applyFont="1" applyFill="1" applyBorder="1" applyAlignment="1">
      <alignment horizontal="left"/>
    </xf>
    <xf numFmtId="0" fontId="55" fillId="41" borderId="43" xfId="0" applyFont="1" applyFill="1" applyBorder="1" applyAlignment="1">
      <alignment horizontal="center"/>
    </xf>
    <xf numFmtId="0" fontId="55" fillId="41" borderId="43" xfId="0" applyFont="1" applyFill="1" applyBorder="1" applyAlignment="1">
      <alignment horizontal="left"/>
    </xf>
    <xf numFmtId="0" fontId="62" fillId="36" borderId="43" xfId="0" applyFont="1" applyFill="1" applyBorder="1" applyAlignment="1">
      <alignment horizontal="left"/>
    </xf>
    <xf numFmtId="0" fontId="63" fillId="36" borderId="43" xfId="0" applyFont="1" applyFill="1" applyBorder="1" applyAlignment="1">
      <alignment horizontal="left"/>
    </xf>
    <xf numFmtId="0" fontId="17" fillId="2" borderId="0" xfId="0" applyNumberFormat="1" applyFont="1" applyFill="1" applyBorder="1" applyAlignment="1" applyProtection="1">
      <alignment horizontal="center" vertical="center"/>
    </xf>
    <xf numFmtId="0" fontId="64" fillId="36" borderId="43" xfId="0" applyFont="1" applyFill="1" applyBorder="1" applyAlignment="1">
      <alignment horizontal="left"/>
    </xf>
    <xf numFmtId="0" fontId="17" fillId="42" borderId="0" xfId="0" applyNumberFormat="1" applyFont="1" applyFill="1" applyBorder="1" applyAlignment="1" applyProtection="1">
      <alignment horizontal="center" vertical="center"/>
    </xf>
    <xf numFmtId="0" fontId="17" fillId="43" borderId="0" xfId="0" applyNumberFormat="1" applyFont="1" applyFill="1" applyBorder="1" applyAlignment="1" applyProtection="1">
      <alignment horizontal="center" vertical="center"/>
    </xf>
    <xf numFmtId="0" fontId="55" fillId="36" borderId="43" xfId="0" applyFont="1" applyFill="1" applyBorder="1" applyAlignment="1">
      <alignment horizontal="center" vertical="center"/>
    </xf>
    <xf numFmtId="0" fontId="55" fillId="44" borderId="43" xfId="0" applyFont="1" applyFill="1" applyBorder="1" applyAlignment="1">
      <alignment horizontal="center"/>
    </xf>
    <xf numFmtId="0" fontId="55" fillId="44" borderId="43" xfId="0" applyFont="1" applyFill="1" applyBorder="1" applyAlignment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17" fillId="0" borderId="0" xfId="0" applyNumberFormat="1" applyFont="1" applyFill="1" applyAlignment="1">
      <alignment horizontal="center" vertical="center"/>
    </xf>
    <xf numFmtId="0" fontId="55" fillId="0" borderId="43" xfId="0" applyFont="1" applyBorder="1" applyAlignment="1">
      <alignment horizontal="center" vertical="center"/>
    </xf>
    <xf numFmtId="0" fontId="55" fillId="45" borderId="43" xfId="0" applyFont="1" applyFill="1" applyBorder="1" applyAlignment="1">
      <alignment horizontal="center"/>
    </xf>
    <xf numFmtId="0" fontId="55" fillId="45" borderId="43" xfId="0" applyFont="1" applyFill="1" applyBorder="1" applyAlignment="1">
      <alignment horizontal="left"/>
    </xf>
    <xf numFmtId="0" fontId="55" fillId="46" borderId="43" xfId="0" applyFont="1" applyFill="1" applyBorder="1" applyAlignment="1">
      <alignment horizontal="center"/>
    </xf>
    <xf numFmtId="0" fontId="55" fillId="46" borderId="43" xfId="0" applyFont="1" applyFill="1" applyBorder="1" applyAlignment="1">
      <alignment horizontal="left"/>
    </xf>
    <xf numFmtId="0" fontId="55" fillId="47" borderId="43" xfId="0" applyFont="1" applyFill="1" applyBorder="1" applyAlignment="1">
      <alignment horizontal="center"/>
    </xf>
    <xf numFmtId="0" fontId="55" fillId="47" borderId="43" xfId="0" applyFont="1" applyFill="1" applyBorder="1" applyAlignment="1">
      <alignment horizontal="left"/>
    </xf>
    <xf numFmtId="0" fontId="55" fillId="48" borderId="43" xfId="0" applyFont="1" applyFill="1" applyBorder="1" applyAlignment="1">
      <alignment horizontal="center"/>
    </xf>
    <xf numFmtId="0" fontId="55" fillId="48" borderId="43" xfId="0" applyFont="1" applyFill="1" applyBorder="1" applyAlignment="1">
      <alignment horizontal="left"/>
    </xf>
    <xf numFmtId="0" fontId="6" fillId="0" borderId="43" xfId="0" applyFont="1" applyBorder="1">
      <alignment vertical="center"/>
    </xf>
    <xf numFmtId="0" fontId="6" fillId="0" borderId="43" xfId="0" applyFont="1" applyBorder="1" applyAlignment="1">
      <alignment horizontal="center" vertical="center"/>
    </xf>
    <xf numFmtId="0" fontId="6" fillId="49" borderId="43" xfId="0" applyFont="1" applyFill="1" applyBorder="1" applyAlignment="1">
      <alignment horizontal="center" vertical="center"/>
    </xf>
    <xf numFmtId="0" fontId="6" fillId="49" borderId="43" xfId="0" applyFont="1" applyFill="1" applyBorder="1">
      <alignment vertical="center"/>
    </xf>
    <xf numFmtId="0" fontId="6" fillId="50" borderId="43" xfId="0" applyFont="1" applyFill="1" applyBorder="1">
      <alignment vertical="center"/>
    </xf>
    <xf numFmtId="0" fontId="4" fillId="50" borderId="44" xfId="0" applyFont="1" applyFill="1" applyBorder="1">
      <alignment vertical="center"/>
    </xf>
    <xf numFmtId="0" fontId="6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44" xfId="0" applyFont="1" applyBorder="1">
      <alignment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17" fillId="3" borderId="43" xfId="0" applyFont="1" applyFill="1" applyBorder="1">
      <alignment vertical="center"/>
    </xf>
    <xf numFmtId="0" fontId="17" fillId="3" borderId="1" xfId="0" applyFont="1" applyFill="1" applyBorder="1" applyAlignment="1">
      <alignment horizontal="center" vertical="center"/>
    </xf>
    <xf numFmtId="9" fontId="17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49" borderId="1" xfId="0" applyFont="1" applyFill="1" applyBorder="1" applyAlignment="1">
      <alignment horizontal="center" vertical="center"/>
    </xf>
    <xf numFmtId="9" fontId="17" fillId="49" borderId="1" xfId="0" applyNumberFormat="1" applyFont="1" applyFill="1" applyBorder="1" applyAlignment="1">
      <alignment horizontal="center" vertical="center"/>
    </xf>
    <xf numFmtId="0" fontId="12" fillId="7" borderId="45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9" fontId="6" fillId="0" borderId="44" xfId="0" applyNumberFormat="1" applyFont="1" applyBorder="1" applyAlignment="1">
      <alignment horizontal="center" vertical="center"/>
    </xf>
    <xf numFmtId="0" fontId="12" fillId="51" borderId="46" xfId="0" applyFont="1" applyFill="1" applyBorder="1" applyAlignment="1">
      <alignment horizontal="center" vertical="center"/>
    </xf>
    <xf numFmtId="0" fontId="12" fillId="51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5" fillId="29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5" fillId="36" borderId="10" xfId="0" applyFont="1" applyFill="1" applyBorder="1" applyAlignment="1">
      <alignment horizontal="center"/>
    </xf>
    <xf numFmtId="0" fontId="55" fillId="0" borderId="10" xfId="0" applyFont="1" applyBorder="1" applyAlignment="1">
      <alignment horizontal="center"/>
    </xf>
    <xf numFmtId="0" fontId="0" fillId="0" borderId="10" xfId="0" applyBorder="1">
      <alignment vertical="center"/>
    </xf>
    <xf numFmtId="0" fontId="55" fillId="44" borderId="10" xfId="0" applyFont="1" applyFill="1" applyBorder="1" applyAlignment="1">
      <alignment horizontal="center"/>
    </xf>
    <xf numFmtId="0" fontId="55" fillId="0" borderId="10" xfId="0" applyFont="1" applyBorder="1" applyAlignment="1">
      <alignment horizontal="center" vertical="center"/>
    </xf>
    <xf numFmtId="0" fontId="55" fillId="48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55" fillId="48" borderId="10" xfId="0" applyFont="1" applyFill="1" applyBorder="1" applyAlignment="1">
      <alignment horizontal="left"/>
    </xf>
    <xf numFmtId="0" fontId="6" fillId="49" borderId="1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7" fillId="48" borderId="43" xfId="0" applyFont="1" applyFill="1" applyBorder="1" applyAlignment="1">
      <alignment horizontal="center" vertical="center"/>
    </xf>
    <xf numFmtId="0" fontId="17" fillId="48" borderId="43" xfId="0" applyFont="1" applyFill="1" applyBorder="1">
      <alignment vertical="center"/>
    </xf>
    <xf numFmtId="0" fontId="17" fillId="52" borderId="43" xfId="0" applyFont="1" applyFill="1" applyBorder="1">
      <alignment vertical="center"/>
    </xf>
    <xf numFmtId="0" fontId="17" fillId="53" borderId="1" xfId="0" applyFont="1" applyFill="1" applyBorder="1" applyAlignment="1">
      <alignment horizontal="center" vertical="center"/>
    </xf>
    <xf numFmtId="0" fontId="17" fillId="54" borderId="1" xfId="0" applyFont="1" applyFill="1" applyBorder="1" applyAlignment="1">
      <alignment horizontal="center" vertical="center"/>
    </xf>
    <xf numFmtId="0" fontId="17" fillId="55" borderId="48" xfId="0" applyFont="1" applyFill="1" applyBorder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17" fillId="43" borderId="43" xfId="0" applyFont="1" applyFill="1" applyBorder="1" applyAlignment="1">
      <alignment horizontal="center" vertical="center"/>
    </xf>
    <xf numFmtId="0" fontId="17" fillId="56" borderId="43" xfId="0" applyFont="1" applyFill="1" applyBorder="1" applyAlignment="1">
      <alignment horizontal="center" vertical="center"/>
    </xf>
    <xf numFmtId="0" fontId="17" fillId="57" borderId="43" xfId="0" applyFont="1" applyFill="1" applyBorder="1" applyAlignment="1">
      <alignment horizontal="center" vertical="center"/>
    </xf>
    <xf numFmtId="0" fontId="17" fillId="48" borderId="43" xfId="0" applyFont="1" applyFill="1" applyBorder="1" applyAlignment="1">
      <alignment horizontal="left" vertical="center"/>
    </xf>
    <xf numFmtId="0" fontId="17" fillId="58" borderId="43" xfId="0" applyFont="1" applyFill="1" applyBorder="1" applyAlignment="1">
      <alignment horizontal="center" vertical="center"/>
    </xf>
    <xf numFmtId="0" fontId="17" fillId="54" borderId="43" xfId="0" applyFont="1" applyFill="1" applyBorder="1" applyAlignment="1">
      <alignment horizontal="center" vertical="center"/>
    </xf>
    <xf numFmtId="0" fontId="17" fillId="59" borderId="43" xfId="0" applyFont="1" applyFill="1" applyBorder="1" applyAlignment="1">
      <alignment horizontal="center" vertical="center"/>
    </xf>
    <xf numFmtId="0" fontId="17" fillId="60" borderId="43" xfId="0" applyFont="1" applyFill="1" applyBorder="1" applyAlignment="1">
      <alignment horizontal="center" vertical="center"/>
    </xf>
    <xf numFmtId="0" fontId="17" fillId="55" borderId="43" xfId="0" applyFont="1" applyFill="1" applyBorder="1" applyAlignment="1">
      <alignment horizontal="center" vertical="center"/>
    </xf>
    <xf numFmtId="0" fontId="17" fillId="61" borderId="43" xfId="0" applyFont="1" applyFill="1" applyBorder="1" applyAlignment="1">
      <alignment horizontal="center" vertical="center"/>
    </xf>
    <xf numFmtId="0" fontId="17" fillId="62" borderId="43" xfId="0" applyFont="1" applyFill="1" applyBorder="1" applyAlignment="1">
      <alignment horizontal="center" vertical="center"/>
    </xf>
    <xf numFmtId="0" fontId="17" fillId="63" borderId="43" xfId="0" applyFont="1" applyFill="1" applyBorder="1" applyAlignment="1">
      <alignment horizontal="center" vertical="center"/>
    </xf>
    <xf numFmtId="0" fontId="17" fillId="52" borderId="43" xfId="0" applyFont="1" applyFill="1" applyBorder="1" applyAlignment="1">
      <alignment horizontal="center" vertical="center"/>
    </xf>
    <xf numFmtId="0" fontId="17" fillId="64" borderId="43" xfId="0" applyFont="1" applyFill="1" applyBorder="1" applyAlignment="1">
      <alignment horizontal="center" vertical="center"/>
    </xf>
    <xf numFmtId="0" fontId="17" fillId="65" borderId="43" xfId="0" applyFont="1" applyFill="1" applyBorder="1" applyAlignment="1">
      <alignment horizontal="center" vertical="center"/>
    </xf>
    <xf numFmtId="0" fontId="17" fillId="66" borderId="43" xfId="0" applyFont="1" applyFill="1" applyBorder="1" applyAlignment="1">
      <alignment horizontal="center" vertical="center"/>
    </xf>
    <xf numFmtId="0" fontId="17" fillId="67" borderId="43" xfId="0" applyFont="1" applyFill="1" applyBorder="1" applyAlignment="1">
      <alignment horizontal="center" vertical="center"/>
    </xf>
    <xf numFmtId="0" fontId="17" fillId="68" borderId="43" xfId="0" applyFont="1" applyFill="1" applyBorder="1" applyAlignment="1">
      <alignment horizontal="center" vertical="center"/>
    </xf>
    <xf numFmtId="0" fontId="17" fillId="69" borderId="43" xfId="0" applyFont="1" applyFill="1" applyBorder="1" applyAlignment="1">
      <alignment horizontal="center" vertical="center"/>
    </xf>
    <xf numFmtId="0" fontId="17" fillId="65" borderId="43" xfId="0" applyFont="1" applyFill="1" applyBorder="1" applyAlignment="1">
      <alignment horizontal="left" vertical="center"/>
    </xf>
    <xf numFmtId="0" fontId="17" fillId="70" borderId="43" xfId="0" applyFont="1" applyFill="1" applyBorder="1" applyAlignment="1">
      <alignment horizontal="center" vertical="center"/>
    </xf>
    <xf numFmtId="0" fontId="17" fillId="3" borderId="43" xfId="0" applyFont="1" applyFill="1" applyBorder="1" applyAlignment="1">
      <alignment horizontal="center" vertical="center"/>
    </xf>
    <xf numFmtId="0" fontId="17" fillId="3" borderId="43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180" fontId="0" fillId="0" borderId="0" xfId="0" applyNumberFormat="1">
      <alignment vertical="center"/>
    </xf>
    <xf numFmtId="0" fontId="0" fillId="34" borderId="0" xfId="0" applyFill="1" applyAlignment="1">
      <alignment horizontal="center" vertical="center"/>
    </xf>
    <xf numFmtId="0" fontId="12" fillId="71" borderId="1" xfId="0" applyFont="1" applyFill="1" applyBorder="1" applyAlignment="1">
      <alignment horizontal="center" vertical="center"/>
    </xf>
    <xf numFmtId="0" fontId="12" fillId="54" borderId="45" xfId="0" applyFont="1" applyFill="1" applyBorder="1" applyAlignment="1">
      <alignment horizontal="center" vertical="center"/>
    </xf>
    <xf numFmtId="0" fontId="12" fillId="72" borderId="1" xfId="0" applyFont="1" applyFill="1" applyBorder="1" applyAlignment="1">
      <alignment horizontal="center" vertical="center"/>
    </xf>
    <xf numFmtId="0" fontId="12" fillId="73" borderId="1" xfId="0" applyFont="1" applyFill="1" applyBorder="1" applyAlignment="1">
      <alignment horizontal="center" vertical="center"/>
    </xf>
    <xf numFmtId="0" fontId="12" fillId="74" borderId="1" xfId="0" applyFont="1" applyFill="1" applyBorder="1" applyAlignment="1">
      <alignment horizontal="center" vertical="center"/>
    </xf>
    <xf numFmtId="0" fontId="12" fillId="74" borderId="45" xfId="0" applyFont="1" applyFill="1" applyBorder="1" applyAlignment="1">
      <alignment horizontal="center" vertical="center"/>
    </xf>
    <xf numFmtId="0" fontId="46" fillId="74" borderId="45" xfId="0" applyFont="1" applyFill="1" applyBorder="1" applyAlignment="1">
      <alignment horizontal="center" vertical="center"/>
    </xf>
    <xf numFmtId="0" fontId="4" fillId="74" borderId="45" xfId="0" applyFont="1" applyFill="1" applyBorder="1" applyAlignment="1">
      <alignment horizontal="center" vertical="center"/>
    </xf>
    <xf numFmtId="0" fontId="4" fillId="74" borderId="1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7" fillId="74" borderId="45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1" fillId="0" borderId="45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6" fillId="0" borderId="55" xfId="0" applyFont="1" applyBorder="1">
      <alignment vertical="center"/>
    </xf>
    <xf numFmtId="0" fontId="70" fillId="0" borderId="55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46" fillId="73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46" fillId="72" borderId="1" xfId="0" applyFont="1" applyFill="1" applyBorder="1" applyAlignment="1">
      <alignment horizontal="center" vertical="center"/>
    </xf>
    <xf numFmtId="0" fontId="46" fillId="72" borderId="45" xfId="0" applyFont="1" applyFill="1" applyBorder="1" applyAlignment="1">
      <alignment horizontal="center" vertical="center"/>
    </xf>
    <xf numFmtId="0" fontId="17" fillId="0" borderId="50" xfId="0" applyFont="1" applyBorder="1" applyAlignment="1">
      <alignment horizontal="left" vertical="center"/>
    </xf>
    <xf numFmtId="0" fontId="71" fillId="0" borderId="1" xfId="0" applyFont="1" applyBorder="1" applyAlignment="1">
      <alignment horizontal="center" vertical="center"/>
    </xf>
    <xf numFmtId="0" fontId="17" fillId="32" borderId="50" xfId="0" applyFont="1" applyFill="1" applyBorder="1" applyAlignment="1">
      <alignment horizontal="center" vertical="center"/>
    </xf>
    <xf numFmtId="0" fontId="17" fillId="32" borderId="56" xfId="0" applyFont="1" applyFill="1" applyBorder="1" applyAlignment="1">
      <alignment horizontal="center" vertical="center"/>
    </xf>
    <xf numFmtId="0" fontId="17" fillId="32" borderId="45" xfId="0" applyFont="1" applyFill="1" applyBorder="1" applyAlignment="1">
      <alignment horizontal="center" vertical="top"/>
    </xf>
    <xf numFmtId="0" fontId="17" fillId="32" borderId="44" xfId="0" applyFont="1" applyFill="1" applyBorder="1" applyAlignment="1">
      <alignment horizontal="center" vertical="center"/>
    </xf>
    <xf numFmtId="0" fontId="17" fillId="32" borderId="57" xfId="0" applyFont="1" applyFill="1" applyBorder="1" applyAlignment="1">
      <alignment horizontal="center" vertical="center"/>
    </xf>
    <xf numFmtId="0" fontId="17" fillId="75" borderId="52" xfId="0" applyFont="1" applyFill="1" applyBorder="1" applyAlignment="1">
      <alignment horizontal="center" vertical="center"/>
    </xf>
    <xf numFmtId="0" fontId="17" fillId="75" borderId="1" xfId="0" applyFont="1" applyFill="1" applyBorder="1" applyAlignment="1">
      <alignment horizontal="center" vertical="center"/>
    </xf>
    <xf numFmtId="0" fontId="17" fillId="76" borderId="1" xfId="0" applyFont="1" applyFill="1" applyBorder="1" applyAlignment="1">
      <alignment horizontal="center" vertical="center"/>
    </xf>
    <xf numFmtId="0" fontId="17" fillId="77" borderId="44" xfId="0" applyFont="1" applyFill="1" applyBorder="1" applyAlignment="1">
      <alignment horizontal="center" vertical="center"/>
    </xf>
    <xf numFmtId="0" fontId="17" fillId="78" borderId="44" xfId="0" applyFont="1" applyFill="1" applyBorder="1" applyAlignment="1">
      <alignment horizontal="center" vertical="center"/>
    </xf>
    <xf numFmtId="0" fontId="17" fillId="78" borderId="55" xfId="0" applyFont="1" applyFill="1" applyBorder="1" applyAlignment="1">
      <alignment horizontal="center" vertical="center"/>
    </xf>
    <xf numFmtId="0" fontId="17" fillId="78" borderId="58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17" fillId="75" borderId="4" xfId="0" applyFont="1" applyFill="1" applyBorder="1" applyAlignment="1">
      <alignment horizontal="center" vertical="center"/>
    </xf>
    <xf numFmtId="0" fontId="17" fillId="76" borderId="4" xfId="0" applyFont="1" applyFill="1" applyBorder="1" applyAlignment="1">
      <alignment horizontal="center" vertical="center"/>
    </xf>
    <xf numFmtId="0" fontId="17" fillId="77" borderId="59" xfId="0" applyFont="1" applyFill="1" applyBorder="1" applyAlignment="1">
      <alignment horizontal="center" vertical="center"/>
    </xf>
    <xf numFmtId="0" fontId="17" fillId="78" borderId="60" xfId="0" applyFont="1" applyFill="1" applyBorder="1" applyAlignment="1">
      <alignment horizontal="center" vertical="center"/>
    </xf>
    <xf numFmtId="0" fontId="17" fillId="78" borderId="61" xfId="0" applyFont="1" applyFill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17" fillId="78" borderId="59" xfId="0" applyFont="1" applyFill="1" applyBorder="1" applyAlignment="1">
      <alignment horizontal="center" vertical="center"/>
    </xf>
    <xf numFmtId="0" fontId="6" fillId="0" borderId="62" xfId="0" applyFont="1" applyBorder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72" fillId="0" borderId="63" xfId="0" applyFont="1" applyBorder="1">
      <alignment vertical="center"/>
    </xf>
    <xf numFmtId="0" fontId="6" fillId="0" borderId="63" xfId="0" applyFont="1" applyBorder="1">
      <alignment vertical="center"/>
    </xf>
    <xf numFmtId="0" fontId="72" fillId="0" borderId="43" xfId="0" applyFont="1" applyBorder="1">
      <alignment vertical="center"/>
    </xf>
    <xf numFmtId="0" fontId="72" fillId="0" borderId="62" xfId="0" applyFont="1" applyBorder="1">
      <alignment vertical="center"/>
    </xf>
    <xf numFmtId="0" fontId="72" fillId="0" borderId="64" xfId="0" applyFont="1" applyBorder="1">
      <alignment vertical="center"/>
    </xf>
    <xf numFmtId="0" fontId="72" fillId="0" borderId="10" xfId="0" applyFont="1" applyBorder="1">
      <alignment vertical="center"/>
    </xf>
    <xf numFmtId="0" fontId="72" fillId="0" borderId="65" xfId="0" applyFont="1" applyBorder="1">
      <alignment vertical="center"/>
    </xf>
    <xf numFmtId="0" fontId="6" fillId="0" borderId="10" xfId="0" applyFont="1" applyBorder="1">
      <alignment vertical="center"/>
    </xf>
    <xf numFmtId="0" fontId="73" fillId="79" borderId="10" xfId="0" applyFont="1" applyFill="1" applyBorder="1">
      <alignment vertical="center"/>
    </xf>
    <xf numFmtId="0" fontId="72" fillId="80" borderId="10" xfId="0" applyFont="1" applyFill="1" applyBorder="1">
      <alignment vertical="center"/>
    </xf>
    <xf numFmtId="0" fontId="72" fillId="0" borderId="66" xfId="0" applyFont="1" applyBorder="1">
      <alignment vertical="center"/>
    </xf>
    <xf numFmtId="0" fontId="73" fillId="79" borderId="66" xfId="0" applyFont="1" applyFill="1" applyBorder="1">
      <alignment vertical="center"/>
    </xf>
    <xf numFmtId="0" fontId="72" fillId="81" borderId="1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</cellStyles>
  <dxfs count="344"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rgb="FFFF0000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</font>
      <alignment horizontal="center" vertical="center"/>
    </dxf>
    <dxf>
      <font>
        <name val="微软雅黑"/>
        <scheme val="none"/>
      </font>
      <alignment horizontal="center" vertical="center"/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</font>
      <alignment horizontal="center" vertical="center"/>
    </dxf>
    <dxf>
      <numFmt numFmtId="0" formatCode="General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font>
        <name val="宋体"/>
        <scheme val="none"/>
        <charset val="134"/>
        <family val="0"/>
        <b val="1"/>
        <i val="0"/>
        <strike val="0"/>
        <u val="none"/>
        <sz val="10"/>
        <color rgb="FFFF0000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numFmt numFmtId="9" formatCode="0%"/>
      <fill>
        <patternFill patternType="none"/>
      </fill>
      <alignment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font>
        <name val="å®ä½"/>
        <scheme val="none"/>
        <charset val="134"/>
        <family val="0"/>
        <b val="0"/>
        <i val="0"/>
        <strike val="0"/>
        <u val="none"/>
        <sz val="9"/>
        <color rgb="FF000000"/>
      </font>
      <numFmt numFmtId="0" formatCode="General"/>
      <fill>
        <patternFill patternType="none"/>
      </fill>
      <alignment horizontal="center"/>
      <border>
        <left/>
        <right/>
        <top/>
        <bottom/>
      </border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1"/>
        <i val="0"/>
        <strike val="0"/>
        <u val="none"/>
        <sz val="11"/>
        <color rgb="FFFF0000"/>
      </font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left" vertical="center"/>
      <border>
        <left style="thin">
          <color rgb="FF91ACE0"/>
        </left>
        <right style="thin">
          <color rgb="FF91ACE0"/>
        </right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0.0_ "/>
      <alignment horizontal="center" vertical="center"/>
    </dxf>
    <dxf>
      <numFmt numFmtId="180" formatCode="0.0_ "/>
    </dxf>
    <dxf>
      <numFmt numFmtId="180" formatCode="0.0_ "/>
    </dxf>
    <dxf>
      <numFmt numFmtId="180" formatCode="0.0_ "/>
    </dxf>
    <dxf>
      <numFmt numFmtId="180" formatCode="0.0_ "/>
    </dxf>
    <dxf>
      <numFmt numFmtId="180" formatCode="0.0_ 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0_ 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91ACE0"/>
        </left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solid">
          <bgColor rgb="FFFFFF00"/>
        </patternFill>
      </fill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/>
        <right/>
        <top style="thin">
          <color rgb="FF91ACE0"/>
        </top>
        <bottom style="thin">
          <color rgb="FF91ACE0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[=0]&quot;&quot;;0"/>
      <alignment horizontal="center" vertic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</dxf>
    <dxf>
      <numFmt numFmtId="0" formatCode="General"/>
      <alignment horizontal="left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solid">
          <bgColor rgb="FFFFFFFF"/>
        </patternFill>
      </fill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336"/>
      <tableStyleElement type="headerRow" dxfId="335"/>
      <tableStyleElement type="totalRow" dxfId="334"/>
      <tableStyleElement type="firstColumn" dxfId="333"/>
      <tableStyleElement type="lastColumn" dxfId="332"/>
      <tableStyleElement type="firstRowStripe" dxfId="331"/>
      <tableStyleElement type="firstColumnStripe" dxfId="330"/>
    </tableStyle>
    <tableStyle name="TableStylePreset3_Accent2" pivot="0" count="7" xr9:uid="{678408F6-39DE-40AF-9D17-FE6DD702C64D}">
      <tableStyleElement type="wholeTable" dxfId="343"/>
      <tableStyleElement type="headerRow" dxfId="342"/>
      <tableStyleElement type="totalRow" dxfId="341"/>
      <tableStyleElement type="firstColumn" dxfId="340"/>
      <tableStyleElement type="lastColumn" dxfId="339"/>
      <tableStyleElement type="firstRowStripe" dxfId="338"/>
      <tableStyleElement type="firstColumnStripe" dxfId="3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eetMetadata" Target="metadata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.xml"/><Relationship Id="rId35" Type="http://schemas.openxmlformats.org/officeDocument/2006/relationships/externalLink" Target="externalLinks/externalLink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Relationship Id="rId42" Type="http://schemas.openxmlformats.org/officeDocument/2006/relationships/worksheet" Target="worksheets/sheet35.xml"/><Relationship Id="rId43" Type="http://schemas.openxmlformats.org/officeDocument/2006/relationships/worksheet" Target="worksheets/sheet36.xml"/><Relationship Id="rId44" Type="http://schemas.openxmlformats.org/officeDocument/2006/relationships/worksheet" Target="worksheets/sheet37.xml"/><Relationship Id="rId45" Type="http://schemas.openxmlformats.org/officeDocument/2006/relationships/worksheet" Target="worksheets/sheet38.xml"/><Relationship Id="rId46" Type="http://schemas.openxmlformats.org/officeDocument/2006/relationships/worksheet" Target="worksheets/sheet39.xml"/><Relationship Id="rId47" Type="http://schemas.openxmlformats.org/officeDocument/2006/relationships/worksheet" Target="worksheets/sheet40.xml"/><Relationship Id="rId48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'红卡抽奖up (2)'!$H$98:$H$127</c:f>
              <c:numCache>
                <c:formatCode>0%</c:formatCode>
                <c:ptCount val="30"/>
                <c:pt idx="0">
                  <c:v>1.87</c:v>
                </c:pt>
                <c:pt idx="1">
                  <c:v>2.04</c:v>
                </c:pt>
                <c:pt idx="2">
                  <c:v>2.21</c:v>
                </c:pt>
                <c:pt idx="3">
                  <c:v>2.8</c:v>
                </c:pt>
                <c:pt idx="4">
                  <c:v>3</c:v>
                </c:pt>
                <c:pt idx="5">
                  <c:v>3.2</c:v>
                </c:pt>
                <c:pt idx="6">
                  <c:v>3.4</c:v>
                </c:pt>
                <c:pt idx="7">
                  <c:v>3.6</c:v>
                </c:pt>
                <c:pt idx="8">
                  <c:v>4.37</c:v>
                </c:pt>
                <c:pt idx="9">
                  <c:v>4.6</c:v>
                </c:pt>
                <c:pt idx="10">
                  <c:v>4.83</c:v>
                </c:pt>
                <c:pt idx="11">
                  <c:v>5.06</c:v>
                </c:pt>
                <c:pt idx="12">
                  <c:v>5.29</c:v>
                </c:pt>
                <c:pt idx="13">
                  <c:v>6.24</c:v>
                </c:pt>
                <c:pt idx="14">
                  <c:v>6.5</c:v>
                </c:pt>
                <c:pt idx="15">
                  <c:v>6.76</c:v>
                </c:pt>
                <c:pt idx="16">
                  <c:v>7.02</c:v>
                </c:pt>
                <c:pt idx="17">
                  <c:v>7.28</c:v>
                </c:pt>
                <c:pt idx="18">
                  <c:v>8.41</c:v>
                </c:pt>
                <c:pt idx="19">
                  <c:v>8.7</c:v>
                </c:pt>
                <c:pt idx="20">
                  <c:v>8.99</c:v>
                </c:pt>
                <c:pt idx="21">
                  <c:v>9.28</c:v>
                </c:pt>
                <c:pt idx="22">
                  <c:v>9.57</c:v>
                </c:pt>
                <c:pt idx="23">
                  <c:v>10.88</c:v>
                </c:pt>
                <c:pt idx="24">
                  <c:v>11.2</c:v>
                </c:pt>
                <c:pt idx="25">
                  <c:v>11.52</c:v>
                </c:pt>
                <c:pt idx="26">
                  <c:v>11.84</c:v>
                </c:pt>
                <c:pt idx="27">
                  <c:v>12.16</c:v>
                </c:pt>
                <c:pt idx="28">
                  <c:v>13.65</c:v>
                </c:pt>
                <c:pt idx="29">
                  <c:v>14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'红卡抽奖up (2)'!$K$97:$K$126</c:f>
              <c:numCache>
                <c:formatCode>0%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1519654"/>
        <c:axId val="529110914"/>
      </c:lineChart>
      <c:catAx>
        <c:axId val="2515196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110914"/>
        <c:crosses val="autoZero"/>
        <c:auto val="1"/>
        <c:lblAlgn val="ctr"/>
        <c:lblOffset val="100"/>
        <c:noMultiLvlLbl val="0"/>
      </c:catAx>
      <c:valAx>
        <c:axId val="5291109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5196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e9266d-67d3-477c-9e89-f0d128e7fb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6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209550</xdr:colOff>
      <xdr:row>0</xdr:row>
      <xdr:rowOff>635</xdr:rowOff>
    </xdr:from>
    <xdr:to>
      <xdr:col>14</xdr:col>
      <xdr:colOff>95250</xdr:colOff>
      <xdr:row>16</xdr:row>
      <xdr:rowOff>76835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03055" y="635"/>
          <a:ext cx="1714500" cy="342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198437</xdr:colOff>
      <xdr:row>4</xdr:row>
      <xdr:rowOff>0</xdr:rowOff>
    </xdr:from>
    <xdr:ext cx="203200" cy="203200"/>
    <xdr:pic>
      <xdr:nvPicPr>
        <xdr:cNvPr id="17" name="1"/>
        <xdr:cNvPicPr/>
      </xdr:nvPicPr>
      <xdr:blipFill>
        <a:blip r:embed="rId1" r:link="rId2"/>
        <a:stretch>
          <a:fillRect/>
        </a:stretch>
      </xdr:blipFill>
      <xdr:spPr>
        <a:xfrm>
          <a:off x="8266430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4</xdr:row>
      <xdr:rowOff>0</xdr:rowOff>
    </xdr:from>
    <xdr:ext cx="203200" cy="203200"/>
    <xdr:pic>
      <xdr:nvPicPr>
        <xdr:cNvPr id="18" name="2"/>
        <xdr:cNvPicPr/>
      </xdr:nvPicPr>
      <xdr:blipFill>
        <a:blip r:embed="rId3" r:link="rId2"/>
        <a:stretch>
          <a:fillRect/>
        </a:stretch>
      </xdr:blipFill>
      <xdr:spPr>
        <a:xfrm>
          <a:off x="9266555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4</xdr:row>
      <xdr:rowOff>0</xdr:rowOff>
    </xdr:from>
    <xdr:ext cx="203200" cy="203200"/>
    <xdr:pic>
      <xdr:nvPicPr>
        <xdr:cNvPr id="19" name="3"/>
        <xdr:cNvPicPr/>
      </xdr:nvPicPr>
      <xdr:blipFill>
        <a:blip r:embed="rId4" r:link="rId2"/>
        <a:stretch>
          <a:fillRect/>
        </a:stretch>
      </xdr:blipFill>
      <xdr:spPr>
        <a:xfrm>
          <a:off x="10433685" y="83820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5</xdr:row>
      <xdr:rowOff>0</xdr:rowOff>
    </xdr:from>
    <xdr:ext cx="203200" cy="203200"/>
    <xdr:pic>
      <xdr:nvPicPr>
        <xdr:cNvPr id="20" name="4"/>
        <xdr:cNvPicPr/>
      </xdr:nvPicPr>
      <xdr:blipFill>
        <a:blip r:embed="rId5" r:link="rId2"/>
        <a:stretch>
          <a:fillRect/>
        </a:stretch>
      </xdr:blipFill>
      <xdr:spPr>
        <a:xfrm>
          <a:off x="8266430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5</xdr:row>
      <xdr:rowOff>0</xdr:rowOff>
    </xdr:from>
    <xdr:ext cx="203200" cy="203200"/>
    <xdr:pic>
      <xdr:nvPicPr>
        <xdr:cNvPr id="21" name="5"/>
        <xdr:cNvPicPr/>
      </xdr:nvPicPr>
      <xdr:blipFill>
        <a:blip r:embed="rId6" r:link="rId2"/>
        <a:stretch>
          <a:fillRect/>
        </a:stretch>
      </xdr:blipFill>
      <xdr:spPr>
        <a:xfrm>
          <a:off x="9266555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5</xdr:row>
      <xdr:rowOff>0</xdr:rowOff>
    </xdr:from>
    <xdr:ext cx="203200" cy="203200"/>
    <xdr:pic>
      <xdr:nvPicPr>
        <xdr:cNvPr id="22" name="6"/>
        <xdr:cNvPicPr/>
      </xdr:nvPicPr>
      <xdr:blipFill>
        <a:blip r:embed="rId7" r:link="rId2"/>
        <a:stretch>
          <a:fillRect/>
        </a:stretch>
      </xdr:blipFill>
      <xdr:spPr>
        <a:xfrm>
          <a:off x="10433685" y="104775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6</xdr:row>
      <xdr:rowOff>0</xdr:rowOff>
    </xdr:from>
    <xdr:ext cx="203200" cy="203200"/>
    <xdr:pic>
      <xdr:nvPicPr>
        <xdr:cNvPr id="23" name="7"/>
        <xdr:cNvPicPr/>
      </xdr:nvPicPr>
      <xdr:blipFill>
        <a:blip r:embed="rId8" r:link="rId2"/>
        <a:stretch>
          <a:fillRect/>
        </a:stretch>
      </xdr:blipFill>
      <xdr:spPr>
        <a:xfrm>
          <a:off x="8266430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6</xdr:row>
      <xdr:rowOff>0</xdr:rowOff>
    </xdr:from>
    <xdr:ext cx="203200" cy="203200"/>
    <xdr:pic>
      <xdr:nvPicPr>
        <xdr:cNvPr id="24" name="8"/>
        <xdr:cNvPicPr/>
      </xdr:nvPicPr>
      <xdr:blipFill>
        <a:blip r:embed="rId9" r:link="rId2"/>
        <a:stretch>
          <a:fillRect/>
        </a:stretch>
      </xdr:blipFill>
      <xdr:spPr>
        <a:xfrm>
          <a:off x="9266555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6</xdr:row>
      <xdr:rowOff>0</xdr:rowOff>
    </xdr:from>
    <xdr:ext cx="203200" cy="203200"/>
    <xdr:pic>
      <xdr:nvPicPr>
        <xdr:cNvPr id="25" name="9"/>
        <xdr:cNvPicPr/>
      </xdr:nvPicPr>
      <xdr:blipFill>
        <a:blip r:embed="rId10" r:link="rId2"/>
        <a:stretch>
          <a:fillRect/>
        </a:stretch>
      </xdr:blipFill>
      <xdr:spPr>
        <a:xfrm>
          <a:off x="10433685" y="125730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51682</xdr:colOff>
      <xdr:row>7</xdr:row>
      <xdr:rowOff>0</xdr:rowOff>
    </xdr:from>
    <xdr:ext cx="496711" cy="203200"/>
    <xdr:pic>
      <xdr:nvPicPr>
        <xdr:cNvPr id="26" name="10"/>
        <xdr:cNvPicPr/>
      </xdr:nvPicPr>
      <xdr:blipFill>
        <a:blip r:embed="rId11" r:link="rId2"/>
        <a:stretch>
          <a:fillRect/>
        </a:stretch>
      </xdr:blipFill>
      <xdr:spPr>
        <a:xfrm>
          <a:off x="8119745" y="1466850"/>
          <a:ext cx="49657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7</xdr:row>
      <xdr:rowOff>0</xdr:rowOff>
    </xdr:from>
    <xdr:ext cx="203200" cy="203200"/>
    <xdr:pic>
      <xdr:nvPicPr>
        <xdr:cNvPr id="27" name="11"/>
        <xdr:cNvPicPr/>
      </xdr:nvPicPr>
      <xdr:blipFill>
        <a:blip r:embed="rId12" r:link="rId2"/>
        <a:stretch>
          <a:fillRect/>
        </a:stretch>
      </xdr:blipFill>
      <xdr:spPr>
        <a:xfrm>
          <a:off x="9266555" y="146685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7</xdr:row>
      <xdr:rowOff>0</xdr:rowOff>
    </xdr:from>
    <xdr:ext cx="203200" cy="203200"/>
    <xdr:pic>
      <xdr:nvPicPr>
        <xdr:cNvPr id="28" name="12"/>
        <xdr:cNvPicPr/>
      </xdr:nvPicPr>
      <xdr:blipFill>
        <a:blip r:embed="rId7" r:link="rId2"/>
        <a:stretch>
          <a:fillRect/>
        </a:stretch>
      </xdr:blipFill>
      <xdr:spPr>
        <a:xfrm>
          <a:off x="10433685" y="1466850"/>
          <a:ext cx="203200" cy="203200"/>
        </a:xfrm>
        <a:prstGeom prst="rect">
          <a:avLst/>
        </a:prstGeom>
      </xdr:spPr>
    </xdr:pic>
    <xdr:clientData/>
  </xdr:oneCellAnchor>
  <xdr:oneCellAnchor>
    <xdr:from>
      <xdr:col>10</xdr:col>
      <xdr:colOff>198437</xdr:colOff>
      <xdr:row>8</xdr:row>
      <xdr:rowOff>0</xdr:rowOff>
    </xdr:from>
    <xdr:ext cx="203200" cy="203200"/>
    <xdr:pic>
      <xdr:nvPicPr>
        <xdr:cNvPr id="29" name="13"/>
        <xdr:cNvPicPr/>
      </xdr:nvPicPr>
      <xdr:blipFill>
        <a:blip r:embed="rId13" r:link="rId2"/>
        <a:stretch>
          <a:fillRect/>
        </a:stretch>
      </xdr:blipFill>
      <xdr:spPr>
        <a:xfrm>
          <a:off x="8266430" y="1676400"/>
          <a:ext cx="203200" cy="203200"/>
        </a:xfrm>
        <a:prstGeom prst="rect">
          <a:avLst/>
        </a:prstGeom>
      </xdr:spPr>
    </xdr:pic>
    <xdr:clientData/>
  </xdr:oneCellAnchor>
  <xdr:oneCellAnchor>
    <xdr:from>
      <xdr:col>11</xdr:col>
      <xdr:colOff>198437</xdr:colOff>
      <xdr:row>8</xdr:row>
      <xdr:rowOff>0</xdr:rowOff>
    </xdr:from>
    <xdr:ext cx="203200" cy="203200"/>
    <xdr:pic>
      <xdr:nvPicPr>
        <xdr:cNvPr id="30" name="14"/>
        <xdr:cNvPicPr/>
      </xdr:nvPicPr>
      <xdr:blipFill>
        <a:blip r:embed="rId14" r:link="rId2"/>
        <a:stretch>
          <a:fillRect/>
        </a:stretch>
      </xdr:blipFill>
      <xdr:spPr>
        <a:xfrm>
          <a:off x="9266555" y="1676400"/>
          <a:ext cx="203200" cy="203200"/>
        </a:xfrm>
        <a:prstGeom prst="rect">
          <a:avLst/>
        </a:prstGeom>
      </xdr:spPr>
    </xdr:pic>
    <xdr:clientData/>
  </xdr:oneCellAnchor>
  <xdr:oneCellAnchor>
    <xdr:from>
      <xdr:col>12</xdr:col>
      <xdr:colOff>346075</xdr:colOff>
      <xdr:row>8</xdr:row>
      <xdr:rowOff>0</xdr:rowOff>
    </xdr:from>
    <xdr:ext cx="203200" cy="203200"/>
    <xdr:pic>
      <xdr:nvPicPr>
        <xdr:cNvPr id="31" name="15"/>
        <xdr:cNvPicPr/>
      </xdr:nvPicPr>
      <xdr:blipFill>
        <a:blip r:embed="rId9" r:link="rId2"/>
        <a:stretch>
          <a:fillRect/>
        </a:stretch>
      </xdr:blipFill>
      <xdr:spPr>
        <a:xfrm>
          <a:off x="10433685" y="1676400"/>
          <a:ext cx="203200" cy="20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28</xdr:col>
      <xdr:colOff>304800</xdr:colOff>
      <xdr:row>5</xdr:row>
      <xdr:rowOff>152400</xdr:rowOff>
    </xdr:from>
    <xdr:to>
      <xdr:col>34</xdr:col>
      <xdr:colOff>0</xdr:colOff>
      <xdr:row>44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97975" y="1133475"/>
          <a:ext cx="3810000" cy="7324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21</xdr:col>
      <xdr:colOff>476250</xdr:colOff>
      <xdr:row>1</xdr:row>
      <xdr:rowOff>29845</xdr:rowOff>
    </xdr:from>
    <xdr:to>
      <xdr:col>28</xdr:col>
      <xdr:colOff>650875</xdr:colOff>
      <xdr:row>54</xdr:row>
      <xdr:rowOff>125095</xdr:rowOff>
    </xdr:to>
    <xdr:pic>
      <xdr:nvPicPr>
        <xdr:cNvPr id="2" name="图片 1" descr="粉卡数值PE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28135" y="239395"/>
          <a:ext cx="4975225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</xdr:colOff>
      <xdr:row>1</xdr:row>
      <xdr:rowOff>152400</xdr:rowOff>
    </xdr:from>
    <xdr:to>
      <xdr:col>15</xdr:col>
      <xdr:colOff>828040</xdr:colOff>
      <xdr:row>7</xdr:row>
      <xdr:rowOff>21590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06285" y="361950"/>
          <a:ext cx="4921885" cy="1088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226695</xdr:colOff>
      <xdr:row>1</xdr:row>
      <xdr:rowOff>37465</xdr:rowOff>
    </xdr:from>
    <xdr:to>
      <xdr:col>38</xdr:col>
      <xdr:colOff>401320</xdr:colOff>
      <xdr:row>58</xdr:row>
      <xdr:rowOff>31115</xdr:rowOff>
    </xdr:to>
    <xdr:pic>
      <xdr:nvPicPr>
        <xdr:cNvPr id="2" name="图片 1" descr="粉卡数值PE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21280" y="247015"/>
          <a:ext cx="4975225" cy="10058400"/>
        </a:xfrm>
        <a:prstGeom prst="rect">
          <a:avLst/>
        </a:prstGeom>
      </xdr:spPr>
    </xdr:pic>
    <xdr:clientData/>
  </xdr:twoCellAnchor>
  <xdr:twoCellAnchor>
    <xdr:from>
      <xdr:col>16</xdr:col>
      <xdr:colOff>25400</xdr:colOff>
      <xdr:row>93</xdr:row>
      <xdr:rowOff>170815</xdr:rowOff>
    </xdr:from>
    <xdr:to>
      <xdr:col>23</xdr:col>
      <xdr:colOff>307975</xdr:colOff>
      <xdr:row>107</xdr:row>
      <xdr:rowOff>18415</xdr:rowOff>
    </xdr:to>
    <xdr:graphicFrame>
      <xdr:nvGraphicFramePr>
        <xdr:cNvPr id="3" name="图表 2"/>
        <xdr:cNvGraphicFramePr/>
      </xdr:nvGraphicFramePr>
      <xdr:xfrm>
        <a:off x="16570960" y="17398365"/>
        <a:ext cx="604520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272415</xdr:colOff>
      <xdr:row>16</xdr:row>
      <xdr:rowOff>167005</xdr:rowOff>
    </xdr:from>
    <xdr:ext cx="1507490" cy="448945"/>
    <xdr:sp>
      <xdr:nvSpPr>
        <xdr:cNvPr id="4" name="文本框 3"/>
        <xdr:cNvSpPr txBox="1"/>
      </xdr:nvSpPr>
      <xdr:spPr>
        <a:xfrm>
          <a:off x="7713345" y="2986405"/>
          <a:ext cx="1507490" cy="44894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100">
              <a:solidFill>
                <a:schemeClr val="bg1"/>
              </a:solidFill>
            </a:rPr>
            <a:t>一周7天非r有34片</a:t>
          </a:r>
          <a:endParaRPr lang="zh-CN" altLang="en-US" sz="1100">
            <a:solidFill>
              <a:schemeClr val="bg1"/>
            </a:solidFill>
          </a:endParaRPr>
        </a:p>
        <a:p>
          <a:pPr algn="l"/>
          <a:r>
            <a:rPr lang="zh-CN" altLang="en-US" sz="1100">
              <a:solidFill>
                <a:schemeClr val="bg1"/>
              </a:solidFill>
            </a:rPr>
            <a:t>20抽红卡碎片*10</a:t>
          </a:r>
          <a:endParaRPr lang="zh-CN" altLang="en-US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20</xdr:col>
      <xdr:colOff>100965</xdr:colOff>
      <xdr:row>8</xdr:row>
      <xdr:rowOff>180975</xdr:rowOff>
    </xdr:from>
    <xdr:to>
      <xdr:col>29</xdr:col>
      <xdr:colOff>208915</xdr:colOff>
      <xdr:row>29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217765" y="1590675"/>
          <a:ext cx="6414135" cy="3495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428625</xdr:colOff>
      <xdr:row>1</xdr:row>
      <xdr:rowOff>152400</xdr:rowOff>
    </xdr:from>
    <xdr:to>
      <xdr:col>27</xdr:col>
      <xdr:colOff>428625</xdr:colOff>
      <xdr:row>49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44150" y="323850"/>
          <a:ext cx="9601200" cy="828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6-4&#22823;&#23500;&#32705;&#25968;&#2054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9289;&#20215;&#34920;&#12305;&#26790;&#2265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xWORK\WXWork\1688858253264558\Cache\File\2026-02\&#12298;&#26790;&#22659;&#25252;&#21355;&#38431;&#12299;6-2&#26032;&#26381;&#27963;&#2116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大富翁数值表"/>
      <sheetName val="放烟花"/>
      <sheetName val="签到"/>
      <sheetName val="地图数值"/>
      <sheetName val="价值表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 t="str">
            <v>道具名称</v>
          </cell>
        </row>
        <row r="3">
          <cell r="F3" t="str">
            <v>钻石价值</v>
          </cell>
        </row>
        <row r="4">
          <cell r="D4" t="str">
            <v>钻石</v>
          </cell>
        </row>
        <row r="4">
          <cell r="F4">
            <v>1</v>
          </cell>
        </row>
        <row r="5">
          <cell r="D5" t="str">
            <v>体力</v>
          </cell>
        </row>
        <row r="5">
          <cell r="F5">
            <v>2</v>
          </cell>
        </row>
        <row r="6">
          <cell r="D6" t="str">
            <v>金币</v>
          </cell>
        </row>
        <row r="6">
          <cell r="F6">
            <v>0.05</v>
          </cell>
        </row>
        <row r="7">
          <cell r="D7" t="str">
            <v>星珀</v>
          </cell>
        </row>
        <row r="7">
          <cell r="F7">
            <v>10</v>
          </cell>
        </row>
        <row r="8">
          <cell r="D8" t="str">
            <v>战令宝箱</v>
          </cell>
        </row>
        <row r="8">
          <cell r="F8">
            <v>30</v>
          </cell>
        </row>
        <row r="9">
          <cell r="D9" t="str">
            <v>每日特惠宝箱</v>
          </cell>
        </row>
        <row r="9">
          <cell r="F9">
            <v>40</v>
          </cell>
        </row>
        <row r="10">
          <cell r="D10" t="str">
            <v>咩菲特的雕像</v>
          </cell>
        </row>
        <row r="10">
          <cell r="F10">
            <v>30</v>
          </cell>
        </row>
        <row r="11">
          <cell r="D11" t="str">
            <v>织梦宝箱</v>
          </cell>
        </row>
        <row r="11">
          <cell r="F11">
            <v>50</v>
          </cell>
        </row>
        <row r="12">
          <cell r="D12" t="str">
            <v>筑梦快递箱</v>
          </cell>
        </row>
        <row r="12">
          <cell r="F12">
            <v>250</v>
          </cell>
        </row>
        <row r="13">
          <cell r="D13" t="str">
            <v>筑梦典藏箱</v>
          </cell>
        </row>
        <row r="13">
          <cell r="F13">
            <v>700</v>
          </cell>
        </row>
        <row r="14">
          <cell r="D14" t="str">
            <v>巡航门票</v>
          </cell>
        </row>
        <row r="14">
          <cell r="F14">
            <v>200</v>
          </cell>
        </row>
        <row r="15">
          <cell r="D15" t="str">
            <v>超能特饮</v>
          </cell>
        </row>
        <row r="15">
          <cell r="F15">
            <v>2</v>
          </cell>
        </row>
        <row r="16">
          <cell r="D16" t="str">
            <v>能量特饮</v>
          </cell>
        </row>
        <row r="16">
          <cell r="F16">
            <v>1</v>
          </cell>
        </row>
        <row r="17">
          <cell r="D17" t="str">
            <v>梦境招募券</v>
          </cell>
        </row>
        <row r="17">
          <cell r="F17">
            <v>30</v>
          </cell>
        </row>
        <row r="18">
          <cell r="D18" t="str">
            <v>梦愿水晶</v>
          </cell>
        </row>
        <row r="18">
          <cell r="F18">
            <v>100</v>
          </cell>
        </row>
        <row r="19">
          <cell r="D19" t="str">
            <v>神灯</v>
          </cell>
        </row>
        <row r="19">
          <cell r="F19">
            <v>150</v>
          </cell>
        </row>
        <row r="20">
          <cell r="D20" t="str">
            <v>稀有梦灵</v>
          </cell>
        </row>
        <row r="20">
          <cell r="F20">
            <v>20</v>
          </cell>
        </row>
        <row r="21">
          <cell r="D21" t="str">
            <v>史诗梦灵</v>
          </cell>
        </row>
        <row r="21">
          <cell r="F21">
            <v>40</v>
          </cell>
        </row>
        <row r="22">
          <cell r="D22" t="str">
            <v>传说梦灵</v>
          </cell>
        </row>
        <row r="22">
          <cell r="F22">
            <v>80</v>
          </cell>
        </row>
        <row r="23">
          <cell r="D23" t="str">
            <v>神话梦灵</v>
          </cell>
        </row>
        <row r="23">
          <cell r="F23">
            <v>160</v>
          </cell>
        </row>
        <row r="24">
          <cell r="D24" t="str">
            <v>彩虹梦灵</v>
          </cell>
        </row>
        <row r="24">
          <cell r="F24">
            <v>320</v>
          </cell>
        </row>
        <row r="25">
          <cell r="D25" t="str">
            <v>稀有梦灵碎片</v>
          </cell>
        </row>
        <row r="25">
          <cell r="F25">
            <v>6</v>
          </cell>
        </row>
        <row r="26">
          <cell r="D26" t="str">
            <v>史诗梦灵碎片</v>
          </cell>
        </row>
        <row r="26">
          <cell r="F26">
            <v>12</v>
          </cell>
        </row>
        <row r="27">
          <cell r="D27" t="str">
            <v>传说梦灵碎片</v>
          </cell>
        </row>
        <row r="27">
          <cell r="F27">
            <v>24</v>
          </cell>
        </row>
        <row r="28">
          <cell r="D28" t="str">
            <v>神话梦灵碎片</v>
          </cell>
        </row>
        <row r="28">
          <cell r="F28">
            <v>48</v>
          </cell>
        </row>
        <row r="29">
          <cell r="D29" t="str">
            <v>彩虹梦灵碎片</v>
          </cell>
        </row>
        <row r="29">
          <cell r="F29">
            <v>96</v>
          </cell>
        </row>
        <row r="30">
          <cell r="D30" t="str">
            <v>战利品宝箱</v>
          </cell>
        </row>
        <row r="30">
          <cell r="F30">
            <v>200</v>
          </cell>
        </row>
        <row r="31">
          <cell r="D31" t="str">
            <v>公会贡献</v>
          </cell>
        </row>
        <row r="31">
          <cell r="F31">
            <v>0.1</v>
          </cell>
        </row>
        <row r="32">
          <cell r="D32" t="str">
            <v>转运石</v>
          </cell>
        </row>
        <row r="32">
          <cell r="F32">
            <v>0.33</v>
          </cell>
        </row>
        <row r="33">
          <cell r="D33" t="str">
            <v>友情值</v>
          </cell>
        </row>
        <row r="33">
          <cell r="F33">
            <v>0.688</v>
          </cell>
        </row>
        <row r="34">
          <cell r="D34" t="str">
            <v>传说祝福石</v>
          </cell>
        </row>
        <row r="34">
          <cell r="F34">
            <v>1500</v>
          </cell>
        </row>
        <row r="36">
          <cell r="D36" t="str">
            <v>装备强化书</v>
          </cell>
        </row>
        <row r="36">
          <cell r="F36">
            <v>3</v>
          </cell>
        </row>
        <row r="37">
          <cell r="D37" t="str">
            <v>锻造晶石</v>
          </cell>
        </row>
        <row r="37">
          <cell r="F37">
            <v>0.1</v>
          </cell>
        </row>
        <row r="38">
          <cell r="D38" t="str">
            <v>主线装备箱</v>
          </cell>
        </row>
        <row r="38">
          <cell r="F38">
            <v>15</v>
          </cell>
        </row>
        <row r="39">
          <cell r="D39" t="str">
            <v>队长大箱子</v>
          </cell>
        </row>
        <row r="39">
          <cell r="F39">
            <v>50</v>
          </cell>
        </row>
        <row r="40">
          <cell r="D40" t="str">
            <v>队长小箱子</v>
          </cell>
        </row>
        <row r="40">
          <cell r="F40">
            <v>15</v>
          </cell>
        </row>
        <row r="41">
          <cell r="D41" t="str">
            <v>随机普通装备</v>
          </cell>
        </row>
        <row r="42">
          <cell r="D42" t="str">
            <v>随机优秀装备</v>
          </cell>
        </row>
        <row r="43">
          <cell r="D43" t="str">
            <v>随机稀有装备</v>
          </cell>
        </row>
        <row r="44">
          <cell r="D44" t="str">
            <v>随机史诗装备</v>
          </cell>
        </row>
        <row r="45">
          <cell r="D45" t="str">
            <v>随机传说装备</v>
          </cell>
        </row>
        <row r="46">
          <cell r="D46" t="str">
            <v>随机神话装备</v>
          </cell>
        </row>
        <row r="47">
          <cell r="D47" t="str">
            <v>随机创世装备</v>
          </cell>
        </row>
        <row r="48">
          <cell r="D48" t="str">
            <v>公会宝箱</v>
          </cell>
        </row>
        <row r="48">
          <cell r="F48">
            <v>200</v>
          </cell>
        </row>
        <row r="50">
          <cell r="D50" t="str">
            <v>初愿摇杆</v>
          </cell>
        </row>
        <row r="50">
          <cell r="F50">
            <v>50</v>
          </cell>
        </row>
        <row r="51">
          <cell r="D51" t="str">
            <v>秘藏摇杆</v>
          </cell>
        </row>
        <row r="51">
          <cell r="F51">
            <v>280</v>
          </cell>
        </row>
        <row r="52">
          <cell r="D52" t="str">
            <v>符引结晶</v>
          </cell>
        </row>
        <row r="52">
          <cell r="F52">
            <v>5</v>
          </cell>
        </row>
        <row r="53">
          <cell r="D53" t="str">
            <v>幻梦晶核</v>
          </cell>
        </row>
        <row r="53">
          <cell r="F53">
            <v>60</v>
          </cell>
        </row>
        <row r="54">
          <cell r="D54" t="str">
            <v>普通符文</v>
          </cell>
        </row>
        <row r="54">
          <cell r="F54">
            <v>16</v>
          </cell>
        </row>
        <row r="55">
          <cell r="D55" t="str">
            <v>优秀符文</v>
          </cell>
        </row>
        <row r="55">
          <cell r="F55">
            <v>64</v>
          </cell>
        </row>
        <row r="56">
          <cell r="D56" t="str">
            <v>稀有符文</v>
          </cell>
        </row>
        <row r="56">
          <cell r="F56">
            <v>256</v>
          </cell>
        </row>
        <row r="57">
          <cell r="D57" t="str">
            <v>史诗符文</v>
          </cell>
        </row>
        <row r="57">
          <cell r="F57">
            <v>1024</v>
          </cell>
        </row>
        <row r="58">
          <cell r="D58" t="str">
            <v>传说符文</v>
          </cell>
        </row>
        <row r="58">
          <cell r="F58">
            <v>4096</v>
          </cell>
        </row>
        <row r="59">
          <cell r="D59" t="str">
            <v>神话符文</v>
          </cell>
        </row>
        <row r="59">
          <cell r="F59">
            <v>16384</v>
          </cell>
        </row>
        <row r="60">
          <cell r="D60" t="str">
            <v>创世符文</v>
          </cell>
        </row>
        <row r="60">
          <cell r="F60">
            <v>65536</v>
          </cell>
        </row>
        <row r="61">
          <cell r="D61" t="str">
            <v>符文宝箱</v>
          </cell>
        </row>
        <row r="61">
          <cell r="F61">
            <v>17.728</v>
          </cell>
        </row>
        <row r="62">
          <cell r="D62" t="str">
            <v>织梦微尘</v>
          </cell>
        </row>
        <row r="62">
          <cell r="F62">
            <v>3</v>
          </cell>
        </row>
        <row r="63">
          <cell r="D63" t="str">
            <v>潜能棱晶</v>
          </cell>
        </row>
        <row r="63">
          <cell r="F63">
            <v>500</v>
          </cell>
        </row>
        <row r="64">
          <cell r="D64" t="str">
            <v>加速沙漏</v>
          </cell>
        </row>
        <row r="64">
          <cell r="F64">
            <v>5</v>
          </cell>
        </row>
        <row r="66">
          <cell r="D66" t="str">
            <v>晶石</v>
          </cell>
        </row>
        <row r="66">
          <cell r="F66">
            <v>0.33</v>
          </cell>
        </row>
        <row r="67">
          <cell r="D67" t="str">
            <v>竞技场币</v>
          </cell>
        </row>
        <row r="67">
          <cell r="F67">
            <v>0.02</v>
          </cell>
        </row>
        <row r="69">
          <cell r="D69" t="str">
            <v>抽奖道具</v>
          </cell>
        </row>
        <row r="69">
          <cell r="F69">
            <v>100</v>
          </cell>
        </row>
        <row r="71">
          <cell r="D71" t="str">
            <v>史诗梦灵皮肤</v>
          </cell>
        </row>
        <row r="71">
          <cell r="F71">
            <v>1500</v>
          </cell>
        </row>
        <row r="72">
          <cell r="D72" t="str">
            <v>传说梦灵皮肤</v>
          </cell>
        </row>
        <row r="72">
          <cell r="F72">
            <v>4000</v>
          </cell>
        </row>
        <row r="73">
          <cell r="D73" t="str">
            <v>神话梦灵皮肤</v>
          </cell>
        </row>
        <row r="73">
          <cell r="F73">
            <v>8000</v>
          </cell>
        </row>
        <row r="75">
          <cell r="D75" t="str">
            <v>传说武器皮肤</v>
          </cell>
        </row>
        <row r="75">
          <cell r="F75">
            <v>4000</v>
          </cell>
        </row>
        <row r="76">
          <cell r="D76" t="str">
            <v>神话武器皮肤</v>
          </cell>
        </row>
        <row r="76">
          <cell r="F76">
            <v>8000</v>
          </cell>
        </row>
        <row r="78">
          <cell r="D78" t="str">
            <v>史诗时装皮肤</v>
          </cell>
        </row>
        <row r="78">
          <cell r="F78">
            <v>1500</v>
          </cell>
        </row>
        <row r="79">
          <cell r="D79" t="str">
            <v>传说时装皮肤</v>
          </cell>
        </row>
        <row r="79">
          <cell r="F79">
            <v>7000</v>
          </cell>
        </row>
        <row r="80">
          <cell r="D80" t="str">
            <v>神话时装皮肤</v>
          </cell>
        </row>
        <row r="80">
          <cell r="F80">
            <v>13000</v>
          </cell>
        </row>
        <row r="82">
          <cell r="D82" t="str">
            <v>传说秘宝皮肤</v>
          </cell>
        </row>
        <row r="82">
          <cell r="F82">
            <v>3000</v>
          </cell>
        </row>
        <row r="83">
          <cell r="D83" t="str">
            <v>神话秘宝皮肤</v>
          </cell>
        </row>
        <row r="83">
          <cell r="F83">
            <v>4500</v>
          </cell>
        </row>
        <row r="85">
          <cell r="D85" t="str">
            <v>史诗主角挂件</v>
          </cell>
        </row>
        <row r="85">
          <cell r="F85">
            <v>500</v>
          </cell>
        </row>
        <row r="86">
          <cell r="D86" t="str">
            <v>传说主角挂件</v>
          </cell>
        </row>
        <row r="86">
          <cell r="F86">
            <v>1000</v>
          </cell>
        </row>
        <row r="87">
          <cell r="D87" t="str">
            <v>神话主角挂件</v>
          </cell>
        </row>
        <row r="87">
          <cell r="F87">
            <v>1500</v>
          </cell>
        </row>
        <row r="90">
          <cell r="D90" t="str">
            <v>传说城墙皮肤</v>
          </cell>
        </row>
        <row r="90">
          <cell r="F90">
            <v>12000</v>
          </cell>
        </row>
        <row r="91">
          <cell r="D91" t="str">
            <v>神话城墙皮肤</v>
          </cell>
        </row>
        <row r="91">
          <cell r="F91">
            <v>24000</v>
          </cell>
        </row>
        <row r="93">
          <cell r="D93" t="str">
            <v>普通骰子</v>
          </cell>
        </row>
        <row r="93">
          <cell r="F93">
            <v>30</v>
          </cell>
        </row>
        <row r="94">
          <cell r="D94" t="str">
            <v>金骰子</v>
          </cell>
        </row>
        <row r="94">
          <cell r="F94">
            <v>200</v>
          </cell>
        </row>
        <row r="95">
          <cell r="D95" t="str">
            <v>大富翁积分</v>
          </cell>
        </row>
        <row r="95">
          <cell r="F95">
            <v>1</v>
          </cell>
        </row>
        <row r="96">
          <cell r="D96" t="str">
            <v>零件</v>
          </cell>
        </row>
        <row r="96">
          <cell r="F96">
            <v>1</v>
          </cell>
        </row>
        <row r="97">
          <cell r="D97" t="str">
            <v>零件核心</v>
          </cell>
        </row>
        <row r="97">
          <cell r="F97">
            <v>150</v>
          </cell>
        </row>
        <row r="99">
          <cell r="D99" t="str">
            <v>史诗零件</v>
          </cell>
        </row>
        <row r="99">
          <cell r="F99">
            <v>2000</v>
          </cell>
        </row>
        <row r="100">
          <cell r="D100" t="str">
            <v>传说零件</v>
          </cell>
        </row>
        <row r="100">
          <cell r="F100">
            <v>4000</v>
          </cell>
        </row>
        <row r="101">
          <cell r="D101" t="str">
            <v>神话零件</v>
          </cell>
        </row>
        <row r="101">
          <cell r="F101">
            <v>8000</v>
          </cell>
        </row>
        <row r="102">
          <cell r="D102" t="str">
            <v>创世零件</v>
          </cell>
        </row>
        <row r="102">
          <cell r="F102">
            <v>16000</v>
          </cell>
        </row>
        <row r="103">
          <cell r="D103" t="str">
            <v>史诗零件碎片</v>
          </cell>
        </row>
        <row r="103">
          <cell r="F103">
            <v>200</v>
          </cell>
        </row>
        <row r="104">
          <cell r="D104" t="str">
            <v>传说零件碎片</v>
          </cell>
        </row>
        <row r="104">
          <cell r="F104">
            <v>400</v>
          </cell>
        </row>
        <row r="105">
          <cell r="D105" t="str">
            <v>神话零件碎片</v>
          </cell>
        </row>
        <row r="105">
          <cell r="F105">
            <v>800</v>
          </cell>
        </row>
        <row r="106">
          <cell r="D106" t="str">
            <v>创世零件碎片</v>
          </cell>
        </row>
        <row r="106">
          <cell r="F106">
            <v>1600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 t="str">
            <v>道具名称</v>
          </cell>
          <cell r="C2" t="str">
            <v>定价</v>
          </cell>
          <cell r="D2" t="str">
            <v>RMB售价</v>
          </cell>
        </row>
        <row r="3">
          <cell r="B3" t="str">
            <v>钻石</v>
          </cell>
          <cell r="C3">
            <v>1</v>
          </cell>
        </row>
        <row r="4">
          <cell r="B4" t="str">
            <v>体力</v>
          </cell>
          <cell r="C4">
            <v>2</v>
          </cell>
        </row>
        <row r="5">
          <cell r="B5" t="str">
            <v>金币</v>
          </cell>
          <cell r="C5">
            <v>0.05</v>
          </cell>
        </row>
        <row r="6">
          <cell r="B6" t="str">
            <v>星珀</v>
          </cell>
          <cell r="C6">
            <v>10</v>
          </cell>
        </row>
        <row r="7">
          <cell r="B7" t="str">
            <v>转运石</v>
          </cell>
          <cell r="C7">
            <v>0.333333333333333</v>
          </cell>
        </row>
        <row r="8">
          <cell r="B8" t="str">
            <v>织梦微尘</v>
          </cell>
          <cell r="C8">
            <v>3</v>
          </cell>
        </row>
        <row r="9">
          <cell r="B9" t="str">
            <v>加速沙漏</v>
          </cell>
          <cell r="C9">
            <v>5</v>
          </cell>
        </row>
        <row r="10">
          <cell r="B10" t="str">
            <v>转运石小礼包</v>
          </cell>
          <cell r="C10">
            <v>90</v>
          </cell>
        </row>
        <row r="11">
          <cell r="B11" t="str">
            <v>转运石大礼包</v>
          </cell>
          <cell r="C11">
            <v>300</v>
          </cell>
        </row>
        <row r="12">
          <cell r="B12" t="str">
            <v>超能特饮</v>
          </cell>
          <cell r="C12">
            <v>2</v>
          </cell>
        </row>
        <row r="13">
          <cell r="B13" t="str">
            <v>随机能量特饮</v>
          </cell>
          <cell r="C13">
            <v>1</v>
          </cell>
        </row>
        <row r="14">
          <cell r="B14" t="str">
            <v>梦境招募器</v>
          </cell>
          <cell r="C14">
            <v>30</v>
          </cell>
        </row>
        <row r="15">
          <cell r="B15" t="str">
            <v>星之初愿</v>
          </cell>
          <cell r="C15">
            <v>50</v>
          </cell>
        </row>
        <row r="16">
          <cell r="B16" t="str">
            <v>星辉秘契</v>
          </cell>
          <cell r="C16">
            <v>280</v>
          </cell>
        </row>
        <row r="17">
          <cell r="B17" t="str">
            <v>幻梦晶核</v>
          </cell>
          <cell r="C17">
            <v>60</v>
          </cell>
        </row>
        <row r="18">
          <cell r="B18" t="str">
            <v>符引结晶</v>
          </cell>
          <cell r="C18">
            <v>5</v>
          </cell>
        </row>
        <row r="19">
          <cell r="B19" t="str">
            <v>探测器</v>
          </cell>
          <cell r="C19">
            <v>60</v>
          </cell>
        </row>
        <row r="20">
          <cell r="B20" t="str">
            <v>祈福石</v>
          </cell>
          <cell r="C20">
            <v>160</v>
          </cell>
        </row>
        <row r="21">
          <cell r="B21" t="str">
            <v>试炼石</v>
          </cell>
          <cell r="C21">
            <v>160</v>
          </cell>
        </row>
        <row r="22">
          <cell r="B22" t="str">
            <v>稀有梦灵</v>
          </cell>
          <cell r="C22">
            <v>60</v>
          </cell>
        </row>
        <row r="23">
          <cell r="B23" t="str">
            <v>史诗梦灵</v>
          </cell>
          <cell r="C23">
            <v>120</v>
          </cell>
        </row>
        <row r="24">
          <cell r="B24" t="str">
            <v>传说梦灵</v>
          </cell>
          <cell r="C24">
            <v>240</v>
          </cell>
        </row>
        <row r="25">
          <cell r="B25" t="str">
            <v>神话梦灵</v>
          </cell>
          <cell r="C25">
            <v>480</v>
          </cell>
        </row>
        <row r="26">
          <cell r="B26" t="str">
            <v>彩虹梦灵</v>
          </cell>
          <cell r="C26">
            <v>960</v>
          </cell>
        </row>
        <row r="27">
          <cell r="B27" t="str">
            <v>随机稀有梦灵</v>
          </cell>
          <cell r="C27">
            <v>20</v>
          </cell>
        </row>
        <row r="28">
          <cell r="B28" t="str">
            <v>随机史诗梦灵</v>
          </cell>
          <cell r="C28">
            <v>40</v>
          </cell>
        </row>
        <row r="29">
          <cell r="B29" t="str">
            <v>随机传说梦灵</v>
          </cell>
          <cell r="C29">
            <v>80</v>
          </cell>
        </row>
        <row r="30">
          <cell r="B30" t="str">
            <v>随机神话梦灵</v>
          </cell>
          <cell r="C30">
            <v>160</v>
          </cell>
        </row>
        <row r="31">
          <cell r="B31" t="str">
            <v>随机彩虹梦灵</v>
          </cell>
          <cell r="C31">
            <v>320</v>
          </cell>
        </row>
        <row r="32">
          <cell r="B32" t="str">
            <v>稀有梦灵碎片</v>
          </cell>
          <cell r="C32">
            <v>6</v>
          </cell>
        </row>
        <row r="33">
          <cell r="B33" t="str">
            <v>史诗梦灵碎片</v>
          </cell>
          <cell r="C33">
            <v>12</v>
          </cell>
        </row>
        <row r="34">
          <cell r="B34" t="str">
            <v>传说梦灵碎片</v>
          </cell>
          <cell r="C34">
            <v>24</v>
          </cell>
        </row>
        <row r="35">
          <cell r="B35" t="str">
            <v>神话梦灵碎片</v>
          </cell>
          <cell r="C35">
            <v>48</v>
          </cell>
        </row>
        <row r="36">
          <cell r="B36" t="str">
            <v>彩虹梦灵碎片</v>
          </cell>
          <cell r="C36">
            <v>96</v>
          </cell>
        </row>
        <row r="37">
          <cell r="B37" t="str">
            <v>装备洗练石</v>
          </cell>
          <cell r="C37">
            <v>1</v>
          </cell>
        </row>
        <row r="38">
          <cell r="B38" t="str">
            <v>装备图纸</v>
          </cell>
          <cell r="C38">
            <v>3</v>
          </cell>
        </row>
        <row r="39">
          <cell r="B39" t="str">
            <v>获取灵感令</v>
          </cell>
          <cell r="C39">
            <v>50</v>
          </cell>
        </row>
        <row r="40">
          <cell r="B40" t="str">
            <v>头脑风暴令</v>
          </cell>
          <cell r="C40">
            <v>250</v>
          </cell>
        </row>
        <row r="41">
          <cell r="B41" t="str">
            <v>普通符文</v>
          </cell>
          <cell r="C41">
            <v>16</v>
          </cell>
        </row>
        <row r="42">
          <cell r="B42" t="str">
            <v>优秀符文</v>
          </cell>
          <cell r="C42">
            <v>64</v>
          </cell>
        </row>
        <row r="43">
          <cell r="B43" t="str">
            <v>稀有符文</v>
          </cell>
          <cell r="C43">
            <v>256</v>
          </cell>
        </row>
        <row r="44">
          <cell r="B44" t="str">
            <v>史诗符文</v>
          </cell>
          <cell r="C44">
            <v>1024</v>
          </cell>
        </row>
        <row r="45">
          <cell r="B45" t="str">
            <v>传说符文</v>
          </cell>
          <cell r="C45">
            <v>4096</v>
          </cell>
        </row>
        <row r="46">
          <cell r="B46" t="str">
            <v>神话符文</v>
          </cell>
          <cell r="C46">
            <v>16384</v>
          </cell>
        </row>
        <row r="47">
          <cell r="B47" t="str">
            <v>创世符文</v>
          </cell>
          <cell r="C47">
            <v>65536</v>
          </cell>
        </row>
        <row r="48">
          <cell r="B48" t="str">
            <v>史诗专属符文</v>
          </cell>
          <cell r="C48">
            <v>2560</v>
          </cell>
        </row>
        <row r="49">
          <cell r="B49" t="str">
            <v>传说专属符文</v>
          </cell>
          <cell r="C49">
            <v>10240</v>
          </cell>
        </row>
        <row r="50">
          <cell r="B50" t="str">
            <v>神话专属符文</v>
          </cell>
          <cell r="C50">
            <v>40960</v>
          </cell>
        </row>
        <row r="51">
          <cell r="B51" t="str">
            <v>创世专属符文</v>
          </cell>
          <cell r="C51">
            <v>163840</v>
          </cell>
        </row>
        <row r="52">
          <cell r="B52" t="str">
            <v>随机专属符文</v>
          </cell>
          <cell r="C52">
            <v>3712</v>
          </cell>
        </row>
        <row r="53">
          <cell r="B53" t="str">
            <v>高阶随机专属符文</v>
          </cell>
          <cell r="C53">
            <v>14848</v>
          </cell>
        </row>
        <row r="55">
          <cell r="B55" t="str">
            <v>史诗梦灵皮肤</v>
          </cell>
          <cell r="C55">
            <v>1500</v>
          </cell>
        </row>
        <row r="56">
          <cell r="B56" t="str">
            <v>传说秘宝皮肤</v>
          </cell>
          <cell r="C56">
            <v>3000</v>
          </cell>
        </row>
        <row r="57">
          <cell r="B57" t="str">
            <v>随机传说秘宝皮肤</v>
          </cell>
          <cell r="C57">
            <v>3000</v>
          </cell>
        </row>
        <row r="58">
          <cell r="B58" t="str">
            <v>自选传说秘宝皮肤</v>
          </cell>
          <cell r="C58">
            <v>3000</v>
          </cell>
        </row>
        <row r="59">
          <cell r="B59" t="str">
            <v>传说梦灵皮肤</v>
          </cell>
          <cell r="C59">
            <v>4000</v>
          </cell>
        </row>
        <row r="60">
          <cell r="B60" t="str">
            <v>随机传说梦灵皮肤</v>
          </cell>
          <cell r="C60">
            <v>4000</v>
          </cell>
        </row>
        <row r="61">
          <cell r="B61" t="str">
            <v>自选传说梦灵皮肤</v>
          </cell>
          <cell r="C61">
            <v>4000</v>
          </cell>
        </row>
        <row r="62">
          <cell r="B62" t="str">
            <v>神话秘宝皮肤</v>
          </cell>
          <cell r="C62">
            <v>4500</v>
          </cell>
        </row>
        <row r="63">
          <cell r="B63" t="str">
            <v>随机神话梦灵皮肤</v>
          </cell>
          <cell r="C63">
            <v>6000</v>
          </cell>
        </row>
        <row r="64">
          <cell r="B64" t="str">
            <v>自选神话梦灵皮肤</v>
          </cell>
          <cell r="C64">
            <v>6000</v>
          </cell>
        </row>
        <row r="65">
          <cell r="B65" t="str">
            <v>传说武器皮肤</v>
          </cell>
          <cell r="C65">
            <v>5000</v>
          </cell>
        </row>
        <row r="66">
          <cell r="B66" t="str">
            <v>神话武器皮肤</v>
          </cell>
          <cell r="C66">
            <v>6000</v>
          </cell>
        </row>
        <row r="67">
          <cell r="B67" t="str">
            <v>梦愿水晶</v>
          </cell>
          <cell r="C67">
            <v>100</v>
          </cell>
        </row>
        <row r="68">
          <cell r="B68" t="str">
            <v>传说心愿石</v>
          </cell>
          <cell r="C68">
            <v>1000</v>
          </cell>
        </row>
        <row r="72">
          <cell r="C72">
            <v>600</v>
          </cell>
          <cell r="D72">
            <v>8000</v>
          </cell>
        </row>
        <row r="73">
          <cell r="D73">
            <v>16000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新服收集活动"/>
      <sheetName val="首发橙卡设计"/>
      <sheetName val="等级礼包"/>
      <sheetName val="价值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D1" t="str">
            <v>玩家等级</v>
          </cell>
        </row>
        <row r="1">
          <cell r="G1" t="str">
            <v>累计经验</v>
          </cell>
        </row>
        <row r="2">
          <cell r="D2">
            <v>1</v>
          </cell>
        </row>
        <row r="2">
          <cell r="G2">
            <v>0</v>
          </cell>
        </row>
        <row r="3">
          <cell r="D3">
            <v>2</v>
          </cell>
        </row>
        <row r="3">
          <cell r="G3">
            <v>60</v>
          </cell>
        </row>
        <row r="4">
          <cell r="D4">
            <v>3</v>
          </cell>
        </row>
        <row r="4">
          <cell r="G4">
            <v>140</v>
          </cell>
        </row>
        <row r="5">
          <cell r="D5">
            <v>4</v>
          </cell>
        </row>
        <row r="5">
          <cell r="G5">
            <v>240</v>
          </cell>
        </row>
        <row r="6">
          <cell r="D6">
            <v>5</v>
          </cell>
        </row>
        <row r="6">
          <cell r="G6">
            <v>360</v>
          </cell>
        </row>
        <row r="7">
          <cell r="D7">
            <v>6</v>
          </cell>
        </row>
        <row r="7">
          <cell r="G7">
            <v>525</v>
          </cell>
        </row>
        <row r="8">
          <cell r="D8">
            <v>7</v>
          </cell>
        </row>
        <row r="8">
          <cell r="G8">
            <v>730</v>
          </cell>
        </row>
        <row r="9">
          <cell r="D9">
            <v>8</v>
          </cell>
        </row>
        <row r="9">
          <cell r="G9">
            <v>985</v>
          </cell>
        </row>
        <row r="10">
          <cell r="D10">
            <v>9</v>
          </cell>
        </row>
        <row r="10">
          <cell r="G10">
            <v>1265</v>
          </cell>
        </row>
        <row r="11">
          <cell r="D11">
            <v>10</v>
          </cell>
        </row>
        <row r="11">
          <cell r="G11">
            <v>1555</v>
          </cell>
        </row>
        <row r="12">
          <cell r="D12">
            <v>11</v>
          </cell>
        </row>
        <row r="12">
          <cell r="G12">
            <v>1855</v>
          </cell>
        </row>
        <row r="13">
          <cell r="D13">
            <v>12</v>
          </cell>
        </row>
        <row r="13">
          <cell r="G13">
            <v>2320</v>
          </cell>
        </row>
        <row r="14">
          <cell r="D14">
            <v>13</v>
          </cell>
        </row>
        <row r="14">
          <cell r="G14">
            <v>2785</v>
          </cell>
        </row>
        <row r="15">
          <cell r="D15">
            <v>14</v>
          </cell>
        </row>
        <row r="15">
          <cell r="G15">
            <v>3245</v>
          </cell>
        </row>
        <row r="16">
          <cell r="D16">
            <v>15</v>
          </cell>
        </row>
        <row r="16">
          <cell r="G16">
            <v>3705</v>
          </cell>
        </row>
        <row r="17">
          <cell r="D17">
            <v>16</v>
          </cell>
        </row>
        <row r="17">
          <cell r="G17">
            <v>4165</v>
          </cell>
        </row>
        <row r="18">
          <cell r="D18">
            <v>17</v>
          </cell>
        </row>
        <row r="18">
          <cell r="G18">
            <v>4625</v>
          </cell>
        </row>
        <row r="19">
          <cell r="D19">
            <v>18</v>
          </cell>
        </row>
        <row r="19">
          <cell r="G19">
            <v>5085</v>
          </cell>
        </row>
        <row r="20">
          <cell r="D20">
            <v>19</v>
          </cell>
        </row>
        <row r="20">
          <cell r="G20">
            <v>5545</v>
          </cell>
        </row>
        <row r="21">
          <cell r="D21">
            <v>20</v>
          </cell>
        </row>
        <row r="21">
          <cell r="G21">
            <v>6235</v>
          </cell>
        </row>
        <row r="22">
          <cell r="D22">
            <v>21</v>
          </cell>
        </row>
        <row r="22">
          <cell r="G22">
            <v>6925</v>
          </cell>
        </row>
        <row r="23">
          <cell r="D23">
            <v>22</v>
          </cell>
        </row>
        <row r="23">
          <cell r="G23">
            <v>7615</v>
          </cell>
        </row>
        <row r="24">
          <cell r="D24">
            <v>23</v>
          </cell>
        </row>
        <row r="24">
          <cell r="G24">
            <v>8305</v>
          </cell>
        </row>
        <row r="25">
          <cell r="D25">
            <v>24</v>
          </cell>
        </row>
        <row r="25">
          <cell r="G25">
            <v>9225</v>
          </cell>
        </row>
        <row r="26">
          <cell r="D26">
            <v>25</v>
          </cell>
        </row>
        <row r="26">
          <cell r="G26">
            <v>10145</v>
          </cell>
        </row>
        <row r="27">
          <cell r="D27">
            <v>26</v>
          </cell>
        </row>
        <row r="27">
          <cell r="G27">
            <v>11065</v>
          </cell>
        </row>
        <row r="28">
          <cell r="D28">
            <v>27</v>
          </cell>
        </row>
        <row r="28">
          <cell r="G28">
            <v>11985</v>
          </cell>
        </row>
        <row r="29">
          <cell r="D29">
            <v>28</v>
          </cell>
        </row>
        <row r="29">
          <cell r="G29">
            <v>12905</v>
          </cell>
        </row>
        <row r="30">
          <cell r="D30">
            <v>29</v>
          </cell>
        </row>
        <row r="30">
          <cell r="G30">
            <v>13825</v>
          </cell>
        </row>
        <row r="31">
          <cell r="D31">
            <v>30</v>
          </cell>
        </row>
        <row r="31">
          <cell r="G31">
            <v>15205</v>
          </cell>
        </row>
        <row r="32">
          <cell r="D32">
            <v>31</v>
          </cell>
        </row>
        <row r="32">
          <cell r="G32">
            <v>16585</v>
          </cell>
        </row>
        <row r="33">
          <cell r="D33">
            <v>32</v>
          </cell>
        </row>
        <row r="33">
          <cell r="G33">
            <v>17965</v>
          </cell>
        </row>
        <row r="34">
          <cell r="D34">
            <v>33</v>
          </cell>
        </row>
        <row r="34">
          <cell r="G34">
            <v>19345</v>
          </cell>
        </row>
        <row r="35">
          <cell r="D35">
            <v>34</v>
          </cell>
        </row>
        <row r="35">
          <cell r="G35">
            <v>20725</v>
          </cell>
        </row>
        <row r="36">
          <cell r="D36">
            <v>35</v>
          </cell>
        </row>
        <row r="36">
          <cell r="G36">
            <v>22105</v>
          </cell>
        </row>
        <row r="37">
          <cell r="D37">
            <v>36</v>
          </cell>
        </row>
        <row r="37">
          <cell r="G37">
            <v>23485</v>
          </cell>
        </row>
        <row r="38">
          <cell r="D38">
            <v>37</v>
          </cell>
        </row>
        <row r="38">
          <cell r="G38">
            <v>24865</v>
          </cell>
        </row>
        <row r="39">
          <cell r="D39">
            <v>38</v>
          </cell>
        </row>
        <row r="39">
          <cell r="G39">
            <v>26245</v>
          </cell>
        </row>
        <row r="40">
          <cell r="D40">
            <v>39</v>
          </cell>
        </row>
        <row r="40">
          <cell r="G40">
            <v>27625</v>
          </cell>
        </row>
        <row r="41">
          <cell r="D41">
            <v>40</v>
          </cell>
        </row>
        <row r="41">
          <cell r="G41">
            <v>29005</v>
          </cell>
        </row>
        <row r="42">
          <cell r="D42">
            <v>41</v>
          </cell>
        </row>
        <row r="42">
          <cell r="G42">
            <v>30385</v>
          </cell>
        </row>
        <row r="43">
          <cell r="D43">
            <v>42</v>
          </cell>
        </row>
        <row r="43">
          <cell r="G43">
            <v>31765</v>
          </cell>
        </row>
        <row r="44">
          <cell r="D44">
            <v>43</v>
          </cell>
        </row>
        <row r="44">
          <cell r="G44">
            <v>33145</v>
          </cell>
        </row>
        <row r="45">
          <cell r="D45">
            <v>44</v>
          </cell>
        </row>
        <row r="45">
          <cell r="G45">
            <v>34525</v>
          </cell>
        </row>
        <row r="46">
          <cell r="D46">
            <v>45</v>
          </cell>
        </row>
        <row r="46">
          <cell r="G46">
            <v>35905</v>
          </cell>
        </row>
        <row r="47">
          <cell r="D47">
            <v>46</v>
          </cell>
        </row>
        <row r="47">
          <cell r="G47">
            <v>38665</v>
          </cell>
        </row>
        <row r="48">
          <cell r="D48">
            <v>47</v>
          </cell>
        </row>
        <row r="48">
          <cell r="G48">
            <v>41425</v>
          </cell>
        </row>
        <row r="49">
          <cell r="D49">
            <v>48</v>
          </cell>
        </row>
        <row r="49">
          <cell r="G49">
            <v>44185</v>
          </cell>
        </row>
        <row r="50">
          <cell r="D50">
            <v>49</v>
          </cell>
        </row>
        <row r="50">
          <cell r="G50">
            <v>46945</v>
          </cell>
        </row>
        <row r="51">
          <cell r="D51">
            <v>50</v>
          </cell>
        </row>
        <row r="51">
          <cell r="G51">
            <v>49705</v>
          </cell>
        </row>
        <row r="52">
          <cell r="D52">
            <v>51</v>
          </cell>
        </row>
        <row r="52">
          <cell r="G52">
            <v>52465</v>
          </cell>
        </row>
        <row r="53">
          <cell r="D53">
            <v>52</v>
          </cell>
        </row>
        <row r="53">
          <cell r="G53">
            <v>55225</v>
          </cell>
        </row>
        <row r="54">
          <cell r="D54">
            <v>53</v>
          </cell>
        </row>
        <row r="54">
          <cell r="G54">
            <v>57985</v>
          </cell>
        </row>
        <row r="55">
          <cell r="D55">
            <v>54</v>
          </cell>
        </row>
        <row r="55">
          <cell r="G55">
            <v>60745</v>
          </cell>
        </row>
        <row r="56">
          <cell r="D56">
            <v>55</v>
          </cell>
        </row>
        <row r="56">
          <cell r="G56">
            <v>63505</v>
          </cell>
        </row>
        <row r="57">
          <cell r="D57">
            <v>56</v>
          </cell>
        </row>
        <row r="57">
          <cell r="G57">
            <v>66265</v>
          </cell>
        </row>
        <row r="58">
          <cell r="D58">
            <v>57</v>
          </cell>
        </row>
        <row r="58">
          <cell r="G58">
            <v>69025</v>
          </cell>
        </row>
        <row r="59">
          <cell r="D59">
            <v>58</v>
          </cell>
        </row>
        <row r="59">
          <cell r="G59">
            <v>71785</v>
          </cell>
        </row>
        <row r="60">
          <cell r="D60">
            <v>59</v>
          </cell>
        </row>
        <row r="60">
          <cell r="G60">
            <v>77305</v>
          </cell>
        </row>
        <row r="61">
          <cell r="D61">
            <v>60</v>
          </cell>
        </row>
        <row r="61">
          <cell r="G61">
            <v>80065</v>
          </cell>
        </row>
        <row r="62">
          <cell r="D62">
            <v>61</v>
          </cell>
        </row>
        <row r="62">
          <cell r="G62">
            <v>85585</v>
          </cell>
        </row>
        <row r="63">
          <cell r="D63">
            <v>62</v>
          </cell>
        </row>
        <row r="63">
          <cell r="G63">
            <v>88345</v>
          </cell>
        </row>
        <row r="64">
          <cell r="D64">
            <v>63</v>
          </cell>
        </row>
        <row r="64">
          <cell r="G64">
            <v>91105</v>
          </cell>
        </row>
        <row r="65">
          <cell r="D65">
            <v>64</v>
          </cell>
        </row>
        <row r="65">
          <cell r="G65">
            <v>96625</v>
          </cell>
        </row>
        <row r="66">
          <cell r="D66">
            <v>65</v>
          </cell>
        </row>
        <row r="66">
          <cell r="G66">
            <v>99385</v>
          </cell>
        </row>
        <row r="67">
          <cell r="D67">
            <v>66</v>
          </cell>
        </row>
        <row r="67">
          <cell r="G67">
            <v>104905</v>
          </cell>
        </row>
        <row r="68">
          <cell r="D68">
            <v>67</v>
          </cell>
        </row>
        <row r="68">
          <cell r="G68">
            <v>107665</v>
          </cell>
        </row>
        <row r="69">
          <cell r="D69">
            <v>68</v>
          </cell>
        </row>
        <row r="69">
          <cell r="G69">
            <v>110425</v>
          </cell>
        </row>
        <row r="70">
          <cell r="D70">
            <v>69</v>
          </cell>
        </row>
        <row r="70">
          <cell r="G70">
            <v>115945</v>
          </cell>
        </row>
        <row r="71">
          <cell r="D71">
            <v>70</v>
          </cell>
        </row>
        <row r="71">
          <cell r="G71">
            <v>118705</v>
          </cell>
        </row>
        <row r="72">
          <cell r="D72">
            <v>71</v>
          </cell>
        </row>
        <row r="72">
          <cell r="G72">
            <v>124225</v>
          </cell>
        </row>
        <row r="73">
          <cell r="D73">
            <v>72</v>
          </cell>
        </row>
        <row r="73">
          <cell r="G73">
            <v>126985</v>
          </cell>
        </row>
        <row r="74">
          <cell r="D74">
            <v>73</v>
          </cell>
        </row>
        <row r="74">
          <cell r="G74">
            <v>132505</v>
          </cell>
        </row>
        <row r="75">
          <cell r="D75">
            <v>74</v>
          </cell>
        </row>
        <row r="75">
          <cell r="G75">
            <v>135265</v>
          </cell>
        </row>
        <row r="76">
          <cell r="D76">
            <v>75</v>
          </cell>
        </row>
        <row r="76">
          <cell r="G76">
            <v>139405</v>
          </cell>
        </row>
        <row r="77">
          <cell r="D77">
            <v>76</v>
          </cell>
        </row>
        <row r="77">
          <cell r="G77">
            <v>143545</v>
          </cell>
        </row>
        <row r="78">
          <cell r="D78">
            <v>77</v>
          </cell>
        </row>
        <row r="78">
          <cell r="G78">
            <v>147685</v>
          </cell>
        </row>
        <row r="79">
          <cell r="D79">
            <v>78</v>
          </cell>
        </row>
        <row r="79">
          <cell r="G79">
            <v>151825</v>
          </cell>
        </row>
        <row r="80">
          <cell r="D80">
            <v>79</v>
          </cell>
        </row>
        <row r="80">
          <cell r="G80">
            <v>154585</v>
          </cell>
        </row>
        <row r="81">
          <cell r="D81">
            <v>80</v>
          </cell>
        </row>
        <row r="81">
          <cell r="G81">
            <v>158725</v>
          </cell>
        </row>
        <row r="82">
          <cell r="D82">
            <v>81</v>
          </cell>
        </row>
        <row r="82">
          <cell r="G82">
            <v>162865</v>
          </cell>
        </row>
        <row r="83">
          <cell r="D83">
            <v>82</v>
          </cell>
        </row>
        <row r="83">
          <cell r="G83">
            <v>167005</v>
          </cell>
        </row>
        <row r="84">
          <cell r="D84">
            <v>83</v>
          </cell>
        </row>
        <row r="84">
          <cell r="G84">
            <v>171145</v>
          </cell>
        </row>
        <row r="85">
          <cell r="D85">
            <v>84</v>
          </cell>
        </row>
        <row r="85">
          <cell r="G85">
            <v>178045</v>
          </cell>
        </row>
        <row r="86">
          <cell r="D86">
            <v>85</v>
          </cell>
        </row>
        <row r="86">
          <cell r="G86">
            <v>184945</v>
          </cell>
        </row>
        <row r="87">
          <cell r="D87">
            <v>86</v>
          </cell>
        </row>
        <row r="87">
          <cell r="G87">
            <v>193225</v>
          </cell>
        </row>
        <row r="88">
          <cell r="D88">
            <v>87</v>
          </cell>
        </row>
        <row r="88">
          <cell r="G88">
            <v>201505</v>
          </cell>
        </row>
        <row r="89">
          <cell r="D89">
            <v>88</v>
          </cell>
        </row>
        <row r="89">
          <cell r="G89">
            <v>208405</v>
          </cell>
        </row>
        <row r="90">
          <cell r="D90">
            <v>89</v>
          </cell>
        </row>
        <row r="90">
          <cell r="G90">
            <v>215305</v>
          </cell>
        </row>
        <row r="91">
          <cell r="D91">
            <v>90</v>
          </cell>
        </row>
        <row r="91">
          <cell r="G91">
            <v>223585</v>
          </cell>
        </row>
        <row r="92">
          <cell r="D92">
            <v>91</v>
          </cell>
        </row>
        <row r="92">
          <cell r="G92">
            <v>231865</v>
          </cell>
        </row>
        <row r="93">
          <cell r="D93">
            <v>92</v>
          </cell>
        </row>
        <row r="93">
          <cell r="G93">
            <v>238765</v>
          </cell>
        </row>
        <row r="94">
          <cell r="D94">
            <v>93</v>
          </cell>
        </row>
        <row r="94">
          <cell r="G94">
            <v>245665</v>
          </cell>
        </row>
        <row r="95">
          <cell r="D95">
            <v>94</v>
          </cell>
        </row>
        <row r="95">
          <cell r="G95">
            <v>253945</v>
          </cell>
        </row>
        <row r="96">
          <cell r="D96">
            <v>95</v>
          </cell>
        </row>
        <row r="96">
          <cell r="G96">
            <v>262225</v>
          </cell>
        </row>
        <row r="97">
          <cell r="D97">
            <v>96</v>
          </cell>
        </row>
        <row r="97">
          <cell r="G97">
            <v>270505</v>
          </cell>
        </row>
        <row r="98">
          <cell r="D98">
            <v>97</v>
          </cell>
        </row>
        <row r="98">
          <cell r="G98">
            <v>277405</v>
          </cell>
        </row>
        <row r="99">
          <cell r="D99">
            <v>98</v>
          </cell>
        </row>
        <row r="99">
          <cell r="G99">
            <v>284305</v>
          </cell>
        </row>
        <row r="100">
          <cell r="D100">
            <v>99</v>
          </cell>
        </row>
        <row r="100">
          <cell r="G100">
            <v>292585</v>
          </cell>
        </row>
        <row r="101">
          <cell r="D101">
            <v>100</v>
          </cell>
        </row>
        <row r="101">
          <cell r="G101">
            <v>300865</v>
          </cell>
        </row>
        <row r="102">
          <cell r="D102">
            <v>101</v>
          </cell>
        </row>
        <row r="102">
          <cell r="G102">
            <v>309145</v>
          </cell>
        </row>
        <row r="103">
          <cell r="D103">
            <v>102</v>
          </cell>
        </row>
        <row r="103">
          <cell r="G103">
            <v>317425</v>
          </cell>
        </row>
        <row r="104">
          <cell r="D104">
            <v>103</v>
          </cell>
        </row>
        <row r="104">
          <cell r="G104">
            <v>322945</v>
          </cell>
        </row>
        <row r="105">
          <cell r="D105">
            <v>104</v>
          </cell>
        </row>
        <row r="105">
          <cell r="G105">
            <v>333985</v>
          </cell>
        </row>
        <row r="106">
          <cell r="D106">
            <v>105</v>
          </cell>
        </row>
        <row r="106">
          <cell r="G106">
            <v>350545</v>
          </cell>
        </row>
        <row r="107">
          <cell r="D107">
            <v>106</v>
          </cell>
        </row>
        <row r="107">
          <cell r="G107">
            <v>364345</v>
          </cell>
        </row>
        <row r="108">
          <cell r="D108">
            <v>107</v>
          </cell>
        </row>
        <row r="108">
          <cell r="G108">
            <v>380905</v>
          </cell>
        </row>
        <row r="109">
          <cell r="D109">
            <v>108</v>
          </cell>
        </row>
        <row r="109">
          <cell r="G109">
            <v>394705</v>
          </cell>
        </row>
        <row r="110">
          <cell r="D110">
            <v>109</v>
          </cell>
        </row>
        <row r="110">
          <cell r="G110">
            <v>411265</v>
          </cell>
        </row>
        <row r="111">
          <cell r="D111">
            <v>110</v>
          </cell>
        </row>
        <row r="111">
          <cell r="G111">
            <v>427825</v>
          </cell>
        </row>
        <row r="112">
          <cell r="D112">
            <v>111</v>
          </cell>
        </row>
        <row r="112">
          <cell r="G112">
            <v>441625</v>
          </cell>
        </row>
        <row r="113">
          <cell r="D113">
            <v>112</v>
          </cell>
        </row>
        <row r="113">
          <cell r="G113">
            <v>458185</v>
          </cell>
        </row>
        <row r="114">
          <cell r="D114">
            <v>113</v>
          </cell>
        </row>
        <row r="114">
          <cell r="G114">
            <v>471985</v>
          </cell>
        </row>
        <row r="115">
          <cell r="D115">
            <v>114</v>
          </cell>
        </row>
        <row r="115">
          <cell r="G115">
            <v>488545</v>
          </cell>
        </row>
        <row r="116">
          <cell r="D116">
            <v>115</v>
          </cell>
        </row>
        <row r="116">
          <cell r="G116">
            <v>505105</v>
          </cell>
        </row>
        <row r="117">
          <cell r="D117">
            <v>116</v>
          </cell>
        </row>
        <row r="117">
          <cell r="G117">
            <v>518905</v>
          </cell>
        </row>
        <row r="118">
          <cell r="D118">
            <v>117</v>
          </cell>
        </row>
        <row r="118">
          <cell r="G118">
            <v>535465</v>
          </cell>
        </row>
        <row r="119">
          <cell r="D119">
            <v>118</v>
          </cell>
        </row>
        <row r="119">
          <cell r="G119">
            <v>549265</v>
          </cell>
        </row>
        <row r="120">
          <cell r="D120">
            <v>119</v>
          </cell>
        </row>
        <row r="120">
          <cell r="G120">
            <v>565825</v>
          </cell>
        </row>
        <row r="121">
          <cell r="D121">
            <v>120</v>
          </cell>
        </row>
        <row r="121">
          <cell r="G121">
            <v>582385</v>
          </cell>
        </row>
        <row r="122">
          <cell r="D122">
            <v>121</v>
          </cell>
        </row>
        <row r="122">
          <cell r="G122">
            <v>596185</v>
          </cell>
        </row>
        <row r="123">
          <cell r="D123">
            <v>122</v>
          </cell>
        </row>
        <row r="123">
          <cell r="G123">
            <v>612745</v>
          </cell>
        </row>
        <row r="124">
          <cell r="D124">
            <v>123</v>
          </cell>
        </row>
        <row r="124">
          <cell r="G124">
            <v>626545</v>
          </cell>
        </row>
        <row r="125">
          <cell r="D125">
            <v>124</v>
          </cell>
        </row>
        <row r="125">
          <cell r="G125">
            <v>643105</v>
          </cell>
        </row>
        <row r="126">
          <cell r="D126">
            <v>125</v>
          </cell>
        </row>
        <row r="126">
          <cell r="G126">
            <v>659665</v>
          </cell>
        </row>
        <row r="127">
          <cell r="D127">
            <v>126</v>
          </cell>
        </row>
        <row r="127">
          <cell r="G127">
            <v>673465</v>
          </cell>
        </row>
        <row r="128">
          <cell r="D128">
            <v>127</v>
          </cell>
        </row>
        <row r="128">
          <cell r="G128">
            <v>690025</v>
          </cell>
        </row>
        <row r="129">
          <cell r="D129">
            <v>128</v>
          </cell>
        </row>
        <row r="129">
          <cell r="G129">
            <v>703825</v>
          </cell>
        </row>
        <row r="130">
          <cell r="D130">
            <v>129</v>
          </cell>
        </row>
        <row r="130">
          <cell r="G130">
            <v>720385</v>
          </cell>
        </row>
        <row r="131">
          <cell r="D131">
            <v>130</v>
          </cell>
        </row>
        <row r="131">
          <cell r="G131">
            <v>736945</v>
          </cell>
        </row>
        <row r="132">
          <cell r="D132">
            <v>131</v>
          </cell>
        </row>
        <row r="132">
          <cell r="G132">
            <v>750745</v>
          </cell>
        </row>
        <row r="133">
          <cell r="D133">
            <v>132</v>
          </cell>
        </row>
        <row r="133">
          <cell r="G133">
            <v>767305</v>
          </cell>
        </row>
        <row r="134">
          <cell r="D134">
            <v>133</v>
          </cell>
        </row>
        <row r="134">
          <cell r="G134">
            <v>781105</v>
          </cell>
        </row>
        <row r="135">
          <cell r="D135">
            <v>134</v>
          </cell>
        </row>
        <row r="135">
          <cell r="G135">
            <v>797665</v>
          </cell>
        </row>
        <row r="136">
          <cell r="D136">
            <v>135</v>
          </cell>
        </row>
        <row r="136">
          <cell r="G136">
            <v>814225</v>
          </cell>
        </row>
        <row r="137">
          <cell r="D137">
            <v>136</v>
          </cell>
        </row>
        <row r="137">
          <cell r="G137">
            <v>828025</v>
          </cell>
        </row>
        <row r="138">
          <cell r="D138">
            <v>137</v>
          </cell>
        </row>
        <row r="138">
          <cell r="G138">
            <v>844585</v>
          </cell>
        </row>
        <row r="139">
          <cell r="D139">
            <v>138</v>
          </cell>
        </row>
        <row r="139">
          <cell r="G139">
            <v>858385</v>
          </cell>
        </row>
        <row r="140">
          <cell r="D140">
            <v>139</v>
          </cell>
        </row>
        <row r="140">
          <cell r="G140">
            <v>874945</v>
          </cell>
        </row>
        <row r="141">
          <cell r="D141">
            <v>140</v>
          </cell>
        </row>
        <row r="141">
          <cell r="G141">
            <v>891505</v>
          </cell>
        </row>
        <row r="142">
          <cell r="D142">
            <v>141</v>
          </cell>
        </row>
        <row r="142">
          <cell r="G142">
            <v>905305</v>
          </cell>
        </row>
        <row r="143">
          <cell r="D143">
            <v>142</v>
          </cell>
        </row>
        <row r="143">
          <cell r="G143">
            <v>921865</v>
          </cell>
        </row>
        <row r="144">
          <cell r="D144">
            <v>143</v>
          </cell>
        </row>
        <row r="144">
          <cell r="G144">
            <v>938425</v>
          </cell>
        </row>
        <row r="145">
          <cell r="D145">
            <v>144</v>
          </cell>
        </row>
        <row r="145">
          <cell r="G145">
            <v>952225</v>
          </cell>
        </row>
        <row r="146">
          <cell r="D146">
            <v>145</v>
          </cell>
        </row>
        <row r="146">
          <cell r="G146">
            <v>968785</v>
          </cell>
        </row>
        <row r="147">
          <cell r="D147">
            <v>146</v>
          </cell>
        </row>
        <row r="147">
          <cell r="G147">
            <v>982585</v>
          </cell>
        </row>
        <row r="148">
          <cell r="D148">
            <v>147</v>
          </cell>
        </row>
        <row r="148">
          <cell r="G148">
            <v>999145</v>
          </cell>
        </row>
        <row r="149">
          <cell r="D149">
            <v>148</v>
          </cell>
        </row>
        <row r="149">
          <cell r="G149">
            <v>1015705</v>
          </cell>
        </row>
        <row r="150">
          <cell r="D150">
            <v>149</v>
          </cell>
        </row>
        <row r="150">
          <cell r="G150">
            <v>1029505</v>
          </cell>
        </row>
        <row r="151">
          <cell r="D151">
            <v>150</v>
          </cell>
        </row>
        <row r="151">
          <cell r="G151">
            <v>1046065</v>
          </cell>
        </row>
        <row r="152">
          <cell r="D152">
            <v>151</v>
          </cell>
        </row>
        <row r="152">
          <cell r="G152">
            <v>1059865</v>
          </cell>
        </row>
        <row r="153">
          <cell r="D153">
            <v>152</v>
          </cell>
        </row>
        <row r="153">
          <cell r="G153">
            <v>1076425</v>
          </cell>
        </row>
        <row r="154">
          <cell r="D154">
            <v>153</v>
          </cell>
        </row>
        <row r="154">
          <cell r="G154">
            <v>1092985</v>
          </cell>
        </row>
        <row r="155">
          <cell r="D155">
            <v>154</v>
          </cell>
        </row>
        <row r="155">
          <cell r="G155">
            <v>1106785</v>
          </cell>
        </row>
        <row r="156">
          <cell r="D156">
            <v>155</v>
          </cell>
        </row>
        <row r="156">
          <cell r="G156">
            <v>1123345</v>
          </cell>
        </row>
        <row r="157">
          <cell r="D157">
            <v>156</v>
          </cell>
        </row>
        <row r="157">
          <cell r="G157">
            <v>1137145</v>
          </cell>
        </row>
        <row r="158">
          <cell r="D158">
            <v>157</v>
          </cell>
        </row>
        <row r="158">
          <cell r="G158">
            <v>1153705</v>
          </cell>
        </row>
        <row r="159">
          <cell r="D159">
            <v>158</v>
          </cell>
        </row>
        <row r="159">
          <cell r="G159">
            <v>1170265</v>
          </cell>
        </row>
        <row r="160">
          <cell r="D160">
            <v>159</v>
          </cell>
        </row>
        <row r="160">
          <cell r="G160">
            <v>1184065</v>
          </cell>
        </row>
        <row r="161">
          <cell r="D161">
            <v>160</v>
          </cell>
        </row>
        <row r="161">
          <cell r="G161">
            <v>1200625</v>
          </cell>
        </row>
        <row r="162">
          <cell r="D162">
            <v>161</v>
          </cell>
        </row>
        <row r="162">
          <cell r="G162">
            <v>1214425</v>
          </cell>
        </row>
        <row r="163">
          <cell r="D163">
            <v>162</v>
          </cell>
        </row>
        <row r="163">
          <cell r="G163">
            <v>1230985</v>
          </cell>
        </row>
        <row r="164">
          <cell r="D164">
            <v>163</v>
          </cell>
        </row>
        <row r="164">
          <cell r="G164">
            <v>1247545</v>
          </cell>
        </row>
        <row r="165">
          <cell r="D165">
            <v>164</v>
          </cell>
        </row>
        <row r="165">
          <cell r="G165">
            <v>1261345</v>
          </cell>
        </row>
        <row r="166">
          <cell r="D166">
            <v>165</v>
          </cell>
        </row>
        <row r="166">
          <cell r="G166">
            <v>1277905</v>
          </cell>
        </row>
        <row r="167">
          <cell r="D167">
            <v>166</v>
          </cell>
        </row>
        <row r="167">
          <cell r="G167">
            <v>1291705</v>
          </cell>
        </row>
        <row r="168">
          <cell r="D168">
            <v>167</v>
          </cell>
        </row>
        <row r="168">
          <cell r="G168">
            <v>1308265</v>
          </cell>
        </row>
        <row r="169">
          <cell r="D169">
            <v>168</v>
          </cell>
        </row>
        <row r="169">
          <cell r="G169">
            <v>1324825</v>
          </cell>
        </row>
        <row r="170">
          <cell r="D170">
            <v>169</v>
          </cell>
        </row>
        <row r="170">
          <cell r="G170">
            <v>1338625</v>
          </cell>
        </row>
        <row r="171">
          <cell r="D171">
            <v>170</v>
          </cell>
        </row>
        <row r="171">
          <cell r="G171">
            <v>1355185</v>
          </cell>
        </row>
        <row r="172">
          <cell r="D172">
            <v>171</v>
          </cell>
        </row>
        <row r="172">
          <cell r="G172">
            <v>1368985</v>
          </cell>
        </row>
        <row r="173">
          <cell r="D173">
            <v>172</v>
          </cell>
        </row>
        <row r="173">
          <cell r="G173">
            <v>1373955</v>
          </cell>
        </row>
        <row r="174">
          <cell r="D174">
            <v>173</v>
          </cell>
        </row>
        <row r="174">
          <cell r="G174">
            <v>1378925</v>
          </cell>
        </row>
        <row r="175">
          <cell r="D175">
            <v>174</v>
          </cell>
        </row>
        <row r="175">
          <cell r="G175">
            <v>1383895</v>
          </cell>
        </row>
        <row r="176">
          <cell r="D176">
            <v>175</v>
          </cell>
        </row>
        <row r="176">
          <cell r="G176">
            <v>1388865</v>
          </cell>
        </row>
        <row r="177">
          <cell r="D177">
            <v>176</v>
          </cell>
        </row>
        <row r="177">
          <cell r="G177">
            <v>1393835</v>
          </cell>
        </row>
        <row r="178">
          <cell r="D178">
            <v>177</v>
          </cell>
        </row>
        <row r="178">
          <cell r="G178">
            <v>1398805</v>
          </cell>
        </row>
        <row r="179">
          <cell r="D179">
            <v>178</v>
          </cell>
        </row>
        <row r="179">
          <cell r="G179">
            <v>1403775</v>
          </cell>
        </row>
        <row r="180">
          <cell r="D180">
            <v>179</v>
          </cell>
        </row>
        <row r="180">
          <cell r="G180">
            <v>1408745</v>
          </cell>
        </row>
        <row r="181">
          <cell r="D181">
            <v>180</v>
          </cell>
        </row>
        <row r="181">
          <cell r="G181">
            <v>1413715</v>
          </cell>
        </row>
        <row r="182">
          <cell r="D182">
            <v>181</v>
          </cell>
        </row>
        <row r="182">
          <cell r="G182">
            <v>1418685</v>
          </cell>
        </row>
        <row r="183">
          <cell r="D183">
            <v>182</v>
          </cell>
        </row>
        <row r="183">
          <cell r="G183">
            <v>1423655</v>
          </cell>
        </row>
        <row r="184">
          <cell r="D184">
            <v>183</v>
          </cell>
        </row>
        <row r="184">
          <cell r="G184">
            <v>1428625</v>
          </cell>
        </row>
        <row r="185">
          <cell r="D185">
            <v>184</v>
          </cell>
        </row>
        <row r="185">
          <cell r="G185">
            <v>1433595</v>
          </cell>
        </row>
        <row r="186">
          <cell r="D186">
            <v>185</v>
          </cell>
        </row>
        <row r="186">
          <cell r="G186">
            <v>1438565</v>
          </cell>
        </row>
        <row r="187">
          <cell r="D187">
            <v>186</v>
          </cell>
        </row>
        <row r="187">
          <cell r="G187">
            <v>1443535</v>
          </cell>
        </row>
        <row r="188">
          <cell r="D188">
            <v>187</v>
          </cell>
        </row>
        <row r="188">
          <cell r="G188">
            <v>1448505</v>
          </cell>
        </row>
        <row r="189">
          <cell r="D189">
            <v>188</v>
          </cell>
        </row>
        <row r="189">
          <cell r="G189">
            <v>1453475</v>
          </cell>
        </row>
        <row r="190">
          <cell r="D190">
            <v>189</v>
          </cell>
        </row>
        <row r="190">
          <cell r="G190">
            <v>1458445</v>
          </cell>
        </row>
        <row r="191">
          <cell r="D191">
            <v>190</v>
          </cell>
        </row>
        <row r="191">
          <cell r="G191">
            <v>1463415</v>
          </cell>
        </row>
        <row r="192">
          <cell r="D192">
            <v>191</v>
          </cell>
        </row>
        <row r="192">
          <cell r="G192">
            <v>1468385</v>
          </cell>
        </row>
        <row r="193">
          <cell r="D193">
            <v>192</v>
          </cell>
        </row>
        <row r="193">
          <cell r="G193">
            <v>1473355</v>
          </cell>
        </row>
        <row r="194">
          <cell r="D194">
            <v>193</v>
          </cell>
        </row>
        <row r="194">
          <cell r="G194">
            <v>1478325</v>
          </cell>
        </row>
        <row r="195">
          <cell r="D195">
            <v>194</v>
          </cell>
        </row>
        <row r="195">
          <cell r="G195">
            <v>1483295</v>
          </cell>
        </row>
        <row r="196">
          <cell r="D196">
            <v>195</v>
          </cell>
        </row>
        <row r="196">
          <cell r="G196">
            <v>1488265</v>
          </cell>
        </row>
        <row r="197">
          <cell r="D197">
            <v>196</v>
          </cell>
        </row>
        <row r="197">
          <cell r="G197">
            <v>1493235</v>
          </cell>
        </row>
        <row r="198">
          <cell r="D198">
            <v>197</v>
          </cell>
        </row>
        <row r="198">
          <cell r="G198">
            <v>1498205</v>
          </cell>
        </row>
        <row r="199">
          <cell r="D199">
            <v>198</v>
          </cell>
        </row>
        <row r="199">
          <cell r="G199">
            <v>1503175</v>
          </cell>
        </row>
        <row r="200">
          <cell r="D200">
            <v>199</v>
          </cell>
        </row>
        <row r="200">
          <cell r="G200">
            <v>1508145</v>
          </cell>
        </row>
        <row r="201">
          <cell r="D201">
            <v>200</v>
          </cell>
        </row>
        <row r="201">
          <cell r="G201">
            <v>1513115</v>
          </cell>
        </row>
        <row r="202">
          <cell r="D202">
            <v>201</v>
          </cell>
        </row>
        <row r="202">
          <cell r="G202">
            <v>1518085</v>
          </cell>
        </row>
        <row r="203">
          <cell r="D203">
            <v>202</v>
          </cell>
        </row>
        <row r="203">
          <cell r="G203">
            <v>1523055</v>
          </cell>
        </row>
        <row r="204">
          <cell r="D204">
            <v>203</v>
          </cell>
        </row>
        <row r="204">
          <cell r="G204">
            <v>1528025</v>
          </cell>
        </row>
        <row r="205">
          <cell r="D205">
            <v>204</v>
          </cell>
        </row>
        <row r="205">
          <cell r="G205">
            <v>1532995</v>
          </cell>
        </row>
        <row r="206">
          <cell r="D206">
            <v>205</v>
          </cell>
        </row>
        <row r="206">
          <cell r="G206">
            <v>1537965</v>
          </cell>
        </row>
        <row r="207">
          <cell r="D207">
            <v>206</v>
          </cell>
        </row>
        <row r="207">
          <cell r="G207">
            <v>1542935</v>
          </cell>
        </row>
        <row r="208">
          <cell r="D208">
            <v>207</v>
          </cell>
        </row>
        <row r="208">
          <cell r="G208">
            <v>1547905</v>
          </cell>
        </row>
        <row r="209">
          <cell r="D209">
            <v>208</v>
          </cell>
        </row>
        <row r="209">
          <cell r="G209">
            <v>1552875</v>
          </cell>
        </row>
        <row r="210">
          <cell r="D210">
            <v>209</v>
          </cell>
        </row>
        <row r="210">
          <cell r="G210">
            <v>1557845</v>
          </cell>
        </row>
        <row r="211">
          <cell r="D211">
            <v>210</v>
          </cell>
        </row>
        <row r="211">
          <cell r="G211">
            <v>1562815</v>
          </cell>
        </row>
        <row r="212">
          <cell r="D212">
            <v>211</v>
          </cell>
        </row>
        <row r="212">
          <cell r="G212">
            <v>1567785</v>
          </cell>
        </row>
        <row r="213">
          <cell r="D213">
            <v>212</v>
          </cell>
        </row>
        <row r="213">
          <cell r="G213">
            <v>1572755</v>
          </cell>
        </row>
        <row r="214">
          <cell r="D214">
            <v>213</v>
          </cell>
        </row>
        <row r="214">
          <cell r="G214">
            <v>1577725</v>
          </cell>
        </row>
        <row r="215">
          <cell r="D215">
            <v>214</v>
          </cell>
        </row>
        <row r="215">
          <cell r="G215">
            <v>1582695</v>
          </cell>
        </row>
        <row r="216">
          <cell r="D216">
            <v>215</v>
          </cell>
        </row>
        <row r="216">
          <cell r="G216">
            <v>1587665</v>
          </cell>
        </row>
        <row r="217">
          <cell r="D217">
            <v>216</v>
          </cell>
        </row>
        <row r="217">
          <cell r="G217">
            <v>1592635</v>
          </cell>
        </row>
        <row r="218">
          <cell r="D218">
            <v>217</v>
          </cell>
        </row>
        <row r="218">
          <cell r="G218">
            <v>1597605</v>
          </cell>
        </row>
        <row r="219">
          <cell r="D219">
            <v>218</v>
          </cell>
        </row>
        <row r="219">
          <cell r="G219">
            <v>1602575</v>
          </cell>
        </row>
        <row r="220">
          <cell r="D220">
            <v>219</v>
          </cell>
        </row>
        <row r="220">
          <cell r="G220">
            <v>1607545</v>
          </cell>
        </row>
        <row r="221">
          <cell r="D221">
            <v>220</v>
          </cell>
        </row>
        <row r="221">
          <cell r="G221">
            <v>1612515</v>
          </cell>
        </row>
        <row r="222">
          <cell r="D222">
            <v>221</v>
          </cell>
        </row>
        <row r="222">
          <cell r="G222">
            <v>1617485</v>
          </cell>
        </row>
        <row r="223">
          <cell r="D223">
            <v>222</v>
          </cell>
        </row>
        <row r="223">
          <cell r="G223">
            <v>1622455</v>
          </cell>
        </row>
        <row r="224">
          <cell r="D224">
            <v>223</v>
          </cell>
        </row>
        <row r="224">
          <cell r="G224">
            <v>1627425</v>
          </cell>
        </row>
        <row r="225">
          <cell r="D225">
            <v>224</v>
          </cell>
        </row>
        <row r="225">
          <cell r="G225">
            <v>1632395</v>
          </cell>
        </row>
        <row r="226">
          <cell r="D226">
            <v>225</v>
          </cell>
        </row>
        <row r="226">
          <cell r="G226">
            <v>1637365</v>
          </cell>
        </row>
        <row r="227">
          <cell r="D227">
            <v>226</v>
          </cell>
        </row>
        <row r="227">
          <cell r="G227">
            <v>1642335</v>
          </cell>
        </row>
        <row r="228">
          <cell r="D228">
            <v>227</v>
          </cell>
        </row>
        <row r="228">
          <cell r="G228">
            <v>1647305</v>
          </cell>
        </row>
        <row r="229">
          <cell r="D229">
            <v>228</v>
          </cell>
        </row>
        <row r="229">
          <cell r="G229">
            <v>1652275</v>
          </cell>
        </row>
        <row r="230">
          <cell r="D230">
            <v>229</v>
          </cell>
        </row>
        <row r="230">
          <cell r="G230">
            <v>1657245</v>
          </cell>
        </row>
        <row r="231">
          <cell r="D231">
            <v>230</v>
          </cell>
        </row>
        <row r="231">
          <cell r="G231">
            <v>1662215</v>
          </cell>
        </row>
        <row r="232">
          <cell r="D232">
            <v>231</v>
          </cell>
        </row>
        <row r="232">
          <cell r="G232">
            <v>1667185</v>
          </cell>
        </row>
        <row r="233">
          <cell r="D233">
            <v>232</v>
          </cell>
        </row>
        <row r="233">
          <cell r="G233">
            <v>1672155</v>
          </cell>
        </row>
        <row r="234">
          <cell r="D234">
            <v>233</v>
          </cell>
        </row>
        <row r="234">
          <cell r="G234">
            <v>1677125</v>
          </cell>
        </row>
        <row r="235">
          <cell r="D235">
            <v>234</v>
          </cell>
        </row>
        <row r="235">
          <cell r="G235">
            <v>1682095</v>
          </cell>
        </row>
        <row r="236">
          <cell r="D236">
            <v>235</v>
          </cell>
        </row>
        <row r="236">
          <cell r="G236">
            <v>1687065</v>
          </cell>
        </row>
        <row r="237">
          <cell r="D237">
            <v>236</v>
          </cell>
        </row>
        <row r="237">
          <cell r="G237">
            <v>1692035</v>
          </cell>
        </row>
        <row r="238">
          <cell r="D238">
            <v>237</v>
          </cell>
        </row>
        <row r="238">
          <cell r="G238">
            <v>1697005</v>
          </cell>
        </row>
        <row r="239">
          <cell r="D239">
            <v>238</v>
          </cell>
        </row>
        <row r="239">
          <cell r="G239">
            <v>1701975</v>
          </cell>
        </row>
        <row r="240">
          <cell r="D240">
            <v>239</v>
          </cell>
        </row>
        <row r="240">
          <cell r="G240">
            <v>1706945</v>
          </cell>
        </row>
        <row r="241">
          <cell r="D241">
            <v>240</v>
          </cell>
        </row>
        <row r="241">
          <cell r="G241">
            <v>1711915</v>
          </cell>
        </row>
        <row r="242">
          <cell r="D242">
            <v>241</v>
          </cell>
        </row>
        <row r="242">
          <cell r="G242">
            <v>1716885</v>
          </cell>
        </row>
        <row r="243">
          <cell r="D243">
            <v>242</v>
          </cell>
        </row>
        <row r="243">
          <cell r="G243">
            <v>1721855</v>
          </cell>
        </row>
        <row r="244">
          <cell r="D244">
            <v>243</v>
          </cell>
        </row>
        <row r="244">
          <cell r="G244">
            <v>1726825</v>
          </cell>
        </row>
        <row r="245">
          <cell r="D245">
            <v>244</v>
          </cell>
        </row>
        <row r="245">
          <cell r="G245">
            <v>1731795</v>
          </cell>
        </row>
        <row r="246">
          <cell r="D246">
            <v>245</v>
          </cell>
        </row>
        <row r="246">
          <cell r="G246">
            <v>1736765</v>
          </cell>
        </row>
        <row r="247">
          <cell r="D247">
            <v>246</v>
          </cell>
        </row>
        <row r="247">
          <cell r="G247">
            <v>1741735</v>
          </cell>
        </row>
        <row r="248">
          <cell r="D248">
            <v>247</v>
          </cell>
        </row>
        <row r="248">
          <cell r="G248">
            <v>1746705</v>
          </cell>
        </row>
        <row r="249">
          <cell r="D249">
            <v>248</v>
          </cell>
        </row>
        <row r="249">
          <cell r="G249">
            <v>1751675</v>
          </cell>
        </row>
        <row r="250">
          <cell r="D250">
            <v>249</v>
          </cell>
        </row>
        <row r="250">
          <cell r="G250">
            <v>1756645</v>
          </cell>
        </row>
        <row r="251">
          <cell r="D251">
            <v>250</v>
          </cell>
        </row>
        <row r="251">
          <cell r="G251">
            <v>1761615</v>
          </cell>
        </row>
        <row r="252">
          <cell r="D252">
            <v>251</v>
          </cell>
        </row>
        <row r="252">
          <cell r="G252">
            <v>1766585</v>
          </cell>
        </row>
        <row r="253">
          <cell r="D253">
            <v>252</v>
          </cell>
        </row>
        <row r="253">
          <cell r="G253">
            <v>1771555</v>
          </cell>
        </row>
        <row r="254">
          <cell r="D254">
            <v>253</v>
          </cell>
        </row>
        <row r="254">
          <cell r="G254">
            <v>1776525</v>
          </cell>
        </row>
        <row r="255">
          <cell r="D255">
            <v>254</v>
          </cell>
        </row>
        <row r="255">
          <cell r="G255">
            <v>1781495</v>
          </cell>
        </row>
        <row r="256">
          <cell r="D256">
            <v>255</v>
          </cell>
        </row>
        <row r="256">
          <cell r="G256">
            <v>1786465</v>
          </cell>
        </row>
        <row r="257">
          <cell r="D257">
            <v>256</v>
          </cell>
        </row>
        <row r="257">
          <cell r="G257">
            <v>1791435</v>
          </cell>
        </row>
        <row r="258">
          <cell r="D258">
            <v>257</v>
          </cell>
        </row>
        <row r="258">
          <cell r="G258">
            <v>1796405</v>
          </cell>
        </row>
        <row r="259">
          <cell r="D259">
            <v>258</v>
          </cell>
        </row>
        <row r="259">
          <cell r="G259">
            <v>1801375</v>
          </cell>
        </row>
        <row r="260">
          <cell r="D260">
            <v>259</v>
          </cell>
        </row>
        <row r="260">
          <cell r="G260">
            <v>1806345</v>
          </cell>
        </row>
        <row r="261">
          <cell r="D261">
            <v>260</v>
          </cell>
        </row>
        <row r="261">
          <cell r="G261">
            <v>1811315</v>
          </cell>
        </row>
        <row r="262">
          <cell r="D262">
            <v>261</v>
          </cell>
        </row>
        <row r="262">
          <cell r="G262">
            <v>1816285</v>
          </cell>
        </row>
        <row r="263">
          <cell r="D263">
            <v>262</v>
          </cell>
        </row>
        <row r="263">
          <cell r="G263">
            <v>1821255</v>
          </cell>
        </row>
        <row r="264">
          <cell r="D264">
            <v>263</v>
          </cell>
        </row>
        <row r="264">
          <cell r="G264">
            <v>1826225</v>
          </cell>
        </row>
        <row r="265">
          <cell r="D265">
            <v>264</v>
          </cell>
        </row>
        <row r="265">
          <cell r="G265">
            <v>1831195</v>
          </cell>
        </row>
        <row r="266">
          <cell r="D266">
            <v>265</v>
          </cell>
        </row>
        <row r="266">
          <cell r="G266">
            <v>1836165</v>
          </cell>
        </row>
        <row r="267">
          <cell r="D267">
            <v>266</v>
          </cell>
        </row>
        <row r="267">
          <cell r="G267">
            <v>1841135</v>
          </cell>
        </row>
        <row r="268">
          <cell r="D268">
            <v>267</v>
          </cell>
        </row>
        <row r="268">
          <cell r="G268">
            <v>1846105</v>
          </cell>
        </row>
        <row r="269">
          <cell r="D269">
            <v>268</v>
          </cell>
        </row>
        <row r="269">
          <cell r="G269">
            <v>1851075</v>
          </cell>
        </row>
        <row r="270">
          <cell r="D270">
            <v>269</v>
          </cell>
        </row>
        <row r="270">
          <cell r="G270">
            <v>1856045</v>
          </cell>
        </row>
        <row r="271">
          <cell r="D271">
            <v>270</v>
          </cell>
        </row>
        <row r="271">
          <cell r="G271">
            <v>1861015</v>
          </cell>
        </row>
        <row r="272">
          <cell r="D272">
            <v>271</v>
          </cell>
        </row>
        <row r="272">
          <cell r="G272">
            <v>1865985</v>
          </cell>
        </row>
        <row r="273">
          <cell r="D273">
            <v>272</v>
          </cell>
        </row>
        <row r="273">
          <cell r="G273">
            <v>1870955</v>
          </cell>
        </row>
        <row r="274">
          <cell r="D274">
            <v>273</v>
          </cell>
        </row>
        <row r="274">
          <cell r="G274">
            <v>1875925</v>
          </cell>
        </row>
        <row r="275">
          <cell r="D275">
            <v>274</v>
          </cell>
        </row>
        <row r="275">
          <cell r="G275">
            <v>1880895</v>
          </cell>
        </row>
        <row r="276">
          <cell r="D276">
            <v>275</v>
          </cell>
        </row>
        <row r="276">
          <cell r="G276">
            <v>1885865</v>
          </cell>
        </row>
        <row r="277">
          <cell r="D277">
            <v>276</v>
          </cell>
        </row>
        <row r="277">
          <cell r="G277">
            <v>1890835</v>
          </cell>
        </row>
        <row r="278">
          <cell r="D278">
            <v>277</v>
          </cell>
        </row>
        <row r="278">
          <cell r="G278">
            <v>1895805</v>
          </cell>
        </row>
        <row r="279">
          <cell r="D279">
            <v>278</v>
          </cell>
        </row>
        <row r="279">
          <cell r="G279">
            <v>1900775</v>
          </cell>
        </row>
        <row r="280">
          <cell r="D280">
            <v>279</v>
          </cell>
        </row>
        <row r="280">
          <cell r="G280">
            <v>1905745</v>
          </cell>
        </row>
        <row r="281">
          <cell r="D281">
            <v>280</v>
          </cell>
        </row>
        <row r="281">
          <cell r="G281">
            <v>1910715</v>
          </cell>
        </row>
        <row r="282">
          <cell r="D282">
            <v>281</v>
          </cell>
        </row>
        <row r="282">
          <cell r="G282">
            <v>1915685</v>
          </cell>
        </row>
        <row r="283">
          <cell r="D283">
            <v>282</v>
          </cell>
        </row>
        <row r="283">
          <cell r="G283">
            <v>1920655</v>
          </cell>
        </row>
        <row r="284">
          <cell r="D284">
            <v>283</v>
          </cell>
        </row>
        <row r="284">
          <cell r="G284">
            <v>1925625</v>
          </cell>
        </row>
        <row r="285">
          <cell r="D285">
            <v>284</v>
          </cell>
        </row>
        <row r="285">
          <cell r="G285">
            <v>1930595</v>
          </cell>
        </row>
        <row r="286">
          <cell r="D286">
            <v>285</v>
          </cell>
        </row>
        <row r="286">
          <cell r="G286">
            <v>1935565</v>
          </cell>
        </row>
        <row r="287">
          <cell r="D287">
            <v>286</v>
          </cell>
        </row>
        <row r="287">
          <cell r="G287">
            <v>1940535</v>
          </cell>
        </row>
        <row r="288">
          <cell r="D288">
            <v>287</v>
          </cell>
        </row>
        <row r="288">
          <cell r="G288">
            <v>1945505</v>
          </cell>
        </row>
        <row r="289">
          <cell r="D289">
            <v>288</v>
          </cell>
        </row>
        <row r="289">
          <cell r="G289">
            <v>1950475</v>
          </cell>
        </row>
        <row r="290">
          <cell r="D290">
            <v>289</v>
          </cell>
        </row>
        <row r="290">
          <cell r="G290">
            <v>1955445</v>
          </cell>
        </row>
        <row r="291">
          <cell r="D291">
            <v>290</v>
          </cell>
        </row>
        <row r="291">
          <cell r="G291">
            <v>1960415</v>
          </cell>
        </row>
        <row r="292">
          <cell r="D292">
            <v>291</v>
          </cell>
        </row>
        <row r="292">
          <cell r="G292">
            <v>1965385</v>
          </cell>
        </row>
        <row r="293">
          <cell r="D293">
            <v>292</v>
          </cell>
        </row>
        <row r="293">
          <cell r="G293">
            <v>1970355</v>
          </cell>
        </row>
        <row r="294">
          <cell r="D294">
            <v>293</v>
          </cell>
        </row>
        <row r="294">
          <cell r="G294">
            <v>1975325</v>
          </cell>
        </row>
        <row r="295">
          <cell r="D295">
            <v>294</v>
          </cell>
        </row>
        <row r="295">
          <cell r="G295">
            <v>1980295</v>
          </cell>
        </row>
        <row r="296">
          <cell r="D296">
            <v>295</v>
          </cell>
        </row>
        <row r="296">
          <cell r="G296">
            <v>1985265</v>
          </cell>
        </row>
        <row r="297">
          <cell r="D297">
            <v>296</v>
          </cell>
        </row>
        <row r="297">
          <cell r="G297">
            <v>1990235</v>
          </cell>
        </row>
        <row r="298">
          <cell r="D298">
            <v>297</v>
          </cell>
        </row>
        <row r="298">
          <cell r="G298">
            <v>1995205</v>
          </cell>
        </row>
        <row r="299">
          <cell r="D299">
            <v>298</v>
          </cell>
        </row>
        <row r="299">
          <cell r="G299">
            <v>2000175</v>
          </cell>
        </row>
        <row r="300">
          <cell r="D300">
            <v>299</v>
          </cell>
        </row>
        <row r="300">
          <cell r="G300">
            <v>2005145</v>
          </cell>
        </row>
        <row r="301">
          <cell r="D301">
            <v>300</v>
          </cell>
        </row>
        <row r="301">
          <cell r="G301">
            <v>2010115</v>
          </cell>
        </row>
      </sheetData>
    </sheetDataSet>
  </externalBook>
</externalLink>
</file>

<file path=xl/tables/table1.xml><?xml version="1.0" encoding="utf-8"?>
<table xmlns="http://schemas.openxmlformats.org/spreadsheetml/2006/main" id="3" name="首充" displayName="首充" ref="C2:J14" totalsRowShown="0">
  <tableColumns count="8">
    <tableColumn id="1" name="首充挡位" dataDxfId="2"/>
    <tableColumn id="2" name="首充类型" dataDxfId="3"/>
    <tableColumn id="3" name="道具" dataDxfId="4"/>
    <tableColumn id="4" name="数量" dataDxfId="5"/>
    <tableColumn id="5" name="价值" dataDxfId="6"/>
    <tableColumn id="6" name="总价值(钻石)" dataDxfId="7"/>
    <tableColumn id="7" name="价格" dataDxfId="8"/>
    <tableColumn id="8" name="性价比" dataDxfId="9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44" name="首充_45" displayName="首充_45" ref="C16:J28" totalsRowShown="0">
  <tableColumns count="8">
    <tableColumn id="1" name="列1" dataDxfId="10"/>
    <tableColumn id="2" name="累充" dataDxfId="11"/>
    <tableColumn id="3" name="道具" dataDxfId="12"/>
    <tableColumn id="4" name="数量" dataDxfId="13"/>
    <tableColumn id="5" name="价值" dataDxfId="14"/>
    <tableColumn id="6" name="总价值(钻石)" dataDxfId="15"/>
    <tableColumn id="7" name="价格" dataDxfId="16"/>
    <tableColumn id="8" name="性价比" dataDxfId="17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46" name="首充_4547" displayName="首充_4547" ref="C30:J42" totalsRowShown="0">
  <tableColumns count="8">
    <tableColumn id="1" name="首充挡位" dataDxfId="18"/>
    <tableColumn id="2" name="累充" dataDxfId="19"/>
    <tableColumn id="3" name="道具" dataDxfId="20"/>
    <tableColumn id="4" name="数量" dataDxfId="21"/>
    <tableColumn id="5" name="价值" dataDxfId="22"/>
    <tableColumn id="6" name="总价值(钻石)" dataDxfId="23"/>
    <tableColumn id="7" name="价格" dataDxfId="24"/>
    <tableColumn id="8" name="性价比" dataDxfId="2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7" name="首充_454748" displayName="首充_454748" ref="N30:V42" totalsRowShown="0">
  <tableColumns count="9">
    <tableColumn id="1" name="首充挡位" dataDxfId="26"/>
    <tableColumn id="2" name="累充" dataDxfId="27"/>
    <tableColumn id="3" name="道具" dataDxfId="28"/>
    <tableColumn id="4" name="数量" dataDxfId="29"/>
    <tableColumn id="5" name="价值" dataDxfId="30"/>
    <tableColumn id="6" name="总价值(钻石)" dataDxfId="31"/>
    <tableColumn id="7" name="价格" dataDxfId="32"/>
    <tableColumn id="8" name="性价比" dataDxfId="33"/>
    <tableColumn id="9" name="列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2" name="日周月礼包" displayName="日周月礼包" ref="B20:O62" totalsRowShown="0">
  <tableColumns count="14">
    <tableColumn id="1" name="ID" dataDxfId="34"/>
    <tableColumn id="2" name="开服时间节点" dataDxfId="35"/>
    <tableColumn id="3" name="商品名称"/>
    <tableColumn id="4" name="奖励"/>
    <tableColumn id="5" name="价格" dataDxfId="36"/>
    <tableColumn id="6" name="购买次数" dataDxfId="37"/>
    <tableColumn id="7" name="折扣" dataDxfId="38"/>
    <tableColumn id="8" name="物品ID" dataDxfId="39">
      <calculatedColumnFormula>IF(B21="","",SUBSTITUTE(LEFT(E21,FIND(",",E21)-1),"",""))</calculatedColumnFormula>
    </tableColumn>
    <tableColumn id="9" name="价值" dataDxfId="40"/>
    <tableColumn id="10" name="总价值" dataDxfId="41"/>
    <tableColumn id="11" name="性价比" dataDxfId="42"/>
    <tableColumn id="12" name="折扣配置" dataDxfId="43"/>
    <tableColumn id="13" name="标准折扣" dataDxfId="44"/>
    <tableColumn id="14" name="道具" dataDxfId="45">
      <calculatedColumnFormula>IFERROR(_xlfn.XLOOKUP(IF(E21="","",--SUBSTITUTE(LEFT(E21,FIND(",",E21)-1),"[{","")),价值表!D:D,价值表!C:C),"")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4" name="大小月卡" displayName="大小月卡" ref="D17:L23" totalsRowShown="0">
  <tableColumns count="9">
    <tableColumn id="1" name="月卡类型" dataDxfId="46"/>
    <tableColumn id="2" name="特权" dataDxfId="47"/>
    <tableColumn id="3" name="购买即得" dataDxfId="48"/>
    <tableColumn id="4" name="每日福利" dataDxfId="49"/>
    <tableColumn id="5" name="购买价格/人民币" dataDxfId="50"/>
    <tableColumn id="8" name="每日奖励"/>
    <tableColumn id="9" name="数量"/>
    <tableColumn id="10" name="价值" dataDxfId="51">
      <calculatedColumnFormula>_xlfn.XLOOKUP(I18,价值表!C:C,价值表!F:F)*J18*30</calculatedColumnFormula>
    </tableColumn>
    <tableColumn id="6" name="性价比" dataDxfId="52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5" name="共鸣奖励" displayName="共鸣奖励" ref="D26:E28" totalsRowShown="0">
  <tableColumns count="2">
    <tableColumn id="1" name="双卡共鸣"/>
    <tableColumn id="2" name="数量" dataDxfId="53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10" name="月卡每月产出" displayName="月卡每月产出" ref="D7:F10" totalsRowShown="0">
  <tableColumns count="3">
    <tableColumn id="1" name="道具" dataDxfId="54"/>
    <tableColumn id="2" name="数量" dataDxfId="55"/>
    <tableColumn id="3" name="付费性价比" dataDxfId="56">
      <calculatedColumnFormula>E8/48/10</calculatedColumnFormula>
    </tableColumn>
  </tableColumns>
  <tableStyleInfo name="TableStylePreset3_Accent2" showFirstColumn="0" showLastColumn="0" showRowStripes="0" showColumnStripes="0"/>
</table>
</file>

<file path=xl/tables/table9.xml><?xml version="1.0" encoding="utf-8"?>
<table xmlns="http://schemas.openxmlformats.org/spreadsheetml/2006/main" id="11" name="周卡每月产出" displayName="周卡每月产出" ref="B2:D3" totalsRowShown="0">
  <tableColumns count="3">
    <tableColumn id="1" name="道具" dataDxfId="57"/>
    <tableColumn id="2" name="数量" dataDxfId="58"/>
    <tableColumn id="3" name="付费性价比" dataDxfId="59"/>
  </tableColumns>
  <tableStyleInfo name="TableStylePreset3_Accent2" showFirstColumn="0" showLastColumn="0" showRowStripes="0" showColumnStripes="0"/>
</table>
</file>

<file path=xl/tables/table10.xml><?xml version="1.0" encoding="utf-8"?>
<table xmlns="http://schemas.openxmlformats.org/spreadsheetml/2006/main" id="12" name="周卡奖励数值" displayName="周卡奖励数值" ref="B6:K13" totalsRowShown="0">
  <tableColumns count="10">
    <tableColumn id="1" name="方案id" dataDxfId="60"/>
    <tableColumn id="2" name="登录天" dataDxfId="61"/>
    <tableColumn id="3" name="免费奖励" dataDxfId="62"/>
    <tableColumn id="4" name="免费数量" dataDxfId="63"/>
    <tableColumn id="5" name="付费奖励" dataDxfId="64"/>
    <tableColumn id="6" name="付费数量" dataDxfId="65"/>
    <tableColumn id="7" name="免费奖励2" dataDxfId="66">
      <calculatedColumnFormula>"[{"&amp;_xlfn.XLOOKUP(D7,价值表!$C:$C,价值表!$D:$D)&amp;","&amp;E7&amp;"}]"</calculatedColumnFormula>
    </tableColumn>
    <tableColumn id="8" name="付费奖励2" dataDxfId="67">
      <calculatedColumnFormula>"[{"&amp;_xlfn.XLOOKUP(F7,价值表!$C:$C,价值表!$D:$D)&amp;","&amp;G7&amp;"}]"</calculatedColumnFormula>
    </tableColumn>
    <tableColumn id="9" name="总价值" dataDxfId="68">
      <calculatedColumnFormula>_xlfn.XLOOKUP(D7,价值表!C:C,价值表!F:F)*E7+_xlfn.XLOOKUP(F7,价值表!C:C,价值表!F:F)*G7</calculatedColumnFormula>
    </tableColumn>
    <tableColumn id="10" name="累计性价比" dataDxfId="69">
      <calculatedColumnFormula>SUM($J$7:J7)/120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6" name="基金免费奖励" displayName="基金免费奖励" ref="B16:E66" totalsRowShown="0">
  <tableColumns count="4">
    <tableColumn id="1" name="道具" dataDxfId="70"/>
    <tableColumn id="2" name="数量" dataDxfId="71"/>
    <tableColumn id="3" name="配置" dataDxfId="72">
      <calculatedColumnFormula>"[{"&amp;_xlfn.XLOOKUP(B17,价值表!$C:$C,价值表!$D:$D)&amp;","&amp;C17&amp;"}]"</calculatedColumnFormula>
    </tableColumn>
    <tableColumn id="4" name="道具1价值" dataDxfId="73">
      <calculatedColumnFormula>_xlfn.XLOOKUP(B17,价值表!$C:$C,价值表!$F:$F)*C17</calculatedColumnFormula>
    </tableColumn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7" name="抽奖基金" displayName="抽奖基金" ref="G16:K66" totalsRowShown="0">
  <tableColumns count="5">
    <tableColumn id="1" name="道具" dataDxfId="74"/>
    <tableColumn id="2" name="数量" dataDxfId="75"/>
    <tableColumn id="3" name="配置" dataDxfId="76">
      <calculatedColumnFormula>"[{"&amp;_xlfn.XLOOKUP(G17,价值表!$C:$C,价值表!$D:$D)&amp;","&amp;H17&amp;"}]"</calculatedColumnFormula>
    </tableColumn>
    <tableColumn id="4" name="道具1价值" dataDxfId="77">
      <calculatedColumnFormula>_xlfn.XLOOKUP(G17,价值表!$C:$C,价值表!$F:$F)*H17</calculatedColumnFormula>
    </tableColumn>
    <tableColumn id="5" name="累计性价比" dataDxfId="78">
      <calculatedColumnFormula>SUM($J$17:J17)/280</calculatedColumnFormula>
    </tableColumn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8" name="符文基金" displayName="符文基金" ref="M16:Q66" totalsRowShown="0">
  <tableColumns count="5">
    <tableColumn id="1" name="道具" dataDxfId="79"/>
    <tableColumn id="2" name="数量" dataDxfId="80"/>
    <tableColumn id="3" name="配置" dataDxfId="81">
      <calculatedColumnFormula>"[{"&amp;_xlfn.XLOOKUP(M17,价值表!$C:$C,价值表!$D:$D)&amp;","&amp;N17&amp;"}]"</calculatedColumnFormula>
    </tableColumn>
    <tableColumn id="4" name="道具1价值" dataDxfId="82">
      <calculatedColumnFormula>_xlfn.XLOOKUP(M17,价值表!$C:$C,价值表!$F:$F)*N17</calculatedColumnFormula>
    </tableColumn>
    <tableColumn id="5" name="累计性价比" dataDxfId="83">
      <calculatedColumnFormula>SUM($J$17:P17)/680</calculatedColumnFormula>
    </tableColumn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9" name="总计数" displayName="总计数" ref="B5:E13" totalsRowShown="0">
  <tableColumns count="4">
    <tableColumn id="1" name="道具" dataDxfId="84"/>
    <tableColumn id="2" name="数量" dataDxfId="85">
      <calculatedColumnFormula array="1">SUMPRODUCT(--($M$16:$M$65=$B6),$N$16:$N$65)+SUMPRODUCT(--($G$16:$G$65=$B6),$H$16:$H$65)+SUMPRODUCT(--($B$16:$B$65=$B6),$C$16:$C$65)</calculatedColumnFormula>
    </tableColumn>
    <tableColumn id="3" name="活动性价比" dataDxfId="86">
      <calculatedColumnFormula>_xlfn.XLOOKUP(B6,价值表!C:C,价值表!F:F)*C6/(28+68)/10</calculatedColumnFormula>
    </tableColumn>
    <tableColumn id="4" name="活动占比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13" name="基金1奖励" displayName="基金1奖励" ref="C11:I31" totalsRowShown="0">
  <tableColumns count="7">
    <tableColumn id="1" name="章节" dataDxfId="87"/>
    <tableColumn id="2" name="物品类型" dataDxfId="88"/>
    <tableColumn id="3" name="数量" dataDxfId="89"/>
    <tableColumn id="4" name="价值" dataDxfId="90">
      <calculatedColumnFormula>_xlfn.XLOOKUP(D12,价值表!$C:$C,价值表!$F:$F)*E12</calculatedColumnFormula>
    </tableColumn>
    <tableColumn id="5" name="物品类型2" dataDxfId="91"/>
    <tableColumn id="6" name="数量2" dataDxfId="92"/>
    <tableColumn id="7" name="价值2" dataDxfId="93">
      <calculatedColumnFormula>_xlfn.XLOOKUP(G12,价值表!$C:$C,价值表!$F:$F)*H12</calculatedColumnFormula>
    </tableColumn>
  </tableColumns>
  <tableStyleInfo name="TableStylePreset3_Accent1" showFirstColumn="0" showLastColumn="0" showRowStripes="0" showColumnStripes="0"/>
</table>
</file>

<file path=xl/tables/table16.xml><?xml version="1.0" encoding="utf-8"?>
<table xmlns="http://schemas.openxmlformats.org/spreadsheetml/2006/main" id="14" name="基金2奖励" displayName="基金2奖励" ref="K11:Q31" totalsRowShown="0">
  <tableColumns count="7">
    <tableColumn id="1" name="章节" dataDxfId="94"/>
    <tableColumn id="2" name="物品类型" dataDxfId="95"/>
    <tableColumn id="3" name="数量" dataDxfId="96"/>
    <tableColumn id="4" name="价值" dataDxfId="97">
      <calculatedColumnFormula>_xlfn.XLOOKUP(L12,价值表!$C:$C,价值表!$F:$F)*M12</calculatedColumnFormula>
    </tableColumn>
    <tableColumn id="5" name="物品类型2" dataDxfId="98"/>
    <tableColumn id="6" name="数量2" dataDxfId="99"/>
    <tableColumn id="7" name="价值2" dataDxfId="100">
      <calculatedColumnFormula>_xlfn.XLOOKUP(O12,价值表!$C:$C,价值表!$F:$F)*P12</calculatedColumnFormula>
    </tableColumn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50" name="战令奖励表" displayName="战令奖励表" ref="D55:K70" totalsRowShown="0">
  <tableColumns count="8">
    <tableColumn id="1" name="战令等级" dataDxfId="101"/>
    <tableColumn id="2" name="免费奖励" dataDxfId="102"/>
    <tableColumn id="3" name="数量" dataDxfId="103"/>
    <tableColumn id="4" name="付费奖励1" dataDxfId="104"/>
    <tableColumn id="5" name="数量1" dataDxfId="105"/>
    <tableColumn id="6" name="付费奖励2" dataDxfId="106"/>
    <tableColumn id="7" name="数量2"/>
    <tableColumn id="8" name="数量3" dataDxfId="107">
      <calculatedColumnFormula>IF(I56="","",_xlfn.XLOOKUP(G56,[1]价值表!D:D,[1]价值表!F:F)*H56+_xlfn.XLOOKUP(I56,[1]价值表!D:D,[1]价值表!F:F)*J56)</calculatedColumnFormula>
    </tableColumn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51" name="规划_产出预期规划" displayName="规划_产出预期规划" ref="D98:W110" totalsRowShown="0">
  <tableColumns count="20">
    <tableColumn id="1" name="玩法总产出" dataDxfId="108"/>
    <tableColumn id="2" name="子类别" dataDxfId="109"/>
    <tableColumn id="3" name="预期价值" dataDxfId="110">
      <calculatedColumnFormula array="1">SUMPRODUCT(H99:V99,$H$97:$V$97)</calculatedColumnFormula>
    </tableColumn>
    <tableColumn id="4" name="预期次数" dataDxfId="111"/>
    <tableColumn id="5" name="普通骰子" dataDxfId="112"/>
    <tableColumn id="6" name="积分奖励"/>
    <tableColumn id="7" name="大富翁积分"/>
    <tableColumn id="8" name="秘藏摇杆"/>
    <tableColumn id="9" name="梦境招募券"/>
    <tableColumn id="10" name="幻梦晶核"/>
    <tableColumn id="11" name="钻石"/>
    <tableColumn id="12" name="初愿摇杆"/>
    <tableColumn id="13" name="符引结晶" dataDxfId="113"/>
    <tableColumn id="14" name="装备强化书" dataDxfId="114"/>
    <tableColumn id="15" name="超能特饮" dataDxfId="115"/>
    <tableColumn id="16" name="能量特饮"/>
    <tableColumn id="17" name="金币"/>
    <tableColumn id="18" name="锻造晶石"/>
    <tableColumn id="19" name="转运石" dataDxfId="116"/>
    <tableColumn id="20" name="星珀" dataDxfId="117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id="52" name="事件权重表" displayName="事件权重表" ref="D385:H394" totalsRowShown="0">
  <tableColumns count="5">
    <tableColumn id="1" name="事件类型" dataDxfId="118"/>
    <tableColumn id="2" name="事件数量" dataDxfId="119"/>
    <tableColumn id="3" name="事件权重" dataDxfId="120"/>
    <tableColumn id="4" name="事件价值" dataDxfId="121"/>
    <tableColumn id="5" name="单次事件价值" dataDxfId="122">
      <calculatedColumnFormula array="1">SUMPRODUCT(TRANSPOSE(G386:G393),I407:P407)/SUM(I407:P407)</calculatedColumnFormula>
    </tableColumn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id="53" name="模拟_大富翁预期" displayName="模拟_大富翁预期" ref="D406:P706" totalsRowShown="0">
  <tableColumns count="13">
    <tableColumn id="1" name="圈数" dataDxfId="123"/>
    <tableColumn id="2" name="非R" dataDxfId="124">
      <calculatedColumnFormula>IF(INT($D407*12/OFFSET($F$26,MATCH(E$406,$E$406:$H$406,0),0))+1&gt;7,"",INT($D407*12/OFFSET($F$26,MATCH(E$406,$E$406:$H$406,0),0))+1)</calculatedColumnFormula>
    </tableColumn>
    <tableColumn id="3" name="小R" dataDxfId="125">
      <calculatedColumnFormula>IF(INT($D407*12/OFFSET($F$26,MATCH(F$406,$E$406:$H$406,0),0))+1&gt;7,"",INT($D407*12/OFFSET($F$26,MATCH(F$406,$E$406:$H$406,0),0))+1)</calculatedColumnFormula>
    </tableColumn>
    <tableColumn id="4" name="中R" dataDxfId="126">
      <calculatedColumnFormula>IF(INT($D407*12/OFFSET($F$26,MATCH(G$406,$E$406:$H$406,0),0))+1&gt;7,"",INT($D407*12/OFFSET($F$26,MATCH(G$406,$E$406:$H$406,0),0))+1)</calculatedColumnFormula>
    </tableColumn>
    <tableColumn id="5" name="大R" dataDxfId="127">
      <calculatedColumnFormula>IF(INT($D407*12/OFFSET($F$26,MATCH(H$406,$E$406:$H$406,0),0))+1&gt;7,"",INT($D407*12/OFFSET($F$26,MATCH(H$406,$E$406:$H$406,0),0))+1)</calculatedColumnFormula>
    </tableColumn>
    <tableColumn id="6" name="起点" dataDxfId="128"/>
    <tableColumn id="7" name="快速通道" dataDxfId="129"/>
    <tableColumn id="8" name="神秘商人" dataDxfId="130"/>
    <tableColumn id="9" name="普通增益" dataDxfId="131"/>
    <tableColumn id="10" name="高级增益" dataDxfId="132"/>
    <tableColumn id="11" name="公会花田" dataDxfId="133"/>
    <tableColumn id="12" name="空事件" dataDxfId="134"/>
    <tableColumn id="13" name="挑战事件" dataDxfId="135"/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id="54" name="任务数值" displayName="任务数值" ref="D249:I267" totalsRowShown="0">
  <tableColumns count="6">
    <tableColumn id="1" name="任务ID" dataDxfId="136"/>
    <tableColumn id="2" name="任务类型" dataDxfId="137"/>
    <tableColumn id="3" name="任务次数" dataDxfId="138"/>
    <tableColumn id="4" name="普通骰子" dataDxfId="139"/>
    <tableColumn id="5" name="金骰子" dataDxfId="140">
      <calculatedColumnFormula array="1">SUMPRODUCT(--($E$250:$E$267="每日"),$G$250:$G$267)*7+SUMPRODUCT(--($E$250:$E$267="每周"),$G$250:$G$267)</calculatedColumnFormula>
    </tableColumn>
    <tableColumn id="6" name="总数" dataDxfId="141">
      <calculatedColumnFormula array="1">SUMPRODUCT(--($E$250:$E$267="每日"),$G$250:$G$267)*7+SUMPRODUCT(--($E$250:$E$267="每周"),$G$250:$G$267)</calculatedColumnFormula>
    </tableColumn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id="55" name="事件_事件奖励" displayName="事件_事件奖励" ref="D154:J159" totalsRowShown="0">
  <tableColumns count="7">
    <tableColumn id="1" name="事件类型" dataDxfId="142"/>
    <tableColumn id="2" name="事件ID" dataDxfId="143"/>
    <tableColumn id="3" name="奖励组权重" dataDxfId="144"/>
    <tableColumn id="4" name="奖励组id" dataDxfId="145"/>
    <tableColumn id="5" name="预期价值" dataDxfId="146">
      <calculatedColumnFormula array="1">SUMPRODUCT($U$174:$U$193,$F$174:$F$193,--($D$174:$D$193=$G155))/SUMPRODUCT(--($D$174:$D$193=G155),$F$174:$F$193)</calculatedColumnFormula>
    </tableColumn>
    <tableColumn id="6" name="积分产出" dataDxfId="147">
      <calculatedColumnFormula array="1">SUMPRODUCT($H$174:$H$193,$F$174:$F$193,--($D$174:$D$193=$G155))/SUMPRODUCT(--($D$174:$D$193=G155),$F$174:$F$193)</calculatedColumnFormula>
    </tableColumn>
    <tableColumn id="7" name="期望价值" dataDxfId="148"/>
  </tableColumns>
  <tableStyleInfo name="TableStyleMedium2" showFirstColumn="0" showLastColumn="0" showRowStripes="0" showColumnStripes="0"/>
</table>
</file>

<file path=xl/tables/table23.xml><?xml version="1.0" encoding="utf-8"?>
<table xmlns="http://schemas.openxmlformats.org/spreadsheetml/2006/main" id="56" name="事件_快速通道" displayName="事件_快速通道" ref="D133:P138" totalsRowShown="0">
  <tableColumns count="13">
    <tableColumn id="1" name="快速通道类型"/>
    <tableColumn id="2" name="权重" dataDxfId="149"/>
    <tableColumn id="3" name="道具奖励1" dataDxfId="150"/>
    <tableColumn id="4" name="道具数量1" dataDxfId="151"/>
    <tableColumn id="5" name="道具奖励2" dataDxfId="152"/>
    <tableColumn id="6" name="道具数量2" dataDxfId="153"/>
    <tableColumn id="7" name="道具奖励3" dataDxfId="154"/>
    <tableColumn id="8" name="道具数量3" dataDxfId="155">
      <calculatedColumnFormula>_xlfn.XLOOKUP(F134,[1]价值表!$D:$D,[1]价值表!$F:$F)*G134+_xlfn.XLOOKUP(H134,[1]价值表!$D:$D,[1]价值表!$F:$F)*I134+_xlfn.XLOOKUP(J134,[1]价值表!$D:$D,[1]价值表!$F:$F)*K134</calculatedColumnFormula>
    </tableColumn>
    <tableColumn id="9" name="道具数量4" dataDxfId="156"/>
    <tableColumn id="10" name="道具奖励4" dataDxfId="157"/>
    <tableColumn id="11" name="道具数量5" dataDxfId="158"/>
    <tableColumn id="12" name="道具奖励5" dataDxfId="159"/>
    <tableColumn id="13" name="价值" dataDxfId="160">
      <calculatedColumnFormula>_xlfn.XLOOKUP(F134,[1]价值表!$D:$D,[1]价值表!$F:$F)*G134+_xlfn.XLOOKUP(H134,[1]价值表!$D:$D,[1]价值表!$F:$F)*I134+_xlfn.XLOOKUP(J134,[1]价值表!$D:$D,[1]价值表!$F:$F)*K134</calculatedColumnFormula>
    </tableColumn>
  </tableColumns>
  <tableStyleInfo name="TableStyleMedium2" showFirstColumn="0" showLastColumn="0" showRowStripes="0" showColumnStripes="0"/>
</table>
</file>

<file path=xl/tables/table24.xml><?xml version="1.0" encoding="utf-8"?>
<table xmlns="http://schemas.openxmlformats.org/spreadsheetml/2006/main" id="57" name="事件奖励组_随机奖励" displayName="事件奖励组_随机奖励" ref="D173:U193" totalsRowShown="0">
  <tableColumns count="18">
    <tableColumn id="1" name="奖励组" dataDxfId="161"/>
    <tableColumn id="2" name="事件类型" dataDxfId="162">
      <calculatedColumnFormula>_xlfn.XLOOKUP(D174,$G$155:$G$159,$D$155:$D$159)</calculatedColumnFormula>
    </tableColumn>
    <tableColumn id="3" name="概率" dataDxfId="163"/>
    <tableColumn id="4" name="积分奖励" dataDxfId="164"/>
    <tableColumn id="5" name="大富翁积分" dataDxfId="165"/>
    <tableColumn id="6" name="秘藏摇杆" dataDxfId="166"/>
    <tableColumn id="7" name="梦境招募券" dataDxfId="167"/>
    <tableColumn id="8" name="幻梦晶核" dataDxfId="168"/>
    <tableColumn id="9" name="钻石" dataDxfId="169"/>
    <tableColumn id="10" name="初愿摇杆" dataDxfId="170"/>
    <tableColumn id="11" name="符引结晶" dataDxfId="171"/>
    <tableColumn id="12" name="装备强化书" dataDxfId="172"/>
    <tableColumn id="13" name="超能特饮" dataDxfId="173"/>
    <tableColumn id="14" name="能量特饮" dataDxfId="174">
      <calculatedColumnFormula array="1">SUMPRODUCT(H174:S174,H$172:S$172)</calculatedColumnFormula>
    </tableColumn>
    <tableColumn id="15" name="金币" dataDxfId="175">
      <calculatedColumnFormula array="1">SUMPRODUCT(H174:S174,H$172:S$172)</calculatedColumnFormula>
    </tableColumn>
    <tableColumn id="16" name="锻造晶石" dataDxfId="176">
      <calculatedColumnFormula array="1">SUMPRODUCT(H174:T174,H$172:T$172)</calculatedColumnFormula>
    </tableColumn>
    <tableColumn id="17" name="转运石" dataDxfId="177">
      <calculatedColumnFormula array="1">SUMPRODUCT(H174:T174,H$172:T$172)</calculatedColumnFormula>
    </tableColumn>
    <tableColumn id="18" name="价值" dataDxfId="178">
      <calculatedColumnFormula array="1">SUMPRODUCT(H174:T174,H$172:T$172)</calculatedColumnFormula>
    </tableColumn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id="58" name="事件_神秘商人" displayName="事件_神秘商人" ref="D141:Q150" totalsRowShown="0">
  <tableColumns count="14">
    <tableColumn id="1" name="商人类型" dataDxfId="179"/>
    <tableColumn id="2" name="权重" dataDxfId="180"/>
    <tableColumn id="3" name="道具奖励1" dataDxfId="181"/>
    <tableColumn id="4" name="道具数量1" dataDxfId="182"/>
    <tableColumn id="5" name="道具奖励2" dataDxfId="183"/>
    <tableColumn id="6" name="道具数量2" dataDxfId="184"/>
    <tableColumn id="7" name="道具奖励3" dataDxfId="185"/>
    <tableColumn id="8" name="道具数量3" dataDxfId="186"/>
    <tableColumn id="9" name="公会礼包" dataDxfId="187">
      <calculatedColumnFormula>(_xlfn.XLOOKUP(#REF!,[1]价值表!$D:$D,[1]价值表!$F:$F)*#REF!+_xlfn.XLOOKUP(#REF!,[1]价值表!$D:$D,[1]价值表!$F:$F)*#REF!)/#REF!</calculatedColumnFormula>
    </tableColumn>
    <tableColumn id="10" name="钻石价格" dataDxfId="188"/>
    <tableColumn id="11" name="RMB价格"/>
    <tableColumn id="12" name="总性价比"/>
    <tableColumn id="13" name="骰子性价比">
      <calculatedColumnFormula>_xlfn.XLOOKUP(F142,[1]价值表!D:D,[1]价值表!F:F)*G142/M142</calculatedColumnFormula>
    </tableColumn>
    <tableColumn id="14" name="折扣"/>
  </tableColumns>
  <tableStyleInfo name="TableStyleMedium2" showFirstColumn="0" showLastColumn="0" showRowStripes="0" showColumnStripes="0"/>
</table>
</file>

<file path=xl/tables/table26.xml><?xml version="1.0" encoding="utf-8"?>
<table xmlns="http://schemas.openxmlformats.org/spreadsheetml/2006/main" id="59" name="规划_体力投放规划" displayName="规划_体力投放规划" ref="D32:K43" totalsRowShown="0">
  <tableColumns count="8">
    <tableColumn id="1" name="参数" dataDxfId="189"/>
    <tableColumn id="2" name="每日次数" dataDxfId="190"/>
    <tableColumn id="3" name="单次骰子" dataDxfId="191"/>
    <tableColumn id="4" name="价格" dataDxfId="192"/>
    <tableColumn id="5" name="钻石性价比" dataDxfId="193"/>
    <tableColumn id="6" name="RMB" dataDxfId="194"/>
    <tableColumn id="7" name="RMB性价比" dataDxfId="195"/>
    <tableColumn id="8" name="目标用户" dataDxfId="196"/>
  </tableColumns>
  <tableStyleInfo name="TableStylePreset3_Accent1" showFirstColumn="0" showLastColumn="0" showRowStripes="0" showColumnStripes="0"/>
</table>
</file>

<file path=xl/tables/table27.xml><?xml version="1.0" encoding="utf-8"?>
<table xmlns="http://schemas.openxmlformats.org/spreadsheetml/2006/main" id="60" name="事件奖励_花田进度奖励" displayName="事件奖励_花田进度奖励" ref="D209:J241" totalsRowShown="0">
  <tableColumns count="7">
    <tableColumn id="1" name="花田进度奖励" dataDxfId="197"/>
    <tableColumn id="2" name="道具奖励1" dataDxfId="198"/>
    <tableColumn id="3" name="道具数量1" dataDxfId="199"/>
    <tableColumn id="4" name="道具奖励2" dataDxfId="200"/>
    <tableColumn id="5" name="道具数量2" dataDxfId="201">
      <calculatedColumnFormula>#REF!/10</calculatedColumnFormula>
    </tableColumn>
    <tableColumn id="6" name="道具奖励3" dataDxfId="202"/>
    <tableColumn id="7" name="道具数量3" dataDxfId="203"/>
  </tableColumns>
  <tableStyleInfo name="TableStyleMedium2" showFirstColumn="0" showLastColumn="0" showRowStripes="0" showColumnStripes="0"/>
</table>
</file>

<file path=xl/tables/table28.xml><?xml version="1.0" encoding="utf-8"?>
<table xmlns="http://schemas.openxmlformats.org/spreadsheetml/2006/main" id="61" name="排行_个人排行" displayName="排行_个人排行" ref="D280:P290" totalsRowShown="0">
  <tableColumns count="13">
    <tableColumn id="1" name="最大名次" dataDxfId="204"/>
    <tableColumn id="2" name="最小名次" dataDxfId="205"/>
    <tableColumn id="3" name="奖励内容1" dataDxfId="206"/>
    <tableColumn id="4" name="奖励数量1" dataDxfId="207"/>
    <tableColumn id="5" name="奖励内容2" dataDxfId="208"/>
    <tableColumn id="6" name="奖励数量2"/>
    <tableColumn id="7" name="奖励内容3" dataDxfId="209"/>
    <tableColumn id="8" name="奖励数量3" dataDxfId="210"/>
    <tableColumn id="9" name="奖励内容4" dataDxfId="211"/>
    <tableColumn id="10" name="奖励数量4" dataDxfId="212"/>
    <tableColumn id="11" name="奖励内容5" dataDxfId="213"/>
    <tableColumn id="12" name="奖励数量5" dataDxfId="214"/>
    <tableColumn id="13" name="总价值" dataDxfId="215">
      <calculatedColumnFormula>I281+_xlfn.XLOOKUP(J281,[1]价值表!D:D,[1]价值表!F:F)*K281+_xlfn.XLOOKUP(L281,[1]价值表!D:D,[1]价值表!F:F)*M281+_xlfn.XLOOKUP(N281,[1]价值表!D:D,[1]价值表!F:F)*O281</calculatedColumnFormula>
    </tableColumn>
  </tableColumns>
  <tableStyleInfo name="TableStyleMedium2" showFirstColumn="0" showLastColumn="0" showRowStripes="0" showColumnStripes="0"/>
</table>
</file>

<file path=xl/tables/table29.xml><?xml version="1.0" encoding="utf-8"?>
<table xmlns="http://schemas.openxmlformats.org/spreadsheetml/2006/main" id="62" name="事件数值_花田buff" displayName="事件数值_花田buff" ref="D197:F207" totalsRowShown="0">
  <tableColumns count="3">
    <tableColumn id="1" name="buff类型" dataDxfId="216"/>
    <tableColumn id="2" name="权重" dataDxfId="217"/>
    <tableColumn id="3" name="buff词条" dataDxfId="218"/>
  </tableColumns>
  <tableStyleInfo name="TableStyleMedium2" showFirstColumn="0" showLastColumn="0" showRowStripes="0" showColumnStripes="0"/>
</table>
</file>

<file path=xl/tables/table30.xml><?xml version="1.0" encoding="utf-8"?>
<table xmlns="http://schemas.openxmlformats.org/spreadsheetml/2006/main" id="63" name="商店数值" displayName="商店数值" ref="D355:P380" totalsRowShown="0">
  <tableColumns count="13">
    <tableColumn id="1" name="积分商店" dataDxfId="219"/>
    <tableColumn id="2" name="奖品定位" dataDxfId="220"/>
    <tableColumn id="3" name="数量" dataDxfId="221"/>
    <tableColumn id="4" name="价值" dataDxfId="222">
      <calculatedColumnFormula>_xlfn.XLOOKUP(D356,[1]价值表!D:D,[1]价值表!F:F)*F356</calculatedColumnFormula>
    </tableColumn>
    <tableColumn id="5" name="限购类型"/>
    <tableColumn id="6" name="售价" dataDxfId="223">
      <calculatedColumnFormula>#REF!/积分定价</calculatedColumnFormula>
    </tableColumn>
    <tableColumn id="7" name="预期折扣" dataDxfId="224">
      <calculatedColumnFormula>IFERROR(ROUND(I356*积分定价/G356*10,0)&amp;"折","")</calculatedColumnFormula>
    </tableColumn>
    <tableColumn id="8" name="限购数量" dataDxfId="225"/>
    <tableColumn id="9" name="开启条件" dataDxfId="226"/>
    <tableColumn id="10" name="进入下层条件" dataDxfId="227"/>
    <tableColumn id="11" name="列12" dataDxfId="228"/>
    <tableColumn id="12" name="列2" dataDxfId="229"/>
    <tableColumn id="13" name="列1" dataDxfId="230"/>
  </tableColumns>
  <tableStyleInfo name="TableStyleMedium2" showFirstColumn="0" showLastColumn="0" showRowStripes="0" showColumnStripes="0"/>
</table>
</file>

<file path=xl/tables/table31.xml><?xml version="1.0" encoding="utf-8"?>
<table xmlns="http://schemas.openxmlformats.org/spreadsheetml/2006/main" id="64" name="预期积分产出" displayName="预期积分产出" ref="D349:E353" totalsRowShown="0">
  <tableColumns count="2">
    <tableColumn id="1" name="预期积分" dataDxfId="231"/>
    <tableColumn id="2" name="积分产出" dataDxfId="232">
      <calculatedColumnFormula>OFFSET($Q$406,MATCH(7,OFFSET($D$407:$D$706,0,MATCH($D350,$D$350:$D$353,0))),0)</calculatedColumnFormula>
    </tableColumn>
  </tableColumns>
  <tableStyleInfo name="TableStyleMedium2" showFirstColumn="0" showLastColumn="0" showRowStripes="0" showColumnStripes="0"/>
</table>
</file>

<file path=xl/tables/table32.xml><?xml version="1.0" encoding="utf-8"?>
<table xmlns="http://schemas.openxmlformats.org/spreadsheetml/2006/main" id="65" name="参与统计" displayName="参与统计" ref="D396:M400" totalsRowShown="0">
  <tableColumns count="10">
    <tableColumn id="1" name="用户层级" dataDxfId="233"/>
    <tableColumn id="2" name="圈数" dataDxfId="234">
      <calculatedColumnFormula>COUNTIF(OFFSET($E$407:$E$706,0,MATCH($D397,$D$397:$D$400,0)-1),"&gt;0")</calculatedColumnFormula>
    </tableColumn>
    <tableColumn id="3" name="起点" dataDxfId="235">
      <calculatedColumnFormula>OFFSET($I$406,COUNTIF(OFFSET($E$407:$E$706,0,MATCH($D397,$D$397:$D$400,0)-1),"&gt;0"),MATCH(F$396,$I$406:$P$406,0)-1)</calculatedColumnFormula>
    </tableColumn>
    <tableColumn id="4" name="快速通道" dataDxfId="236">
      <calculatedColumnFormula>OFFSET($I$406,COUNTIF(OFFSET($E$407:$E$706,0,MATCH($D397,$D$397:$D$400,0)-1),"&gt;0"),MATCH(G$396,$I$406:$P$406,0)-1)</calculatedColumnFormula>
    </tableColumn>
    <tableColumn id="5" name="神秘商人" dataDxfId="237">
      <calculatedColumnFormula>OFFSET($I$406,COUNTIF(OFFSET($E$407:$E$706,0,MATCH($D397,$D$397:$D$400,0)-1),"&gt;0"),MATCH(H$396,$I$406:$P$406,0)-1)</calculatedColumnFormula>
    </tableColumn>
    <tableColumn id="6" name="普通增益" dataDxfId="238">
      <calculatedColumnFormula>OFFSET($I$406,COUNTIF(OFFSET($E$407:$E$706,0,MATCH($D397,$D$397:$D$400,0)-1),"&gt;0"),MATCH(I$396,$I$406:$P$406,0)-1)</calculatedColumnFormula>
    </tableColumn>
    <tableColumn id="7" name="高级增益" dataDxfId="239">
      <calculatedColumnFormula>OFFSET($I$406,COUNTIF(OFFSET($E$407:$E$706,0,MATCH($D397,$D$397:$D$400,0)-1),"&gt;0"),MATCH(J$396,$I$406:$P$406,0)-1)</calculatedColumnFormula>
    </tableColumn>
    <tableColumn id="8" name="公会花田" dataDxfId="240">
      <calculatedColumnFormula>OFFSET($I$406,COUNTIF(OFFSET($E$407:$E$706,0,MATCH($D397,$D$397:$D$400,0)-1),"&gt;0"),MATCH(K$396,$I$406:$P$406,0)-1)</calculatedColumnFormula>
    </tableColumn>
    <tableColumn id="9" name="空事件" dataDxfId="241">
      <calculatedColumnFormula>OFFSET($I$406,COUNTIF(OFFSET($E$407:$E$706,0,MATCH($D397,$D$397:$D$400,0)-1),"&gt;0"),MATCH(L$396,$I$406:$P$406,0)-1)</calculatedColumnFormula>
    </tableColumn>
    <tableColumn id="10" name="挑战事件" dataDxfId="242">
      <calculatedColumnFormula>OFFSET($I$406,COUNTIF(OFFSET($E$407:$E$706,0,MATCH($D397,$D$397:$D$400,0)-1),"&gt;0"),MATCH(M$396,$I$406:$P$406,0)-1)</calculatedColumnFormula>
    </tableColumn>
  </tableColumns>
  <tableStyleInfo name="TableStyleMedium2" showFirstColumn="0" showLastColumn="0" showRowStripes="0" showColumnStripes="0"/>
</table>
</file>

<file path=xl/tables/table33.xml><?xml version="1.0" encoding="utf-8"?>
<table xmlns="http://schemas.openxmlformats.org/spreadsheetml/2006/main" id="66" name="排行_公会排行" displayName="排行_公会排行" ref="D292:R298" totalsRowShown="0">
  <tableColumns count="15">
    <tableColumn id="1" name="最大名次" dataDxfId="243"/>
    <tableColumn id="2" name="最小名次" dataDxfId="244"/>
    <tableColumn id="3" name="奖励内容1" dataDxfId="245"/>
    <tableColumn id="4" name="奖励数量1" dataDxfId="246"/>
    <tableColumn id="5" name="奖励内容2" dataDxfId="247"/>
    <tableColumn id="6" name="奖励数量2" dataDxfId="248"/>
    <tableColumn id="7" name="奖励内容3" dataDxfId="249"/>
    <tableColumn id="8" name="奖励数量3" dataDxfId="250"/>
    <tableColumn id="9" name="奖励内容4" dataDxfId="251"/>
    <tableColumn id="10" name="奖励数量4" dataDxfId="252"/>
    <tableColumn id="11" name="奖励内容5" dataDxfId="253"/>
    <tableColumn id="12" name="奖励数量5" dataDxfId="254"/>
    <tableColumn id="13" name="奖励内容6" dataDxfId="255"/>
    <tableColumn id="14" name="奖励数量6" dataDxfId="256"/>
    <tableColumn id="15" name="总价值" dataDxfId="257">
      <calculatedColumnFormula>_xlfn.XLOOKUP(J293,[1]价值表!D:D,[1]价值表!F:F)*K293+_xlfn.XLOOKUP(L293,[1]价值表!D:D,[1]价值表!F:F)*M293+_xlfn.XLOOKUP(N293,[1]价值表!D:D,[1]价值表!F:F)*O293+_xlfn.XLOOKUP(P293,[1]价值表!D:D,[1]价值表!F:F)*Q293</calculatedColumnFormula>
    </tableColumn>
  </tableColumns>
  <tableStyleInfo name="TableStyleMedium2" showFirstColumn="0" showLastColumn="0" showRowStripes="0" showColumnStripes="0"/>
</table>
</file>

<file path=xl/tables/table34.xml><?xml version="1.0" encoding="utf-8"?>
<table xmlns="http://schemas.openxmlformats.org/spreadsheetml/2006/main" id="67" name="热卖礼包" displayName="热卖礼包" ref="D47:K53" totalsRowShown="0">
  <tableColumns count="8">
    <tableColumn id="1" name="礼包类型" dataDxfId="258"/>
    <tableColumn id="2" name="价格" dataDxfId="259"/>
    <tableColumn id="3" name="钻石消耗" dataDxfId="260"/>
    <tableColumn id="4" name="钻石" dataDxfId="261"/>
    <tableColumn id="5" name="普通骰子" dataDxfId="262"/>
    <tableColumn id="6" name="金骰子">
      <calculatedColumnFormula>F48/(H48*骰子价值)</calculatedColumnFormula>
    </tableColumn>
    <tableColumn id="7" name="限购次数" dataDxfId="263">
      <calculatedColumnFormula>G48/(K48*骰子价值)</calculatedColumnFormula>
    </tableColumn>
    <tableColumn id="8" name="性价比" dataDxfId="264">
      <calculatedColumnFormula>H48/(#REF!*骰子价值)</calculatedColumnFormula>
    </tableColumn>
  </tableColumns>
  <tableStyleInfo name="TableStyleMedium2" showFirstColumn="0" showLastColumn="0" showRowStripes="0" showColumnStripes="0"/>
</table>
</file>

<file path=xl/tables/table35.xml><?xml version="1.0" encoding="utf-8"?>
<table xmlns="http://schemas.openxmlformats.org/spreadsheetml/2006/main" id="68" name="规划_分R骰子规划" displayName="规划_分R骰子规划" ref="D26:H30" totalsRowShown="0">
  <tableColumns count="5">
    <tableColumn id="1" name="参数" dataDxfId="265"/>
    <tableColumn id="2" name="每日次数（预期）" dataDxfId="266">
      <calculatedColumnFormula>48</calculatedColumnFormula>
    </tableColumn>
    <tableColumn id="3" name="每日骰子" dataDxfId="267">
      <calculatedColumnFormula array="1">(SUMPRODUCT(--($E$33:$E$43=0),$F$33:$F$43,--($K$33:$K$43&lt;=MATCH(D27,$D$27:$D$30,0)))+SUMPRODUCT($E$33:$E$43,$F$33:$F$43,--($K$33:$K$43&lt;=MATCH(D27,$D$27:$D$30,0)))*7)/7</calculatedColumnFormula>
    </tableColumn>
    <tableColumn id="4" name="每日钻石" dataDxfId="268">
      <calculatedColumnFormula array="1">(SUMPRODUCT(--($E$33:$E$43=0),$G$33:$G$43,--($K$33:$K$43&lt;=MATCH(D27,$D$27:$D$30,0)))+SUMPRODUCT($E$33:$E$43,$G$33:$G$43,--($K$33:$K$43&lt;=MATCH(D27,$D$27:$D$30,0)))*7)/7</calculatedColumnFormula>
    </tableColumn>
    <tableColumn id="5" name="每日RMB" dataDxfId="269">
      <calculatedColumnFormula array="1">(SUMPRODUCT(--($E$33:$E$43=0),$I$33:$I$43,--($K$33:$K$43&lt;=MATCH(D27,$D$27:$D$30,0)))+SUMPRODUCT($E$33:$E$43,$I$33:$I$43,--($K$33:$K$43&lt;=MATCH(D27,$D$27:$D$30,0)))*7)/7</calculatedColumnFormula>
    </tableColumn>
  </tableColumns>
  <tableStyleInfo name="TableStylePreset3_Accent2" showFirstColumn="0" showLastColumn="0" showRowStripes="0" showColumnStripes="0"/>
</table>
</file>

<file path=xl/tables/table36.xml><?xml version="1.0" encoding="utf-8"?>
<table xmlns="http://schemas.openxmlformats.org/spreadsheetml/2006/main" id="69" name="预期排名" displayName="预期排名" ref="D274:F278" totalsRowShown="0">
  <tableColumns count="3">
    <tableColumn id="1" name="预期排名" dataDxfId="270"/>
    <tableColumn id="2" name="个人排行" dataDxfId="271"/>
    <tableColumn id="3" name="公会排行" dataDxfId="272"/>
  </tableColumns>
  <tableStyleInfo name="TableStyleMedium2" showFirstColumn="0" showLastColumn="0" showRowStripes="0" showColumnStripes="0"/>
</table>
</file>

<file path=xl/tables/table37.xml><?xml version="1.0" encoding="utf-8"?>
<table xmlns="http://schemas.openxmlformats.org/spreadsheetml/2006/main" id="70" name="规划_开启时间表" displayName="规划_开启时间表" ref="D14:E16" totalsRowShown="0">
  <tableColumns count="2">
    <tableColumn id="1" name="开启节奏" dataDxfId="273"/>
    <tableColumn id="2" name="内容" dataDxfId="274"/>
  </tableColumns>
  <tableStyleInfo name="TableStylePreset3_Accent2" showFirstColumn="0" showLastColumn="0" showRowStripes="0" showColumnStripes="0"/>
</table>
</file>

<file path=xl/tables/table38.xml><?xml version="1.0" encoding="utf-8"?>
<table xmlns="http://schemas.openxmlformats.org/spreadsheetml/2006/main" id="71" name="大富翁参数表" displayName="大富翁参数表" ref="D19:E23" totalsRowShown="0">
  <tableColumns count="2">
    <tableColumn id="1" name="参数" dataDxfId="275"/>
    <tableColumn id="2" name="预期" dataDxfId="276"/>
  </tableColumns>
  <tableStyleInfo name="TableStylePreset3_Accent2" showFirstColumn="0" showLastColumn="0" showRowStripes="0" showColumnStripes="0"/>
</table>
</file>

<file path=xl/tables/table39.xml><?xml version="1.0" encoding="utf-8"?>
<table xmlns="http://schemas.openxmlformats.org/spreadsheetml/2006/main" id="72" name="积分数值" displayName="积分数值" ref="D309:L341" totalsRowShown="0">
  <tableColumns count="9">
    <tableColumn id="1" name="圈数" dataDxfId="277"/>
    <tableColumn id="2" name="奖励" dataDxfId="278"/>
    <tableColumn id="3" name="数量" dataDxfId="279"/>
    <tableColumn id="4" name="奖励2" dataDxfId="280"/>
    <tableColumn id="5" name="数量2" dataDxfId="281"/>
    <tableColumn id="6" name="buff" dataDxfId="282"/>
    <tableColumn id="7" name="列1" dataDxfId="283"/>
    <tableColumn id="8" name="总价值" dataDxfId="284">
      <calculatedColumnFormula>IFERROR(_xlfn.XLOOKUP(E310,[1]价值表!D:D,[1]价值表!F:F)*F310,"")</calculatedColumnFormula>
    </tableColumn>
    <tableColumn id="9" name="返利" dataDxfId="285">
      <calculatedColumnFormula>SUM($K$310:K310)/D310/12/30</calculatedColumnFormula>
    </tableColumn>
  </tableColumns>
  <tableStyleInfo name="TableStyleMedium2" showFirstColumn="0" showLastColumn="0" showRowStripes="0" showColumnStripes="0"/>
</table>
</file>

<file path=xl/tables/table40.xml><?xml version="1.0" encoding="utf-8"?>
<table xmlns="http://schemas.openxmlformats.org/spreadsheetml/2006/main" id="73" name="战利品宝箱" displayName="战利品宝箱" ref="D300:H306" totalsRowShown="0">
  <tableColumns count="5">
    <tableColumn id="1" name="战利品宝箱" dataDxfId="286"/>
    <tableColumn id="2" name="权重" dataDxfId="287"/>
    <tableColumn id="3" name="数量" dataDxfId="288"/>
    <tableColumn id="4" name="价值" dataDxfId="289">
      <calculatedColumnFormula>_xlfn.XLOOKUP(D301,[1]价值表!D:D,[1]价值表!F:F)*F301</calculatedColumnFormula>
    </tableColumn>
    <tableColumn id="5" name="总价值" dataDxfId="290"/>
  </tableColumns>
  <tableStyleInfo name="TableStyleMedium2" showFirstColumn="0" showLastColumn="0" showRowStripes="0" showColumnStripes="0"/>
</table>
</file>

<file path=xl/tables/table41.xml><?xml version="1.0" encoding="utf-8"?>
<table xmlns="http://schemas.openxmlformats.org/spreadsheetml/2006/main" id="74" name="金骰子投放" displayName="金骰子投放" ref="D81:G87" totalsRowShown="0">
  <tableColumns count="4">
    <tableColumn id="1" name="参数"/>
    <tableColumn id="2" name="每日次数"/>
    <tableColumn id="3" name="数量" dataDxfId="291"/>
    <tableColumn id="4" name="目标用户" dataDxfId="292"/>
  </tableColumns>
  <tableStyleInfo name="TableStyleMedium2" showFirstColumn="0" showLastColumn="0" showRowStripes="0" showColumnStripes="0"/>
</table>
</file>

<file path=xl/tables/table42.xml><?xml version="1.0" encoding="utf-8"?>
<table xmlns="http://schemas.openxmlformats.org/spreadsheetml/2006/main" id="75" name="事件数值_预期产出" displayName="事件数值_预期产出" ref="D161:R169" totalsRowShown="0">
  <tableColumns count="15">
    <tableColumn id="1" name="事件类型"/>
    <tableColumn id="2" name="积分奖励" dataDxfId="293">
      <calculatedColumnFormula array="1">SUMPRODUCT(--($E$174:$E$193=$D169),OFFSET($F$174:$F$193,0,MATCH(E$161,$G$173:$T$173,0)),$F$174:$F$193)/SUMPRODUCT(--($E$174:$E$193=$D169),$F$174:$F$193)</calculatedColumnFormula>
    </tableColumn>
    <tableColumn id="3" name="大富翁积分" dataDxfId="294">
      <calculatedColumnFormula array="1">SUMPRODUCT(--($E$174:$E$193=$D169),OFFSET($F$174:$F$193,0,MATCH(F$161,$G$173:$T$173,0)),$F$174:$F$193)/SUMPRODUCT(--($E$174:$E$193=$D169),$F$174:$F$193)</calculatedColumnFormula>
    </tableColumn>
    <tableColumn id="4" name="秘藏摇杆" dataDxfId="295">
      <calculatedColumnFormula array="1">SUMPRODUCT(--($E$174:$E$193=$D169),OFFSET($F$174:$F$193,0,MATCH(G$161,$G$173:$T$173,0)),$F$174:$F$193)/SUMPRODUCT(--($E$174:$E$193=$D169),$F$174:$F$193)</calculatedColumnFormula>
    </tableColumn>
    <tableColumn id="5" name="梦境招募券" dataDxfId="296">
      <calculatedColumnFormula array="1">SUMPRODUCT(--($E$174:$E$193=$D169),OFFSET($F$174:$F$193,0,MATCH(H$161,$G$173:$T$173,0)),$F$174:$F$193)/SUMPRODUCT(--($E$174:$E$193=$D169),$F$174:$F$193)</calculatedColumnFormula>
    </tableColumn>
    <tableColumn id="6" name="幻梦晶核" dataDxfId="297">
      <calculatedColumnFormula array="1">SUMPRODUCT(--($E$174:$E$193=$D169),OFFSET($F$174:$F$193,0,MATCH(I$161,$G$173:$T$173,0)),$F$174:$F$193)/SUMPRODUCT(--($E$174:$E$193=$D169),$F$174:$F$193)</calculatedColumnFormula>
    </tableColumn>
    <tableColumn id="7" name="钻石" dataDxfId="298">
      <calculatedColumnFormula array="1">SUMPRODUCT(--($E$174:$E$193=$D169),OFFSET($F$174:$F$193,0,MATCH(J$161,$G$173:$T$173,0)),$F$174:$F$193)/SUMPRODUCT(--($E$174:$E$193=$D169),$F$174:$F$193)</calculatedColumnFormula>
    </tableColumn>
    <tableColumn id="8" name="初愿摇杆" dataDxfId="299">
      <calculatedColumnFormula array="1">SUMPRODUCT(--($E$174:$E$193=$D169),OFFSET($F$174:$F$193,0,MATCH(K$161,$G$173:$T$173,0)),$F$174:$F$193)/SUMPRODUCT(--($E$174:$E$193=$D169),$F$174:$F$193)</calculatedColumnFormula>
    </tableColumn>
    <tableColumn id="9" name="符引结晶" dataDxfId="300">
      <calculatedColumnFormula array="1">SUMPRODUCT(--($E$174:$E$193=$D169),OFFSET($F$174:$F$193,0,MATCH(L$161,$G$173:$T$173,0)),$F$174:$F$193)/SUMPRODUCT(--($E$174:$E$193=$D169),$F$174:$F$193)</calculatedColumnFormula>
    </tableColumn>
    <tableColumn id="10" name="装备强化书" dataDxfId="301">
      <calculatedColumnFormula array="1">SUMPRODUCT(--($E$174:$E$193=$D169),OFFSET($F$174:$F$193,0,MATCH(M$161,$G$173:$T$173,0)),$F$174:$F$193)/SUMPRODUCT(--($E$174:$E$193=$D169),$F$174:$F$193)</calculatedColumnFormula>
    </tableColumn>
    <tableColumn id="11" name="超能特饮" dataDxfId="302">
      <calculatedColumnFormula array="1">SUMPRODUCT(--($E$174:$E$193=$D169),OFFSET($F$174:$F$193,0,MATCH(N$161,$G$173:$T$173,0)),$F$174:$F$193)/SUMPRODUCT(--($E$174:$E$193=$D169),$F$174:$F$193)</calculatedColumnFormula>
    </tableColumn>
    <tableColumn id="12" name="能量特饮" dataDxfId="303">
      <calculatedColumnFormula array="1">SUMPRODUCT(--($E$174:$E$193=$D169),OFFSET($F$174:$F$193,0,MATCH(O$161,$G$173:$T$173,0)),$F$174:$F$193)/SUMPRODUCT(--($E$174:$E$193=$D169),$F$174:$F$193)</calculatedColumnFormula>
    </tableColumn>
    <tableColumn id="13" name="金币" dataDxfId="304">
      <calculatedColumnFormula array="1">SUMPRODUCT(--($E$174:$E$193=$D169),OFFSET($F$174:$F$193,0,MATCH(P$161,$G$173:$T$173,0)),$F$174:$F$193)/SUMPRODUCT(--($E$174:$E$193=$D169),$F$174:$F$193)</calculatedColumnFormula>
    </tableColumn>
    <tableColumn id="14" name="锻造晶石" dataDxfId="305">
      <calculatedColumnFormula array="1">SUMPRODUCT(--($E$174:$E$193=$D169),OFFSET($F$174:$F$193,0,MATCH(Q$161,$G$173:$T$173,0)),$F$174:$F$193)/SUMPRODUCT(--($E$174:$E$193=$D169),$F$174:$F$193)</calculatedColumnFormula>
    </tableColumn>
    <tableColumn id="15" name="转运石" dataDxfId="306">
      <calculatedColumnFormula array="1">SUMPRODUCT(--($E$174:$E$193=$D169),OFFSET($F$174:$F$193,0,MATCH(R$161,$G$173:$T$173,0)),$F$174:$F$193)/SUMPRODUCT(--($E$174:$E$193=$D169),$F$174:$F$193)</calculatedColumnFormula>
    </tableColumn>
  </tableColumns>
  <tableStyleInfo name="TableStyleMedium2" showFirstColumn="0" showLastColumn="0" showRowStripes="0" showColumnStripes="0"/>
</table>
</file>

<file path=xl/tables/table43.xml><?xml version="1.0" encoding="utf-8"?>
<table xmlns="http://schemas.openxmlformats.org/spreadsheetml/2006/main" id="40" name="大富翁地图配置" displayName="大富翁地图配置" ref="C68:F108" totalsRowShown="0">
  <tableColumns count="4">
    <tableColumn id="1" name="grid_id"/>
    <tableColumn id="2" name="事件内容"/>
    <tableColumn id="3" name="额外参数">
      <calculatedColumnFormula>_xlfn.XLOOKUP(D69,'D:\xdqd_xml\策划文档\数值文档\[《梦境护卫队》6-5大富翁数值.xlsm]大富翁数值表'!$D$379:$D$387,'D:\xdqd_xml\策划文档\数值文档\[《梦境护卫队》6-5大富翁数值.xlsm]大富翁数值表'!$F$379:$F$387)</calculatedColumnFormula>
    </tableColumn>
    <tableColumn id="4" name="格子权重" dataDxfId="307">
      <calculatedColumnFormula>_xlfn.XLOOKUP(E69,'D:\xdqd_xml\策划文档\数值文档\[《梦境护卫队》6-5大富翁数值.xlsm]大富翁数值表'!$D$379:$D$387,'D:\xdqd_xml\策划文档\数值文档\[《梦境护卫队》6-5大富翁数值.xlsm]大富翁数值表'!$F$379:$F$387)</calculatedColumnFormula>
    </tableColumn>
  </tableColumns>
  <tableStyleInfo name="TableStyleMedium2" showFirstColumn="0" showLastColumn="0" showRowStripes="0" showColumnStripes="0"/>
</table>
</file>

<file path=xl/tables/table44.xml><?xml version="1.0" encoding="utf-8"?>
<table xmlns="http://schemas.openxmlformats.org/spreadsheetml/2006/main" id="41" name="抽卡礼包" displayName="抽卡礼包" ref="D24:P33" totalsRowShown="0">
  <tableColumns count="13">
    <tableColumn id="9" name="礼包类型"/>
    <tableColumn id="10" name="RMB价格"/>
    <tableColumn id="1" name="钻石价格"/>
    <tableColumn id="2" name="钻石"/>
    <tableColumn id="3" name="神灯"/>
    <tableColumn id="4" name="超能特饮" dataDxfId="308">
      <calculatedColumnFormula array="1">SUMPRODUCT($G$22:$I$22,G25:I25)</calculatedColumnFormula>
    </tableColumn>
    <tableColumn id="5" name="总价值" dataDxfId="309"/>
    <tableColumn id="6" name="上限次数" dataDxfId="310"/>
    <tableColumn id="7" name="折扣" dataDxfId="311">
      <calculatedColumnFormula>F25/J25</calculatedColumnFormula>
    </tableColumn>
    <tableColumn id="8" name="累计价值"/>
    <tableColumn id="11" name="目标用户" dataDxfId="312"/>
    <tableColumn id="12" name="列1" dataDxfId="313">
      <calculatedColumnFormula>"[{1,"&amp;F25&amp;"}]"</calculatedColumnFormula>
    </tableColumn>
    <tableColumn id="13" name="列2" dataDxfId="314">
      <calculatedColumnFormula>"["&amp;_xlfn.TEXTJOIN(",",1,Q25:S25)&amp;"]"</calculatedColumnFormula>
    </tableColumn>
  </tableColumns>
  <tableStyleInfo name="TableStyleMedium2" showFirstColumn="0" showLastColumn="0" showRowStripes="0" showColumnStripes="0"/>
</table>
</file>

<file path=xl/tables/table45.xml><?xml version="1.0" encoding="utf-8"?>
<table xmlns="http://schemas.openxmlformats.org/spreadsheetml/2006/main" id="42" name="抽卡产出预期" displayName="抽卡产出预期" ref="D12:I16" totalsRowShown="0">
  <tableColumns count="6">
    <tableColumn id="1" name="用户分层" dataDxfId="315"/>
    <tableColumn id="2" name="产出预期" dataDxfId="316">
      <calculatedColumnFormula array="1">SUMPRODUCT($H$25:$H$33,--($N$25:$N$33&lt;=MATCH($D13,$D$13:$D$16,0)),$K$25:$K$33)+$F$20</calculatedColumnFormula>
    </tableColumn>
    <tableColumn id="3" name="累计钻石" dataDxfId="317">
      <calculatedColumnFormula array="1">SUMPRODUCT($F$25:$F$33,--($N$25:$N$33&lt;=MATCH($D13,$D$13:$D$16,0)),$K$25:$K$33)</calculatedColumnFormula>
    </tableColumn>
    <tableColumn id="4" name="累计花费" dataDxfId="318">
      <calculatedColumnFormula array="1">SUMPRODUCT($E$25:$E$33,--($N$25:$N$33&lt;=MATCH($D13,$D$13:$D$16,0)),$K$25:$K$33)</calculatedColumnFormula>
    </tableColumn>
    <tableColumn id="5" name="目标等级" dataDxfId="319">
      <calculatedColumnFormula array="1">MATCH(SUMPRODUCT($J$25:$J$33,--($N$25:$N$33&lt;=MATCH($D13,$D$13:$D$16,0)),$K$25:$K$33)+$F$20*150+1000*15,$G$81:$G$111,1)</calculatedColumnFormula>
    </tableColumn>
    <tableColumn id="6" name="对标红卡" dataDxfId="320">
      <calculatedColumnFormula>IFERROR(MATCH(_xlfn.XLOOKUP(H13-1,$D$81:$D$111,$H$81:$H$111),$I$81:$I$111,1),"")</calculatedColumnFormula>
    </tableColumn>
  </tableColumns>
  <tableStyleInfo name="TableStylePreset3_Accent2" showFirstColumn="0" showLastColumn="0" showRowStripes="0" showColumnStripes="0"/>
</table>
</file>

<file path=xl/tables/table46.xml><?xml version="1.0" encoding="utf-8"?>
<table xmlns="http://schemas.openxmlformats.org/spreadsheetml/2006/main" id="43" name="抽奖产出规划" displayName="抽奖产出规划" ref="D19:F21" totalsRowShown="0">
  <tableColumns count="3">
    <tableColumn id="1" name="参数"/>
    <tableColumn id="2" name="累计次数"/>
    <tableColumn id="3" name="单次招募券"/>
  </tableColumns>
  <tableStyleInfo name="TableStylePreset3_Accent1" showFirstColumn="0" showLastColumn="0" showRowStripes="0" showColumnStripes="0"/>
</table>
</file>

<file path=xl/tables/table47.xml><?xml version="1.0" encoding="utf-8"?>
<table xmlns="http://schemas.openxmlformats.org/spreadsheetml/2006/main" id="17" name="抽卡礼包_218" displayName="抽卡礼包_218" ref="D31:P40" totalsRowShown="0">
  <tableColumns count="13">
    <tableColumn id="1" name="礼包类型"/>
    <tableColumn id="2" name="RMB价格"/>
    <tableColumn id="3" name="钻石价格"/>
    <tableColumn id="4" name="钻石"/>
    <tableColumn id="5" name="神灯"/>
    <tableColumn id="6" name="超能特饮">
      <calculatedColumnFormula array="1">SUMPRODUCT($N$13:$P$13,G32:I32)</calculatedColumnFormula>
    </tableColumn>
    <tableColumn id="7" name="总价值"/>
    <tableColumn id="8" name="上限次数"/>
    <tableColumn id="9" name="折扣">
      <calculatedColumnFormula>F32/J32</calculatedColumnFormula>
    </tableColumn>
    <tableColumn id="10" name="累计价值"/>
    <tableColumn id="11" name="目标用户"/>
    <tableColumn id="12" name="列1">
      <calculatedColumnFormula>"[{1,"&amp;F32&amp;"}]"</calculatedColumnFormula>
    </tableColumn>
    <tableColumn id="13" name="列2">
      <calculatedColumnFormula>"["&amp;_xlfn.TEXTJOIN(",",1,Q32:S32)&amp;"]"</calculatedColumnFormula>
    </tableColumn>
  </tableColumns>
  <tableStyleInfo name="TableStyleMedium2" showFirstColumn="0" showLastColumn="0" showRowStripes="0" showColumnStripes="0"/>
</table>
</file>

<file path=xl/tables/table48.xml><?xml version="1.0" encoding="utf-8"?>
<table xmlns="http://schemas.openxmlformats.org/spreadsheetml/2006/main" id="18" name="抽卡产出预期_1619" displayName="抽卡产出预期_1619" ref="D12:K16" totalsRowShown="0">
  <tableColumns count="8">
    <tableColumn id="1" name="用户分层"/>
    <tableColumn id="2" name="产出预期">
      <calculatedColumnFormula array="1">SUMPRODUCT($H$32:$H$40,--($N$32:$N$40&lt;=MATCH($D13,$D$13:$D$16,0)),$K$32:$K$40)+$F$19</calculatedColumnFormula>
    </tableColumn>
    <tableColumn id="3" name="累计花费钻石">
      <calculatedColumnFormula array="1">SUMPRODUCT($F$32:$F$40,--($N$32:$N$40&lt;=MATCH($D13,$D$13:$D$16,0)),$K$32:$K$40)</calculatedColumnFormula>
    </tableColumn>
    <tableColumn id="4" name="累计花费">
      <calculatedColumnFormula array="1">SUMPRODUCT($E$32:$E$40,--($N$32:$N$40&lt;=MATCH($D13,$D$13:$D$16,0)),$K$32:$K$40)</calculatedColumnFormula>
    </tableColumn>
    <tableColumn id="5" name="目标等级" dataDxfId="321">
      <calculatedColumnFormula>MATCH(E13*$M$79*10,$F$96:$F$156,1)</calculatedColumnFormula>
    </tableColumn>
    <tableColumn id="6" name="对标橙卡" dataDxfId="322">
      <calculatedColumnFormula>IFERROR(MATCH(_xlfn.XLOOKUP(H13,$D$96:$D$137,$H$96:$H$137),$I$96:$I$137,1),"")</calculatedColumnFormula>
    </tableColumn>
    <tableColumn id="7" name="对标紫卡" dataDxfId="323">
      <calculatedColumnFormula>IFERROR(MATCH(_xlfn.XLOOKUP(H13,$D$96:$D$137,$H$96:$H$137),$J$96:$J$137,1),"")</calculatedColumnFormula>
    </tableColumn>
    <tableColumn id="8" name="列1"/>
  </tableColumns>
  <tableStyleInfo name="TableStylePreset3_Accent2" showFirstColumn="0" showLastColumn="0" showRowStripes="0" showColumnStripes="0"/>
</table>
</file>

<file path=xl/tables/table49.xml><?xml version="1.0" encoding="utf-8"?>
<table xmlns="http://schemas.openxmlformats.org/spreadsheetml/2006/main" id="19" name="抽奖产出规划_1720" displayName="抽奖产出规划_1720" ref="D19:G30" totalsRowShown="0">
  <tableColumns count="4">
    <tableColumn id="1" name="活动任务"/>
    <tableColumn id="2" name="1"/>
    <tableColumn id="3" name="25"/>
    <tableColumn id="4" name="列1"/>
  </tableColumns>
  <tableStyleInfo showFirstColumn="0" showLastColumn="0" showRowStripes="0" showColumnStripes="0"/>
</table>
</file>

<file path=xl/tables/table50.xml><?xml version="1.0" encoding="utf-8"?>
<table xmlns="http://schemas.openxmlformats.org/spreadsheetml/2006/main" id="45" name="规划_分R骰子规划46" displayName="规划_分R骰子规划46" ref="D10:G14" totalsRowShown="0">
  <tableColumns count="4">
    <tableColumn id="1" name="参数"/>
    <tableColumn id="2" name="活动购买" dataDxfId="324">
      <calculatedColumnFormula array="1">SUMPRODUCT(--($I$27:$I$35=$I$27),$J$27:$J$35,--($O$27:$O$35&lt;=MATCH($D11,$D$11:$D$14,0)))</calculatedColumnFormula>
    </tableColumn>
    <tableColumn id="3" name="每日任务" dataDxfId="325">
      <calculatedColumnFormula>1500/$D$19</calculatedColumnFormula>
    </tableColumn>
    <tableColumn id="4" name="总抽数" dataDxfId="326">
      <calculatedColumnFormula>SUM(E11:F11)</calculatedColumnFormula>
    </tableColumn>
  </tableColumns>
  <tableStyleInfo name="TableStylePreset3_Accent2" showFirstColumn="0" showLastColumn="0" showRowStripes="0" showColumnStripes="0"/>
</table>
</file>

<file path=xl/tables/table51.xml><?xml version="1.0" encoding="utf-8"?>
<table xmlns="http://schemas.openxmlformats.org/spreadsheetml/2006/main" id="48" name="抽奖产出规划_49" displayName="抽奖产出规划_49" ref="C4:E6" totalsRowShown="0">
  <tableColumns count="3">
    <tableColumn id="1" name="积分途径" dataDxfId="327"/>
    <tableColumn id="2" name="数值" dataDxfId="328"/>
    <tableColumn id="3" name="积分" dataDxfId="329"/>
  </tableColumns>
  <tableStyleInfo name="TableStylePreset3_Accent1" showFirstColumn="0" showLastColumn="0" showRowStripes="0" showColumnStripes="0"/>
</table>
</file>

<file path=xl/tables/table52.xml><?xml version="1.0" encoding="utf-8"?>
<table xmlns="http://schemas.openxmlformats.org/spreadsheetml/2006/main" id="49" name="任务数值_50" displayName="任务数值_50" ref="C81:F100" totalsRowShown="0">
  <tableColumns count="4">
    <tableColumn id="1" name="任务ID"/>
    <tableColumn id="2" name="任务类型"/>
    <tableColumn id="3" name="任务次数"/>
    <tableColumn id="4" name="幻梦晶核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4.xml"/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9" Type="http://schemas.openxmlformats.org/officeDocument/2006/relationships/table" Target="../tables/table25.xml"/><Relationship Id="rId8" Type="http://schemas.openxmlformats.org/officeDocument/2006/relationships/table" Target="../tables/table24.xml"/><Relationship Id="rId7" Type="http://schemas.openxmlformats.org/officeDocument/2006/relationships/table" Target="../tables/table23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Relationship Id="rId3" Type="http://schemas.openxmlformats.org/officeDocument/2006/relationships/table" Target="../tables/table19.xml"/><Relationship Id="rId26" Type="http://schemas.openxmlformats.org/officeDocument/2006/relationships/table" Target="../tables/table42.xml"/><Relationship Id="rId25" Type="http://schemas.openxmlformats.org/officeDocument/2006/relationships/table" Target="../tables/table41.xml"/><Relationship Id="rId24" Type="http://schemas.openxmlformats.org/officeDocument/2006/relationships/table" Target="../tables/table40.xml"/><Relationship Id="rId23" Type="http://schemas.openxmlformats.org/officeDocument/2006/relationships/table" Target="../tables/table39.xml"/><Relationship Id="rId22" Type="http://schemas.openxmlformats.org/officeDocument/2006/relationships/table" Target="../tables/table38.xml"/><Relationship Id="rId21" Type="http://schemas.openxmlformats.org/officeDocument/2006/relationships/table" Target="../tables/table37.xml"/><Relationship Id="rId20" Type="http://schemas.openxmlformats.org/officeDocument/2006/relationships/table" Target="../tables/table36.xml"/><Relationship Id="rId2" Type="http://schemas.openxmlformats.org/officeDocument/2006/relationships/table" Target="../tables/table18.xml"/><Relationship Id="rId19" Type="http://schemas.openxmlformats.org/officeDocument/2006/relationships/table" Target="../tables/table35.xml"/><Relationship Id="rId18" Type="http://schemas.openxmlformats.org/officeDocument/2006/relationships/table" Target="../tables/table34.xml"/><Relationship Id="rId17" Type="http://schemas.openxmlformats.org/officeDocument/2006/relationships/table" Target="../tables/table33.xml"/><Relationship Id="rId16" Type="http://schemas.openxmlformats.org/officeDocument/2006/relationships/table" Target="../tables/table32.xml"/><Relationship Id="rId15" Type="http://schemas.openxmlformats.org/officeDocument/2006/relationships/table" Target="../tables/table31.xml"/><Relationship Id="rId14" Type="http://schemas.openxmlformats.org/officeDocument/2006/relationships/table" Target="../tables/table30.xml"/><Relationship Id="rId13" Type="http://schemas.openxmlformats.org/officeDocument/2006/relationships/table" Target="../tables/table29.xml"/><Relationship Id="rId12" Type="http://schemas.openxmlformats.org/officeDocument/2006/relationships/table" Target="../tables/table28.xml"/><Relationship Id="rId11" Type="http://schemas.openxmlformats.org/officeDocument/2006/relationships/table" Target="../tables/table27.xml"/><Relationship Id="rId10" Type="http://schemas.openxmlformats.org/officeDocument/2006/relationships/table" Target="../tables/table26.xml"/><Relationship Id="rId1" Type="http://schemas.openxmlformats.org/officeDocument/2006/relationships/table" Target="../tables/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2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6.xml"/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drawing" Target="../drawings/drawing4.xml"/></Relationships>
</file>

<file path=xl/worksheets/_rels/sheet3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9.xml"/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drawing" Target="../drawings/drawing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2" Type="http://schemas.openxmlformats.org/officeDocument/2006/relationships/table" Target="../tables/table5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2"/>
  <sheetViews>
    <sheetView workbookViewId="0">
      <selection activeCell="J34" sqref="J34"/>
    </sheetView>
  </sheetViews>
  <sheetFormatPr defaultColWidth="9" defaultRowHeight="13.5"/>
  <cols>
    <col min="1" max="1" width="17.5916666666667" customWidth="1"/>
    <col min="2" max="2" width="29.7083333333333" customWidth="1"/>
    <col min="3" max="3" width="19" customWidth="1"/>
    <col min="17" max="28" width="13.8" customWidth="1"/>
  </cols>
  <sheetData>
    <row r="1" customFormat="1" ht="11" customHeight="1" spans="1:34">
      <c r="T1" s="650"/>
    </row>
    <row r="2" ht="26" customHeight="1" spans="1:34">
      <c r="A2" s="651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1"/>
      <c r="U2" s="651"/>
      <c r="V2" s="651"/>
      <c r="W2" s="651"/>
      <c r="X2" s="651"/>
      <c r="Y2" s="651"/>
      <c r="Z2" s="651"/>
      <c r="AA2" s="651"/>
      <c r="AB2" s="651"/>
      <c r="AC2" s="651"/>
      <c r="AD2" s="651"/>
      <c r="AE2" s="651"/>
    </row>
    <row r="3" ht="16.5" customHeight="1" spans="1:34">
      <c r="A3" s="652" t="s">
        <v>0</v>
      </c>
      <c r="B3" s="652"/>
      <c r="C3" s="653">
        <v>1</v>
      </c>
      <c r="D3" s="653">
        <v>2</v>
      </c>
      <c r="E3" s="653">
        <v>3</v>
      </c>
      <c r="F3" s="653">
        <v>4</v>
      </c>
      <c r="G3" s="653">
        <v>5</v>
      </c>
      <c r="H3" s="653">
        <v>6</v>
      </c>
      <c r="I3" s="653">
        <v>7</v>
      </c>
      <c r="J3" s="654">
        <v>8</v>
      </c>
      <c r="K3" s="654">
        <v>9</v>
      </c>
      <c r="L3" s="654">
        <v>10</v>
      </c>
      <c r="M3" s="654">
        <v>11</v>
      </c>
      <c r="N3" s="654">
        <v>12</v>
      </c>
      <c r="O3" s="654">
        <v>13</v>
      </c>
      <c r="P3" s="654">
        <v>14</v>
      </c>
      <c r="Q3" s="654" t="s">
        <v>1</v>
      </c>
      <c r="R3" s="654" t="s">
        <v>2</v>
      </c>
      <c r="S3" s="654" t="s">
        <v>3</v>
      </c>
      <c r="T3" s="654" t="s">
        <v>4</v>
      </c>
      <c r="U3" s="654" t="s">
        <v>5</v>
      </c>
      <c r="V3" s="654" t="s">
        <v>6</v>
      </c>
      <c r="W3" s="655" t="s">
        <v>7</v>
      </c>
      <c r="X3" s="655" t="s">
        <v>8</v>
      </c>
      <c r="Y3" s="655" t="s">
        <v>9</v>
      </c>
      <c r="Z3" s="655" t="s">
        <v>10</v>
      </c>
      <c r="AA3" s="655" t="s">
        <v>11</v>
      </c>
      <c r="AB3" s="655" t="s">
        <v>12</v>
      </c>
      <c r="AC3" s="59" t="s">
        <v>13</v>
      </c>
      <c r="AD3" s="59" t="s">
        <v>14</v>
      </c>
      <c r="AE3" s="59" t="s">
        <v>15</v>
      </c>
      <c r="AF3" s="574"/>
      <c r="AG3" s="574"/>
      <c r="AH3" s="574"/>
    </row>
    <row r="4" ht="16.5" customHeight="1" spans="1:34">
      <c r="A4" s="656" t="s">
        <v>16</v>
      </c>
      <c r="B4" s="656"/>
      <c r="C4" s="657">
        <v>10</v>
      </c>
      <c r="D4" s="658">
        <v>15</v>
      </c>
      <c r="E4" s="658">
        <v>20</v>
      </c>
      <c r="F4" s="658">
        <v>25</v>
      </c>
      <c r="G4" s="658">
        <v>30</v>
      </c>
      <c r="H4" s="658">
        <v>35</v>
      </c>
      <c r="I4" s="658">
        <v>40</v>
      </c>
      <c r="J4" s="657">
        <v>45</v>
      </c>
      <c r="K4" s="659">
        <v>47</v>
      </c>
      <c r="L4" s="657">
        <v>49</v>
      </c>
      <c r="M4" s="659">
        <v>51</v>
      </c>
      <c r="N4" s="657">
        <v>53</v>
      </c>
      <c r="O4" s="659">
        <v>55</v>
      </c>
      <c r="P4" s="657">
        <v>57</v>
      </c>
      <c r="Q4" s="658"/>
      <c r="R4" s="658"/>
      <c r="S4" s="658"/>
      <c r="T4" s="658"/>
      <c r="U4" s="658"/>
      <c r="V4" s="657"/>
      <c r="W4" s="657"/>
      <c r="X4" s="657"/>
      <c r="Y4" s="657"/>
      <c r="Z4" s="657"/>
      <c r="AA4" s="656"/>
      <c r="AB4" s="656"/>
      <c r="AC4" s="656"/>
      <c r="AD4" s="657"/>
      <c r="AE4" s="660"/>
      <c r="AF4" s="575"/>
      <c r="AG4" s="575"/>
      <c r="AH4" s="575"/>
    </row>
    <row r="5" ht="16.5" customHeight="1" spans="1:34">
      <c r="A5" s="656" t="s">
        <v>17</v>
      </c>
      <c r="B5" s="656"/>
      <c r="C5" s="661">
        <v>15</v>
      </c>
      <c r="D5" s="661">
        <v>25</v>
      </c>
      <c r="E5" s="661">
        <v>35</v>
      </c>
      <c r="F5" s="661">
        <v>45</v>
      </c>
      <c r="G5" s="661">
        <v>48</v>
      </c>
      <c r="H5" s="661">
        <v>50</v>
      </c>
      <c r="I5" s="661">
        <v>54</v>
      </c>
      <c r="J5" s="657">
        <v>55</v>
      </c>
      <c r="K5" s="657">
        <v>57</v>
      </c>
      <c r="L5" s="657">
        <v>59</v>
      </c>
      <c r="M5" s="657">
        <v>61</v>
      </c>
      <c r="N5" s="657">
        <v>63</v>
      </c>
      <c r="O5" s="657">
        <v>65</v>
      </c>
      <c r="P5" s="657">
        <v>67</v>
      </c>
      <c r="Q5" s="662"/>
      <c r="R5" s="662"/>
      <c r="S5" s="662"/>
      <c r="T5" s="662"/>
      <c r="U5" s="662"/>
      <c r="V5" s="662"/>
      <c r="W5" s="657"/>
      <c r="X5" s="657"/>
      <c r="Y5" s="657"/>
      <c r="Z5" s="657"/>
      <c r="AA5" s="657"/>
      <c r="AB5" s="657"/>
      <c r="AC5" s="657"/>
      <c r="AD5" s="657"/>
      <c r="AE5" s="662"/>
      <c r="AF5" s="575"/>
      <c r="AG5" s="575"/>
      <c r="AH5" s="575"/>
    </row>
    <row r="6" ht="16.5" customHeight="1" spans="1:34">
      <c r="A6" s="656" t="s">
        <v>18</v>
      </c>
      <c r="B6" s="656"/>
      <c r="C6" s="661">
        <v>25</v>
      </c>
      <c r="D6" s="661">
        <v>35</v>
      </c>
      <c r="E6" s="661">
        <v>45</v>
      </c>
      <c r="F6" s="661">
        <v>48</v>
      </c>
      <c r="G6" s="661">
        <v>50</v>
      </c>
      <c r="H6" s="661">
        <v>54</v>
      </c>
      <c r="I6" s="661">
        <v>55</v>
      </c>
      <c r="J6" s="661">
        <v>57</v>
      </c>
      <c r="K6" s="661">
        <v>60</v>
      </c>
      <c r="L6" s="661">
        <v>63</v>
      </c>
      <c r="M6" s="661">
        <v>66</v>
      </c>
      <c r="N6" s="661">
        <v>69</v>
      </c>
      <c r="O6" s="661">
        <v>71</v>
      </c>
      <c r="P6" s="661">
        <v>73</v>
      </c>
      <c r="Q6" s="662"/>
      <c r="R6" s="662"/>
      <c r="S6" s="662"/>
      <c r="T6" s="662"/>
      <c r="U6" s="662"/>
      <c r="V6" s="662"/>
      <c r="W6" s="657"/>
      <c r="X6" s="657"/>
      <c r="Y6" s="657"/>
      <c r="Z6" s="657"/>
      <c r="AA6" s="657"/>
      <c r="AB6" s="662"/>
      <c r="AC6" s="662"/>
      <c r="AD6" s="657"/>
      <c r="AE6" s="662"/>
      <c r="AF6" s="575"/>
      <c r="AG6" s="575"/>
      <c r="AH6" s="575"/>
    </row>
    <row r="7" ht="16.5" customHeight="1" spans="1:34">
      <c r="A7" s="656" t="s">
        <v>19</v>
      </c>
      <c r="B7" s="656"/>
      <c r="C7" s="661">
        <v>35</v>
      </c>
      <c r="D7" s="661">
        <v>40</v>
      </c>
      <c r="E7" s="661">
        <v>45</v>
      </c>
      <c r="F7" s="663">
        <v>50</v>
      </c>
      <c r="G7" s="661">
        <v>55</v>
      </c>
      <c r="H7" s="663">
        <v>57</v>
      </c>
      <c r="I7" s="661">
        <v>60</v>
      </c>
      <c r="J7" s="663">
        <v>63</v>
      </c>
      <c r="K7" s="663">
        <v>66</v>
      </c>
      <c r="L7" s="663">
        <v>69</v>
      </c>
      <c r="M7" s="663">
        <v>73</v>
      </c>
      <c r="N7" s="663">
        <v>75</v>
      </c>
      <c r="O7" s="663">
        <v>77</v>
      </c>
      <c r="P7" s="661">
        <v>80</v>
      </c>
      <c r="Q7" s="661">
        <v>90.5</v>
      </c>
      <c r="R7" s="661">
        <v>101</v>
      </c>
      <c r="S7" s="661">
        <v>108</v>
      </c>
      <c r="T7" s="661">
        <v>115</v>
      </c>
      <c r="U7" s="661">
        <v>122</v>
      </c>
      <c r="V7" s="661">
        <v>129</v>
      </c>
      <c r="W7" s="661">
        <v>136</v>
      </c>
      <c r="X7" s="661">
        <v>143</v>
      </c>
      <c r="Y7" s="661">
        <v>150</v>
      </c>
      <c r="Z7" s="661">
        <v>157</v>
      </c>
      <c r="AA7" s="661">
        <v>164</v>
      </c>
      <c r="AB7" s="661">
        <v>171</v>
      </c>
      <c r="AC7" s="661">
        <v>178</v>
      </c>
      <c r="AD7" s="661">
        <v>185</v>
      </c>
      <c r="AE7" s="661">
        <v>192</v>
      </c>
      <c r="AF7" s="575"/>
      <c r="AG7" s="575"/>
      <c r="AH7" s="575"/>
    </row>
    <row r="8" ht="16.5" customHeight="1" spans="1:34">
      <c r="A8" s="664" t="s">
        <v>20</v>
      </c>
      <c r="B8" s="288" t="s">
        <v>21</v>
      </c>
      <c r="C8" s="288" t="s">
        <v>22</v>
      </c>
      <c r="D8" s="288" t="s">
        <v>23</v>
      </c>
      <c r="E8" s="288" t="s">
        <v>24</v>
      </c>
      <c r="F8" s="288" t="s">
        <v>25</v>
      </c>
      <c r="G8" s="288" t="s">
        <v>26</v>
      </c>
      <c r="H8" s="288" t="s">
        <v>27</v>
      </c>
      <c r="I8" s="288" t="s">
        <v>28</v>
      </c>
      <c r="J8" s="287" t="s">
        <v>29</v>
      </c>
      <c r="K8" s="287"/>
      <c r="L8" s="287"/>
      <c r="M8" s="287"/>
      <c r="N8" s="287"/>
      <c r="O8" s="287"/>
      <c r="P8" s="287"/>
      <c r="Q8" s="288" t="s">
        <v>30</v>
      </c>
      <c r="R8" s="665" t="s">
        <v>31</v>
      </c>
      <c r="S8" s="666" t="s">
        <v>32</v>
      </c>
      <c r="T8" s="288"/>
      <c r="U8" s="288"/>
      <c r="V8" s="288"/>
      <c r="W8" s="288" t="s">
        <v>33</v>
      </c>
      <c r="X8" s="667"/>
      <c r="Y8" s="288"/>
      <c r="Z8" s="288"/>
      <c r="AA8" s="574"/>
      <c r="AB8" s="288" t="s">
        <v>34</v>
      </c>
      <c r="AC8" s="668"/>
      <c r="AD8" s="582"/>
      <c r="AE8" s="669" t="s">
        <v>35</v>
      </c>
      <c r="AF8" s="574"/>
      <c r="AG8" s="574"/>
      <c r="AH8" s="574"/>
    </row>
    <row r="9" ht="16.5" spans="1:34">
      <c r="A9" s="664"/>
      <c r="B9" s="288" t="s">
        <v>36</v>
      </c>
      <c r="C9" s="288" t="s">
        <v>37</v>
      </c>
      <c r="D9" s="288" t="s">
        <v>38</v>
      </c>
      <c r="E9" s="288"/>
      <c r="F9" s="287" t="s">
        <v>39</v>
      </c>
      <c r="G9" s="287"/>
      <c r="H9" s="670" t="s">
        <v>40</v>
      </c>
      <c r="I9" s="288"/>
      <c r="J9" s="287" t="s">
        <v>41</v>
      </c>
      <c r="K9" s="288"/>
      <c r="L9" s="288"/>
      <c r="M9" s="288"/>
      <c r="N9" s="288"/>
      <c r="O9" s="288"/>
      <c r="P9" s="288"/>
      <c r="Q9" s="671"/>
      <c r="R9" s="288"/>
      <c r="S9" s="288"/>
      <c r="T9" s="288"/>
      <c r="U9" s="288"/>
      <c r="V9" s="288"/>
      <c r="W9" s="287" t="s">
        <v>42</v>
      </c>
      <c r="X9" s="288"/>
      <c r="Y9" s="288"/>
      <c r="Z9" s="667"/>
      <c r="AA9" s="288"/>
      <c r="AB9" s="288"/>
      <c r="AC9" s="668"/>
      <c r="AD9" s="669"/>
      <c r="AE9" s="669"/>
      <c r="AF9" s="574"/>
      <c r="AG9" s="574"/>
      <c r="AH9" s="574"/>
    </row>
    <row r="10" ht="16.5" spans="1:34">
      <c r="A10" s="664"/>
      <c r="B10" s="288" t="s">
        <v>43</v>
      </c>
      <c r="C10" s="671" t="s">
        <v>44</v>
      </c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  <c r="AA10" s="288"/>
      <c r="AB10" s="288"/>
      <c r="AC10" s="668"/>
      <c r="AD10" s="669"/>
      <c r="AE10" s="669"/>
      <c r="AF10" s="574"/>
      <c r="AG10" s="574"/>
      <c r="AH10" s="574"/>
    </row>
    <row r="11" ht="16.5" customHeight="1" spans="1:34">
      <c r="A11" s="672" t="s">
        <v>45</v>
      </c>
      <c r="B11" s="673" t="s">
        <v>46</v>
      </c>
      <c r="C11" s="288" t="s">
        <v>44</v>
      </c>
      <c r="D11" s="288"/>
      <c r="E11" s="288" t="s">
        <v>47</v>
      </c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 t="s">
        <v>48</v>
      </c>
      <c r="R11" s="288"/>
      <c r="S11" s="667"/>
      <c r="T11" s="671" t="s">
        <v>49</v>
      </c>
      <c r="U11" s="671" t="s">
        <v>50</v>
      </c>
      <c r="V11" s="288"/>
      <c r="W11" s="288"/>
      <c r="X11" s="288"/>
      <c r="Y11" s="288"/>
      <c r="Z11" s="288"/>
      <c r="AA11" s="288"/>
      <c r="AB11" s="288"/>
      <c r="AC11" s="288"/>
      <c r="AD11" s="674"/>
      <c r="AE11" s="669"/>
      <c r="AF11" s="574"/>
      <c r="AG11" s="574"/>
      <c r="AH11" s="574"/>
    </row>
    <row r="12" ht="16.5" spans="1:34">
      <c r="A12" s="672"/>
      <c r="B12" s="673" t="s">
        <v>51</v>
      </c>
      <c r="C12" s="288" t="s">
        <v>52</v>
      </c>
      <c r="D12" s="288"/>
      <c r="E12" s="288" t="s">
        <v>52</v>
      </c>
      <c r="F12" s="288"/>
      <c r="G12" s="288"/>
      <c r="H12" s="288"/>
      <c r="I12" s="675"/>
      <c r="J12" s="288"/>
      <c r="K12" s="288"/>
      <c r="L12" s="288"/>
      <c r="M12" s="288"/>
      <c r="N12" s="288"/>
      <c r="O12" s="288"/>
      <c r="P12" s="288" t="s">
        <v>52</v>
      </c>
      <c r="Q12" s="676"/>
      <c r="R12" s="676"/>
      <c r="S12" s="676"/>
      <c r="T12" s="288" t="s">
        <v>52</v>
      </c>
      <c r="U12" s="288"/>
      <c r="V12" s="288"/>
      <c r="W12" s="288"/>
      <c r="X12" s="288"/>
      <c r="Y12" s="288"/>
      <c r="Z12" s="288"/>
      <c r="AA12" s="288"/>
      <c r="AB12" s="288"/>
      <c r="AC12" s="288"/>
      <c r="AD12" s="288"/>
      <c r="AE12" s="669"/>
      <c r="AF12" s="574"/>
      <c r="AG12" s="574"/>
      <c r="AH12" s="574"/>
    </row>
    <row r="13" ht="16.5" spans="1:34">
      <c r="A13" s="672"/>
      <c r="B13" s="673" t="s">
        <v>53</v>
      </c>
      <c r="C13" s="288"/>
      <c r="D13" s="667"/>
      <c r="E13" s="288"/>
      <c r="F13" s="288"/>
      <c r="G13" s="288"/>
      <c r="H13" s="288" t="s">
        <v>44</v>
      </c>
      <c r="I13" s="288"/>
      <c r="J13" s="288"/>
      <c r="K13" s="288"/>
      <c r="L13" s="288"/>
      <c r="M13" s="288"/>
      <c r="N13" s="288"/>
      <c r="O13" s="288"/>
      <c r="P13" s="668"/>
      <c r="Q13" s="669"/>
      <c r="R13" s="669"/>
      <c r="S13" s="677"/>
      <c r="T13" s="67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669"/>
      <c r="AF13" s="574"/>
      <c r="AG13" s="574"/>
      <c r="AH13" s="574"/>
    </row>
    <row r="14" ht="16.5" spans="1:34">
      <c r="A14" s="672"/>
      <c r="B14" s="673" t="s">
        <v>54</v>
      </c>
      <c r="C14" s="288"/>
      <c r="D14" s="288"/>
      <c r="E14" s="288"/>
      <c r="F14" s="288"/>
      <c r="G14" s="288"/>
      <c r="H14" s="288"/>
      <c r="I14" s="288"/>
      <c r="J14" s="288"/>
      <c r="K14" s="288"/>
      <c r="L14" s="574"/>
      <c r="M14" s="288"/>
      <c r="N14" s="288"/>
      <c r="O14" s="288"/>
      <c r="P14" s="668"/>
      <c r="Q14" s="679" t="s">
        <v>55</v>
      </c>
      <c r="R14" s="680"/>
      <c r="S14" s="582"/>
      <c r="T14" s="669"/>
      <c r="U14" s="673"/>
      <c r="V14" s="288"/>
      <c r="W14" s="288"/>
      <c r="X14" s="288"/>
      <c r="Y14" s="288"/>
      <c r="Z14" s="288"/>
      <c r="AA14" s="288"/>
      <c r="AB14" s="288"/>
      <c r="AC14" s="288"/>
      <c r="AD14" s="288"/>
      <c r="AE14" s="669"/>
      <c r="AF14" s="574"/>
      <c r="AG14" s="574"/>
      <c r="AH14" s="574"/>
    </row>
    <row r="15" ht="16.5" spans="1:34">
      <c r="A15" s="672"/>
      <c r="B15" s="673" t="s">
        <v>56</v>
      </c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668"/>
      <c r="Q15" s="679"/>
      <c r="R15" s="681" t="s">
        <v>57</v>
      </c>
      <c r="S15" s="669"/>
      <c r="T15" s="669"/>
      <c r="U15" s="673"/>
      <c r="V15" s="288"/>
      <c r="W15" s="288"/>
      <c r="X15" s="288"/>
      <c r="Y15" s="288"/>
      <c r="Z15" s="288"/>
      <c r="AA15" s="288"/>
      <c r="AB15" s="288"/>
      <c r="AC15" s="288"/>
      <c r="AD15" s="288"/>
      <c r="AE15" s="669"/>
      <c r="AF15" s="574"/>
      <c r="AG15" s="574"/>
      <c r="AH15" s="574"/>
    </row>
    <row r="16" ht="16.5" spans="1:34">
      <c r="A16" s="672"/>
      <c r="B16" s="673" t="s">
        <v>58</v>
      </c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668"/>
      <c r="Q16" s="669"/>
      <c r="R16" s="682"/>
      <c r="S16" s="669"/>
      <c r="T16" s="669"/>
      <c r="U16" s="673"/>
      <c r="V16" s="671" t="s">
        <v>59</v>
      </c>
      <c r="W16" s="288"/>
      <c r="X16" s="288"/>
      <c r="Y16" s="288"/>
      <c r="Z16" s="288"/>
      <c r="AA16" s="288"/>
      <c r="AB16" s="288"/>
      <c r="AC16" s="288"/>
      <c r="AD16" s="288"/>
      <c r="AE16" s="669"/>
      <c r="AF16" s="574"/>
      <c r="AG16" s="574"/>
      <c r="AH16" s="574"/>
    </row>
    <row r="17" ht="16.5" customHeight="1" spans="1:34">
      <c r="A17" s="288" t="s">
        <v>60</v>
      </c>
      <c r="B17" s="288" t="s">
        <v>61</v>
      </c>
      <c r="C17" s="288" t="s">
        <v>44</v>
      </c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674"/>
      <c r="R17" s="674"/>
      <c r="S17" s="674"/>
      <c r="T17" s="674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669"/>
      <c r="AF17" s="574"/>
      <c r="AG17" s="574"/>
      <c r="AH17" s="574"/>
    </row>
    <row r="18" ht="16.5" spans="1:34">
      <c r="A18" s="288"/>
      <c r="B18" s="288" t="s">
        <v>62</v>
      </c>
      <c r="C18" s="288" t="s">
        <v>63</v>
      </c>
      <c r="D18" s="288"/>
      <c r="E18" s="288" t="s">
        <v>64</v>
      </c>
      <c r="F18" s="288"/>
      <c r="G18" s="288"/>
      <c r="H18" s="288" t="s">
        <v>65</v>
      </c>
      <c r="I18" s="288"/>
      <c r="J18" s="288"/>
      <c r="K18" s="288"/>
      <c r="L18" s="288" t="s">
        <v>66</v>
      </c>
      <c r="M18" s="288"/>
      <c r="N18" s="288"/>
      <c r="O18" s="288"/>
      <c r="P18" s="288" t="s">
        <v>67</v>
      </c>
      <c r="Q18" s="288" t="s">
        <v>68</v>
      </c>
      <c r="R18" s="288" t="s">
        <v>69</v>
      </c>
      <c r="S18" s="288" t="s">
        <v>70</v>
      </c>
      <c r="T18" s="288" t="s">
        <v>71</v>
      </c>
      <c r="U18" s="288"/>
      <c r="V18" s="288" t="s">
        <v>72</v>
      </c>
      <c r="W18" s="288"/>
      <c r="X18" s="574"/>
      <c r="Y18" s="288" t="s">
        <v>73</v>
      </c>
      <c r="Z18" s="288"/>
      <c r="AA18" s="288" t="s">
        <v>74</v>
      </c>
      <c r="AB18" s="574"/>
      <c r="AC18" s="288"/>
      <c r="AD18" s="288"/>
      <c r="AE18" s="669"/>
      <c r="AF18" s="574"/>
      <c r="AG18" s="574"/>
      <c r="AH18" s="574"/>
    </row>
    <row r="19" ht="16.5" spans="1:34">
      <c r="A19" s="288"/>
      <c r="B19" s="288" t="s">
        <v>75</v>
      </c>
      <c r="C19" s="288" t="s">
        <v>44</v>
      </c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669"/>
      <c r="AF19" s="574"/>
      <c r="AG19" s="574"/>
      <c r="AH19" s="574"/>
    </row>
    <row r="20" ht="16.5" spans="1:34">
      <c r="A20" s="288"/>
      <c r="B20" s="288" t="s">
        <v>76</v>
      </c>
      <c r="C20" s="288"/>
      <c r="D20" s="288"/>
      <c r="E20" s="288" t="s">
        <v>44</v>
      </c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 t="s">
        <v>77</v>
      </c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669"/>
      <c r="AF20" s="574"/>
      <c r="AG20" s="574"/>
      <c r="AH20" s="574"/>
    </row>
    <row r="21" ht="16.5" spans="1:34">
      <c r="A21" s="288"/>
      <c r="B21" s="288" t="s">
        <v>78</v>
      </c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 t="s">
        <v>44</v>
      </c>
      <c r="S21" s="574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669"/>
      <c r="AF21" s="574"/>
      <c r="AG21" s="574"/>
      <c r="AH21" s="574"/>
    </row>
    <row r="22" ht="16.5" spans="1:34">
      <c r="A22" s="288"/>
      <c r="B22" s="287" t="s">
        <v>79</v>
      </c>
      <c r="C22" s="288"/>
      <c r="D22" s="288"/>
      <c r="E22" s="288"/>
      <c r="F22" s="288"/>
      <c r="G22" s="288"/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 t="s">
        <v>44</v>
      </c>
      <c r="W22" s="288"/>
      <c r="X22" s="288"/>
      <c r="Y22" s="288"/>
      <c r="Z22" s="288"/>
      <c r="AA22" s="288"/>
      <c r="AB22" s="288"/>
      <c r="AC22" s="288"/>
      <c r="AD22" s="288"/>
      <c r="AE22" s="669"/>
      <c r="AF22" s="574"/>
      <c r="AG22" s="574"/>
      <c r="AH22" s="574"/>
    </row>
    <row r="23" ht="16.5" customHeight="1" spans="1:34">
      <c r="A23" s="288"/>
      <c r="B23" s="287" t="s">
        <v>80</v>
      </c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683" t="s">
        <v>81</v>
      </c>
      <c r="Y23" s="683"/>
      <c r="Z23" s="683"/>
      <c r="AA23" s="683"/>
      <c r="AB23" s="288"/>
      <c r="AC23" s="288"/>
      <c r="AD23" s="288"/>
      <c r="AE23" s="669"/>
      <c r="AF23" s="574"/>
      <c r="AG23" s="574"/>
      <c r="AH23" s="574"/>
    </row>
    <row r="24" ht="16.5" customHeight="1" spans="1:34">
      <c r="A24" s="684" t="s">
        <v>82</v>
      </c>
      <c r="B24" s="685" t="s">
        <v>83</v>
      </c>
      <c r="C24" s="686" t="s">
        <v>84</v>
      </c>
      <c r="D24" s="686"/>
      <c r="E24" s="686"/>
      <c r="F24" s="686"/>
      <c r="G24" s="686"/>
      <c r="H24" s="686"/>
      <c r="I24" s="686"/>
      <c r="J24" s="686"/>
      <c r="K24" s="686"/>
      <c r="L24" s="686"/>
      <c r="M24" s="686"/>
      <c r="N24" s="686"/>
      <c r="O24" s="686"/>
      <c r="P24" s="686"/>
      <c r="Q24" s="686"/>
      <c r="R24" s="686"/>
      <c r="S24" s="686"/>
      <c r="T24" s="686"/>
      <c r="U24" s="686"/>
      <c r="V24" s="683" t="s">
        <v>85</v>
      </c>
      <c r="W24" s="683"/>
      <c r="X24" s="683"/>
      <c r="Y24" s="683"/>
      <c r="Z24" s="683"/>
      <c r="AA24" s="683"/>
      <c r="AB24" s="288"/>
      <c r="AC24" s="288"/>
      <c r="AD24" s="288"/>
      <c r="AE24" s="669"/>
      <c r="AF24" s="574"/>
      <c r="AG24" s="574"/>
      <c r="AH24" s="574"/>
    </row>
    <row r="25" ht="16.5" customHeight="1" spans="1:34">
      <c r="A25" s="296"/>
      <c r="B25" s="685"/>
      <c r="C25" s="687" t="s">
        <v>86</v>
      </c>
      <c r="D25" s="687"/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7"/>
      <c r="P25" s="687"/>
      <c r="Q25" s="687"/>
      <c r="R25" s="687"/>
      <c r="S25" s="687"/>
      <c r="T25" s="687"/>
      <c r="U25" s="687"/>
      <c r="V25" s="683" t="s">
        <v>87</v>
      </c>
      <c r="W25" s="683"/>
      <c r="X25" s="683"/>
      <c r="Y25" s="683"/>
      <c r="Z25" s="683"/>
      <c r="AA25" s="683"/>
      <c r="AB25" s="288"/>
      <c r="AC25" s="288"/>
      <c r="AD25" s="288"/>
      <c r="AE25" s="669"/>
      <c r="AF25" s="574"/>
      <c r="AG25" s="574"/>
      <c r="AH25" s="574"/>
    </row>
    <row r="26" ht="16.5" customHeight="1" spans="1:34">
      <c r="A26" s="296"/>
      <c r="B26" s="688" t="s">
        <v>88</v>
      </c>
      <c r="C26" s="669"/>
      <c r="D26" s="673" t="s">
        <v>89</v>
      </c>
      <c r="E26" s="673"/>
      <c r="F26" s="673"/>
      <c r="G26" s="673"/>
      <c r="H26" s="673"/>
      <c r="I26" s="673"/>
      <c r="J26" s="669" t="s">
        <v>90</v>
      </c>
      <c r="K26" s="669"/>
      <c r="L26" s="669"/>
      <c r="M26" s="669"/>
      <c r="N26" s="669"/>
      <c r="O26" s="669"/>
      <c r="P26" s="669"/>
      <c r="Q26" s="673" t="s">
        <v>91</v>
      </c>
      <c r="R26" s="288" t="s">
        <v>92</v>
      </c>
      <c r="S26" s="689" t="s">
        <v>93</v>
      </c>
      <c r="T26" s="673" t="s">
        <v>91</v>
      </c>
      <c r="U26" s="288" t="s">
        <v>94</v>
      </c>
      <c r="V26" s="671" t="s">
        <v>95</v>
      </c>
      <c r="W26" s="288" t="s">
        <v>96</v>
      </c>
      <c r="X26" s="288" t="s">
        <v>94</v>
      </c>
      <c r="Y26" s="689" t="s">
        <v>93</v>
      </c>
      <c r="Z26" s="689" t="s">
        <v>96</v>
      </c>
      <c r="AA26" s="689" t="s">
        <v>94</v>
      </c>
      <c r="AB26" s="689" t="s">
        <v>93</v>
      </c>
      <c r="AC26" s="288"/>
      <c r="AD26" s="288"/>
      <c r="AE26" s="669"/>
      <c r="AF26" s="574"/>
      <c r="AG26" s="574"/>
      <c r="AH26" s="574"/>
    </row>
    <row r="27" ht="16.5" customHeight="1" spans="1:34">
      <c r="A27" s="296"/>
      <c r="B27" s="688"/>
      <c r="C27" s="669"/>
      <c r="D27" s="673"/>
      <c r="E27" s="673"/>
      <c r="F27" s="673"/>
      <c r="G27" s="673"/>
      <c r="H27" s="673"/>
      <c r="I27" s="673"/>
      <c r="J27" s="669"/>
      <c r="K27" s="669"/>
      <c r="L27" s="669"/>
      <c r="M27" s="669"/>
      <c r="N27" s="669"/>
      <c r="O27" s="669"/>
      <c r="P27" s="669"/>
      <c r="Q27" s="690" t="s">
        <v>97</v>
      </c>
      <c r="R27" s="690"/>
      <c r="S27" s="690"/>
      <c r="T27" s="691" t="s">
        <v>98</v>
      </c>
      <c r="U27" s="691"/>
      <c r="V27" s="691"/>
      <c r="W27" s="691" t="s">
        <v>99</v>
      </c>
      <c r="X27" s="691"/>
      <c r="Y27" s="691"/>
      <c r="Z27" s="691" t="s">
        <v>100</v>
      </c>
      <c r="AA27" s="691"/>
      <c r="AB27" s="691"/>
      <c r="AC27" s="288"/>
      <c r="AD27" s="288"/>
      <c r="AE27" s="669"/>
      <c r="AF27" s="574"/>
      <c r="AG27" s="574"/>
      <c r="AH27" s="574"/>
    </row>
    <row r="28" ht="16.5" customHeight="1" spans="1:34">
      <c r="A28" s="296"/>
      <c r="B28" s="688"/>
      <c r="C28" s="669"/>
      <c r="D28" s="673"/>
      <c r="E28" s="673"/>
      <c r="F28" s="673"/>
      <c r="G28" s="673"/>
      <c r="H28" s="673"/>
      <c r="I28" s="673"/>
      <c r="J28" s="669"/>
      <c r="K28" s="669"/>
      <c r="L28" s="669"/>
      <c r="M28" s="669"/>
      <c r="N28" s="669"/>
      <c r="O28" s="669"/>
      <c r="P28" s="669"/>
      <c r="Q28" s="692" t="s">
        <v>101</v>
      </c>
      <c r="R28" s="692"/>
      <c r="S28" s="692"/>
      <c r="T28" s="693" t="s">
        <v>102</v>
      </c>
      <c r="U28" s="693"/>
      <c r="V28" s="693"/>
      <c r="W28" s="694" t="s">
        <v>103</v>
      </c>
      <c r="X28" s="694"/>
      <c r="Y28" s="694"/>
      <c r="Z28" s="694" t="s">
        <v>103</v>
      </c>
      <c r="AA28" s="694"/>
      <c r="AB28" s="694"/>
      <c r="AC28" s="673"/>
      <c r="AD28" s="288"/>
      <c r="AE28" s="669"/>
      <c r="AF28" s="574"/>
      <c r="AG28" s="574"/>
      <c r="AH28" s="574"/>
    </row>
    <row r="29" ht="16.5" customHeight="1" spans="1:34">
      <c r="A29" s="296"/>
      <c r="B29" s="685" t="s">
        <v>104</v>
      </c>
      <c r="C29" s="695"/>
      <c r="D29" s="696"/>
      <c r="E29" s="696"/>
      <c r="F29" s="696"/>
      <c r="G29" s="697" t="s">
        <v>105</v>
      </c>
      <c r="H29" s="697"/>
      <c r="I29" s="697"/>
      <c r="J29" s="697"/>
      <c r="K29" s="698" t="s">
        <v>106</v>
      </c>
      <c r="L29" s="698"/>
      <c r="M29" s="698"/>
      <c r="N29" s="698"/>
      <c r="O29" s="699" t="s">
        <v>107</v>
      </c>
      <c r="P29" s="699"/>
      <c r="Q29" s="288"/>
      <c r="R29" s="288"/>
      <c r="S29" s="700" t="s">
        <v>108</v>
      </c>
      <c r="T29" s="669"/>
      <c r="U29" s="669"/>
      <c r="V29" s="699" t="s">
        <v>108</v>
      </c>
      <c r="W29" s="673"/>
      <c r="X29" s="288"/>
      <c r="Y29" s="699" t="s">
        <v>108</v>
      </c>
      <c r="Z29" s="288"/>
      <c r="AA29" s="288"/>
      <c r="AB29" s="701" t="s">
        <v>108</v>
      </c>
      <c r="AC29" s="288"/>
      <c r="AD29" s="288"/>
      <c r="AE29" s="669"/>
      <c r="AF29" s="574"/>
      <c r="AG29" s="574"/>
      <c r="AH29" s="574"/>
    </row>
    <row r="30" ht="16.5" customHeight="1" spans="1:34">
      <c r="A30" s="296"/>
      <c r="B30" s="702"/>
      <c r="C30" s="703"/>
      <c r="D30" s="703"/>
      <c r="E30" s="703"/>
      <c r="F30" s="703"/>
      <c r="G30" s="704" t="s">
        <v>109</v>
      </c>
      <c r="H30" s="704"/>
      <c r="I30" s="704"/>
      <c r="J30" s="704"/>
      <c r="K30" s="705" t="s">
        <v>110</v>
      </c>
      <c r="L30" s="705"/>
      <c r="M30" s="705"/>
      <c r="N30" s="705"/>
      <c r="O30" s="706" t="s">
        <v>111</v>
      </c>
      <c r="P30" s="706"/>
      <c r="Q30" s="684"/>
      <c r="R30" s="684"/>
      <c r="S30" s="707" t="s">
        <v>112</v>
      </c>
      <c r="T30" s="708"/>
      <c r="U30" s="708"/>
      <c r="V30" s="709" t="s">
        <v>112</v>
      </c>
      <c r="W30" s="684"/>
      <c r="X30" s="684"/>
      <c r="Y30" s="709" t="s">
        <v>113</v>
      </c>
      <c r="Z30" s="684"/>
      <c r="AA30" s="684"/>
      <c r="AB30" s="707" t="s">
        <v>112</v>
      </c>
      <c r="AC30" s="684"/>
      <c r="AD30" s="684"/>
      <c r="AE30" s="669"/>
      <c r="AF30" s="710"/>
      <c r="AG30" s="710"/>
      <c r="AH30" s="710"/>
    </row>
    <row r="31" s="649" customFormat="1" ht="16.5" customHeight="1" spans="1:34">
      <c r="A31" s="711"/>
      <c r="B31" s="712"/>
      <c r="C31" s="712"/>
      <c r="D31" s="712"/>
      <c r="E31" s="712"/>
      <c r="F31" s="712"/>
      <c r="G31" s="712"/>
      <c r="H31" s="712"/>
      <c r="I31" s="712"/>
      <c r="J31" s="712"/>
      <c r="K31" s="712"/>
      <c r="L31" s="712"/>
      <c r="M31" s="712"/>
      <c r="N31" s="712"/>
      <c r="O31" s="712"/>
      <c r="P31" s="712"/>
      <c r="Q31" s="712"/>
      <c r="R31" s="712"/>
      <c r="S31" s="712"/>
      <c r="T31" s="712"/>
      <c r="U31" s="712"/>
      <c r="V31" s="712"/>
      <c r="W31" s="712"/>
      <c r="X31" s="712"/>
      <c r="Y31" s="712"/>
      <c r="Z31" s="712"/>
      <c r="AA31" s="712"/>
      <c r="AB31" s="712"/>
      <c r="AC31" s="712"/>
      <c r="AD31" s="712"/>
      <c r="AE31" s="713"/>
      <c r="AF31" s="713"/>
      <c r="AG31" s="713"/>
      <c r="AH31" s="713"/>
    </row>
    <row r="32" spans="1:34">
      <c r="A32" s="714"/>
      <c r="B32" s="714"/>
      <c r="C32" s="714"/>
      <c r="D32" s="714"/>
      <c r="E32" s="714"/>
      <c r="F32" s="714"/>
      <c r="G32" s="714"/>
      <c r="H32" s="714"/>
      <c r="I32" s="714"/>
      <c r="J32" s="714"/>
      <c r="K32" s="714"/>
      <c r="L32" s="714"/>
      <c r="M32" s="714"/>
      <c r="N32" s="714"/>
      <c r="O32" s="715"/>
      <c r="P32" s="715"/>
      <c r="Q32" s="715"/>
      <c r="R32" s="715"/>
      <c r="S32" s="715"/>
      <c r="T32" s="714"/>
      <c r="U32" s="714"/>
      <c r="V32" s="714"/>
      <c r="W32" s="714"/>
      <c r="X32" s="714"/>
      <c r="Y32" s="714"/>
      <c r="Z32" s="714"/>
      <c r="AA32" s="715"/>
      <c r="AB32" s="715"/>
      <c r="AC32" s="715"/>
      <c r="AD32" s="715"/>
      <c r="AE32" s="715"/>
      <c r="AF32" s="715"/>
      <c r="AG32" s="715"/>
      <c r="AH32" s="715"/>
    </row>
    <row r="33" spans="1:34">
      <c r="A33" s="716"/>
      <c r="B33" s="716"/>
      <c r="C33" s="716"/>
      <c r="D33" s="716"/>
      <c r="E33" s="716"/>
      <c r="F33" s="716"/>
      <c r="G33" s="716"/>
      <c r="H33" s="716"/>
      <c r="I33" s="716"/>
      <c r="J33" s="716"/>
      <c r="K33" s="716"/>
      <c r="L33" s="716"/>
      <c r="M33" s="716"/>
      <c r="N33" s="716"/>
      <c r="O33" s="574"/>
      <c r="P33" s="574"/>
      <c r="Q33" s="574"/>
      <c r="R33" s="574"/>
      <c r="S33" s="574"/>
      <c r="T33" s="716"/>
      <c r="U33" s="716"/>
      <c r="V33" s="716"/>
      <c r="W33" s="716"/>
      <c r="X33" s="716"/>
      <c r="Y33" s="716"/>
      <c r="Z33" s="716"/>
      <c r="AA33" s="574"/>
      <c r="AB33" s="574"/>
      <c r="AC33" s="574"/>
      <c r="AD33" s="574"/>
      <c r="AE33" s="574"/>
      <c r="AF33" s="574"/>
      <c r="AG33" s="574"/>
      <c r="AH33" s="574"/>
    </row>
    <row r="34" spans="1:34">
      <c r="A34" s="716"/>
      <c r="B34" s="716" t="s">
        <v>114</v>
      </c>
      <c r="C34" s="716"/>
      <c r="D34" s="574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74"/>
      <c r="AB34" s="574"/>
      <c r="AC34" s="574"/>
      <c r="AD34" s="574"/>
      <c r="AE34" s="574"/>
      <c r="AF34" s="574"/>
      <c r="AG34" s="574"/>
      <c r="AH34" s="574"/>
    </row>
    <row r="35" spans="1:34">
      <c r="A35" s="716"/>
      <c r="B35" s="716"/>
      <c r="C35" s="716"/>
      <c r="D35" s="574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574"/>
      <c r="AB35" s="574"/>
      <c r="AC35" s="574"/>
      <c r="AD35" s="574"/>
      <c r="AE35" s="574"/>
      <c r="AF35" s="574"/>
      <c r="AG35" s="574"/>
      <c r="AH35" s="574"/>
    </row>
    <row r="36" spans="1:34">
      <c r="A36" s="716"/>
      <c r="B36" s="716" t="s">
        <v>115</v>
      </c>
      <c r="C36" s="716"/>
      <c r="D36" s="574"/>
      <c r="E36" s="716"/>
      <c r="F36" s="716"/>
      <c r="G36" s="716"/>
      <c r="H36" s="716"/>
      <c r="I36" s="716"/>
      <c r="J36" s="716"/>
      <c r="K36" s="716"/>
      <c r="L36" s="716"/>
      <c r="M36" s="716"/>
      <c r="N36" s="716"/>
      <c r="O36" s="716"/>
      <c r="P36" s="716"/>
      <c r="Q36" s="716"/>
      <c r="R36" s="716"/>
      <c r="S36" s="716"/>
      <c r="T36" s="716"/>
      <c r="U36" s="716"/>
      <c r="V36" s="716"/>
      <c r="W36" s="716"/>
      <c r="X36" s="716"/>
      <c r="Y36" s="716"/>
      <c r="Z36" s="716"/>
      <c r="AA36" s="574"/>
      <c r="AB36" s="574"/>
      <c r="AC36" s="574"/>
      <c r="AD36" s="574"/>
      <c r="AE36" s="574"/>
      <c r="AF36" s="574"/>
      <c r="AG36" s="574"/>
      <c r="AH36" s="574"/>
    </row>
    <row r="37" spans="1:34">
      <c r="A37" s="716"/>
      <c r="B37" s="716" t="s">
        <v>116</v>
      </c>
      <c r="C37" s="716"/>
      <c r="D37" s="574"/>
      <c r="E37" s="716"/>
      <c r="F37" s="716"/>
      <c r="G37" s="716"/>
      <c r="H37" s="716"/>
      <c r="I37" s="716"/>
      <c r="J37" s="716"/>
      <c r="K37" s="716"/>
      <c r="L37" s="716"/>
      <c r="M37" s="716"/>
      <c r="N37" s="716"/>
      <c r="O37" s="716"/>
      <c r="P37" s="716"/>
      <c r="Q37" s="716"/>
      <c r="R37" s="716"/>
      <c r="S37" s="716"/>
      <c r="T37" s="716"/>
      <c r="U37" s="716"/>
      <c r="V37" s="716"/>
      <c r="W37" s="716"/>
      <c r="X37" s="716"/>
      <c r="Y37" s="716"/>
      <c r="Z37" s="716"/>
      <c r="AA37" s="574"/>
      <c r="AB37" s="574"/>
      <c r="AC37" s="574"/>
      <c r="AD37" s="574"/>
      <c r="AE37" s="574"/>
      <c r="AF37" s="574"/>
      <c r="AG37" s="574"/>
      <c r="AH37" s="574"/>
    </row>
    <row r="38" spans="1:34">
      <c r="A38" s="716"/>
      <c r="B38" s="716" t="s">
        <v>117</v>
      </c>
      <c r="C38" s="716"/>
      <c r="D38" s="574"/>
      <c r="E38" s="716"/>
      <c r="F38" s="716"/>
      <c r="G38" s="716"/>
      <c r="H38" s="716"/>
      <c r="I38" s="716"/>
      <c r="J38" s="716"/>
      <c r="K38" s="716"/>
      <c r="L38" s="716"/>
      <c r="M38" s="716"/>
      <c r="N38" s="716"/>
      <c r="O38" s="716"/>
      <c r="P38" s="716"/>
      <c r="Q38" s="716"/>
      <c r="R38" s="716"/>
      <c r="S38" s="716"/>
      <c r="T38" s="716"/>
      <c r="U38" s="716"/>
      <c r="V38" s="716"/>
      <c r="W38" s="716"/>
      <c r="X38" s="716"/>
      <c r="Y38" s="716"/>
      <c r="Z38" s="716"/>
      <c r="AA38" s="574"/>
      <c r="AB38" s="574"/>
      <c r="AC38" s="574"/>
      <c r="AD38" s="574"/>
      <c r="AE38" s="574"/>
      <c r="AF38" s="574"/>
      <c r="AG38" s="574"/>
      <c r="AH38" s="574"/>
    </row>
    <row r="39" spans="1:34">
      <c r="A39" s="716"/>
      <c r="B39" s="716" t="s">
        <v>118</v>
      </c>
      <c r="C39" s="716"/>
      <c r="D39" s="574"/>
      <c r="E39" s="716"/>
      <c r="F39" s="716"/>
      <c r="G39" s="716"/>
      <c r="H39" s="716"/>
      <c r="I39" s="716"/>
      <c r="J39" s="716"/>
      <c r="K39" s="716"/>
      <c r="L39" s="716"/>
      <c r="M39" s="716"/>
      <c r="N39" s="716"/>
      <c r="O39" s="716"/>
      <c r="P39" s="716"/>
      <c r="Q39" s="716"/>
      <c r="R39" s="716"/>
      <c r="S39" s="716"/>
      <c r="T39" s="716"/>
      <c r="U39" s="716"/>
      <c r="V39" s="716"/>
      <c r="W39" s="716"/>
      <c r="X39" s="716"/>
      <c r="Y39" s="716"/>
      <c r="Z39" s="716"/>
      <c r="AA39" s="574"/>
      <c r="AB39" s="574"/>
      <c r="AC39" s="574"/>
      <c r="AD39" s="574"/>
      <c r="AE39" s="574"/>
      <c r="AF39" s="574"/>
      <c r="AG39" s="574"/>
      <c r="AH39" s="574"/>
    </row>
    <row r="40" spans="1:34">
      <c r="A40" s="716"/>
      <c r="B40" s="716" t="s">
        <v>119</v>
      </c>
      <c r="C40" s="716"/>
      <c r="D40" s="574"/>
      <c r="E40" s="716"/>
      <c r="F40" s="716"/>
      <c r="G40" s="716"/>
      <c r="H40" s="716"/>
      <c r="I40" s="716"/>
      <c r="J40" s="716"/>
      <c r="K40" s="716"/>
      <c r="L40" s="716"/>
      <c r="M40" s="716"/>
      <c r="N40" s="716"/>
      <c r="O40" s="716"/>
      <c r="P40" s="716"/>
      <c r="Q40" s="716"/>
      <c r="R40" s="716"/>
      <c r="S40" s="716"/>
      <c r="T40" s="716"/>
      <c r="U40" s="716"/>
      <c r="V40" s="716"/>
      <c r="W40" s="716"/>
      <c r="X40" s="716"/>
      <c r="Y40" s="716"/>
      <c r="Z40" s="716"/>
      <c r="AA40" s="574"/>
      <c r="AB40" s="574"/>
      <c r="AC40" s="574"/>
      <c r="AD40" s="574"/>
      <c r="AE40" s="574"/>
      <c r="AF40" s="574"/>
      <c r="AG40" s="574"/>
      <c r="AH40" s="574"/>
    </row>
    <row r="41" spans="1:34">
      <c r="A41" s="716"/>
      <c r="B41" s="716"/>
      <c r="C41" s="716"/>
      <c r="D41" s="574"/>
      <c r="E41" s="716"/>
      <c r="F41" s="716"/>
      <c r="G41" s="716"/>
      <c r="H41" s="716"/>
      <c r="I41" s="716"/>
      <c r="J41" s="716"/>
      <c r="K41" s="716"/>
      <c r="L41" s="716"/>
      <c r="M41" s="716"/>
      <c r="N41" s="716"/>
      <c r="O41" s="716"/>
      <c r="P41" s="716"/>
      <c r="Q41" s="716"/>
      <c r="R41" s="716"/>
      <c r="S41" s="716"/>
      <c r="T41" s="716"/>
      <c r="U41" s="716"/>
      <c r="V41" s="716"/>
      <c r="W41" s="716"/>
      <c r="X41" s="716"/>
      <c r="Y41" s="716"/>
      <c r="Z41" s="716"/>
      <c r="AA41" s="574"/>
      <c r="AB41" s="574"/>
      <c r="AC41" s="574"/>
      <c r="AD41" s="574"/>
      <c r="AE41" s="574"/>
      <c r="AF41" s="574"/>
      <c r="AG41" s="574"/>
      <c r="AH41" s="574"/>
    </row>
    <row r="42" spans="1:34">
      <c r="A42" s="716"/>
      <c r="B42" s="716" t="s">
        <v>120</v>
      </c>
      <c r="C42" s="716"/>
      <c r="D42" s="574"/>
      <c r="E42" s="716"/>
      <c r="F42" s="716"/>
      <c r="G42" s="716"/>
      <c r="H42" s="716"/>
      <c r="I42" s="716"/>
      <c r="J42" s="716"/>
      <c r="K42" s="716"/>
      <c r="L42" s="716"/>
      <c r="M42" s="716"/>
      <c r="N42" s="716"/>
      <c r="O42" s="716"/>
      <c r="P42" s="716"/>
      <c r="Q42" s="716"/>
      <c r="R42" s="716"/>
      <c r="S42" s="716"/>
      <c r="T42" s="716"/>
      <c r="U42" s="716"/>
      <c r="V42" s="716"/>
      <c r="W42" s="716"/>
      <c r="X42" s="716"/>
      <c r="Y42" s="716"/>
      <c r="Z42" s="716"/>
      <c r="AA42" s="574"/>
      <c r="AB42" s="574"/>
      <c r="AC42" s="574"/>
      <c r="AD42" s="574"/>
      <c r="AE42" s="574"/>
      <c r="AF42" s="574"/>
      <c r="AG42" s="574"/>
      <c r="AH42" s="574"/>
    </row>
    <row r="43" spans="1:34">
      <c r="A43" s="716"/>
      <c r="B43" s="574"/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6"/>
      <c r="N43" s="716"/>
      <c r="O43" s="716"/>
      <c r="P43" s="716"/>
      <c r="Q43" s="716"/>
      <c r="R43" s="716"/>
      <c r="S43" s="716"/>
      <c r="T43" s="716"/>
      <c r="U43" s="716"/>
      <c r="V43" s="716"/>
      <c r="W43" s="716"/>
      <c r="X43" s="716"/>
      <c r="Y43" s="716"/>
      <c r="Z43" s="716"/>
      <c r="AA43" s="574"/>
      <c r="AB43" s="574"/>
      <c r="AC43" s="574"/>
      <c r="AD43" s="574"/>
      <c r="AE43" s="574"/>
      <c r="AF43" s="574"/>
      <c r="AG43" s="574"/>
      <c r="AH43" s="574"/>
    </row>
    <row r="44" spans="1:34">
      <c r="A44" s="716"/>
      <c r="B44" s="716" t="s">
        <v>121</v>
      </c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74"/>
      <c r="AB44" s="574"/>
      <c r="AC44" s="574"/>
      <c r="AD44" s="574"/>
      <c r="AE44" s="574"/>
      <c r="AF44" s="574"/>
      <c r="AG44" s="574"/>
      <c r="AH44" s="574"/>
    </row>
    <row r="45" spans="1:34">
      <c r="A45" s="716"/>
      <c r="B45" s="717" t="s">
        <v>122</v>
      </c>
      <c r="C45" s="717"/>
      <c r="D45" s="717"/>
      <c r="E45" s="717"/>
      <c r="F45" s="717"/>
      <c r="G45" s="717"/>
      <c r="H45" s="717"/>
      <c r="I45" s="717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574"/>
      <c r="AB45" s="574"/>
      <c r="AC45" s="574"/>
      <c r="AD45" s="574"/>
      <c r="AE45" s="574"/>
      <c r="AF45" s="574"/>
      <c r="AG45" s="574"/>
      <c r="AH45" s="574"/>
    </row>
    <row r="46" spans="1:34">
      <c r="A46" s="718"/>
      <c r="B46" s="719" t="s">
        <v>123</v>
      </c>
      <c r="C46" s="719"/>
      <c r="D46" s="719"/>
      <c r="E46" s="719"/>
      <c r="F46" s="719"/>
      <c r="G46" s="719"/>
      <c r="H46" s="719"/>
      <c r="I46" s="719"/>
      <c r="J46" s="720"/>
      <c r="K46" s="716"/>
      <c r="L46" s="716"/>
      <c r="M46" s="716"/>
      <c r="N46" s="716"/>
      <c r="O46" s="716"/>
      <c r="P46" s="716"/>
      <c r="Q46" s="716"/>
      <c r="R46" s="716"/>
      <c r="S46" s="716"/>
      <c r="T46" s="716"/>
      <c r="U46" s="716"/>
      <c r="V46" s="716"/>
      <c r="W46" s="716"/>
      <c r="X46" s="716"/>
      <c r="Y46" s="716"/>
      <c r="Z46" s="716"/>
      <c r="AA46" s="574"/>
      <c r="AB46" s="574"/>
      <c r="AC46" s="574"/>
      <c r="AD46" s="574"/>
      <c r="AE46" s="574"/>
      <c r="AF46" s="574"/>
      <c r="AG46" s="574"/>
      <c r="AH46" s="574"/>
    </row>
    <row r="47" spans="1:34">
      <c r="A47" s="718"/>
      <c r="B47" s="719"/>
      <c r="C47" s="719"/>
      <c r="D47" s="719"/>
      <c r="E47" s="719"/>
      <c r="F47" s="719"/>
      <c r="G47" s="719"/>
      <c r="H47" s="719"/>
      <c r="I47" s="719"/>
      <c r="J47" s="720"/>
      <c r="K47" s="716"/>
      <c r="L47" s="716"/>
      <c r="M47" s="716"/>
      <c r="N47" s="716"/>
      <c r="O47" s="716"/>
      <c r="P47" s="716"/>
      <c r="Q47" s="716"/>
      <c r="R47" s="716"/>
      <c r="S47" s="716"/>
      <c r="T47" s="716"/>
      <c r="U47" s="716"/>
      <c r="V47" s="716"/>
      <c r="W47" s="716"/>
      <c r="X47" s="716"/>
      <c r="Y47" s="716"/>
      <c r="Z47" s="716"/>
      <c r="AA47" s="574"/>
      <c r="AB47" s="574"/>
      <c r="AC47" s="574"/>
      <c r="AD47" s="574"/>
      <c r="AE47" s="574"/>
      <c r="AF47" s="574"/>
      <c r="AG47" s="574"/>
      <c r="AH47" s="574"/>
    </row>
    <row r="48" spans="1:34">
      <c r="A48" s="718"/>
      <c r="B48" s="719" t="s">
        <v>124</v>
      </c>
      <c r="C48" s="719"/>
      <c r="D48" s="719"/>
      <c r="E48" s="719"/>
      <c r="F48" s="719"/>
      <c r="G48" s="719"/>
      <c r="H48" s="719"/>
      <c r="I48" s="719"/>
      <c r="J48" s="720"/>
      <c r="K48" s="716"/>
      <c r="L48" s="716"/>
      <c r="M48" s="716"/>
      <c r="N48" s="716"/>
      <c r="O48" s="716"/>
      <c r="P48" s="716"/>
      <c r="Q48" s="716"/>
      <c r="R48" s="716"/>
      <c r="S48" s="716"/>
      <c r="T48" s="716"/>
      <c r="U48" s="716"/>
      <c r="V48" s="716"/>
      <c r="W48" s="716"/>
      <c r="X48" s="716"/>
      <c r="Y48" s="716"/>
      <c r="Z48" s="716"/>
      <c r="AA48" s="574"/>
      <c r="AB48" s="574"/>
      <c r="AC48" s="574"/>
      <c r="AD48" s="574"/>
      <c r="AE48" s="574"/>
      <c r="AF48" s="574"/>
      <c r="AG48" s="574"/>
      <c r="AH48" s="574"/>
    </row>
    <row r="49" spans="1:34">
      <c r="A49" s="718"/>
      <c r="B49" s="719" t="s">
        <v>125</v>
      </c>
      <c r="C49" s="719"/>
      <c r="D49" s="719"/>
      <c r="E49" s="719"/>
      <c r="F49" s="719"/>
      <c r="G49" s="719"/>
      <c r="H49" s="719"/>
      <c r="I49" s="719"/>
      <c r="J49" s="720"/>
      <c r="K49" s="716"/>
      <c r="L49" s="716"/>
      <c r="M49" s="716"/>
      <c r="N49" s="716"/>
      <c r="O49" s="716"/>
      <c r="P49" s="716"/>
      <c r="Q49" s="716"/>
      <c r="R49" s="716"/>
      <c r="S49" s="716"/>
      <c r="T49" s="716"/>
      <c r="U49" s="716"/>
      <c r="V49" s="716"/>
      <c r="W49" s="716"/>
      <c r="X49" s="716"/>
      <c r="Y49" s="716"/>
      <c r="Z49" s="716"/>
      <c r="AA49" s="574"/>
      <c r="AB49" s="574"/>
      <c r="AC49" s="574"/>
      <c r="AD49" s="574"/>
      <c r="AE49" s="574"/>
      <c r="AF49" s="574"/>
      <c r="AG49" s="574"/>
      <c r="AH49" s="574"/>
    </row>
    <row r="50" spans="1:34">
      <c r="A50" s="718"/>
      <c r="B50" s="719" t="s">
        <v>126</v>
      </c>
      <c r="C50" s="719"/>
      <c r="D50" s="719"/>
      <c r="E50" s="719"/>
      <c r="F50" s="719"/>
      <c r="G50" s="719"/>
      <c r="H50" s="719"/>
      <c r="I50" s="719"/>
      <c r="J50" s="720"/>
      <c r="K50" s="716"/>
      <c r="L50" s="716"/>
      <c r="M50" s="716"/>
      <c r="N50" s="716"/>
      <c r="O50" s="716"/>
      <c r="P50" s="716"/>
      <c r="Q50" s="716"/>
      <c r="R50" s="716"/>
      <c r="S50" s="716"/>
      <c r="T50" s="716"/>
      <c r="U50" s="716"/>
      <c r="V50" s="716"/>
      <c r="W50" s="716"/>
      <c r="X50" s="716"/>
      <c r="Y50" s="716"/>
      <c r="Z50" s="716"/>
      <c r="AA50" s="574"/>
      <c r="AB50" s="574"/>
      <c r="AC50" s="574"/>
      <c r="AD50" s="574"/>
      <c r="AE50" s="574"/>
      <c r="AF50" s="574"/>
      <c r="AG50" s="574"/>
      <c r="AH50" s="574"/>
    </row>
    <row r="51" spans="1:34">
      <c r="A51" s="718"/>
      <c r="B51" s="721" t="s">
        <v>127</v>
      </c>
      <c r="C51" s="719"/>
      <c r="D51" s="719"/>
      <c r="E51" s="719"/>
      <c r="F51" s="719"/>
      <c r="G51" s="719"/>
      <c r="H51" s="719"/>
      <c r="I51" s="719"/>
      <c r="J51" s="720"/>
      <c r="K51" s="716"/>
      <c r="L51" s="716"/>
      <c r="M51" s="716"/>
      <c r="N51" s="716"/>
      <c r="O51" s="716"/>
      <c r="P51" s="716"/>
      <c r="Q51" s="716"/>
      <c r="R51" s="716"/>
      <c r="S51" s="716"/>
      <c r="T51" s="716"/>
      <c r="U51" s="716"/>
      <c r="V51" s="716"/>
      <c r="W51" s="716"/>
      <c r="X51" s="716"/>
      <c r="Y51" s="716"/>
      <c r="Z51" s="716"/>
      <c r="AA51" s="574"/>
      <c r="AB51" s="574"/>
      <c r="AC51" s="574"/>
      <c r="AD51" s="574"/>
      <c r="AE51" s="574"/>
      <c r="AF51" s="574"/>
      <c r="AG51" s="574"/>
      <c r="AH51" s="574"/>
    </row>
    <row r="52" spans="1:34">
      <c r="A52" s="718"/>
      <c r="B52" s="721" t="s">
        <v>128</v>
      </c>
      <c r="C52" s="719"/>
      <c r="D52" s="719"/>
      <c r="E52" s="719"/>
      <c r="F52" s="719"/>
      <c r="G52" s="719"/>
      <c r="H52" s="719"/>
      <c r="I52" s="719"/>
      <c r="J52" s="720"/>
      <c r="K52" s="716"/>
      <c r="L52" s="716"/>
      <c r="M52" s="716"/>
      <c r="N52" s="716"/>
      <c r="O52" s="716"/>
      <c r="P52" s="716"/>
      <c r="Q52" s="716"/>
      <c r="R52" s="716"/>
      <c r="S52" s="716"/>
      <c r="T52" s="716"/>
      <c r="U52" s="716"/>
      <c r="V52" s="716"/>
      <c r="W52" s="716"/>
      <c r="X52" s="716"/>
      <c r="Y52" s="716"/>
      <c r="Z52" s="716"/>
      <c r="AA52" s="574"/>
      <c r="AB52" s="574"/>
      <c r="AC52" s="574"/>
      <c r="AD52" s="574"/>
      <c r="AE52" s="574"/>
      <c r="AF52" s="574"/>
      <c r="AG52" s="574"/>
      <c r="AH52" s="574"/>
    </row>
    <row r="53" spans="1:34">
      <c r="A53" s="718"/>
      <c r="B53" s="721"/>
      <c r="C53" s="719"/>
      <c r="D53" s="719"/>
      <c r="E53" s="719"/>
      <c r="F53" s="719"/>
      <c r="G53" s="719"/>
      <c r="H53" s="719"/>
      <c r="I53" s="719"/>
      <c r="J53" s="720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574"/>
      <c r="AB53" s="574"/>
      <c r="AC53" s="574"/>
      <c r="AD53" s="574"/>
      <c r="AE53" s="574"/>
      <c r="AF53" s="574"/>
      <c r="AG53" s="574"/>
      <c r="AH53" s="574"/>
    </row>
    <row r="54" spans="1:34">
      <c r="A54" s="718"/>
      <c r="B54" s="721" t="s">
        <v>129</v>
      </c>
      <c r="C54" s="719"/>
      <c r="D54" s="719"/>
      <c r="E54" s="719"/>
      <c r="F54" s="719"/>
      <c r="G54" s="719"/>
      <c r="H54" s="719"/>
      <c r="I54" s="719"/>
      <c r="J54" s="720"/>
      <c r="K54" s="716"/>
      <c r="L54" s="716"/>
      <c r="M54" s="716"/>
      <c r="N54" s="716"/>
      <c r="O54" s="716"/>
      <c r="P54" s="716"/>
      <c r="Q54" s="716"/>
      <c r="R54" s="716"/>
      <c r="S54" s="716"/>
      <c r="T54" s="716"/>
      <c r="U54" s="716"/>
      <c r="V54" s="716"/>
      <c r="W54" s="716"/>
      <c r="X54" s="716"/>
      <c r="Y54" s="716"/>
      <c r="Z54" s="716"/>
      <c r="AA54" s="574"/>
      <c r="AB54" s="574"/>
      <c r="AC54" s="574"/>
      <c r="AD54" s="574"/>
      <c r="AE54" s="574"/>
      <c r="AF54" s="574"/>
      <c r="AG54" s="574"/>
      <c r="AH54" s="574"/>
    </row>
    <row r="55" spans="1:34">
      <c r="A55" s="718"/>
      <c r="B55" s="719" t="s">
        <v>130</v>
      </c>
      <c r="C55" s="719"/>
      <c r="D55" s="719"/>
      <c r="E55" s="719"/>
      <c r="F55" s="719"/>
      <c r="G55" s="719"/>
      <c r="H55" s="719"/>
      <c r="I55" s="719"/>
      <c r="J55" s="720"/>
      <c r="K55" s="716"/>
      <c r="L55" s="716"/>
      <c r="M55" s="716"/>
      <c r="N55" s="716"/>
      <c r="O55" s="716"/>
      <c r="P55" s="716"/>
      <c r="Q55" s="716"/>
      <c r="R55" s="716"/>
      <c r="S55" s="716"/>
      <c r="T55" s="716"/>
      <c r="U55" s="716"/>
      <c r="V55" s="716"/>
      <c r="W55" s="716"/>
      <c r="X55" s="716"/>
      <c r="Y55" s="716"/>
      <c r="Z55" s="716"/>
      <c r="AA55" s="574"/>
      <c r="AB55" s="574"/>
      <c r="AC55" s="574"/>
      <c r="AD55" s="574"/>
      <c r="AE55" s="574"/>
      <c r="AF55" s="574"/>
      <c r="AG55" s="574"/>
      <c r="AH55" s="574"/>
    </row>
    <row r="56" spans="1:34">
      <c r="A56" s="718"/>
      <c r="B56" s="719" t="s">
        <v>131</v>
      </c>
      <c r="C56" s="719"/>
      <c r="D56" s="719"/>
      <c r="E56" s="719"/>
      <c r="F56" s="719"/>
      <c r="G56" s="719"/>
      <c r="H56" s="719"/>
      <c r="I56" s="719"/>
      <c r="J56" s="720"/>
      <c r="K56" s="716"/>
      <c r="L56" s="716"/>
      <c r="M56" s="716"/>
      <c r="N56" s="716"/>
      <c r="O56" s="716"/>
      <c r="P56" s="716"/>
      <c r="Q56" s="716"/>
      <c r="R56" s="716"/>
      <c r="S56" s="716"/>
      <c r="T56" s="716"/>
      <c r="U56" s="716"/>
      <c r="V56" s="716"/>
      <c r="W56" s="716"/>
      <c r="X56" s="716"/>
      <c r="Y56" s="716"/>
      <c r="Z56" s="716"/>
      <c r="AA56" s="574"/>
      <c r="AB56" s="574"/>
      <c r="AC56" s="574"/>
      <c r="AD56" s="574"/>
      <c r="AE56" s="574"/>
      <c r="AF56" s="574"/>
      <c r="AG56" s="574"/>
      <c r="AH56" s="574"/>
    </row>
    <row r="57" spans="1:34">
      <c r="A57" s="718"/>
      <c r="B57" s="719"/>
      <c r="C57" s="719"/>
      <c r="D57" s="719"/>
      <c r="E57" s="719"/>
      <c r="F57" s="719"/>
      <c r="G57" s="719"/>
      <c r="H57" s="719"/>
      <c r="I57" s="719"/>
      <c r="J57" s="720"/>
      <c r="K57" s="716"/>
      <c r="L57" s="716"/>
      <c r="M57" s="716"/>
      <c r="N57" s="716"/>
      <c r="O57" s="716"/>
      <c r="P57" s="716"/>
      <c r="Q57" s="716"/>
      <c r="R57" s="716"/>
      <c r="S57" s="716"/>
      <c r="T57" s="716"/>
      <c r="U57" s="716"/>
      <c r="V57" s="716"/>
      <c r="W57" s="716"/>
      <c r="X57" s="716"/>
      <c r="Y57" s="716"/>
      <c r="Z57" s="716"/>
      <c r="AA57" s="574"/>
      <c r="AB57" s="574"/>
      <c r="AC57" s="574"/>
      <c r="AD57" s="574"/>
      <c r="AE57" s="574"/>
      <c r="AF57" s="574"/>
      <c r="AG57" s="574"/>
      <c r="AH57" s="574"/>
    </row>
    <row r="58" spans="1:34">
      <c r="A58" s="718"/>
      <c r="B58" s="719" t="s">
        <v>132</v>
      </c>
      <c r="C58" s="719"/>
      <c r="D58" s="719"/>
      <c r="E58" s="719"/>
      <c r="F58" s="719"/>
      <c r="G58" s="719"/>
      <c r="H58" s="719"/>
      <c r="I58" s="719"/>
      <c r="J58" s="720"/>
      <c r="K58" s="716"/>
      <c r="L58" s="716"/>
      <c r="M58" s="716"/>
      <c r="N58" s="716"/>
      <c r="O58" s="716"/>
      <c r="P58" s="716"/>
      <c r="Q58" s="716"/>
      <c r="R58" s="716"/>
      <c r="S58" s="716"/>
      <c r="T58" s="716"/>
      <c r="U58" s="716"/>
      <c r="V58" s="716"/>
      <c r="W58" s="716"/>
      <c r="X58" s="716"/>
      <c r="Y58" s="716"/>
      <c r="Z58" s="716"/>
      <c r="AA58" s="574"/>
      <c r="AB58" s="574"/>
      <c r="AC58" s="574"/>
      <c r="AD58" s="574"/>
      <c r="AE58" s="574"/>
      <c r="AF58" s="574"/>
      <c r="AG58" s="574"/>
      <c r="AH58" s="574"/>
    </row>
    <row r="59" spans="1:34">
      <c r="A59" s="718"/>
      <c r="B59" s="719" t="s">
        <v>133</v>
      </c>
      <c r="C59" s="719"/>
      <c r="D59" s="719"/>
      <c r="E59" s="719"/>
      <c r="F59" s="719"/>
      <c r="G59" s="719"/>
      <c r="H59" s="719"/>
      <c r="I59" s="719"/>
      <c r="J59" s="720"/>
      <c r="K59" s="716"/>
      <c r="L59" s="716"/>
      <c r="M59" s="716"/>
      <c r="N59" s="716"/>
      <c r="O59" s="716"/>
      <c r="P59" s="716"/>
      <c r="Q59" s="716"/>
      <c r="R59" s="716"/>
      <c r="S59" s="716"/>
      <c r="T59" s="716"/>
      <c r="U59" s="716"/>
      <c r="V59" s="716"/>
      <c r="W59" s="716"/>
      <c r="X59" s="716"/>
      <c r="Y59" s="716"/>
      <c r="Z59" s="716"/>
      <c r="AA59" s="574"/>
      <c r="AB59" s="574"/>
      <c r="AC59" s="574"/>
      <c r="AD59" s="574"/>
      <c r="AE59" s="574"/>
      <c r="AF59" s="574"/>
      <c r="AG59" s="574"/>
      <c r="AH59" s="574"/>
    </row>
    <row r="60" spans="1:34">
      <c r="A60" s="718"/>
      <c r="B60" s="719"/>
      <c r="C60" s="719"/>
      <c r="D60" s="719"/>
      <c r="E60" s="719"/>
      <c r="F60" s="719"/>
      <c r="G60" s="719"/>
      <c r="H60" s="719"/>
      <c r="I60" s="719"/>
      <c r="J60" s="720"/>
      <c r="K60" s="716"/>
      <c r="L60" s="716"/>
      <c r="M60" s="716"/>
      <c r="N60" s="716"/>
      <c r="O60" s="716"/>
      <c r="P60" s="716"/>
      <c r="Q60" s="716"/>
      <c r="R60" s="716"/>
      <c r="S60" s="716"/>
      <c r="T60" s="716"/>
      <c r="U60" s="716"/>
      <c r="V60" s="716"/>
      <c r="W60" s="716"/>
      <c r="X60" s="716"/>
      <c r="Y60" s="716"/>
      <c r="Z60" s="716"/>
      <c r="AA60" s="574"/>
      <c r="AB60" s="574"/>
      <c r="AC60" s="574"/>
      <c r="AD60" s="574"/>
      <c r="AE60" s="574"/>
      <c r="AF60" s="574"/>
      <c r="AG60" s="574"/>
      <c r="AH60" s="574"/>
    </row>
    <row r="61" spans="1:34">
      <c r="A61" s="716"/>
      <c r="B61" s="714"/>
      <c r="C61" s="714"/>
      <c r="D61" s="714"/>
      <c r="E61" s="714"/>
      <c r="F61" s="714"/>
      <c r="G61" s="714"/>
      <c r="H61" s="714"/>
      <c r="I61" s="714"/>
      <c r="J61" s="716"/>
      <c r="K61" s="716"/>
      <c r="L61" s="716"/>
      <c r="M61" s="716"/>
      <c r="N61" s="716"/>
      <c r="O61" s="716"/>
      <c r="P61" s="716"/>
      <c r="Q61" s="716"/>
      <c r="R61" s="716"/>
      <c r="S61" s="716"/>
      <c r="T61" s="716"/>
      <c r="U61" s="716"/>
      <c r="V61" s="716"/>
      <c r="W61" s="716"/>
      <c r="X61" s="716"/>
      <c r="Y61" s="716"/>
      <c r="Z61" s="716"/>
      <c r="AA61" s="574"/>
      <c r="AB61" s="574"/>
      <c r="AC61" s="574"/>
      <c r="AD61" s="574"/>
      <c r="AE61" s="574"/>
      <c r="AF61" s="574"/>
      <c r="AG61" s="574"/>
      <c r="AH61" s="574"/>
    </row>
    <row r="62" spans="1:34">
      <c r="A62" s="716"/>
      <c r="B62" s="716"/>
      <c r="C62" s="716"/>
      <c r="D62" s="716"/>
      <c r="E62" s="716"/>
      <c r="F62" s="716"/>
      <c r="G62" s="716"/>
      <c r="H62" s="716"/>
      <c r="I62" s="716"/>
      <c r="J62" s="716"/>
      <c r="K62" s="716"/>
      <c r="L62" s="716"/>
      <c r="M62" s="716"/>
      <c r="N62" s="716"/>
      <c r="O62" s="716"/>
      <c r="P62" s="716"/>
      <c r="Q62" s="716"/>
      <c r="R62" s="716"/>
      <c r="S62" s="716"/>
      <c r="T62" s="716"/>
      <c r="U62" s="716"/>
      <c r="V62" s="716"/>
      <c r="W62" s="716"/>
      <c r="X62" s="716"/>
      <c r="Y62" s="716"/>
      <c r="Z62" s="716"/>
      <c r="AA62" s="574"/>
      <c r="AB62" s="574"/>
      <c r="AC62" s="574"/>
      <c r="AD62" s="574"/>
      <c r="AE62" s="574"/>
      <c r="AF62" s="574"/>
      <c r="AG62" s="574"/>
      <c r="AH62" s="574"/>
    </row>
    <row r="63" spans="1:34">
      <c r="A63" s="716"/>
      <c r="B63" s="716"/>
      <c r="C63" s="716"/>
      <c r="D63" s="716"/>
      <c r="E63" s="716"/>
      <c r="F63" s="716"/>
      <c r="G63" s="716"/>
      <c r="H63" s="716"/>
      <c r="I63" s="716"/>
      <c r="J63" s="716"/>
      <c r="K63" s="716"/>
      <c r="L63" s="716"/>
      <c r="M63" s="716"/>
      <c r="N63" s="716"/>
      <c r="O63" s="716"/>
      <c r="P63" s="716"/>
      <c r="Q63" s="716"/>
      <c r="R63" s="716"/>
      <c r="S63" s="716"/>
      <c r="T63" s="716"/>
      <c r="U63" s="716"/>
      <c r="V63" s="716"/>
      <c r="W63" s="716"/>
      <c r="X63" s="716"/>
      <c r="Y63" s="716"/>
      <c r="Z63" s="716"/>
      <c r="AA63" s="574"/>
      <c r="AB63" s="574"/>
      <c r="AC63" s="574"/>
      <c r="AD63" s="574"/>
      <c r="AE63" s="574"/>
      <c r="AF63" s="574"/>
      <c r="AG63" s="574"/>
      <c r="AH63" s="574"/>
    </row>
    <row r="64" spans="1:34">
      <c r="A64" s="716"/>
      <c r="B64" s="716"/>
      <c r="C64" s="716"/>
      <c r="D64" s="716"/>
      <c r="E64" s="716"/>
      <c r="F64" s="716"/>
      <c r="G64" s="716"/>
      <c r="H64" s="716"/>
      <c r="I64" s="716"/>
      <c r="J64" s="716"/>
      <c r="K64" s="716"/>
      <c r="L64" s="716"/>
      <c r="M64" s="716"/>
      <c r="N64" s="716"/>
      <c r="O64" s="716"/>
      <c r="P64" s="716"/>
      <c r="Q64" s="716"/>
      <c r="R64" s="716"/>
      <c r="S64" s="716"/>
      <c r="T64" s="716"/>
      <c r="U64" s="716"/>
      <c r="V64" s="716"/>
      <c r="W64" s="716"/>
      <c r="X64" s="716"/>
      <c r="Y64" s="716"/>
      <c r="Z64" s="716"/>
      <c r="AA64" s="574"/>
      <c r="AB64" s="574"/>
      <c r="AC64" s="574"/>
      <c r="AD64" s="574"/>
      <c r="AE64" s="574"/>
      <c r="AF64" s="574"/>
      <c r="AG64" s="574"/>
      <c r="AH64" s="574"/>
    </row>
    <row r="65" spans="1:34">
      <c r="A65" s="716"/>
      <c r="B65" s="716"/>
      <c r="C65" s="716"/>
      <c r="D65" s="716"/>
      <c r="E65" s="716"/>
      <c r="F65" s="716"/>
      <c r="G65" s="716"/>
      <c r="H65" s="716"/>
      <c r="I65" s="716"/>
      <c r="J65" s="716"/>
      <c r="K65" s="716"/>
      <c r="L65" s="716"/>
      <c r="M65" s="716"/>
      <c r="N65" s="716"/>
      <c r="O65" s="716"/>
      <c r="P65" s="716"/>
      <c r="Q65" s="716"/>
      <c r="R65" s="716"/>
      <c r="S65" s="716"/>
      <c r="T65" s="716"/>
      <c r="U65" s="716"/>
      <c r="V65" s="716"/>
      <c r="W65" s="716"/>
      <c r="X65" s="716"/>
      <c r="Y65" s="716"/>
      <c r="Z65" s="716"/>
      <c r="AA65" s="574"/>
      <c r="AB65" s="574"/>
      <c r="AC65" s="574"/>
      <c r="AD65" s="574"/>
      <c r="AE65" s="574"/>
      <c r="AF65" s="574"/>
      <c r="AG65" s="574"/>
      <c r="AH65" s="574"/>
    </row>
    <row r="66" spans="1:34">
      <c r="A66" s="716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6"/>
      <c r="R66" s="716"/>
      <c r="S66" s="716"/>
      <c r="T66" s="716"/>
      <c r="U66" s="716"/>
      <c r="V66" s="716"/>
      <c r="W66" s="716"/>
      <c r="X66" s="716"/>
      <c r="Y66" s="716"/>
      <c r="Z66" s="716"/>
      <c r="AA66" s="574"/>
      <c r="AB66" s="574"/>
      <c r="AC66" s="574"/>
      <c r="AD66" s="574"/>
      <c r="AE66" s="574"/>
      <c r="AF66" s="574"/>
      <c r="AG66" s="574"/>
      <c r="AH66" s="574"/>
    </row>
    <row r="67" spans="1:34">
      <c r="A67" s="716"/>
      <c r="B67" s="716"/>
      <c r="C67" s="716"/>
      <c r="D67" s="716"/>
      <c r="E67" s="716"/>
      <c r="F67" s="716"/>
      <c r="G67" s="716"/>
      <c r="H67" s="716"/>
      <c r="I67" s="716"/>
      <c r="J67" s="716"/>
      <c r="K67" s="716"/>
      <c r="L67" s="716"/>
      <c r="M67" s="716"/>
      <c r="N67" s="716"/>
      <c r="O67" s="716"/>
      <c r="P67" s="716"/>
      <c r="Q67" s="716"/>
      <c r="R67" s="716"/>
      <c r="S67" s="716"/>
      <c r="T67" s="716"/>
      <c r="U67" s="716"/>
      <c r="V67" s="716"/>
      <c r="W67" s="716"/>
      <c r="X67" s="716"/>
      <c r="Y67" s="716"/>
      <c r="Z67" s="716"/>
      <c r="AA67" s="574"/>
      <c r="AB67" s="574"/>
      <c r="AC67" s="574"/>
      <c r="AD67" s="574"/>
      <c r="AE67" s="574"/>
      <c r="AF67" s="574"/>
      <c r="AG67" s="574"/>
      <c r="AH67" s="574"/>
    </row>
    <row r="68" spans="1:34">
      <c r="A68" s="716"/>
      <c r="B68" s="716"/>
      <c r="C68" s="716"/>
      <c r="D68" s="716"/>
      <c r="E68" s="716"/>
      <c r="F68" s="716"/>
      <c r="G68" s="716"/>
      <c r="H68" s="716"/>
      <c r="I68" s="716"/>
      <c r="J68" s="716"/>
      <c r="K68" s="716"/>
      <c r="L68" s="716"/>
      <c r="M68" s="716"/>
      <c r="N68" s="716"/>
      <c r="O68" s="716"/>
      <c r="P68" s="716"/>
      <c r="Q68" s="716"/>
      <c r="R68" s="716"/>
      <c r="S68" s="716"/>
      <c r="T68" s="716"/>
      <c r="U68" s="716"/>
      <c r="V68" s="716"/>
      <c r="W68" s="716"/>
      <c r="X68" s="716"/>
      <c r="Y68" s="716"/>
      <c r="Z68" s="716"/>
      <c r="AA68" s="574"/>
      <c r="AB68" s="574"/>
      <c r="AC68" s="574"/>
      <c r="AD68" s="574"/>
      <c r="AE68" s="574"/>
      <c r="AF68" s="574"/>
      <c r="AG68" s="574"/>
      <c r="AH68" s="574"/>
    </row>
    <row r="69" spans="1:34">
      <c r="A69" s="716"/>
      <c r="B69" s="716"/>
      <c r="C69" s="716"/>
      <c r="D69" s="716"/>
      <c r="E69" s="716"/>
      <c r="F69" s="716"/>
      <c r="G69" s="716"/>
      <c r="H69" s="716"/>
      <c r="I69" s="716"/>
      <c r="J69" s="716"/>
      <c r="K69" s="716"/>
      <c r="L69" s="716"/>
      <c r="M69" s="716"/>
      <c r="N69" s="716"/>
      <c r="O69" s="716"/>
      <c r="P69" s="716"/>
      <c r="Q69" s="716"/>
      <c r="R69" s="716"/>
      <c r="S69" s="716"/>
      <c r="T69" s="716"/>
      <c r="U69" s="716"/>
      <c r="V69" s="716"/>
      <c r="W69" s="716"/>
      <c r="X69" s="716"/>
      <c r="Y69" s="716"/>
      <c r="Z69" s="716"/>
      <c r="AA69" s="574"/>
      <c r="AB69" s="574"/>
      <c r="AC69" s="574"/>
      <c r="AD69" s="574"/>
      <c r="AE69" s="574"/>
      <c r="AF69" s="574"/>
      <c r="AG69" s="574"/>
      <c r="AH69" s="574"/>
    </row>
    <row r="70" spans="1:34">
      <c r="A70" s="716"/>
      <c r="B70" s="716"/>
      <c r="C70" s="716"/>
      <c r="D70" s="716"/>
      <c r="E70" s="716"/>
      <c r="F70" s="716"/>
      <c r="G70" s="716"/>
      <c r="H70" s="716"/>
      <c r="I70" s="716"/>
      <c r="J70" s="716"/>
      <c r="K70" s="716"/>
      <c r="L70" s="716"/>
      <c r="M70" s="716"/>
      <c r="N70" s="716"/>
      <c r="O70" s="716"/>
      <c r="P70" s="716"/>
      <c r="Q70" s="716"/>
      <c r="R70" s="716"/>
      <c r="S70" s="716"/>
      <c r="T70" s="716"/>
      <c r="U70" s="716"/>
      <c r="V70" s="716"/>
      <c r="W70" s="716"/>
      <c r="X70" s="716"/>
      <c r="Y70" s="716"/>
      <c r="Z70" s="716"/>
      <c r="AA70" s="574"/>
      <c r="AB70" s="574"/>
      <c r="AC70" s="574"/>
      <c r="AD70" s="574"/>
      <c r="AE70" s="574"/>
      <c r="AF70" s="574"/>
      <c r="AG70" s="574"/>
      <c r="AH70" s="574"/>
    </row>
    <row r="71" spans="1:34">
      <c r="A71" s="716"/>
      <c r="B71" s="716"/>
      <c r="C71" s="716"/>
      <c r="D71" s="716"/>
      <c r="E71" s="716"/>
      <c r="F71" s="716"/>
      <c r="G71" s="716"/>
      <c r="H71" s="716"/>
      <c r="I71" s="716"/>
      <c r="J71" s="716"/>
      <c r="K71" s="716"/>
      <c r="L71" s="716"/>
      <c r="M71" s="716"/>
      <c r="N71" s="716"/>
      <c r="O71" s="716"/>
      <c r="P71" s="716"/>
      <c r="Q71" s="716"/>
      <c r="R71" s="716"/>
      <c r="S71" s="716"/>
      <c r="T71" s="716"/>
      <c r="U71" s="716"/>
      <c r="V71" s="716"/>
      <c r="W71" s="716"/>
      <c r="X71" s="716"/>
      <c r="Y71" s="716"/>
      <c r="Z71" s="716"/>
      <c r="AA71" s="574"/>
      <c r="AB71" s="574"/>
      <c r="AC71" s="574"/>
      <c r="AD71" s="574"/>
      <c r="AE71" s="574"/>
      <c r="AF71" s="574"/>
      <c r="AG71" s="574"/>
      <c r="AH71" s="574"/>
    </row>
    <row r="72" spans="1:34">
      <c r="A72" s="716"/>
      <c r="B72" s="716"/>
      <c r="C72" s="716"/>
      <c r="D72" s="716"/>
      <c r="E72" s="716"/>
      <c r="F72" s="716"/>
      <c r="G72" s="716"/>
      <c r="H72" s="716"/>
      <c r="I72" s="716"/>
      <c r="J72" s="716"/>
      <c r="K72" s="716"/>
      <c r="L72" s="716"/>
      <c r="M72" s="716"/>
      <c r="N72" s="716"/>
      <c r="O72" s="716"/>
      <c r="P72" s="716"/>
      <c r="Q72" s="716"/>
      <c r="R72" s="716"/>
      <c r="S72" s="716"/>
      <c r="T72" s="716"/>
      <c r="U72" s="716"/>
      <c r="V72" s="716"/>
      <c r="W72" s="716"/>
      <c r="X72" s="716"/>
      <c r="Y72" s="716"/>
      <c r="Z72" s="716"/>
      <c r="AA72" s="574"/>
      <c r="AB72" s="574"/>
      <c r="AC72" s="574"/>
      <c r="AD72" s="574"/>
      <c r="AE72" s="574"/>
      <c r="AF72" s="574"/>
      <c r="AG72" s="574"/>
      <c r="AH72" s="574"/>
    </row>
    <row r="73" spans="1:34">
      <c r="A73" s="716"/>
      <c r="B73" s="716"/>
      <c r="C73" s="716"/>
      <c r="D73" s="716"/>
      <c r="E73" s="716"/>
      <c r="F73" s="716"/>
      <c r="G73" s="716"/>
      <c r="H73" s="716"/>
      <c r="I73" s="716"/>
      <c r="J73" s="716"/>
      <c r="K73" s="716"/>
      <c r="L73" s="716"/>
      <c r="M73" s="716"/>
      <c r="N73" s="716"/>
      <c r="O73" s="716"/>
      <c r="P73" s="716"/>
      <c r="Q73" s="716"/>
      <c r="R73" s="716"/>
      <c r="S73" s="716"/>
      <c r="T73" s="716"/>
      <c r="U73" s="716"/>
      <c r="V73" s="716"/>
      <c r="W73" s="716"/>
      <c r="X73" s="716"/>
      <c r="Y73" s="716"/>
      <c r="Z73" s="716"/>
      <c r="AA73" s="574"/>
      <c r="AB73" s="574"/>
      <c r="AC73" s="574"/>
      <c r="AD73" s="574"/>
      <c r="AE73" s="574"/>
      <c r="AF73" s="574"/>
      <c r="AG73" s="574"/>
      <c r="AH73" s="574"/>
    </row>
    <row r="74" spans="1:34">
      <c r="A74" s="716"/>
      <c r="B74" s="716"/>
      <c r="C74" s="716"/>
      <c r="D74" s="716"/>
      <c r="E74" s="716"/>
      <c r="F74" s="716"/>
      <c r="G74" s="716"/>
      <c r="H74" s="716"/>
      <c r="I74" s="716"/>
      <c r="J74" s="716"/>
      <c r="K74" s="716"/>
      <c r="L74" s="716"/>
      <c r="M74" s="716"/>
      <c r="N74" s="716"/>
      <c r="O74" s="716"/>
      <c r="P74" s="716"/>
      <c r="Q74" s="716"/>
      <c r="R74" s="716"/>
      <c r="S74" s="716"/>
      <c r="T74" s="716"/>
      <c r="U74" s="716"/>
      <c r="V74" s="716"/>
      <c r="W74" s="716"/>
      <c r="X74" s="716"/>
      <c r="Y74" s="716"/>
      <c r="Z74" s="716"/>
      <c r="AA74" s="574"/>
      <c r="AB74" s="574"/>
      <c r="AC74" s="574"/>
      <c r="AD74" s="574"/>
      <c r="AE74" s="574"/>
      <c r="AF74" s="574"/>
      <c r="AG74" s="574"/>
      <c r="AH74" s="574"/>
    </row>
    <row r="75" spans="1:34">
      <c r="A75" s="716"/>
      <c r="B75" s="716"/>
      <c r="C75" s="716"/>
      <c r="D75" s="716"/>
      <c r="E75" s="716"/>
      <c r="F75" s="716"/>
      <c r="G75" s="716"/>
      <c r="H75" s="716"/>
      <c r="I75" s="716"/>
      <c r="J75" s="716"/>
      <c r="K75" s="716"/>
      <c r="L75" s="716"/>
      <c r="M75" s="716"/>
      <c r="N75" s="716"/>
      <c r="O75" s="716"/>
      <c r="P75" s="716"/>
      <c r="Q75" s="716"/>
      <c r="R75" s="716"/>
      <c r="S75" s="716"/>
      <c r="T75" s="716"/>
      <c r="U75" s="716"/>
      <c r="V75" s="716"/>
      <c r="W75" s="716"/>
      <c r="X75" s="716"/>
      <c r="Y75" s="716"/>
      <c r="Z75" s="716"/>
      <c r="AA75" s="574"/>
      <c r="AB75" s="574"/>
      <c r="AC75" s="574"/>
      <c r="AD75" s="574"/>
      <c r="AE75" s="574"/>
      <c r="AF75" s="574"/>
      <c r="AG75" s="574"/>
      <c r="AH75" s="574"/>
    </row>
    <row r="76" spans="1:34">
      <c r="A76" s="716"/>
      <c r="B76" s="716"/>
      <c r="C76" s="716"/>
      <c r="D76" s="716"/>
      <c r="E76" s="716"/>
      <c r="F76" s="716"/>
      <c r="G76" s="716"/>
      <c r="H76" s="716"/>
      <c r="I76" s="716"/>
      <c r="J76" s="716"/>
      <c r="K76" s="716"/>
      <c r="L76" s="716"/>
      <c r="M76" s="716"/>
      <c r="N76" s="716"/>
      <c r="O76" s="716"/>
      <c r="P76" s="716"/>
      <c r="Q76" s="716"/>
      <c r="R76" s="716"/>
      <c r="S76" s="716"/>
      <c r="T76" s="716"/>
      <c r="U76" s="716"/>
      <c r="V76" s="716"/>
      <c r="W76" s="716"/>
      <c r="X76" s="716"/>
      <c r="Y76" s="716"/>
      <c r="Z76" s="716"/>
      <c r="AA76" s="574"/>
      <c r="AB76" s="574"/>
      <c r="AC76" s="574"/>
      <c r="AD76" s="574"/>
      <c r="AE76" s="574"/>
      <c r="AF76" s="574"/>
      <c r="AG76" s="574"/>
      <c r="AH76" s="574"/>
    </row>
    <row r="77" spans="1:34">
      <c r="A77" s="716"/>
      <c r="B77" s="716"/>
      <c r="C77" s="716"/>
      <c r="D77" s="716"/>
      <c r="E77" s="716"/>
      <c r="F77" s="716"/>
      <c r="G77" s="716"/>
      <c r="H77" s="716"/>
      <c r="I77" s="716"/>
      <c r="J77" s="716"/>
      <c r="K77" s="716"/>
      <c r="L77" s="716"/>
      <c r="M77" s="716"/>
      <c r="N77" s="716"/>
      <c r="O77" s="716"/>
      <c r="P77" s="716"/>
      <c r="Q77" s="716"/>
      <c r="R77" s="716"/>
      <c r="S77" s="716"/>
      <c r="T77" s="716"/>
      <c r="U77" s="716"/>
      <c r="V77" s="716"/>
      <c r="W77" s="716"/>
      <c r="X77" s="716"/>
      <c r="Y77" s="716"/>
      <c r="Z77" s="716"/>
      <c r="AA77" s="574"/>
      <c r="AB77" s="574"/>
      <c r="AC77" s="574"/>
      <c r="AD77" s="574"/>
      <c r="AE77" s="574"/>
      <c r="AF77" s="574"/>
      <c r="AG77" s="574"/>
      <c r="AH77" s="574"/>
    </row>
    <row r="78" spans="1:34">
      <c r="A78" s="716"/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  <c r="Y78" s="716"/>
      <c r="Z78" s="716"/>
      <c r="AA78" s="574"/>
      <c r="AB78" s="574"/>
      <c r="AC78" s="574"/>
      <c r="AD78" s="574"/>
      <c r="AE78" s="574"/>
      <c r="AF78" s="574"/>
      <c r="AG78" s="574"/>
      <c r="AH78" s="574"/>
    </row>
    <row r="79" spans="1:34">
      <c r="A79" s="716"/>
      <c r="B79" s="716"/>
      <c r="C79" s="716"/>
      <c r="D79" s="716"/>
      <c r="E79" s="716"/>
      <c r="F79" s="716"/>
      <c r="G79" s="716"/>
      <c r="H79" s="716"/>
      <c r="I79" s="716"/>
      <c r="J79" s="716"/>
      <c r="K79" s="716"/>
      <c r="L79" s="716"/>
      <c r="M79" s="716"/>
      <c r="N79" s="716"/>
      <c r="O79" s="716"/>
      <c r="P79" s="716"/>
      <c r="Q79" s="716"/>
      <c r="R79" s="716"/>
      <c r="S79" s="716"/>
      <c r="T79" s="716"/>
      <c r="U79" s="716"/>
      <c r="V79" s="716"/>
      <c r="W79" s="716"/>
      <c r="X79" s="716"/>
      <c r="Y79" s="716"/>
      <c r="Z79" s="716"/>
      <c r="AA79" s="574"/>
      <c r="AB79" s="574"/>
      <c r="AC79" s="574"/>
      <c r="AD79" s="574"/>
      <c r="AE79" s="574"/>
      <c r="AF79" s="574"/>
      <c r="AG79" s="574"/>
      <c r="AH79" s="574"/>
    </row>
    <row r="80" spans="1:34">
      <c r="A80" s="716"/>
      <c r="B80" s="716"/>
      <c r="C80" s="716"/>
      <c r="D80" s="716"/>
      <c r="E80" s="716"/>
      <c r="F80" s="716"/>
      <c r="G80" s="716"/>
      <c r="H80" s="716"/>
      <c r="I80" s="716"/>
      <c r="J80" s="716"/>
      <c r="K80" s="716"/>
      <c r="L80" s="716"/>
      <c r="M80" s="716"/>
      <c r="N80" s="716"/>
      <c r="O80" s="716"/>
      <c r="P80" s="716"/>
      <c r="Q80" s="716"/>
      <c r="R80" s="716"/>
      <c r="S80" s="716"/>
      <c r="T80" s="716"/>
      <c r="U80" s="716"/>
      <c r="V80" s="716"/>
      <c r="W80" s="716"/>
      <c r="X80" s="716"/>
      <c r="Y80" s="716"/>
      <c r="Z80" s="716"/>
      <c r="AA80" s="574"/>
      <c r="AB80" s="574"/>
      <c r="AC80" s="574"/>
      <c r="AD80" s="574"/>
      <c r="AE80" s="574"/>
      <c r="AF80" s="574"/>
      <c r="AG80" s="574"/>
      <c r="AH80" s="574"/>
    </row>
    <row r="81" spans="1:34">
      <c r="A81" s="716"/>
      <c r="B81" s="716"/>
      <c r="C81" s="716"/>
      <c r="D81" s="716"/>
      <c r="E81" s="716"/>
      <c r="F81" s="716"/>
      <c r="G81" s="716"/>
      <c r="H81" s="716"/>
      <c r="I81" s="716"/>
      <c r="J81" s="716"/>
      <c r="K81" s="716"/>
      <c r="L81" s="716"/>
      <c r="M81" s="716"/>
      <c r="N81" s="716"/>
      <c r="O81" s="716"/>
      <c r="P81" s="716"/>
      <c r="Q81" s="716"/>
      <c r="R81" s="716"/>
      <c r="S81" s="716"/>
      <c r="T81" s="716"/>
      <c r="U81" s="716"/>
      <c r="V81" s="716"/>
      <c r="W81" s="716"/>
      <c r="X81" s="716"/>
      <c r="Y81" s="716"/>
      <c r="Z81" s="716"/>
      <c r="AA81" s="574"/>
      <c r="AB81" s="574"/>
      <c r="AC81" s="574"/>
      <c r="AD81" s="574"/>
      <c r="AE81" s="574"/>
      <c r="AF81" s="574"/>
      <c r="AG81" s="574"/>
      <c r="AH81" s="574"/>
    </row>
    <row r="82" spans="1:34">
      <c r="A82" s="716"/>
      <c r="B82" s="716"/>
      <c r="C82" s="716"/>
      <c r="D82" s="716"/>
      <c r="E82" s="716"/>
      <c r="F82" s="716"/>
      <c r="G82" s="716"/>
      <c r="H82" s="716"/>
      <c r="I82" s="716"/>
      <c r="J82" s="716"/>
      <c r="K82" s="716"/>
      <c r="L82" s="716"/>
      <c r="M82" s="716"/>
      <c r="N82" s="716"/>
      <c r="O82" s="716"/>
      <c r="P82" s="716"/>
      <c r="Q82" s="716"/>
      <c r="R82" s="716"/>
      <c r="S82" s="716"/>
      <c r="T82" s="716"/>
      <c r="U82" s="716"/>
      <c r="V82" s="716"/>
      <c r="W82" s="716"/>
      <c r="X82" s="716"/>
      <c r="Y82" s="716"/>
      <c r="Z82" s="716"/>
      <c r="AA82" s="574"/>
      <c r="AB82" s="574"/>
      <c r="AC82" s="574"/>
      <c r="AD82" s="574"/>
      <c r="AE82" s="574"/>
      <c r="AF82" s="574"/>
      <c r="AG82" s="574"/>
      <c r="AH82" s="574"/>
    </row>
    <row r="83" spans="1:34">
      <c r="A83" s="716"/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  <c r="AA83" s="574"/>
      <c r="AB83" s="574"/>
      <c r="AC83" s="574"/>
      <c r="AD83" s="574"/>
      <c r="AE83" s="574"/>
      <c r="AF83" s="574"/>
      <c r="AG83" s="574"/>
      <c r="AH83" s="574"/>
    </row>
    <row r="84" spans="1:34">
      <c r="A84" s="716"/>
      <c r="B84" s="716"/>
      <c r="C84" s="716"/>
      <c r="D84" s="716"/>
      <c r="E84" s="716"/>
      <c r="F84" s="716"/>
      <c r="G84" s="716"/>
      <c r="H84" s="716"/>
      <c r="I84" s="716"/>
      <c r="J84" s="716"/>
      <c r="K84" s="716"/>
      <c r="L84" s="716"/>
      <c r="M84" s="716"/>
      <c r="N84" s="716"/>
      <c r="O84" s="716"/>
      <c r="P84" s="716"/>
      <c r="Q84" s="716"/>
      <c r="R84" s="716"/>
      <c r="S84" s="716"/>
      <c r="T84" s="716"/>
      <c r="U84" s="716"/>
      <c r="V84" s="716"/>
      <c r="W84" s="716"/>
      <c r="X84" s="716"/>
      <c r="Y84" s="716"/>
      <c r="Z84" s="716"/>
      <c r="AA84" s="574"/>
      <c r="AB84" s="574"/>
      <c r="AC84" s="574"/>
      <c r="AD84" s="574"/>
      <c r="AE84" s="574"/>
      <c r="AF84" s="574"/>
      <c r="AG84" s="574"/>
      <c r="AH84" s="574"/>
    </row>
    <row r="85" spans="1:34">
      <c r="A85" s="716"/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  <c r="AA85" s="574"/>
      <c r="AB85" s="574"/>
      <c r="AC85" s="574"/>
      <c r="AD85" s="574"/>
      <c r="AE85" s="574"/>
      <c r="AF85" s="574"/>
      <c r="AG85" s="574"/>
      <c r="AH85" s="574"/>
    </row>
    <row r="86" spans="1:34">
      <c r="A86" s="716"/>
      <c r="B86" s="716"/>
      <c r="C86" s="716"/>
      <c r="D86" s="716"/>
      <c r="E86" s="716"/>
      <c r="F86" s="716"/>
      <c r="G86" s="716"/>
      <c r="H86" s="716"/>
      <c r="I86" s="716"/>
      <c r="J86" s="716"/>
      <c r="K86" s="716"/>
      <c r="L86" s="716"/>
      <c r="M86" s="716"/>
      <c r="N86" s="716"/>
      <c r="O86" s="716"/>
      <c r="P86" s="716"/>
      <c r="Q86" s="716"/>
      <c r="R86" s="716"/>
      <c r="S86" s="716"/>
      <c r="T86" s="716"/>
      <c r="U86" s="716"/>
      <c r="V86" s="716"/>
      <c r="W86" s="716"/>
      <c r="X86" s="716"/>
      <c r="Y86" s="716"/>
      <c r="Z86" s="716"/>
      <c r="AA86" s="574"/>
      <c r="AB86" s="574"/>
      <c r="AC86" s="574"/>
      <c r="AD86" s="574"/>
      <c r="AE86" s="574"/>
      <c r="AF86" s="574"/>
      <c r="AG86" s="574"/>
      <c r="AH86" s="574"/>
    </row>
    <row r="87" spans="1:34">
      <c r="A87" s="716"/>
      <c r="B87" s="716"/>
      <c r="C87" s="716"/>
      <c r="D87" s="716"/>
      <c r="E87" s="716"/>
      <c r="F87" s="716"/>
      <c r="G87" s="716"/>
      <c r="H87" s="716"/>
      <c r="I87" s="716"/>
      <c r="J87" s="716"/>
      <c r="K87" s="716"/>
      <c r="L87" s="716"/>
      <c r="M87" s="716"/>
      <c r="N87" s="716"/>
      <c r="O87" s="716"/>
      <c r="P87" s="716"/>
      <c r="Q87" s="716"/>
      <c r="R87" s="716"/>
      <c r="S87" s="716"/>
      <c r="T87" s="716"/>
      <c r="U87" s="716"/>
      <c r="V87" s="716"/>
      <c r="W87" s="716"/>
      <c r="X87" s="716"/>
      <c r="Y87" s="716"/>
      <c r="Z87" s="716"/>
      <c r="AA87" s="574"/>
      <c r="AB87" s="574"/>
      <c r="AC87" s="574"/>
      <c r="AD87" s="574"/>
      <c r="AE87" s="574"/>
      <c r="AF87" s="574"/>
      <c r="AG87" s="574"/>
      <c r="AH87" s="574"/>
    </row>
    <row r="88" spans="1:34">
      <c r="A88" s="716"/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6"/>
      <c r="N88" s="716"/>
      <c r="O88" s="716"/>
      <c r="P88" s="716"/>
      <c r="Q88" s="716"/>
      <c r="R88" s="716"/>
      <c r="S88" s="716"/>
      <c r="T88" s="716"/>
      <c r="U88" s="716"/>
      <c r="V88" s="716"/>
      <c r="W88" s="716"/>
      <c r="X88" s="716"/>
      <c r="Y88" s="716"/>
      <c r="Z88" s="716"/>
      <c r="AA88" s="574"/>
      <c r="AB88" s="574"/>
      <c r="AC88" s="574"/>
      <c r="AD88" s="574"/>
      <c r="AE88" s="574"/>
      <c r="AF88" s="574"/>
      <c r="AG88" s="574"/>
      <c r="AH88" s="574"/>
    </row>
    <row r="89" spans="1:34">
      <c r="A89" s="716"/>
      <c r="B89" s="716"/>
      <c r="C89" s="716"/>
      <c r="D89" s="716"/>
      <c r="E89" s="716"/>
      <c r="F89" s="716"/>
      <c r="G89" s="716"/>
      <c r="H89" s="716"/>
      <c r="I89" s="716"/>
      <c r="J89" s="716"/>
      <c r="K89" s="716"/>
      <c r="L89" s="716"/>
      <c r="M89" s="716"/>
      <c r="N89" s="716"/>
      <c r="O89" s="716"/>
      <c r="P89" s="716"/>
      <c r="Q89" s="716"/>
      <c r="R89" s="716"/>
      <c r="S89" s="716"/>
      <c r="T89" s="716"/>
      <c r="U89" s="716"/>
      <c r="V89" s="716"/>
      <c r="W89" s="716"/>
      <c r="X89" s="716"/>
      <c r="Y89" s="716"/>
      <c r="Z89" s="716"/>
      <c r="AA89" s="574"/>
      <c r="AB89" s="574"/>
      <c r="AC89" s="574"/>
      <c r="AD89" s="574"/>
      <c r="AE89" s="574"/>
      <c r="AF89" s="574"/>
      <c r="AG89" s="574"/>
      <c r="AH89" s="574"/>
    </row>
    <row r="90" spans="1:34">
      <c r="A90" s="716"/>
      <c r="B90" s="717"/>
      <c r="C90" s="717"/>
      <c r="D90" s="717"/>
      <c r="E90" s="717"/>
      <c r="F90" s="717"/>
      <c r="G90" s="717"/>
      <c r="H90" s="717"/>
      <c r="I90" s="717"/>
      <c r="J90" s="717"/>
      <c r="K90" s="717"/>
      <c r="L90" s="717"/>
      <c r="M90" s="716"/>
      <c r="N90" s="716"/>
      <c r="O90" s="716"/>
      <c r="P90" s="716"/>
      <c r="Q90" s="716"/>
      <c r="R90" s="716"/>
      <c r="S90" s="716"/>
      <c r="T90" s="716"/>
      <c r="U90" s="716"/>
      <c r="V90" s="716"/>
      <c r="W90" s="716"/>
      <c r="X90" s="716"/>
      <c r="Y90" s="716"/>
      <c r="Z90" s="716"/>
      <c r="AA90" s="574"/>
      <c r="AB90" s="574"/>
      <c r="AC90" s="574"/>
      <c r="AD90" s="574"/>
      <c r="AE90" s="574"/>
      <c r="AF90" s="574"/>
      <c r="AG90" s="574"/>
      <c r="AH90" s="574"/>
    </row>
    <row r="91" spans="1:34">
      <c r="A91" s="718"/>
      <c r="B91" s="719"/>
      <c r="C91" s="719"/>
      <c r="D91" s="719"/>
      <c r="E91" s="719"/>
      <c r="F91" s="719"/>
      <c r="G91" s="719"/>
      <c r="H91" s="719"/>
      <c r="I91" s="719"/>
      <c r="J91" s="719"/>
      <c r="K91" s="719"/>
      <c r="L91" s="719"/>
      <c r="M91" s="720"/>
      <c r="N91" s="716"/>
      <c r="O91" s="716"/>
      <c r="P91" s="716"/>
      <c r="Q91" s="716"/>
      <c r="R91" s="716"/>
      <c r="S91" s="716"/>
      <c r="T91" s="716"/>
      <c r="U91" s="716"/>
      <c r="V91" s="716"/>
      <c r="W91" s="716"/>
      <c r="X91" s="716"/>
      <c r="Y91" s="716"/>
      <c r="Z91" s="716"/>
      <c r="AA91" s="574"/>
      <c r="AB91" s="574"/>
      <c r="AC91" s="574"/>
      <c r="AD91" s="574"/>
      <c r="AE91" s="574"/>
      <c r="AF91" s="574"/>
      <c r="AG91" s="574"/>
      <c r="AH91" s="574"/>
    </row>
    <row r="92" spans="1:34">
      <c r="A92" s="718"/>
      <c r="B92" s="719"/>
      <c r="C92" s="719"/>
      <c r="D92" s="719"/>
      <c r="E92" s="719"/>
      <c r="F92" s="719"/>
      <c r="G92" s="719"/>
      <c r="H92" s="719"/>
      <c r="I92" s="719"/>
      <c r="J92" s="719"/>
      <c r="K92" s="719"/>
      <c r="L92" s="719"/>
      <c r="M92" s="720"/>
      <c r="N92" s="716"/>
      <c r="O92" s="716"/>
      <c r="P92" s="716"/>
      <c r="Q92" s="716"/>
      <c r="R92" s="716"/>
      <c r="S92" s="716"/>
      <c r="T92" s="716"/>
      <c r="U92" s="716"/>
      <c r="V92" s="716"/>
      <c r="W92" s="716"/>
      <c r="X92" s="716"/>
      <c r="Y92" s="716"/>
      <c r="Z92" s="716"/>
      <c r="AA92" s="574"/>
      <c r="AB92" s="574"/>
      <c r="AC92" s="574"/>
      <c r="AD92" s="574"/>
      <c r="AE92" s="574"/>
      <c r="AF92" s="574"/>
      <c r="AG92" s="574"/>
      <c r="AH92" s="574"/>
    </row>
    <row r="93" spans="1:34">
      <c r="A93" s="718"/>
      <c r="B93" s="719"/>
      <c r="C93" s="719"/>
      <c r="D93" s="719"/>
      <c r="E93" s="719"/>
      <c r="F93" s="719"/>
      <c r="G93" s="719"/>
      <c r="H93" s="719"/>
      <c r="I93" s="719"/>
      <c r="J93" s="719"/>
      <c r="K93" s="719"/>
      <c r="L93" s="719"/>
      <c r="M93" s="720"/>
      <c r="N93" s="716"/>
      <c r="O93" s="716"/>
      <c r="P93" s="716"/>
      <c r="Q93" s="716"/>
      <c r="R93" s="716"/>
      <c r="S93" s="716"/>
      <c r="T93" s="716"/>
      <c r="U93" s="716"/>
      <c r="V93" s="716"/>
      <c r="W93" s="716"/>
      <c r="X93" s="716"/>
      <c r="Y93" s="716"/>
      <c r="Z93" s="716"/>
      <c r="AA93" s="574"/>
      <c r="AB93" s="574"/>
      <c r="AC93" s="574"/>
      <c r="AD93" s="574"/>
      <c r="AE93" s="574"/>
      <c r="AF93" s="574"/>
      <c r="AG93" s="574"/>
      <c r="AH93" s="574"/>
    </row>
    <row r="94" spans="1:34">
      <c r="A94" s="718"/>
      <c r="B94" s="719"/>
      <c r="C94" s="719"/>
      <c r="D94" s="719"/>
      <c r="E94" s="719"/>
      <c r="F94" s="719"/>
      <c r="G94" s="719"/>
      <c r="H94" s="719"/>
      <c r="I94" s="719"/>
      <c r="J94" s="719"/>
      <c r="K94" s="722"/>
      <c r="L94" s="719"/>
      <c r="M94" s="720"/>
      <c r="N94" s="716"/>
      <c r="O94" s="716"/>
      <c r="P94" s="716"/>
      <c r="Q94" s="716"/>
      <c r="R94" s="716"/>
      <c r="S94" s="716"/>
      <c r="T94" s="716"/>
      <c r="U94" s="716"/>
      <c r="V94" s="716"/>
      <c r="W94" s="716"/>
      <c r="X94" s="716"/>
      <c r="Y94" s="716"/>
      <c r="Z94" s="716"/>
      <c r="AA94" s="574"/>
      <c r="AB94" s="574"/>
      <c r="AC94" s="574"/>
      <c r="AD94" s="574"/>
      <c r="AE94" s="574"/>
      <c r="AF94" s="574"/>
      <c r="AG94" s="574"/>
      <c r="AH94" s="574"/>
    </row>
    <row r="95" spans="1:34">
      <c r="A95" s="718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20"/>
      <c r="N95" s="716"/>
      <c r="O95" s="716"/>
      <c r="P95" s="716"/>
      <c r="Q95" s="716"/>
      <c r="R95" s="716"/>
      <c r="S95" s="716"/>
      <c r="T95" s="716"/>
      <c r="U95" s="716"/>
      <c r="V95" s="716"/>
      <c r="W95" s="716"/>
      <c r="X95" s="716"/>
      <c r="Y95" s="716"/>
      <c r="Z95" s="716"/>
      <c r="AA95" s="574"/>
      <c r="AB95" s="574"/>
      <c r="AC95" s="574"/>
      <c r="AD95" s="574"/>
      <c r="AE95" s="574"/>
      <c r="AF95" s="574"/>
      <c r="AG95" s="574"/>
      <c r="AH95" s="574"/>
    </row>
    <row r="96" spans="1:34">
      <c r="A96" s="718"/>
      <c r="B96" s="719"/>
      <c r="C96" s="719"/>
      <c r="D96" s="719"/>
      <c r="E96" s="719"/>
      <c r="F96" s="719"/>
      <c r="G96" s="719"/>
      <c r="H96" s="719"/>
      <c r="I96" s="719"/>
      <c r="J96" s="719"/>
      <c r="K96" s="719"/>
      <c r="L96" s="719"/>
      <c r="M96" s="720"/>
      <c r="N96" s="716"/>
      <c r="O96" s="716"/>
      <c r="P96" s="716"/>
      <c r="Q96" s="716"/>
      <c r="R96" s="716"/>
      <c r="S96" s="716"/>
      <c r="T96" s="716"/>
      <c r="U96" s="716"/>
      <c r="V96" s="716"/>
      <c r="W96" s="716"/>
      <c r="X96" s="716"/>
      <c r="Y96" s="716"/>
      <c r="Z96" s="716"/>
      <c r="AA96" s="574"/>
      <c r="AB96" s="574"/>
      <c r="AC96" s="574"/>
      <c r="AD96" s="574"/>
      <c r="AE96" s="574"/>
      <c r="AF96" s="574"/>
      <c r="AG96" s="574"/>
      <c r="AH96" s="574"/>
    </row>
    <row r="97" spans="1:34">
      <c r="A97" s="718"/>
      <c r="B97" s="719"/>
      <c r="C97" s="719"/>
      <c r="D97" s="719"/>
      <c r="E97" s="719"/>
      <c r="F97" s="719"/>
      <c r="G97" s="719"/>
      <c r="H97" s="719"/>
      <c r="I97" s="719"/>
      <c r="J97" s="719"/>
      <c r="K97" s="723"/>
      <c r="L97" s="719"/>
      <c r="M97" s="720"/>
      <c r="N97" s="716"/>
      <c r="O97" s="716"/>
      <c r="P97" s="716"/>
      <c r="Q97" s="716"/>
      <c r="R97" s="716"/>
      <c r="S97" s="716"/>
      <c r="T97" s="716"/>
      <c r="U97" s="716"/>
      <c r="V97" s="716"/>
      <c r="W97" s="716"/>
      <c r="X97" s="716"/>
      <c r="Y97" s="716"/>
      <c r="Z97" s="716"/>
      <c r="AA97" s="574"/>
      <c r="AB97" s="574"/>
      <c r="AC97" s="574"/>
      <c r="AD97" s="574"/>
      <c r="AE97" s="574"/>
      <c r="AF97" s="574"/>
      <c r="AG97" s="574"/>
      <c r="AH97" s="574"/>
    </row>
    <row r="98" spans="1:34">
      <c r="A98" s="716"/>
      <c r="B98" s="724"/>
      <c r="C98" s="724"/>
      <c r="D98" s="724"/>
      <c r="E98" s="724"/>
      <c r="F98" s="724"/>
      <c r="G98" s="724"/>
      <c r="H98" s="724"/>
      <c r="I98" s="724"/>
      <c r="J98" s="724"/>
      <c r="K98" s="725"/>
      <c r="L98" s="724"/>
      <c r="M98" s="716"/>
      <c r="N98" s="716"/>
      <c r="O98" s="716"/>
      <c r="P98" s="716"/>
      <c r="Q98" s="716"/>
      <c r="R98" s="716"/>
      <c r="S98" s="716"/>
      <c r="T98" s="716"/>
      <c r="U98" s="716"/>
      <c r="V98" s="716"/>
      <c r="W98" s="716"/>
      <c r="X98" s="716"/>
      <c r="Y98" s="716"/>
      <c r="Z98" s="716"/>
      <c r="AA98" s="574"/>
      <c r="AB98" s="574"/>
      <c r="AC98" s="574"/>
      <c r="AD98" s="574"/>
      <c r="AE98" s="574"/>
      <c r="AF98" s="574"/>
      <c r="AG98" s="574"/>
      <c r="AH98" s="574"/>
    </row>
    <row r="99" spans="1:34">
      <c r="A99" s="718"/>
      <c r="B99" s="719"/>
      <c r="C99" s="719"/>
      <c r="D99" s="719"/>
      <c r="E99" s="719"/>
      <c r="F99" s="719"/>
      <c r="G99" s="719"/>
      <c r="H99" s="719"/>
      <c r="I99" s="719"/>
      <c r="J99" s="719"/>
      <c r="K99" s="726"/>
      <c r="L99" s="719"/>
      <c r="M99" s="720"/>
      <c r="N99" s="716"/>
      <c r="O99" s="716"/>
      <c r="P99" s="716"/>
      <c r="Q99" s="716"/>
      <c r="R99" s="716"/>
      <c r="S99" s="716"/>
      <c r="T99" s="716"/>
      <c r="U99" s="716"/>
      <c r="V99" s="716"/>
      <c r="W99" s="716"/>
      <c r="X99" s="716"/>
      <c r="Y99" s="716"/>
      <c r="Z99" s="716"/>
      <c r="AA99" s="574"/>
      <c r="AB99" s="574"/>
      <c r="AC99" s="574"/>
      <c r="AD99" s="574"/>
      <c r="AE99" s="574"/>
      <c r="AF99" s="574"/>
      <c r="AG99" s="574"/>
      <c r="AH99" s="574"/>
    </row>
    <row r="100" spans="1:34">
      <c r="A100" s="718"/>
      <c r="B100" s="719"/>
      <c r="C100" s="719"/>
      <c r="D100" s="719"/>
      <c r="E100" s="719"/>
      <c r="F100" s="719"/>
      <c r="G100" s="719"/>
      <c r="H100" s="719"/>
      <c r="I100" s="719"/>
      <c r="J100" s="719"/>
      <c r="K100" s="723"/>
      <c r="L100" s="719"/>
      <c r="M100" s="720"/>
      <c r="N100" s="716"/>
      <c r="O100" s="716"/>
      <c r="P100" s="716"/>
      <c r="Q100" s="716"/>
      <c r="R100" s="716"/>
      <c r="S100" s="716"/>
      <c r="T100" s="716"/>
      <c r="U100" s="716"/>
      <c r="V100" s="716"/>
      <c r="W100" s="716"/>
      <c r="X100" s="716"/>
      <c r="Y100" s="716"/>
      <c r="Z100" s="716"/>
      <c r="AA100" s="574"/>
      <c r="AB100" s="574"/>
      <c r="AC100" s="574"/>
      <c r="AD100" s="574"/>
      <c r="AE100" s="574"/>
      <c r="AF100" s="574"/>
      <c r="AG100" s="574"/>
      <c r="AH100" s="574"/>
    </row>
    <row r="101" spans="1:34">
      <c r="A101" s="718"/>
      <c r="B101" s="719"/>
      <c r="C101" s="719"/>
      <c r="D101" s="719"/>
      <c r="E101" s="719"/>
      <c r="F101" s="719"/>
      <c r="G101" s="719"/>
      <c r="H101" s="719"/>
      <c r="I101" s="719"/>
      <c r="J101" s="719"/>
      <c r="K101" s="722"/>
      <c r="L101" s="719"/>
      <c r="M101" s="720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574"/>
      <c r="AB101" s="574"/>
      <c r="AC101" s="574"/>
      <c r="AD101" s="574"/>
      <c r="AE101" s="574"/>
      <c r="AF101" s="574"/>
      <c r="AG101" s="574"/>
      <c r="AH101" s="574"/>
    </row>
    <row r="102" spans="1:34">
      <c r="A102" s="718"/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20"/>
      <c r="N102" s="716"/>
      <c r="O102" s="716"/>
      <c r="P102" s="716"/>
      <c r="Q102" s="716"/>
      <c r="R102" s="716"/>
      <c r="S102" s="716"/>
      <c r="T102" s="716"/>
      <c r="U102" s="716"/>
      <c r="V102" s="716"/>
      <c r="W102" s="716"/>
      <c r="X102" s="716"/>
      <c r="Y102" s="716"/>
      <c r="Z102" s="716"/>
      <c r="AA102" s="574"/>
      <c r="AB102" s="574"/>
      <c r="AC102" s="574"/>
      <c r="AD102" s="574"/>
      <c r="AE102" s="574"/>
      <c r="AF102" s="574"/>
      <c r="AG102" s="574"/>
      <c r="AH102" s="574"/>
    </row>
    <row r="103" spans="1:34">
      <c r="A103" s="718"/>
      <c r="B103" s="719"/>
      <c r="C103" s="719"/>
      <c r="D103" s="719"/>
      <c r="E103" s="719"/>
      <c r="F103" s="719"/>
      <c r="G103" s="719"/>
      <c r="H103" s="719"/>
      <c r="I103" s="719"/>
      <c r="J103" s="719"/>
      <c r="K103" s="719"/>
      <c r="L103" s="719"/>
      <c r="M103" s="720"/>
      <c r="N103" s="716"/>
      <c r="O103" s="716"/>
      <c r="P103" s="716"/>
      <c r="Q103" s="716"/>
      <c r="R103" s="716"/>
      <c r="S103" s="716"/>
      <c r="T103" s="716"/>
      <c r="U103" s="716"/>
      <c r="V103" s="716"/>
      <c r="W103" s="716"/>
      <c r="X103" s="716"/>
      <c r="Y103" s="716"/>
      <c r="Z103" s="716"/>
      <c r="AA103" s="574"/>
      <c r="AB103" s="574"/>
      <c r="AC103" s="574"/>
      <c r="AD103" s="574"/>
      <c r="AE103" s="574"/>
      <c r="AF103" s="574"/>
      <c r="AG103" s="574"/>
      <c r="AH103" s="574"/>
    </row>
    <row r="104" spans="1:34">
      <c r="A104" s="718"/>
      <c r="B104" s="719"/>
      <c r="C104" s="719"/>
      <c r="D104" s="719"/>
      <c r="E104" s="719"/>
      <c r="F104" s="719"/>
      <c r="G104" s="719"/>
      <c r="H104" s="719"/>
      <c r="I104" s="719"/>
      <c r="J104" s="719"/>
      <c r="K104" s="719"/>
      <c r="L104" s="719"/>
      <c r="M104" s="720"/>
      <c r="N104" s="716"/>
      <c r="O104" s="716"/>
      <c r="P104" s="716"/>
      <c r="Q104" s="716"/>
      <c r="R104" s="716"/>
      <c r="S104" s="716"/>
      <c r="T104" s="716"/>
      <c r="U104" s="716"/>
      <c r="V104" s="716"/>
      <c r="W104" s="716"/>
      <c r="X104" s="716"/>
      <c r="Y104" s="716"/>
      <c r="Z104" s="716"/>
      <c r="AA104" s="574"/>
      <c r="AB104" s="574"/>
      <c r="AC104" s="574"/>
      <c r="AD104" s="574"/>
      <c r="AE104" s="574"/>
      <c r="AF104" s="574"/>
      <c r="AG104" s="574"/>
      <c r="AH104" s="574"/>
    </row>
    <row r="105" spans="1:34">
      <c r="A105" s="716"/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6"/>
      <c r="N105" s="716"/>
      <c r="O105" s="716"/>
      <c r="P105" s="716"/>
      <c r="Q105" s="716"/>
      <c r="R105" s="716"/>
      <c r="S105" s="716"/>
      <c r="T105" s="716"/>
      <c r="U105" s="716"/>
      <c r="V105" s="716"/>
      <c r="W105" s="716"/>
      <c r="X105" s="716"/>
      <c r="Y105" s="716"/>
      <c r="Z105" s="716"/>
      <c r="AA105" s="574"/>
      <c r="AB105" s="574"/>
      <c r="AC105" s="574"/>
      <c r="AD105" s="574"/>
      <c r="AE105" s="574"/>
      <c r="AF105" s="574"/>
      <c r="AG105" s="574"/>
      <c r="AH105" s="574"/>
    </row>
    <row r="106" spans="1:34">
      <c r="A106" s="716"/>
      <c r="B106" s="716"/>
      <c r="C106" s="716"/>
      <c r="D106" s="716"/>
      <c r="E106" s="716"/>
      <c r="F106" s="716"/>
      <c r="G106" s="716"/>
      <c r="H106" s="716"/>
      <c r="I106" s="716"/>
      <c r="J106" s="716"/>
      <c r="K106" s="716"/>
      <c r="L106" s="716"/>
      <c r="M106" s="716"/>
      <c r="N106" s="716"/>
      <c r="O106" s="716"/>
      <c r="P106" s="716"/>
      <c r="Q106" s="716"/>
      <c r="R106" s="716"/>
      <c r="S106" s="716"/>
      <c r="T106" s="716"/>
      <c r="U106" s="716"/>
      <c r="V106" s="716"/>
      <c r="W106" s="716"/>
      <c r="X106" s="716"/>
      <c r="Y106" s="716"/>
      <c r="Z106" s="716"/>
      <c r="AA106" s="574"/>
      <c r="AB106" s="574"/>
      <c r="AC106" s="574"/>
      <c r="AD106" s="574"/>
      <c r="AE106" s="574"/>
      <c r="AF106" s="574"/>
      <c r="AG106" s="574"/>
      <c r="AH106" s="574"/>
    </row>
    <row r="107" spans="1:34">
      <c r="A107" s="716"/>
      <c r="B107" s="716"/>
      <c r="C107" s="716"/>
      <c r="D107" s="716"/>
      <c r="E107" s="716"/>
      <c r="F107" s="716"/>
      <c r="G107" s="716"/>
      <c r="H107" s="716"/>
      <c r="I107" s="716"/>
      <c r="J107" s="716"/>
      <c r="K107" s="716"/>
      <c r="L107" s="716"/>
      <c r="M107" s="716"/>
      <c r="N107" s="716"/>
      <c r="O107" s="716"/>
      <c r="P107" s="716"/>
      <c r="Q107" s="716"/>
      <c r="R107" s="716"/>
      <c r="S107" s="716"/>
      <c r="T107" s="716"/>
      <c r="U107" s="716"/>
      <c r="V107" s="716"/>
      <c r="W107" s="716"/>
      <c r="X107" s="716"/>
      <c r="Y107" s="716"/>
      <c r="Z107" s="716"/>
      <c r="AA107" s="574"/>
      <c r="AB107" s="574"/>
      <c r="AC107" s="574"/>
      <c r="AD107" s="574"/>
      <c r="AE107" s="574"/>
      <c r="AF107" s="574"/>
      <c r="AG107" s="574"/>
      <c r="AH107" s="574"/>
    </row>
    <row r="108" spans="1:34">
      <c r="A108" s="716"/>
      <c r="B108" s="716"/>
      <c r="C108" s="716"/>
      <c r="D108" s="716"/>
      <c r="E108" s="716"/>
      <c r="F108" s="716"/>
      <c r="G108" s="716"/>
      <c r="H108" s="716"/>
      <c r="I108" s="716"/>
      <c r="J108" s="716"/>
      <c r="K108" s="716"/>
      <c r="L108" s="716"/>
      <c r="M108" s="716"/>
      <c r="N108" s="716"/>
      <c r="O108" s="716"/>
      <c r="P108" s="716"/>
      <c r="Q108" s="716"/>
      <c r="R108" s="716"/>
      <c r="S108" s="716"/>
      <c r="T108" s="716"/>
      <c r="U108" s="716"/>
      <c r="V108" s="716"/>
      <c r="W108" s="716"/>
      <c r="X108" s="716"/>
      <c r="Y108" s="716"/>
      <c r="Z108" s="716"/>
      <c r="AA108" s="574"/>
      <c r="AB108" s="574"/>
      <c r="AC108" s="574"/>
      <c r="AD108" s="574"/>
      <c r="AE108" s="574"/>
      <c r="AF108" s="574"/>
      <c r="AG108" s="574"/>
      <c r="AH108" s="574"/>
    </row>
    <row r="109" spans="1:34">
      <c r="A109" s="716"/>
      <c r="B109" s="716"/>
      <c r="C109" s="716"/>
      <c r="D109" s="716"/>
      <c r="E109" s="716"/>
      <c r="F109" s="716"/>
      <c r="G109" s="716"/>
      <c r="H109" s="716"/>
      <c r="I109" s="716"/>
      <c r="J109" s="716"/>
      <c r="K109" s="716"/>
      <c r="L109" s="716"/>
      <c r="M109" s="716"/>
      <c r="N109" s="716"/>
      <c r="O109" s="716"/>
      <c r="P109" s="716"/>
      <c r="Q109" s="716"/>
      <c r="R109" s="716"/>
      <c r="S109" s="716"/>
      <c r="T109" s="716"/>
      <c r="U109" s="716"/>
      <c r="V109" s="716"/>
      <c r="W109" s="716"/>
      <c r="X109" s="716"/>
      <c r="Y109" s="716"/>
      <c r="Z109" s="716"/>
      <c r="AA109" s="574"/>
      <c r="AB109" s="574"/>
      <c r="AC109" s="574"/>
      <c r="AD109" s="574"/>
      <c r="AE109" s="574"/>
      <c r="AF109" s="574"/>
      <c r="AG109" s="574"/>
      <c r="AH109" s="574"/>
    </row>
    <row r="110" spans="1:34">
      <c r="A110" s="716"/>
      <c r="B110" s="716"/>
      <c r="C110" s="716"/>
      <c r="D110" s="716"/>
      <c r="E110" s="716"/>
      <c r="F110" s="716"/>
      <c r="G110" s="716"/>
      <c r="H110" s="716"/>
      <c r="I110" s="716"/>
      <c r="J110" s="716"/>
      <c r="K110" s="716"/>
      <c r="L110" s="716"/>
      <c r="M110" s="716"/>
      <c r="N110" s="716"/>
      <c r="O110" s="716"/>
      <c r="P110" s="716"/>
      <c r="Q110" s="716"/>
      <c r="R110" s="716"/>
      <c r="S110" s="716"/>
      <c r="T110" s="716"/>
      <c r="U110" s="716"/>
      <c r="V110" s="716"/>
      <c r="W110" s="716"/>
      <c r="X110" s="716"/>
      <c r="Y110" s="716"/>
      <c r="Z110" s="716"/>
      <c r="AA110" s="574"/>
      <c r="AB110" s="574"/>
      <c r="AC110" s="574"/>
      <c r="AD110" s="574"/>
      <c r="AE110" s="574"/>
      <c r="AF110" s="574"/>
      <c r="AG110" s="574"/>
      <c r="AH110" s="574"/>
    </row>
    <row r="111" spans="1:34">
      <c r="A111" s="716"/>
      <c r="B111" s="716"/>
      <c r="C111" s="716"/>
      <c r="D111" s="716"/>
      <c r="E111" s="716"/>
      <c r="F111" s="716"/>
      <c r="G111" s="716"/>
      <c r="H111" s="716"/>
      <c r="I111" s="716"/>
      <c r="J111" s="716"/>
      <c r="K111" s="716"/>
      <c r="L111" s="716"/>
      <c r="M111" s="716"/>
      <c r="N111" s="716"/>
      <c r="O111" s="716"/>
      <c r="P111" s="716"/>
      <c r="Q111" s="716"/>
      <c r="R111" s="716"/>
      <c r="S111" s="716"/>
      <c r="T111" s="716"/>
      <c r="U111" s="716"/>
      <c r="V111" s="716"/>
      <c r="W111" s="716"/>
      <c r="X111" s="716"/>
      <c r="Y111" s="716"/>
      <c r="Z111" s="716"/>
      <c r="AA111" s="574"/>
      <c r="AB111" s="574"/>
      <c r="AC111" s="574"/>
      <c r="AD111" s="574"/>
      <c r="AE111" s="574"/>
      <c r="AF111" s="574"/>
      <c r="AG111" s="574"/>
      <c r="AH111" s="574"/>
    </row>
    <row r="112" spans="1:34">
      <c r="A112" s="716"/>
      <c r="B112" s="716"/>
      <c r="C112" s="716"/>
      <c r="D112" s="716"/>
      <c r="E112" s="716"/>
      <c r="F112" s="716"/>
      <c r="G112" s="716"/>
      <c r="H112" s="716"/>
      <c r="I112" s="716"/>
      <c r="J112" s="716"/>
      <c r="K112" s="716"/>
      <c r="L112" s="716"/>
      <c r="M112" s="716"/>
      <c r="N112" s="716"/>
      <c r="O112" s="716"/>
      <c r="P112" s="716"/>
      <c r="Q112" s="716"/>
      <c r="R112" s="716"/>
      <c r="S112" s="716"/>
      <c r="T112" s="716"/>
      <c r="U112" s="716"/>
      <c r="V112" s="716"/>
      <c r="W112" s="716"/>
      <c r="X112" s="716"/>
      <c r="Y112" s="716"/>
      <c r="Z112" s="716"/>
      <c r="AA112" s="574"/>
      <c r="AB112" s="574"/>
      <c r="AC112" s="574"/>
      <c r="AD112" s="574"/>
      <c r="AE112" s="574"/>
      <c r="AF112" s="574"/>
      <c r="AG112" s="574"/>
      <c r="AH112" s="574"/>
    </row>
    <row r="113" spans="1:34">
      <c r="A113" s="716"/>
      <c r="B113" s="716"/>
      <c r="C113" s="716"/>
      <c r="D113" s="716"/>
      <c r="E113" s="716"/>
      <c r="F113" s="716"/>
      <c r="G113" s="716"/>
      <c r="H113" s="716"/>
      <c r="I113" s="716"/>
      <c r="J113" s="716"/>
      <c r="K113" s="716"/>
      <c r="L113" s="716"/>
      <c r="M113" s="716"/>
      <c r="N113" s="716"/>
      <c r="O113" s="716"/>
      <c r="P113" s="716"/>
      <c r="Q113" s="716"/>
      <c r="R113" s="716"/>
      <c r="S113" s="716"/>
      <c r="T113" s="716"/>
      <c r="U113" s="716"/>
      <c r="V113" s="716"/>
      <c r="W113" s="716"/>
      <c r="X113" s="716"/>
      <c r="Y113" s="716"/>
      <c r="Z113" s="716"/>
      <c r="AA113" s="574"/>
      <c r="AB113" s="574"/>
      <c r="AC113" s="574"/>
      <c r="AD113" s="574"/>
      <c r="AE113" s="574"/>
      <c r="AF113" s="574"/>
      <c r="AG113" s="574"/>
      <c r="AH113" s="574"/>
    </row>
    <row r="114" spans="1:34">
      <c r="A114" s="716"/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574"/>
      <c r="AB114" s="574"/>
      <c r="AC114" s="574"/>
      <c r="AD114" s="574"/>
      <c r="AE114" s="574"/>
      <c r="AF114" s="574"/>
      <c r="AG114" s="574"/>
      <c r="AH114" s="574"/>
    </row>
    <row r="115" spans="1:34">
      <c r="A115" s="716"/>
      <c r="B115" s="716"/>
      <c r="C115" s="716"/>
      <c r="D115" s="716"/>
      <c r="E115" s="716"/>
      <c r="F115" s="716"/>
      <c r="G115" s="716"/>
      <c r="H115" s="716"/>
      <c r="I115" s="716"/>
      <c r="J115" s="716"/>
      <c r="K115" s="716"/>
      <c r="L115" s="716"/>
      <c r="M115" s="716"/>
      <c r="N115" s="716"/>
      <c r="O115" s="716"/>
      <c r="P115" s="716"/>
      <c r="Q115" s="716"/>
      <c r="R115" s="716"/>
      <c r="S115" s="716"/>
      <c r="T115" s="716"/>
      <c r="U115" s="716"/>
      <c r="V115" s="716"/>
      <c r="W115" s="716"/>
      <c r="X115" s="716"/>
      <c r="Y115" s="716"/>
      <c r="Z115" s="716"/>
      <c r="AA115" s="574"/>
      <c r="AB115" s="574"/>
      <c r="AC115" s="574"/>
      <c r="AD115" s="574"/>
      <c r="AE115" s="574"/>
      <c r="AF115" s="574"/>
      <c r="AG115" s="574"/>
      <c r="AH115" s="574"/>
    </row>
    <row r="116" spans="1:34">
      <c r="A116" s="716"/>
      <c r="B116" s="716"/>
      <c r="C116" s="716"/>
      <c r="D116" s="716"/>
      <c r="E116" s="716"/>
      <c r="F116" s="716"/>
      <c r="G116" s="716"/>
      <c r="H116" s="716"/>
      <c r="I116" s="716"/>
      <c r="J116" s="716"/>
      <c r="K116" s="716"/>
      <c r="L116" s="716"/>
      <c r="M116" s="716"/>
      <c r="N116" s="716"/>
      <c r="O116" s="716"/>
      <c r="P116" s="716"/>
      <c r="Q116" s="716"/>
      <c r="R116" s="716"/>
      <c r="S116" s="716"/>
      <c r="T116" s="716"/>
      <c r="U116" s="716"/>
      <c r="V116" s="716"/>
      <c r="W116" s="716"/>
      <c r="X116" s="716"/>
      <c r="Y116" s="716"/>
      <c r="Z116" s="716"/>
      <c r="AA116" s="574"/>
      <c r="AB116" s="574"/>
      <c r="AC116" s="574"/>
      <c r="AD116" s="574"/>
      <c r="AE116" s="574"/>
      <c r="AF116" s="574"/>
      <c r="AG116" s="574"/>
      <c r="AH116" s="574"/>
    </row>
    <row r="117" spans="1:34">
      <c r="A117" s="716"/>
      <c r="B117" s="716"/>
      <c r="C117" s="716"/>
      <c r="D117" s="716"/>
      <c r="E117" s="716"/>
      <c r="F117" s="716"/>
      <c r="G117" s="716"/>
      <c r="H117" s="716"/>
      <c r="I117" s="716"/>
      <c r="J117" s="716"/>
      <c r="K117" s="716"/>
      <c r="L117" s="716"/>
      <c r="M117" s="716"/>
      <c r="N117" s="716"/>
      <c r="O117" s="716"/>
      <c r="P117" s="716"/>
      <c r="Q117" s="716"/>
      <c r="R117" s="716"/>
      <c r="S117" s="716"/>
      <c r="T117" s="716"/>
      <c r="U117" s="716"/>
      <c r="V117" s="716"/>
      <c r="W117" s="716"/>
      <c r="X117" s="716"/>
      <c r="Y117" s="716"/>
      <c r="Z117" s="716"/>
      <c r="AA117" s="574"/>
      <c r="AB117" s="574"/>
      <c r="AC117" s="574"/>
      <c r="AD117" s="574"/>
      <c r="AE117" s="574"/>
      <c r="AF117" s="574"/>
      <c r="AG117" s="574"/>
      <c r="AH117" s="574"/>
    </row>
    <row r="118" spans="1:34">
      <c r="A118" s="716"/>
      <c r="B118" s="716"/>
      <c r="C118" s="716"/>
      <c r="D118" s="716"/>
      <c r="E118" s="716"/>
      <c r="F118" s="716"/>
      <c r="G118" s="716"/>
      <c r="H118" s="716"/>
      <c r="I118" s="716"/>
      <c r="J118" s="716"/>
      <c r="K118" s="716"/>
      <c r="L118" s="716"/>
      <c r="M118" s="716"/>
      <c r="N118" s="716"/>
      <c r="O118" s="716"/>
      <c r="P118" s="716"/>
      <c r="Q118" s="716"/>
      <c r="R118" s="716"/>
      <c r="S118" s="716"/>
      <c r="T118" s="716"/>
      <c r="U118" s="716"/>
      <c r="V118" s="716"/>
      <c r="W118" s="716"/>
      <c r="X118" s="716"/>
      <c r="Y118" s="716"/>
      <c r="Z118" s="716"/>
      <c r="AA118" s="574"/>
      <c r="AB118" s="574"/>
      <c r="AC118" s="574"/>
      <c r="AD118" s="574"/>
      <c r="AE118" s="574"/>
      <c r="AF118" s="574"/>
      <c r="AG118" s="574"/>
      <c r="AH118" s="574"/>
    </row>
    <row r="119" spans="1:34">
      <c r="A119" s="716"/>
      <c r="B119" s="716"/>
      <c r="C119" s="716"/>
      <c r="D119" s="716"/>
      <c r="E119" s="716"/>
      <c r="F119" s="716"/>
      <c r="G119" s="716"/>
      <c r="H119" s="716"/>
      <c r="I119" s="716"/>
      <c r="J119" s="716"/>
      <c r="K119" s="716"/>
      <c r="L119" s="716"/>
      <c r="M119" s="716"/>
      <c r="N119" s="716"/>
      <c r="O119" s="716"/>
      <c r="P119" s="716"/>
      <c r="Q119" s="716"/>
      <c r="R119" s="716"/>
      <c r="S119" s="716"/>
      <c r="T119" s="716"/>
      <c r="U119" s="716"/>
      <c r="V119" s="716"/>
      <c r="W119" s="716"/>
      <c r="X119" s="716"/>
      <c r="Y119" s="716"/>
      <c r="Z119" s="716"/>
      <c r="AA119" s="574"/>
      <c r="AB119" s="574"/>
      <c r="AC119" s="574"/>
      <c r="AD119" s="574"/>
      <c r="AE119" s="574"/>
      <c r="AF119" s="574"/>
      <c r="AG119" s="574"/>
      <c r="AH119" s="574"/>
    </row>
    <row r="120" spans="1:34">
      <c r="A120" s="716"/>
      <c r="B120" s="716"/>
      <c r="C120" s="716"/>
      <c r="D120" s="716"/>
      <c r="E120" s="716"/>
      <c r="F120" s="716"/>
      <c r="G120" s="716"/>
      <c r="H120" s="716"/>
      <c r="I120" s="716"/>
      <c r="J120" s="716"/>
      <c r="K120" s="716"/>
      <c r="L120" s="716"/>
      <c r="M120" s="716"/>
      <c r="N120" s="716"/>
      <c r="O120" s="716"/>
      <c r="P120" s="716"/>
      <c r="Q120" s="716"/>
      <c r="R120" s="716"/>
      <c r="S120" s="716"/>
      <c r="T120" s="716"/>
      <c r="U120" s="716"/>
      <c r="V120" s="716"/>
      <c r="W120" s="716"/>
      <c r="X120" s="716"/>
      <c r="Y120" s="716"/>
      <c r="Z120" s="716"/>
      <c r="AA120" s="574"/>
      <c r="AB120" s="574"/>
      <c r="AC120" s="574"/>
      <c r="AD120" s="574"/>
      <c r="AE120" s="574"/>
      <c r="AF120" s="574"/>
      <c r="AG120" s="574"/>
      <c r="AH120" s="574"/>
    </row>
    <row r="121" spans="1:34">
      <c r="A121" s="716"/>
      <c r="B121" s="716"/>
      <c r="C121" s="716"/>
      <c r="D121" s="716"/>
      <c r="E121" s="716"/>
      <c r="F121" s="716"/>
      <c r="G121" s="716"/>
      <c r="H121" s="716"/>
      <c r="I121" s="716"/>
      <c r="J121" s="716"/>
      <c r="K121" s="716"/>
      <c r="L121" s="716"/>
      <c r="M121" s="716"/>
      <c r="N121" s="716"/>
      <c r="O121" s="716"/>
      <c r="P121" s="716"/>
      <c r="Q121" s="716"/>
      <c r="R121" s="716"/>
      <c r="S121" s="716"/>
      <c r="T121" s="716"/>
      <c r="U121" s="716"/>
      <c r="V121" s="716"/>
      <c r="W121" s="716"/>
      <c r="X121" s="716"/>
      <c r="Y121" s="716"/>
      <c r="Z121" s="716"/>
      <c r="AA121" s="574"/>
      <c r="AB121" s="574"/>
      <c r="AC121" s="574"/>
      <c r="AD121" s="574"/>
      <c r="AE121" s="574"/>
      <c r="AF121" s="574"/>
      <c r="AG121" s="574"/>
      <c r="AH121" s="574"/>
    </row>
    <row r="122" spans="1:34">
      <c r="A122" s="716"/>
      <c r="B122" s="716"/>
      <c r="C122" s="716"/>
      <c r="D122" s="716"/>
      <c r="E122" s="716"/>
      <c r="F122" s="716"/>
      <c r="G122" s="716"/>
      <c r="H122" s="716"/>
      <c r="I122" s="716"/>
      <c r="J122" s="716"/>
      <c r="K122" s="716"/>
      <c r="L122" s="716"/>
      <c r="M122" s="716"/>
      <c r="N122" s="716"/>
      <c r="O122" s="716"/>
      <c r="P122" s="716"/>
      <c r="Q122" s="716"/>
      <c r="R122" s="716"/>
      <c r="S122" s="716"/>
      <c r="T122" s="716"/>
      <c r="U122" s="716"/>
      <c r="V122" s="716"/>
      <c r="W122" s="716"/>
      <c r="X122" s="716"/>
      <c r="Y122" s="716"/>
      <c r="Z122" s="716"/>
      <c r="AA122" s="574"/>
      <c r="AB122" s="574"/>
      <c r="AC122" s="574"/>
      <c r="AD122" s="574"/>
      <c r="AE122" s="574"/>
      <c r="AF122" s="574"/>
      <c r="AG122" s="574"/>
      <c r="AH122" s="574"/>
    </row>
    <row r="123" spans="1:34">
      <c r="A123" s="716"/>
      <c r="B123" s="716"/>
      <c r="C123" s="716"/>
      <c r="D123" s="716"/>
      <c r="E123" s="716"/>
      <c r="F123" s="716"/>
      <c r="G123" s="716"/>
      <c r="H123" s="716"/>
      <c r="I123" s="716"/>
      <c r="J123" s="716"/>
      <c r="K123" s="716"/>
      <c r="L123" s="716"/>
      <c r="M123" s="716"/>
      <c r="N123" s="716"/>
      <c r="O123" s="716"/>
      <c r="P123" s="716"/>
      <c r="Q123" s="716"/>
      <c r="R123" s="716"/>
      <c r="S123" s="716"/>
      <c r="T123" s="716"/>
      <c r="U123" s="716"/>
      <c r="V123" s="716"/>
      <c r="W123" s="716"/>
      <c r="X123" s="716"/>
      <c r="Y123" s="716"/>
      <c r="Z123" s="716"/>
      <c r="AA123" s="574"/>
      <c r="AB123" s="574"/>
      <c r="AC123" s="574"/>
      <c r="AD123" s="574"/>
      <c r="AE123" s="574"/>
      <c r="AF123" s="574"/>
      <c r="AG123" s="574"/>
      <c r="AH123" s="574"/>
    </row>
    <row r="124" spans="1:34">
      <c r="A124" s="716"/>
      <c r="B124" s="716"/>
      <c r="C124" s="716"/>
      <c r="D124" s="716"/>
      <c r="E124" s="716"/>
      <c r="F124" s="716"/>
      <c r="G124" s="716"/>
      <c r="H124" s="716"/>
      <c r="I124" s="716"/>
      <c r="J124" s="716"/>
      <c r="K124" s="716"/>
      <c r="L124" s="716"/>
      <c r="M124" s="716"/>
      <c r="N124" s="716"/>
      <c r="O124" s="716"/>
      <c r="P124" s="716"/>
      <c r="Q124" s="716"/>
      <c r="R124" s="716"/>
      <c r="S124" s="716"/>
      <c r="T124" s="716"/>
      <c r="U124" s="716"/>
      <c r="V124" s="716"/>
      <c r="W124" s="716"/>
      <c r="X124" s="716"/>
      <c r="Y124" s="716"/>
      <c r="Z124" s="716"/>
      <c r="AA124" s="574"/>
      <c r="AB124" s="574"/>
      <c r="AC124" s="574"/>
      <c r="AD124" s="574"/>
      <c r="AE124" s="574"/>
      <c r="AF124" s="574"/>
      <c r="AG124" s="574"/>
      <c r="AH124" s="574"/>
    </row>
    <row r="125" spans="1:34">
      <c r="A125" s="716"/>
      <c r="B125" s="716"/>
      <c r="C125" s="716"/>
      <c r="D125" s="716"/>
      <c r="E125" s="716"/>
      <c r="F125" s="716"/>
      <c r="G125" s="716"/>
      <c r="H125" s="716"/>
      <c r="I125" s="716"/>
      <c r="J125" s="716"/>
      <c r="K125" s="716"/>
      <c r="L125" s="716"/>
      <c r="M125" s="716"/>
      <c r="N125" s="716"/>
      <c r="O125" s="716"/>
      <c r="P125" s="716"/>
      <c r="Q125" s="716"/>
      <c r="R125" s="716"/>
      <c r="S125" s="716"/>
      <c r="T125" s="716"/>
      <c r="U125" s="716"/>
      <c r="V125" s="716"/>
      <c r="W125" s="716"/>
      <c r="X125" s="716"/>
      <c r="Y125" s="716"/>
      <c r="Z125" s="716"/>
      <c r="AA125" s="574"/>
      <c r="AB125" s="574"/>
      <c r="AC125" s="574"/>
      <c r="AD125" s="574"/>
      <c r="AE125" s="574"/>
      <c r="AF125" s="574"/>
      <c r="AG125" s="574"/>
      <c r="AH125" s="574"/>
    </row>
    <row r="126" spans="1:34">
      <c r="A126" s="716"/>
      <c r="B126" s="716"/>
      <c r="C126" s="716"/>
      <c r="D126" s="716"/>
      <c r="E126" s="716"/>
      <c r="F126" s="716"/>
      <c r="G126" s="716"/>
      <c r="H126" s="716"/>
      <c r="I126" s="716"/>
      <c r="J126" s="716"/>
      <c r="K126" s="716"/>
      <c r="L126" s="716"/>
      <c r="M126" s="716"/>
      <c r="N126" s="716"/>
      <c r="O126" s="716"/>
      <c r="P126" s="716"/>
      <c r="Q126" s="716"/>
      <c r="R126" s="716"/>
      <c r="S126" s="716"/>
      <c r="T126" s="716"/>
      <c r="U126" s="716"/>
      <c r="V126" s="716"/>
      <c r="W126" s="716"/>
      <c r="X126" s="716"/>
      <c r="Y126" s="716"/>
      <c r="Z126" s="716"/>
      <c r="AA126" s="574"/>
      <c r="AB126" s="574"/>
      <c r="AC126" s="574"/>
      <c r="AD126" s="574"/>
      <c r="AE126" s="574"/>
      <c r="AF126" s="574"/>
      <c r="AG126" s="574"/>
      <c r="AH126" s="574"/>
    </row>
    <row r="127" spans="1:34">
      <c r="A127" s="716"/>
      <c r="B127" s="716"/>
      <c r="C127" s="716"/>
      <c r="D127" s="716"/>
      <c r="E127" s="716"/>
      <c r="F127" s="716"/>
      <c r="G127" s="716"/>
      <c r="H127" s="716"/>
      <c r="I127" s="716"/>
      <c r="J127" s="716"/>
      <c r="K127" s="716"/>
      <c r="L127" s="716"/>
      <c r="M127" s="716"/>
      <c r="N127" s="716"/>
      <c r="O127" s="716"/>
      <c r="P127" s="716"/>
      <c r="Q127" s="716"/>
      <c r="R127" s="716"/>
      <c r="S127" s="716"/>
      <c r="T127" s="716"/>
      <c r="U127" s="716"/>
      <c r="V127" s="716"/>
      <c r="W127" s="716"/>
      <c r="X127" s="716"/>
      <c r="Y127" s="716"/>
      <c r="Z127" s="716"/>
      <c r="AA127" s="574"/>
      <c r="AB127" s="574"/>
      <c r="AC127" s="574"/>
      <c r="AD127" s="574"/>
      <c r="AE127" s="574"/>
      <c r="AF127" s="574"/>
      <c r="AG127" s="574"/>
      <c r="AH127" s="574"/>
    </row>
    <row r="128" spans="1:34">
      <c r="A128" s="716"/>
      <c r="B128" s="716"/>
      <c r="C128" s="716"/>
      <c r="D128" s="716"/>
      <c r="E128" s="716"/>
      <c r="F128" s="716"/>
      <c r="G128" s="716"/>
      <c r="H128" s="716"/>
      <c r="I128" s="716"/>
      <c r="J128" s="716"/>
      <c r="K128" s="716"/>
      <c r="L128" s="716"/>
      <c r="M128" s="716"/>
      <c r="N128" s="716"/>
      <c r="O128" s="716"/>
      <c r="P128" s="716"/>
      <c r="Q128" s="716"/>
      <c r="R128" s="716"/>
      <c r="S128" s="716"/>
      <c r="T128" s="716"/>
      <c r="U128" s="716"/>
      <c r="V128" s="716"/>
      <c r="W128" s="716"/>
      <c r="X128" s="716"/>
      <c r="Y128" s="716"/>
      <c r="Z128" s="716"/>
      <c r="AA128" s="574"/>
      <c r="AB128" s="574"/>
      <c r="AC128" s="574"/>
      <c r="AD128" s="574"/>
      <c r="AE128" s="574"/>
      <c r="AF128" s="574"/>
      <c r="AG128" s="574"/>
      <c r="AH128" s="574"/>
    </row>
    <row r="129" spans="1:34">
      <c r="A129" s="716"/>
      <c r="B129" s="716"/>
      <c r="C129" s="716"/>
      <c r="D129" s="716"/>
      <c r="E129" s="716"/>
      <c r="F129" s="716"/>
      <c r="G129" s="716"/>
      <c r="H129" s="716"/>
      <c r="I129" s="716"/>
      <c r="J129" s="716"/>
      <c r="K129" s="716"/>
      <c r="L129" s="716"/>
      <c r="M129" s="716"/>
      <c r="N129" s="716"/>
      <c r="O129" s="716"/>
      <c r="P129" s="716"/>
      <c r="Q129" s="716"/>
      <c r="R129" s="716"/>
      <c r="S129" s="716"/>
      <c r="T129" s="716"/>
      <c r="U129" s="716"/>
      <c r="V129" s="716"/>
      <c r="W129" s="716"/>
      <c r="X129" s="716"/>
      <c r="Y129" s="716"/>
      <c r="Z129" s="716"/>
      <c r="AA129" s="574"/>
      <c r="AB129" s="574"/>
      <c r="AC129" s="574"/>
      <c r="AD129" s="574"/>
      <c r="AE129" s="574"/>
      <c r="AF129" s="574"/>
      <c r="AG129" s="574"/>
      <c r="AH129" s="574"/>
    </row>
    <row r="130" spans="1:34">
      <c r="A130" s="716"/>
      <c r="B130" s="716"/>
      <c r="C130" s="716"/>
      <c r="D130" s="716"/>
      <c r="E130" s="716"/>
      <c r="F130" s="716"/>
      <c r="G130" s="716"/>
      <c r="H130" s="716"/>
      <c r="I130" s="716"/>
      <c r="J130" s="716"/>
      <c r="K130" s="716"/>
      <c r="L130" s="716"/>
      <c r="M130" s="716"/>
      <c r="N130" s="716"/>
      <c r="O130" s="716"/>
      <c r="P130" s="716"/>
      <c r="Q130" s="716"/>
      <c r="R130" s="716"/>
      <c r="S130" s="716"/>
      <c r="T130" s="716"/>
      <c r="U130" s="716"/>
      <c r="V130" s="716"/>
      <c r="W130" s="716"/>
      <c r="X130" s="716"/>
      <c r="Y130" s="716"/>
      <c r="Z130" s="716"/>
      <c r="AA130" s="574"/>
      <c r="AB130" s="574"/>
      <c r="AC130" s="574"/>
      <c r="AD130" s="574"/>
      <c r="AE130" s="574"/>
      <c r="AF130" s="574"/>
      <c r="AG130" s="574"/>
      <c r="AH130" s="574"/>
    </row>
    <row r="131" spans="1:34">
      <c r="A131" s="716"/>
      <c r="B131" s="716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  <c r="AA131" s="574"/>
      <c r="AB131" s="574"/>
      <c r="AC131" s="574"/>
      <c r="AD131" s="574"/>
      <c r="AE131" s="574"/>
      <c r="AF131" s="574"/>
      <c r="AG131" s="574"/>
      <c r="AH131" s="574"/>
    </row>
    <row r="132" spans="1:34">
      <c r="A132" s="716"/>
      <c r="B132" s="716"/>
      <c r="C132" s="716"/>
      <c r="D132" s="716"/>
      <c r="E132" s="716"/>
      <c r="F132" s="716"/>
      <c r="G132" s="716"/>
      <c r="H132" s="716"/>
      <c r="I132" s="716"/>
      <c r="J132" s="716"/>
      <c r="K132" s="716"/>
      <c r="L132" s="716"/>
      <c r="M132" s="716"/>
      <c r="N132" s="716"/>
      <c r="O132" s="716"/>
      <c r="P132" s="716"/>
      <c r="Q132" s="716"/>
      <c r="R132" s="716"/>
      <c r="S132" s="716"/>
      <c r="T132" s="716"/>
      <c r="U132" s="716"/>
      <c r="V132" s="716"/>
      <c r="W132" s="716"/>
      <c r="X132" s="716"/>
      <c r="Y132" s="716"/>
      <c r="Z132" s="716"/>
      <c r="AA132" s="574"/>
      <c r="AB132" s="574"/>
      <c r="AC132" s="574"/>
      <c r="AD132" s="574"/>
      <c r="AE132" s="574"/>
      <c r="AF132" s="574"/>
      <c r="AG132" s="574"/>
      <c r="AH132" s="574"/>
    </row>
    <row r="133" spans="1:34">
      <c r="A133" s="716"/>
      <c r="B133" s="716"/>
      <c r="C133" s="716"/>
      <c r="D133" s="716"/>
      <c r="E133" s="716"/>
      <c r="F133" s="716"/>
      <c r="G133" s="716"/>
      <c r="H133" s="716"/>
      <c r="I133" s="716"/>
      <c r="J133" s="716"/>
      <c r="K133" s="716"/>
      <c r="L133" s="716"/>
      <c r="M133" s="716"/>
      <c r="N133" s="716"/>
      <c r="O133" s="716"/>
      <c r="P133" s="716"/>
      <c r="Q133" s="716"/>
      <c r="R133" s="716"/>
      <c r="S133" s="716"/>
      <c r="T133" s="716"/>
      <c r="U133" s="716"/>
      <c r="V133" s="716"/>
      <c r="W133" s="716"/>
      <c r="X133" s="716"/>
      <c r="Y133" s="716"/>
      <c r="Z133" s="716"/>
      <c r="AA133" s="574"/>
      <c r="AB133" s="574"/>
      <c r="AC133" s="574"/>
      <c r="AD133" s="574"/>
      <c r="AE133" s="574"/>
      <c r="AF133" s="574"/>
      <c r="AG133" s="574"/>
      <c r="AH133" s="574"/>
    </row>
    <row r="134" spans="1:34">
      <c r="A134" s="716"/>
      <c r="B134" s="716"/>
      <c r="C134" s="716"/>
      <c r="D134" s="716"/>
      <c r="E134" s="716"/>
      <c r="F134" s="716"/>
      <c r="G134" s="716"/>
      <c r="H134" s="716"/>
      <c r="I134" s="716"/>
      <c r="J134" s="716"/>
      <c r="K134" s="716"/>
      <c r="L134" s="716"/>
      <c r="M134" s="716"/>
      <c r="N134" s="716"/>
      <c r="O134" s="716"/>
      <c r="P134" s="716"/>
      <c r="Q134" s="716"/>
      <c r="R134" s="716"/>
      <c r="S134" s="716"/>
      <c r="T134" s="716"/>
      <c r="U134" s="716"/>
      <c r="V134" s="716"/>
      <c r="W134" s="716"/>
      <c r="X134" s="716"/>
      <c r="Y134" s="716"/>
      <c r="Z134" s="716"/>
      <c r="AA134" s="574"/>
      <c r="AB134" s="574"/>
      <c r="AC134" s="574"/>
      <c r="AD134" s="574"/>
      <c r="AE134" s="574"/>
      <c r="AF134" s="574"/>
      <c r="AG134" s="574"/>
      <c r="AH134" s="574"/>
    </row>
    <row r="135" spans="1:34">
      <c r="A135" s="716"/>
      <c r="B135" s="716"/>
      <c r="C135" s="716"/>
      <c r="D135" s="716"/>
      <c r="E135" s="716"/>
      <c r="F135" s="716"/>
      <c r="G135" s="716"/>
      <c r="H135" s="716"/>
      <c r="I135" s="716"/>
      <c r="J135" s="716"/>
      <c r="K135" s="716"/>
      <c r="L135" s="716"/>
      <c r="M135" s="716"/>
      <c r="N135" s="716"/>
      <c r="O135" s="716"/>
      <c r="P135" s="716"/>
      <c r="Q135" s="716"/>
      <c r="R135" s="716"/>
      <c r="S135" s="716"/>
      <c r="T135" s="716"/>
      <c r="U135" s="716"/>
      <c r="V135" s="716"/>
      <c r="W135" s="716"/>
      <c r="X135" s="716"/>
      <c r="Y135" s="716"/>
      <c r="Z135" s="716"/>
      <c r="AA135" s="574"/>
      <c r="AB135" s="574"/>
      <c r="AC135" s="574"/>
      <c r="AD135" s="574"/>
      <c r="AE135" s="574"/>
      <c r="AF135" s="574"/>
      <c r="AG135" s="574"/>
      <c r="AH135" s="574"/>
    </row>
    <row r="136" spans="1:34">
      <c r="A136" s="716"/>
      <c r="B136" s="716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  <c r="AA136" s="574"/>
      <c r="AB136" s="574"/>
      <c r="AC136" s="574"/>
      <c r="AD136" s="574"/>
      <c r="AE136" s="574"/>
      <c r="AF136" s="574"/>
      <c r="AG136" s="574"/>
      <c r="AH136" s="574"/>
    </row>
    <row r="137" spans="1:34">
      <c r="A137" s="716"/>
      <c r="B137" s="716"/>
      <c r="C137" s="716"/>
      <c r="D137" s="716"/>
      <c r="E137" s="716"/>
      <c r="F137" s="716"/>
      <c r="G137" s="716"/>
      <c r="H137" s="716"/>
      <c r="I137" s="716"/>
      <c r="J137" s="716"/>
      <c r="K137" s="716"/>
      <c r="L137" s="716"/>
      <c r="M137" s="716"/>
      <c r="N137" s="716"/>
      <c r="O137" s="716"/>
      <c r="P137" s="716"/>
      <c r="Q137" s="716"/>
      <c r="R137" s="716"/>
      <c r="S137" s="716"/>
      <c r="T137" s="716"/>
      <c r="U137" s="716"/>
      <c r="V137" s="716"/>
      <c r="W137" s="716"/>
      <c r="X137" s="716"/>
      <c r="Y137" s="716"/>
      <c r="Z137" s="716"/>
      <c r="AA137" s="574"/>
      <c r="AB137" s="574"/>
      <c r="AC137" s="574"/>
      <c r="AD137" s="574"/>
      <c r="AE137" s="574"/>
      <c r="AF137" s="574"/>
      <c r="AG137" s="574"/>
      <c r="AH137" s="574"/>
    </row>
    <row r="138" spans="1:34">
      <c r="A138" s="716"/>
      <c r="B138" s="716"/>
      <c r="C138" s="716"/>
      <c r="D138" s="716"/>
      <c r="E138" s="716"/>
      <c r="F138" s="716"/>
      <c r="G138" s="716"/>
      <c r="H138" s="716"/>
      <c r="I138" s="716"/>
      <c r="J138" s="716"/>
      <c r="K138" s="716"/>
      <c r="L138" s="716"/>
      <c r="M138" s="716"/>
      <c r="N138" s="716"/>
      <c r="O138" s="716"/>
      <c r="P138" s="716"/>
      <c r="Q138" s="716"/>
      <c r="R138" s="716"/>
      <c r="S138" s="716"/>
      <c r="T138" s="716"/>
      <c r="U138" s="716"/>
      <c r="V138" s="716"/>
      <c r="W138" s="716"/>
      <c r="X138" s="716"/>
      <c r="Y138" s="716"/>
      <c r="Z138" s="716"/>
      <c r="AA138" s="574"/>
      <c r="AB138" s="574"/>
      <c r="AC138" s="574"/>
      <c r="AD138" s="574"/>
      <c r="AE138" s="574"/>
      <c r="AF138" s="574"/>
      <c r="AG138" s="574"/>
      <c r="AH138" s="574"/>
    </row>
    <row r="139" spans="1:34">
      <c r="A139" s="716"/>
      <c r="B139" s="716"/>
      <c r="C139" s="716"/>
      <c r="D139" s="716"/>
      <c r="E139" s="716"/>
      <c r="F139" s="716"/>
      <c r="G139" s="716"/>
      <c r="H139" s="716"/>
      <c r="I139" s="716"/>
      <c r="J139" s="716"/>
      <c r="K139" s="716"/>
      <c r="L139" s="716"/>
      <c r="M139" s="716"/>
      <c r="N139" s="716"/>
      <c r="O139" s="716"/>
      <c r="P139" s="716"/>
      <c r="Q139" s="716"/>
      <c r="R139" s="716"/>
      <c r="S139" s="716"/>
      <c r="T139" s="716"/>
      <c r="U139" s="716"/>
      <c r="V139" s="716"/>
      <c r="W139" s="716"/>
      <c r="X139" s="716"/>
      <c r="Y139" s="716"/>
      <c r="Z139" s="716"/>
      <c r="AA139" s="574"/>
      <c r="AB139" s="574"/>
      <c r="AC139" s="574"/>
      <c r="AD139" s="574"/>
      <c r="AE139" s="574"/>
      <c r="AF139" s="574"/>
      <c r="AG139" s="574"/>
      <c r="AH139" s="574"/>
    </row>
    <row r="140" spans="1:34">
      <c r="A140" s="716"/>
      <c r="B140" s="716"/>
      <c r="C140" s="716"/>
      <c r="D140" s="716"/>
      <c r="E140" s="716"/>
      <c r="F140" s="716"/>
      <c r="G140" s="716"/>
      <c r="H140" s="716"/>
      <c r="I140" s="716"/>
      <c r="J140" s="716"/>
      <c r="K140" s="716"/>
      <c r="L140" s="716"/>
      <c r="M140" s="716"/>
      <c r="N140" s="716"/>
      <c r="O140" s="716"/>
      <c r="P140" s="716"/>
      <c r="Q140" s="716"/>
      <c r="R140" s="716"/>
      <c r="S140" s="716"/>
      <c r="T140" s="716"/>
      <c r="U140" s="716"/>
      <c r="V140" s="716"/>
      <c r="W140" s="716"/>
      <c r="X140" s="716"/>
      <c r="Y140" s="716"/>
      <c r="Z140" s="716"/>
      <c r="AA140" s="574"/>
      <c r="AB140" s="574"/>
      <c r="AC140" s="574"/>
      <c r="AD140" s="574"/>
      <c r="AE140" s="574"/>
      <c r="AF140" s="574"/>
      <c r="AG140" s="574"/>
      <c r="AH140" s="574"/>
    </row>
    <row r="141" spans="1:34">
      <c r="A141" s="716"/>
      <c r="B141" s="716"/>
      <c r="C141" s="716"/>
      <c r="D141" s="716"/>
      <c r="E141" s="716"/>
      <c r="F141" s="716"/>
      <c r="G141" s="716"/>
      <c r="H141" s="716"/>
      <c r="I141" s="716"/>
      <c r="J141" s="716"/>
      <c r="K141" s="716"/>
      <c r="L141" s="716"/>
      <c r="M141" s="716"/>
      <c r="N141" s="716"/>
      <c r="O141" s="716"/>
      <c r="P141" s="716"/>
      <c r="Q141" s="716"/>
      <c r="R141" s="716"/>
      <c r="S141" s="716"/>
      <c r="T141" s="716"/>
      <c r="U141" s="716"/>
      <c r="V141" s="716"/>
      <c r="W141" s="716"/>
      <c r="X141" s="716"/>
      <c r="Y141" s="716"/>
      <c r="Z141" s="716"/>
      <c r="AA141" s="574"/>
      <c r="AB141" s="574"/>
      <c r="AC141" s="574"/>
      <c r="AD141" s="574"/>
      <c r="AE141" s="574"/>
      <c r="AF141" s="574"/>
      <c r="AG141" s="574"/>
      <c r="AH141" s="574"/>
    </row>
    <row r="142" spans="1:34">
      <c r="A142" s="716"/>
      <c r="B142" s="716"/>
      <c r="C142" s="716"/>
      <c r="D142" s="716"/>
      <c r="E142" s="716"/>
      <c r="F142" s="716"/>
      <c r="G142" s="716"/>
      <c r="H142" s="716"/>
      <c r="I142" s="716"/>
      <c r="J142" s="716"/>
      <c r="K142" s="716"/>
      <c r="L142" s="716"/>
      <c r="M142" s="716"/>
      <c r="N142" s="716"/>
      <c r="O142" s="716"/>
      <c r="P142" s="716"/>
      <c r="Q142" s="716"/>
      <c r="R142" s="716"/>
      <c r="S142" s="716"/>
      <c r="T142" s="716"/>
      <c r="U142" s="716"/>
      <c r="V142" s="716"/>
      <c r="W142" s="716"/>
      <c r="X142" s="716"/>
      <c r="Y142" s="716"/>
      <c r="Z142" s="716"/>
      <c r="AA142" s="574"/>
      <c r="AB142" s="574"/>
      <c r="AC142" s="574"/>
      <c r="AD142" s="574"/>
      <c r="AE142" s="574"/>
      <c r="AF142" s="574"/>
      <c r="AG142" s="574"/>
      <c r="AH142" s="574"/>
    </row>
    <row r="143" spans="1:34">
      <c r="A143" s="716"/>
      <c r="B143" s="716"/>
      <c r="C143" s="716"/>
      <c r="D143" s="716"/>
      <c r="E143" s="716"/>
      <c r="F143" s="716"/>
      <c r="G143" s="716"/>
      <c r="H143" s="716"/>
      <c r="I143" s="716"/>
      <c r="J143" s="716"/>
      <c r="K143" s="716"/>
      <c r="L143" s="716"/>
      <c r="M143" s="716"/>
      <c r="N143" s="716"/>
      <c r="O143" s="716"/>
      <c r="P143" s="716"/>
      <c r="Q143" s="716"/>
      <c r="R143" s="716"/>
      <c r="S143" s="716"/>
      <c r="T143" s="716"/>
      <c r="U143" s="716"/>
      <c r="V143" s="716"/>
      <c r="W143" s="716"/>
      <c r="X143" s="716"/>
      <c r="Y143" s="716"/>
      <c r="Z143" s="716"/>
      <c r="AA143" s="574"/>
      <c r="AB143" s="574"/>
      <c r="AC143" s="574"/>
      <c r="AD143" s="574"/>
      <c r="AE143" s="574"/>
      <c r="AF143" s="574"/>
      <c r="AG143" s="574"/>
      <c r="AH143" s="574"/>
    </row>
    <row r="144" spans="1:34">
      <c r="A144" s="716"/>
      <c r="B144" s="716"/>
      <c r="C144" s="716"/>
      <c r="D144" s="716"/>
      <c r="E144" s="716"/>
      <c r="F144" s="716"/>
      <c r="G144" s="716"/>
      <c r="H144" s="716"/>
      <c r="I144" s="716"/>
      <c r="J144" s="716"/>
      <c r="K144" s="716"/>
      <c r="L144" s="716"/>
      <c r="M144" s="716"/>
      <c r="N144" s="716"/>
      <c r="O144" s="716"/>
      <c r="P144" s="716"/>
      <c r="Q144" s="716"/>
      <c r="R144" s="716"/>
      <c r="S144" s="716"/>
      <c r="T144" s="716"/>
      <c r="U144" s="716"/>
      <c r="V144" s="716"/>
      <c r="W144" s="716"/>
      <c r="X144" s="716"/>
      <c r="Y144" s="716"/>
      <c r="Z144" s="716"/>
      <c r="AA144" s="574"/>
      <c r="AB144" s="574"/>
      <c r="AC144" s="574"/>
      <c r="AD144" s="574"/>
      <c r="AE144" s="574"/>
      <c r="AF144" s="574"/>
      <c r="AG144" s="574"/>
      <c r="AH144" s="574"/>
    </row>
    <row r="145" spans="1:34">
      <c r="A145" s="716"/>
      <c r="B145" s="716"/>
      <c r="C145" s="716"/>
      <c r="D145" s="716"/>
      <c r="E145" s="716"/>
      <c r="F145" s="716"/>
      <c r="G145" s="716"/>
      <c r="H145" s="716"/>
      <c r="I145" s="716"/>
      <c r="J145" s="716"/>
      <c r="K145" s="716"/>
      <c r="L145" s="716"/>
      <c r="M145" s="716"/>
      <c r="N145" s="716"/>
      <c r="O145" s="716"/>
      <c r="P145" s="716"/>
      <c r="Q145" s="716"/>
      <c r="R145" s="716"/>
      <c r="S145" s="716"/>
      <c r="T145" s="716"/>
      <c r="U145" s="716"/>
      <c r="V145" s="716"/>
      <c r="W145" s="716"/>
      <c r="X145" s="716"/>
      <c r="Y145" s="716"/>
      <c r="Z145" s="716"/>
      <c r="AA145" s="574"/>
      <c r="AB145" s="574"/>
      <c r="AC145" s="574"/>
      <c r="AD145" s="574"/>
      <c r="AE145" s="574"/>
      <c r="AF145" s="574"/>
      <c r="AG145" s="574"/>
      <c r="AH145" s="574"/>
    </row>
    <row r="146" spans="1:34">
      <c r="A146" s="716"/>
      <c r="B146" s="716"/>
      <c r="C146" s="716"/>
      <c r="D146" s="716"/>
      <c r="E146" s="716"/>
      <c r="F146" s="716"/>
      <c r="G146" s="716"/>
      <c r="H146" s="716"/>
      <c r="I146" s="716"/>
      <c r="J146" s="716"/>
      <c r="K146" s="716"/>
      <c r="L146" s="716"/>
      <c r="M146" s="716"/>
      <c r="N146" s="716"/>
      <c r="O146" s="716"/>
      <c r="P146" s="716"/>
      <c r="Q146" s="716"/>
      <c r="R146" s="716"/>
      <c r="S146" s="716"/>
      <c r="T146" s="716"/>
      <c r="U146" s="716"/>
      <c r="V146" s="716"/>
      <c r="W146" s="716"/>
      <c r="X146" s="716"/>
      <c r="Y146" s="716"/>
      <c r="Z146" s="716"/>
      <c r="AA146" s="574"/>
      <c r="AB146" s="574"/>
      <c r="AC146" s="574"/>
      <c r="AD146" s="574"/>
      <c r="AE146" s="574"/>
      <c r="AF146" s="574"/>
      <c r="AG146" s="574"/>
      <c r="AH146" s="574"/>
    </row>
    <row r="147" spans="1:34">
      <c r="A147" s="716"/>
      <c r="B147" s="716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  <c r="AA147" s="574"/>
      <c r="AB147" s="574"/>
      <c r="AC147" s="574"/>
      <c r="AD147" s="574"/>
      <c r="AE147" s="574"/>
      <c r="AF147" s="574"/>
      <c r="AG147" s="574"/>
      <c r="AH147" s="574"/>
    </row>
    <row r="148" spans="1:34">
      <c r="A148" s="716"/>
      <c r="B148" s="716"/>
      <c r="C148" s="716"/>
      <c r="D148" s="716"/>
      <c r="E148" s="716"/>
      <c r="F148" s="716"/>
      <c r="G148" s="716"/>
      <c r="H148" s="716"/>
      <c r="I148" s="716"/>
      <c r="J148" s="716"/>
      <c r="K148" s="716"/>
      <c r="L148" s="716"/>
      <c r="M148" s="716"/>
      <c r="N148" s="716"/>
      <c r="O148" s="716"/>
      <c r="P148" s="716"/>
      <c r="Q148" s="716"/>
      <c r="R148" s="716"/>
      <c r="S148" s="716"/>
      <c r="T148" s="716"/>
      <c r="U148" s="716"/>
      <c r="V148" s="716"/>
      <c r="W148" s="716"/>
      <c r="X148" s="716"/>
      <c r="Y148" s="716"/>
      <c r="Z148" s="716"/>
      <c r="AA148" s="574"/>
      <c r="AB148" s="574"/>
      <c r="AC148" s="574"/>
      <c r="AD148" s="574"/>
      <c r="AE148" s="574"/>
      <c r="AF148" s="574"/>
      <c r="AG148" s="574"/>
      <c r="AH148" s="574"/>
    </row>
    <row r="149" spans="1:34">
      <c r="A149" s="716"/>
      <c r="B149" s="716"/>
      <c r="C149" s="716"/>
      <c r="D149" s="716"/>
      <c r="E149" s="716"/>
      <c r="F149" s="716"/>
      <c r="G149" s="716"/>
      <c r="H149" s="716"/>
      <c r="I149" s="716"/>
      <c r="J149" s="716"/>
      <c r="K149" s="716"/>
      <c r="L149" s="716"/>
      <c r="M149" s="716"/>
      <c r="N149" s="716"/>
      <c r="O149" s="716"/>
      <c r="P149" s="716"/>
      <c r="Q149" s="716"/>
      <c r="R149" s="716"/>
      <c r="S149" s="716"/>
      <c r="T149" s="716"/>
      <c r="U149" s="716"/>
      <c r="V149" s="716"/>
      <c r="W149" s="716"/>
      <c r="X149" s="716"/>
      <c r="Y149" s="716"/>
      <c r="Z149" s="716"/>
      <c r="AA149" s="574"/>
      <c r="AB149" s="574"/>
      <c r="AC149" s="574"/>
      <c r="AD149" s="574"/>
      <c r="AE149" s="574"/>
      <c r="AF149" s="574"/>
      <c r="AG149" s="574"/>
      <c r="AH149" s="574"/>
    </row>
    <row r="150" spans="1:34">
      <c r="A150" s="716"/>
      <c r="B150" s="716"/>
      <c r="C150" s="716"/>
      <c r="D150" s="716"/>
      <c r="E150" s="716"/>
      <c r="F150" s="716"/>
      <c r="G150" s="716"/>
      <c r="H150" s="716"/>
      <c r="I150" s="716"/>
      <c r="J150" s="716"/>
      <c r="K150" s="716"/>
      <c r="L150" s="716"/>
      <c r="M150" s="716"/>
      <c r="N150" s="716"/>
      <c r="O150" s="716"/>
      <c r="P150" s="716"/>
      <c r="Q150" s="716"/>
      <c r="R150" s="716"/>
      <c r="S150" s="716"/>
      <c r="T150" s="716"/>
      <c r="U150" s="716"/>
      <c r="V150" s="716"/>
      <c r="W150" s="716"/>
      <c r="X150" s="716"/>
      <c r="Y150" s="716"/>
      <c r="Z150" s="716"/>
      <c r="AA150" s="574"/>
      <c r="AB150" s="574"/>
      <c r="AC150" s="574"/>
      <c r="AD150" s="574"/>
      <c r="AE150" s="574"/>
      <c r="AF150" s="574"/>
      <c r="AG150" s="574"/>
      <c r="AH150" s="574"/>
    </row>
    <row r="151" spans="1:34">
      <c r="A151" s="716"/>
      <c r="B151" s="716"/>
      <c r="C151" s="716"/>
      <c r="D151" s="716"/>
      <c r="E151" s="716"/>
      <c r="F151" s="716"/>
      <c r="G151" s="716"/>
      <c r="H151" s="716"/>
      <c r="I151" s="716"/>
      <c r="J151" s="716"/>
      <c r="K151" s="716"/>
      <c r="L151" s="716"/>
      <c r="M151" s="716"/>
      <c r="N151" s="716"/>
      <c r="O151" s="716"/>
      <c r="P151" s="716"/>
      <c r="Q151" s="716"/>
      <c r="R151" s="716"/>
      <c r="S151" s="716"/>
      <c r="T151" s="716"/>
      <c r="U151" s="716"/>
      <c r="V151" s="716"/>
      <c r="W151" s="716"/>
      <c r="X151" s="716"/>
      <c r="Y151" s="716"/>
      <c r="Z151" s="716"/>
      <c r="AA151" s="574"/>
      <c r="AB151" s="574"/>
      <c r="AC151" s="574"/>
      <c r="AD151" s="574"/>
      <c r="AE151" s="574"/>
      <c r="AF151" s="574"/>
      <c r="AG151" s="574"/>
      <c r="AH151" s="574"/>
    </row>
    <row r="152" spans="1:34">
      <c r="A152" s="716"/>
      <c r="B152" s="716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  <c r="AA152" s="574"/>
      <c r="AB152" s="574"/>
      <c r="AC152" s="574"/>
      <c r="AD152" s="574"/>
      <c r="AE152" s="574"/>
      <c r="AF152" s="574"/>
      <c r="AG152" s="574"/>
      <c r="AH152" s="574"/>
    </row>
    <row r="153" spans="1:34">
      <c r="A153" s="716"/>
      <c r="B153" s="716"/>
      <c r="C153" s="716"/>
      <c r="D153" s="716"/>
      <c r="E153" s="716"/>
      <c r="F153" s="716"/>
      <c r="G153" s="716"/>
      <c r="H153" s="716"/>
      <c r="I153" s="716"/>
      <c r="J153" s="716"/>
      <c r="K153" s="716"/>
      <c r="L153" s="716"/>
      <c r="M153" s="716"/>
      <c r="N153" s="716"/>
      <c r="O153" s="716"/>
      <c r="P153" s="716"/>
      <c r="Q153" s="716"/>
      <c r="R153" s="716"/>
      <c r="S153" s="716"/>
      <c r="T153" s="716"/>
      <c r="U153" s="716"/>
      <c r="V153" s="716"/>
      <c r="W153" s="716"/>
      <c r="X153" s="716"/>
      <c r="Y153" s="716"/>
      <c r="Z153" s="716"/>
      <c r="AA153" s="574"/>
      <c r="AB153" s="574"/>
      <c r="AC153" s="574"/>
      <c r="AD153" s="574"/>
      <c r="AE153" s="574"/>
      <c r="AF153" s="574"/>
      <c r="AG153" s="574"/>
      <c r="AH153" s="574"/>
    </row>
    <row r="154" spans="1:34">
      <c r="A154" s="716"/>
      <c r="B154" s="716"/>
      <c r="C154" s="716"/>
      <c r="D154" s="716"/>
      <c r="E154" s="716"/>
      <c r="F154" s="716"/>
      <c r="G154" s="716"/>
      <c r="H154" s="716"/>
      <c r="I154" s="716"/>
      <c r="J154" s="716"/>
      <c r="K154" s="716"/>
      <c r="L154" s="716"/>
      <c r="M154" s="716"/>
      <c r="N154" s="716"/>
      <c r="O154" s="716"/>
      <c r="P154" s="716"/>
      <c r="Q154" s="716"/>
      <c r="R154" s="716"/>
      <c r="S154" s="716"/>
      <c r="T154" s="716"/>
      <c r="U154" s="716"/>
      <c r="V154" s="716"/>
      <c r="W154" s="716"/>
      <c r="X154" s="716"/>
      <c r="Y154" s="716"/>
      <c r="Z154" s="716"/>
      <c r="AA154" s="574"/>
      <c r="AB154" s="574"/>
      <c r="AC154" s="574"/>
      <c r="AD154" s="574"/>
      <c r="AE154" s="574"/>
      <c r="AF154" s="574"/>
      <c r="AG154" s="574"/>
      <c r="AH154" s="574"/>
    </row>
    <row r="155" spans="1:34">
      <c r="A155" s="716"/>
      <c r="B155" s="716"/>
      <c r="C155" s="716"/>
      <c r="D155" s="716"/>
      <c r="E155" s="716"/>
      <c r="F155" s="716"/>
      <c r="G155" s="716"/>
      <c r="H155" s="716"/>
      <c r="I155" s="716"/>
      <c r="J155" s="716"/>
      <c r="K155" s="716"/>
      <c r="L155" s="716"/>
      <c r="M155" s="716"/>
      <c r="N155" s="716"/>
      <c r="O155" s="716"/>
      <c r="P155" s="716"/>
      <c r="Q155" s="716"/>
      <c r="R155" s="716"/>
      <c r="S155" s="716"/>
      <c r="T155" s="716"/>
      <c r="U155" s="716"/>
      <c r="V155" s="716"/>
      <c r="W155" s="716"/>
      <c r="X155" s="716"/>
      <c r="Y155" s="716"/>
      <c r="Z155" s="716"/>
      <c r="AA155" s="574"/>
      <c r="AB155" s="574"/>
      <c r="AC155" s="574"/>
      <c r="AD155" s="574"/>
      <c r="AE155" s="574"/>
      <c r="AF155" s="574"/>
      <c r="AG155" s="574"/>
      <c r="AH155" s="574"/>
    </row>
    <row r="156" spans="1:34">
      <c r="A156" s="716"/>
      <c r="B156" s="716"/>
      <c r="C156" s="716"/>
      <c r="D156" s="716"/>
      <c r="E156" s="716"/>
      <c r="F156" s="716"/>
      <c r="G156" s="716"/>
      <c r="H156" s="716"/>
      <c r="I156" s="716"/>
      <c r="J156" s="716"/>
      <c r="K156" s="716"/>
      <c r="L156" s="716"/>
      <c r="M156" s="716"/>
      <c r="N156" s="716"/>
      <c r="O156" s="716"/>
      <c r="P156" s="716"/>
      <c r="Q156" s="716"/>
      <c r="R156" s="716"/>
      <c r="S156" s="716"/>
      <c r="T156" s="716"/>
      <c r="U156" s="716"/>
      <c r="V156" s="716"/>
      <c r="W156" s="716"/>
      <c r="X156" s="716"/>
      <c r="Y156" s="716"/>
      <c r="Z156" s="716"/>
      <c r="AA156" s="574"/>
      <c r="AB156" s="574"/>
      <c r="AC156" s="574"/>
      <c r="AD156" s="574"/>
      <c r="AE156" s="574"/>
      <c r="AF156" s="574"/>
      <c r="AG156" s="574"/>
      <c r="AH156" s="574"/>
    </row>
    <row r="157" spans="1:34">
      <c r="A157" s="716"/>
      <c r="B157" s="716"/>
      <c r="C157" s="716"/>
      <c r="D157" s="716"/>
      <c r="E157" s="716"/>
      <c r="F157" s="716"/>
      <c r="G157" s="716"/>
      <c r="H157" s="716"/>
      <c r="I157" s="716"/>
      <c r="J157" s="716"/>
      <c r="K157" s="716"/>
      <c r="L157" s="716"/>
      <c r="M157" s="716"/>
      <c r="N157" s="716"/>
      <c r="O157" s="716"/>
      <c r="P157" s="716"/>
      <c r="Q157" s="716"/>
      <c r="R157" s="716"/>
      <c r="S157" s="716"/>
      <c r="T157" s="716"/>
      <c r="U157" s="716"/>
      <c r="V157" s="716"/>
      <c r="W157" s="716"/>
      <c r="X157" s="716"/>
      <c r="Y157" s="716"/>
      <c r="Z157" s="716"/>
      <c r="AA157" s="574"/>
      <c r="AB157" s="574"/>
      <c r="AC157" s="574"/>
      <c r="AD157" s="574"/>
      <c r="AE157" s="574"/>
      <c r="AF157" s="574"/>
      <c r="AG157" s="574"/>
      <c r="AH157" s="574"/>
    </row>
    <row r="158" spans="1:34">
      <c r="A158" s="716"/>
      <c r="B158" s="716"/>
      <c r="C158" s="716"/>
      <c r="D158" s="716"/>
      <c r="E158" s="716"/>
      <c r="F158" s="716"/>
      <c r="G158" s="716"/>
      <c r="H158" s="716"/>
      <c r="I158" s="716"/>
      <c r="J158" s="716"/>
      <c r="K158" s="716"/>
      <c r="L158" s="716"/>
      <c r="M158" s="716"/>
      <c r="N158" s="716"/>
      <c r="O158" s="716"/>
      <c r="P158" s="716"/>
      <c r="Q158" s="716"/>
      <c r="R158" s="716"/>
      <c r="S158" s="716"/>
      <c r="T158" s="716"/>
      <c r="U158" s="716"/>
      <c r="V158" s="716"/>
      <c r="W158" s="716"/>
      <c r="X158" s="716"/>
      <c r="Y158" s="716"/>
      <c r="Z158" s="716"/>
      <c r="AA158" s="574"/>
      <c r="AB158" s="574"/>
      <c r="AC158" s="574"/>
      <c r="AD158" s="574"/>
      <c r="AE158" s="574"/>
      <c r="AF158" s="574"/>
      <c r="AG158" s="574"/>
      <c r="AH158" s="574"/>
    </row>
    <row r="159" spans="1:34">
      <c r="A159" s="716"/>
      <c r="B159" s="716"/>
      <c r="C159" s="716"/>
      <c r="D159" s="716"/>
      <c r="E159" s="716"/>
      <c r="F159" s="716"/>
      <c r="G159" s="716"/>
      <c r="H159" s="716"/>
      <c r="I159" s="716"/>
      <c r="J159" s="716"/>
      <c r="K159" s="716"/>
      <c r="L159" s="716"/>
      <c r="M159" s="716"/>
      <c r="N159" s="716"/>
      <c r="O159" s="716"/>
      <c r="P159" s="716"/>
      <c r="Q159" s="716"/>
      <c r="R159" s="716"/>
      <c r="S159" s="716"/>
      <c r="T159" s="716"/>
      <c r="U159" s="716"/>
      <c r="V159" s="716"/>
      <c r="W159" s="716"/>
      <c r="X159" s="716"/>
      <c r="Y159" s="716"/>
      <c r="Z159" s="716"/>
      <c r="AA159" s="574"/>
      <c r="AB159" s="574"/>
      <c r="AC159" s="574"/>
      <c r="AD159" s="574"/>
      <c r="AE159" s="574"/>
      <c r="AF159" s="574"/>
      <c r="AG159" s="574"/>
      <c r="AH159" s="574"/>
    </row>
    <row r="160" spans="1:34">
      <c r="A160" s="716"/>
      <c r="B160" s="716"/>
      <c r="C160" s="716"/>
      <c r="D160" s="716"/>
      <c r="E160" s="716"/>
      <c r="F160" s="716"/>
      <c r="G160" s="716"/>
      <c r="H160" s="716"/>
      <c r="I160" s="716"/>
      <c r="J160" s="716"/>
      <c r="K160" s="716"/>
      <c r="L160" s="716"/>
      <c r="M160" s="716"/>
      <c r="N160" s="716"/>
      <c r="O160" s="716"/>
      <c r="P160" s="716"/>
      <c r="Q160" s="716"/>
      <c r="R160" s="716"/>
      <c r="S160" s="716"/>
      <c r="T160" s="716"/>
      <c r="U160" s="716"/>
      <c r="V160" s="716"/>
      <c r="W160" s="716"/>
      <c r="X160" s="716"/>
      <c r="Y160" s="716"/>
      <c r="Z160" s="716"/>
      <c r="AA160" s="574"/>
      <c r="AB160" s="574"/>
      <c r="AC160" s="574"/>
      <c r="AD160" s="574"/>
      <c r="AE160" s="574"/>
      <c r="AF160" s="574"/>
      <c r="AG160" s="574"/>
      <c r="AH160" s="574"/>
    </row>
    <row r="161" spans="1:34">
      <c r="A161" s="716"/>
      <c r="B161" s="716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  <c r="AA161" s="574"/>
      <c r="AB161" s="574"/>
      <c r="AC161" s="574"/>
      <c r="AD161" s="574"/>
      <c r="AE161" s="574"/>
      <c r="AF161" s="574"/>
      <c r="AG161" s="574"/>
      <c r="AH161" s="574"/>
    </row>
    <row r="162" spans="1:34">
      <c r="A162" s="716"/>
      <c r="B162" s="716"/>
      <c r="C162" s="716"/>
      <c r="D162" s="716"/>
      <c r="E162" s="716"/>
      <c r="F162" s="716"/>
      <c r="G162" s="716"/>
      <c r="H162" s="716"/>
      <c r="I162" s="716"/>
      <c r="J162" s="716"/>
      <c r="K162" s="716"/>
      <c r="L162" s="716"/>
      <c r="M162" s="716"/>
      <c r="N162" s="716"/>
      <c r="O162" s="716"/>
      <c r="P162" s="716"/>
      <c r="Q162" s="716"/>
      <c r="R162" s="716"/>
      <c r="S162" s="716"/>
      <c r="T162" s="716"/>
      <c r="U162" s="716"/>
      <c r="V162" s="716"/>
      <c r="W162" s="716"/>
      <c r="X162" s="716"/>
      <c r="Y162" s="716"/>
      <c r="Z162" s="716"/>
      <c r="AA162" s="574"/>
      <c r="AB162" s="574"/>
      <c r="AC162" s="574"/>
      <c r="AD162" s="574"/>
      <c r="AE162" s="574"/>
      <c r="AF162" s="574"/>
      <c r="AG162" s="574"/>
      <c r="AH162" s="574"/>
    </row>
    <row r="163" spans="1:34">
      <c r="A163" s="716"/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574"/>
      <c r="AB163" s="574"/>
      <c r="AC163" s="574"/>
      <c r="AD163" s="574"/>
      <c r="AE163" s="574"/>
      <c r="AF163" s="574"/>
      <c r="AG163" s="574"/>
      <c r="AH163" s="574"/>
    </row>
    <row r="164" spans="1:34">
      <c r="A164" s="716"/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574"/>
      <c r="AB164" s="574"/>
      <c r="AC164" s="574"/>
      <c r="AD164" s="574"/>
      <c r="AE164" s="574"/>
      <c r="AF164" s="574"/>
      <c r="AG164" s="574"/>
      <c r="AH164" s="574"/>
    </row>
    <row r="165" spans="1:34">
      <c r="A165" s="716"/>
      <c r="B165" s="716"/>
      <c r="C165" s="716"/>
      <c r="D165" s="716"/>
      <c r="E165" s="716"/>
      <c r="F165" s="716"/>
      <c r="G165" s="716"/>
      <c r="H165" s="716"/>
      <c r="I165" s="716"/>
      <c r="J165" s="716"/>
      <c r="K165" s="716"/>
      <c r="L165" s="716"/>
      <c r="M165" s="716"/>
      <c r="N165" s="716"/>
      <c r="O165" s="716"/>
      <c r="P165" s="716"/>
      <c r="Q165" s="716"/>
      <c r="R165" s="716"/>
      <c r="S165" s="716"/>
      <c r="T165" s="716"/>
      <c r="U165" s="716"/>
      <c r="V165" s="716"/>
      <c r="W165" s="716"/>
      <c r="X165" s="716"/>
      <c r="Y165" s="716"/>
      <c r="Z165" s="716"/>
      <c r="AA165" s="574"/>
      <c r="AB165" s="574"/>
      <c r="AC165" s="574"/>
      <c r="AD165" s="574"/>
      <c r="AE165" s="574"/>
      <c r="AF165" s="574"/>
      <c r="AG165" s="574"/>
      <c r="AH165" s="574"/>
    </row>
    <row r="166" spans="1:34">
      <c r="A166" s="716"/>
      <c r="B166" s="716"/>
      <c r="C166" s="716"/>
      <c r="D166" s="716"/>
      <c r="E166" s="716"/>
      <c r="F166" s="716"/>
      <c r="G166" s="716"/>
      <c r="H166" s="716"/>
      <c r="I166" s="716"/>
      <c r="J166" s="716"/>
      <c r="K166" s="716"/>
      <c r="L166" s="716"/>
      <c r="M166" s="716"/>
      <c r="N166" s="716"/>
      <c r="O166" s="716"/>
      <c r="P166" s="716"/>
      <c r="Q166" s="716"/>
      <c r="R166" s="716"/>
      <c r="S166" s="716"/>
      <c r="T166" s="716"/>
      <c r="U166" s="716"/>
      <c r="V166" s="716"/>
      <c r="W166" s="716"/>
      <c r="X166" s="716"/>
      <c r="Y166" s="716"/>
      <c r="Z166" s="716"/>
      <c r="AA166" s="574"/>
      <c r="AB166" s="574"/>
      <c r="AC166" s="574"/>
      <c r="AD166" s="574"/>
      <c r="AE166" s="574"/>
      <c r="AF166" s="574"/>
      <c r="AG166" s="574"/>
      <c r="AH166" s="574"/>
    </row>
    <row r="167" spans="1:34">
      <c r="A167" s="716"/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574"/>
      <c r="AB167" s="574"/>
      <c r="AC167" s="574"/>
      <c r="AD167" s="574"/>
      <c r="AE167" s="574"/>
      <c r="AF167" s="574"/>
      <c r="AG167" s="574"/>
      <c r="AH167" s="574"/>
    </row>
    <row r="168" spans="1:34">
      <c r="A168" s="716"/>
      <c r="B168" s="716"/>
      <c r="C168" s="716"/>
      <c r="D168" s="716"/>
      <c r="E168" s="716"/>
      <c r="F168" s="716"/>
      <c r="G168" s="716"/>
      <c r="H168" s="716"/>
      <c r="I168" s="716"/>
      <c r="J168" s="716"/>
      <c r="K168" s="716"/>
      <c r="L168" s="716"/>
      <c r="M168" s="716"/>
      <c r="N168" s="716"/>
      <c r="O168" s="716"/>
      <c r="P168" s="716"/>
      <c r="Q168" s="716"/>
      <c r="R168" s="716"/>
      <c r="S168" s="716"/>
      <c r="T168" s="716"/>
      <c r="U168" s="716"/>
      <c r="V168" s="716"/>
      <c r="W168" s="716"/>
      <c r="X168" s="716"/>
      <c r="Y168" s="716"/>
      <c r="Z168" s="716"/>
      <c r="AA168" s="574"/>
      <c r="AB168" s="574"/>
      <c r="AC168" s="574"/>
      <c r="AD168" s="574"/>
      <c r="AE168" s="574"/>
      <c r="AF168" s="574"/>
      <c r="AG168" s="574"/>
      <c r="AH168" s="574"/>
    </row>
    <row r="169" spans="1:34">
      <c r="A169" s="716"/>
      <c r="B169" s="716"/>
      <c r="C169" s="716"/>
      <c r="D169" s="716"/>
      <c r="E169" s="716"/>
      <c r="F169" s="716"/>
      <c r="G169" s="716"/>
      <c r="H169" s="716"/>
      <c r="I169" s="716"/>
      <c r="J169" s="716"/>
      <c r="K169" s="716"/>
      <c r="L169" s="716"/>
      <c r="M169" s="716"/>
      <c r="N169" s="716"/>
      <c r="O169" s="716"/>
      <c r="P169" s="716"/>
      <c r="Q169" s="716"/>
      <c r="R169" s="716"/>
      <c r="S169" s="716"/>
      <c r="T169" s="716"/>
      <c r="U169" s="716"/>
      <c r="V169" s="716"/>
      <c r="W169" s="716"/>
      <c r="X169" s="716"/>
      <c r="Y169" s="716"/>
      <c r="Z169" s="716"/>
      <c r="AA169" s="574"/>
      <c r="AB169" s="574"/>
      <c r="AC169" s="574"/>
      <c r="AD169" s="574"/>
      <c r="AE169" s="574"/>
      <c r="AF169" s="574"/>
      <c r="AG169" s="574"/>
      <c r="AH169" s="574"/>
    </row>
    <row r="170" spans="1:34">
      <c r="A170" s="716"/>
      <c r="B170" s="716"/>
      <c r="C170" s="716"/>
      <c r="D170" s="716"/>
      <c r="E170" s="716"/>
      <c r="F170" s="716"/>
      <c r="G170" s="716"/>
      <c r="H170" s="716"/>
      <c r="I170" s="716"/>
      <c r="J170" s="716"/>
      <c r="K170" s="716"/>
      <c r="L170" s="716"/>
      <c r="M170" s="716"/>
      <c r="N170" s="716"/>
      <c r="O170" s="716"/>
      <c r="P170" s="716"/>
      <c r="Q170" s="716"/>
      <c r="R170" s="716"/>
      <c r="S170" s="716"/>
      <c r="T170" s="716"/>
      <c r="U170" s="716"/>
      <c r="V170" s="716"/>
      <c r="W170" s="716"/>
      <c r="X170" s="716"/>
      <c r="Y170" s="716"/>
      <c r="Z170" s="716"/>
      <c r="AA170" s="574"/>
      <c r="AB170" s="574"/>
      <c r="AC170" s="574"/>
      <c r="AD170" s="574"/>
      <c r="AE170" s="574"/>
      <c r="AF170" s="574"/>
      <c r="AG170" s="574"/>
      <c r="AH170" s="574"/>
    </row>
    <row r="171" spans="1:34">
      <c r="A171" s="716"/>
      <c r="B171" s="716"/>
      <c r="C171" s="716"/>
      <c r="D171" s="716"/>
      <c r="E171" s="716"/>
      <c r="F171" s="716"/>
      <c r="G171" s="716"/>
      <c r="H171" s="716"/>
      <c r="I171" s="716"/>
      <c r="J171" s="716"/>
      <c r="K171" s="716"/>
      <c r="L171" s="716"/>
      <c r="M171" s="716"/>
      <c r="N171" s="716"/>
      <c r="O171" s="716"/>
      <c r="P171" s="716"/>
      <c r="Q171" s="716"/>
      <c r="R171" s="716"/>
      <c r="S171" s="716"/>
      <c r="T171" s="716"/>
      <c r="U171" s="716"/>
      <c r="V171" s="716"/>
      <c r="W171" s="716"/>
      <c r="X171" s="716"/>
      <c r="Y171" s="716"/>
      <c r="Z171" s="716"/>
      <c r="AA171" s="574"/>
      <c r="AB171" s="574"/>
      <c r="AC171" s="574"/>
      <c r="AD171" s="574"/>
      <c r="AE171" s="574"/>
      <c r="AF171" s="574"/>
      <c r="AG171" s="574"/>
      <c r="AH171" s="574"/>
    </row>
    <row r="172" spans="1:34">
      <c r="A172" s="716"/>
      <c r="B172" s="716"/>
      <c r="C172" s="716"/>
      <c r="D172" s="716"/>
      <c r="E172" s="716"/>
      <c r="F172" s="716"/>
      <c r="G172" s="716"/>
      <c r="H172" s="716"/>
      <c r="I172" s="716"/>
      <c r="J172" s="716"/>
      <c r="K172" s="716"/>
      <c r="L172" s="716"/>
      <c r="M172" s="716"/>
      <c r="N172" s="716"/>
      <c r="O172" s="716"/>
      <c r="P172" s="716"/>
      <c r="Q172" s="716"/>
      <c r="R172" s="716"/>
      <c r="S172" s="716"/>
      <c r="T172" s="716"/>
      <c r="U172" s="716"/>
      <c r="V172" s="716"/>
      <c r="W172" s="716"/>
      <c r="X172" s="716"/>
      <c r="Y172" s="716"/>
      <c r="Z172" s="716"/>
      <c r="AA172" s="574"/>
      <c r="AB172" s="574"/>
      <c r="AC172" s="574"/>
      <c r="AD172" s="574"/>
      <c r="AE172" s="574"/>
      <c r="AF172" s="574"/>
      <c r="AG172" s="574"/>
      <c r="AH172" s="574"/>
    </row>
    <row r="173" spans="1:34">
      <c r="A173" s="716"/>
      <c r="B173" s="716"/>
      <c r="C173" s="716"/>
      <c r="D173" s="716"/>
      <c r="E173" s="716"/>
      <c r="F173" s="716"/>
      <c r="G173" s="716"/>
      <c r="H173" s="716"/>
      <c r="I173" s="716"/>
      <c r="J173" s="716"/>
      <c r="K173" s="716"/>
      <c r="L173" s="716"/>
      <c r="M173" s="716"/>
      <c r="N173" s="716"/>
      <c r="O173" s="716"/>
      <c r="P173" s="716"/>
      <c r="Q173" s="716"/>
      <c r="R173" s="716"/>
      <c r="S173" s="716"/>
      <c r="T173" s="716"/>
      <c r="U173" s="716"/>
      <c r="V173" s="716"/>
      <c r="W173" s="716"/>
      <c r="X173" s="716"/>
      <c r="Y173" s="716"/>
      <c r="Z173" s="716"/>
      <c r="AA173" s="574"/>
      <c r="AB173" s="574"/>
      <c r="AC173" s="574"/>
      <c r="AD173" s="574"/>
      <c r="AE173" s="574"/>
      <c r="AF173" s="574"/>
      <c r="AG173" s="574"/>
      <c r="AH173" s="574"/>
    </row>
    <row r="174" spans="1:34">
      <c r="A174" s="716"/>
      <c r="B174" s="716"/>
      <c r="C174" s="716"/>
      <c r="D174" s="716"/>
      <c r="E174" s="716"/>
      <c r="F174" s="716"/>
      <c r="G174" s="716"/>
      <c r="H174" s="716"/>
      <c r="I174" s="716"/>
      <c r="J174" s="716"/>
      <c r="K174" s="716"/>
      <c r="L174" s="716"/>
      <c r="M174" s="716"/>
      <c r="N174" s="716"/>
      <c r="O174" s="716"/>
      <c r="P174" s="716"/>
      <c r="Q174" s="716"/>
      <c r="R174" s="716"/>
      <c r="S174" s="716"/>
      <c r="T174" s="716"/>
      <c r="U174" s="716"/>
      <c r="V174" s="716"/>
      <c r="W174" s="716"/>
      <c r="X174" s="716"/>
      <c r="Y174" s="716"/>
      <c r="Z174" s="716"/>
      <c r="AA174" s="574"/>
      <c r="AB174" s="574"/>
      <c r="AC174" s="574"/>
      <c r="AD174" s="574"/>
      <c r="AE174" s="574"/>
      <c r="AF174" s="574"/>
      <c r="AG174" s="574"/>
      <c r="AH174" s="574"/>
    </row>
    <row r="175" spans="1:34">
      <c r="A175" s="716"/>
      <c r="B175" s="716"/>
      <c r="C175" s="716"/>
      <c r="D175" s="716"/>
      <c r="E175" s="716"/>
      <c r="F175" s="716"/>
      <c r="G175" s="716"/>
      <c r="H175" s="716"/>
      <c r="I175" s="716"/>
      <c r="J175" s="716"/>
      <c r="K175" s="716"/>
      <c r="L175" s="716"/>
      <c r="M175" s="716"/>
      <c r="N175" s="716"/>
      <c r="O175" s="716"/>
      <c r="P175" s="716"/>
      <c r="Q175" s="716"/>
      <c r="R175" s="716"/>
      <c r="S175" s="716"/>
      <c r="T175" s="716"/>
      <c r="U175" s="716"/>
      <c r="V175" s="716"/>
      <c r="W175" s="716"/>
      <c r="X175" s="716"/>
      <c r="Y175" s="716"/>
      <c r="Z175" s="716"/>
      <c r="AA175" s="574"/>
      <c r="AB175" s="574"/>
      <c r="AC175" s="574"/>
      <c r="AD175" s="574"/>
      <c r="AE175" s="574"/>
      <c r="AF175" s="574"/>
      <c r="AG175" s="574"/>
      <c r="AH175" s="574"/>
    </row>
    <row r="176" spans="1:34">
      <c r="A176" s="716"/>
      <c r="B176" s="716"/>
      <c r="C176" s="716"/>
      <c r="D176" s="716"/>
      <c r="E176" s="716"/>
      <c r="F176" s="716"/>
      <c r="G176" s="716"/>
      <c r="H176" s="716"/>
      <c r="I176" s="716"/>
      <c r="J176" s="716"/>
      <c r="K176" s="716"/>
      <c r="L176" s="716"/>
      <c r="M176" s="716"/>
      <c r="N176" s="716"/>
      <c r="O176" s="716"/>
      <c r="P176" s="716"/>
      <c r="Q176" s="716"/>
      <c r="R176" s="716"/>
      <c r="S176" s="716"/>
      <c r="T176" s="716"/>
      <c r="U176" s="716"/>
      <c r="V176" s="716"/>
      <c r="W176" s="716"/>
      <c r="X176" s="716"/>
      <c r="Y176" s="716"/>
      <c r="Z176" s="716"/>
      <c r="AA176" s="574"/>
      <c r="AB176" s="574"/>
      <c r="AC176" s="574"/>
      <c r="AD176" s="574"/>
      <c r="AE176" s="574"/>
      <c r="AF176" s="574"/>
      <c r="AG176" s="574"/>
      <c r="AH176" s="574"/>
    </row>
    <row r="177" spans="1:34">
      <c r="A177" s="716"/>
      <c r="B177" s="716"/>
      <c r="C177" s="716"/>
      <c r="D177" s="716"/>
      <c r="E177" s="716"/>
      <c r="F177" s="716"/>
      <c r="G177" s="716"/>
      <c r="H177" s="716"/>
      <c r="I177" s="716"/>
      <c r="J177" s="716"/>
      <c r="K177" s="716"/>
      <c r="L177" s="716"/>
      <c r="M177" s="716"/>
      <c r="N177" s="716"/>
      <c r="O177" s="716"/>
      <c r="P177" s="716"/>
      <c r="Q177" s="716"/>
      <c r="R177" s="716"/>
      <c r="S177" s="716"/>
      <c r="T177" s="716"/>
      <c r="U177" s="716"/>
      <c r="V177" s="716"/>
      <c r="W177" s="716"/>
      <c r="X177" s="716"/>
      <c r="Y177" s="716"/>
      <c r="Z177" s="716"/>
      <c r="AA177" s="574"/>
      <c r="AB177" s="574"/>
      <c r="AC177" s="574"/>
      <c r="AD177" s="574"/>
      <c r="AE177" s="574"/>
      <c r="AF177" s="574"/>
      <c r="AG177" s="574"/>
      <c r="AH177" s="574"/>
    </row>
    <row r="178" spans="1:34">
      <c r="A178" s="716"/>
      <c r="B178" s="716"/>
      <c r="C178" s="716"/>
      <c r="D178" s="716"/>
      <c r="E178" s="716"/>
      <c r="F178" s="716"/>
      <c r="G178" s="716"/>
      <c r="H178" s="716"/>
      <c r="I178" s="716"/>
      <c r="J178" s="716"/>
      <c r="K178" s="716"/>
      <c r="L178" s="716"/>
      <c r="M178" s="716"/>
      <c r="N178" s="716"/>
      <c r="O178" s="716"/>
      <c r="P178" s="716"/>
      <c r="Q178" s="716"/>
      <c r="R178" s="716"/>
      <c r="S178" s="716"/>
      <c r="T178" s="716"/>
      <c r="U178" s="716"/>
      <c r="V178" s="716"/>
      <c r="W178" s="716"/>
      <c r="X178" s="716"/>
      <c r="Y178" s="716"/>
      <c r="Z178" s="716"/>
      <c r="AA178" s="574"/>
      <c r="AB178" s="574"/>
      <c r="AC178" s="574"/>
      <c r="AD178" s="574"/>
      <c r="AE178" s="574"/>
      <c r="AF178" s="574"/>
      <c r="AG178" s="574"/>
      <c r="AH178" s="574"/>
    </row>
    <row r="179" spans="1:34">
      <c r="A179" s="716"/>
      <c r="B179" s="716"/>
      <c r="C179" s="716"/>
      <c r="D179" s="716"/>
      <c r="E179" s="716"/>
      <c r="F179" s="716"/>
      <c r="G179" s="716"/>
      <c r="H179" s="716"/>
      <c r="I179" s="716"/>
      <c r="J179" s="716"/>
      <c r="K179" s="716"/>
      <c r="L179" s="716"/>
      <c r="M179" s="716"/>
      <c r="N179" s="716"/>
      <c r="O179" s="716"/>
      <c r="P179" s="716"/>
      <c r="Q179" s="716"/>
      <c r="R179" s="716"/>
      <c r="S179" s="716"/>
      <c r="T179" s="716"/>
      <c r="U179" s="716"/>
      <c r="V179" s="716"/>
      <c r="W179" s="716"/>
      <c r="X179" s="716"/>
      <c r="Y179" s="716"/>
      <c r="Z179" s="716"/>
      <c r="AA179" s="574"/>
      <c r="AB179" s="574"/>
      <c r="AC179" s="574"/>
      <c r="AD179" s="574"/>
      <c r="AE179" s="574"/>
      <c r="AF179" s="574"/>
      <c r="AG179" s="574"/>
      <c r="AH179" s="574"/>
    </row>
    <row r="180" spans="1:34">
      <c r="A180" s="716"/>
      <c r="B180" s="716"/>
      <c r="C180" s="716"/>
      <c r="D180" s="716"/>
      <c r="E180" s="716"/>
      <c r="F180" s="716"/>
      <c r="G180" s="716"/>
      <c r="H180" s="716"/>
      <c r="I180" s="716"/>
      <c r="J180" s="716"/>
      <c r="K180" s="716"/>
      <c r="L180" s="716"/>
      <c r="M180" s="716"/>
      <c r="N180" s="716"/>
      <c r="O180" s="716"/>
      <c r="P180" s="716"/>
      <c r="Q180" s="716"/>
      <c r="R180" s="716"/>
      <c r="S180" s="716"/>
      <c r="T180" s="716"/>
      <c r="U180" s="716"/>
      <c r="V180" s="716"/>
      <c r="W180" s="716"/>
      <c r="X180" s="716"/>
      <c r="Y180" s="716"/>
      <c r="Z180" s="716"/>
      <c r="AA180" s="574"/>
      <c r="AB180" s="574"/>
      <c r="AC180" s="574"/>
      <c r="AD180" s="574"/>
      <c r="AE180" s="574"/>
      <c r="AF180" s="574"/>
      <c r="AG180" s="574"/>
      <c r="AH180" s="574"/>
    </row>
    <row r="181" spans="1:34">
      <c r="A181" s="716"/>
      <c r="B181" s="716"/>
      <c r="C181" s="716"/>
      <c r="D181" s="716"/>
      <c r="E181" s="716"/>
      <c r="F181" s="716"/>
      <c r="G181" s="716"/>
      <c r="H181" s="716"/>
      <c r="I181" s="716"/>
      <c r="J181" s="716"/>
      <c r="K181" s="716"/>
      <c r="L181" s="716"/>
      <c r="M181" s="716"/>
      <c r="N181" s="716"/>
      <c r="O181" s="716"/>
      <c r="P181" s="716"/>
      <c r="Q181" s="716"/>
      <c r="R181" s="716"/>
      <c r="S181" s="716"/>
      <c r="T181" s="716"/>
      <c r="U181" s="716"/>
      <c r="V181" s="716"/>
      <c r="W181" s="716"/>
      <c r="X181" s="716"/>
      <c r="Y181" s="716"/>
      <c r="Z181" s="716"/>
      <c r="AA181" s="574"/>
      <c r="AB181" s="574"/>
      <c r="AC181" s="574"/>
      <c r="AD181" s="574"/>
      <c r="AE181" s="574"/>
      <c r="AF181" s="574"/>
      <c r="AG181" s="574"/>
      <c r="AH181" s="574"/>
    </row>
    <row r="182" spans="1:34">
      <c r="A182" s="716"/>
      <c r="B182" s="716"/>
      <c r="C182" s="716"/>
      <c r="D182" s="716"/>
      <c r="E182" s="716"/>
      <c r="F182" s="716"/>
      <c r="G182" s="716"/>
      <c r="H182" s="716"/>
      <c r="I182" s="716"/>
      <c r="J182" s="716"/>
      <c r="K182" s="716"/>
      <c r="L182" s="716"/>
      <c r="M182" s="716"/>
      <c r="N182" s="716"/>
      <c r="O182" s="716"/>
      <c r="P182" s="716"/>
      <c r="Q182" s="716"/>
      <c r="R182" s="716"/>
      <c r="S182" s="716"/>
      <c r="T182" s="716"/>
      <c r="U182" s="716"/>
      <c r="V182" s="716"/>
      <c r="W182" s="716"/>
      <c r="X182" s="716"/>
      <c r="Y182" s="716"/>
      <c r="Z182" s="716"/>
      <c r="AA182" s="574"/>
      <c r="AB182" s="574"/>
      <c r="AC182" s="574"/>
      <c r="AD182" s="574"/>
      <c r="AE182" s="574"/>
      <c r="AF182" s="574"/>
      <c r="AG182" s="574"/>
      <c r="AH182" s="574"/>
    </row>
    <row r="183" spans="1:34">
      <c r="A183" s="716"/>
      <c r="B183" s="716"/>
      <c r="C183" s="716"/>
      <c r="D183" s="716"/>
      <c r="E183" s="716"/>
      <c r="F183" s="716"/>
      <c r="G183" s="716"/>
      <c r="H183" s="716"/>
      <c r="I183" s="716"/>
      <c r="J183" s="716"/>
      <c r="K183" s="716"/>
      <c r="L183" s="716"/>
      <c r="M183" s="716"/>
      <c r="N183" s="716"/>
      <c r="O183" s="716"/>
      <c r="P183" s="716"/>
      <c r="Q183" s="716"/>
      <c r="R183" s="716"/>
      <c r="S183" s="716"/>
      <c r="T183" s="716"/>
      <c r="U183" s="716"/>
      <c r="V183" s="716"/>
      <c r="W183" s="716"/>
      <c r="X183" s="716"/>
      <c r="Y183" s="716"/>
      <c r="Z183" s="716"/>
      <c r="AA183" s="574"/>
      <c r="AB183" s="574"/>
      <c r="AC183" s="574"/>
      <c r="AD183" s="574"/>
      <c r="AE183" s="574"/>
      <c r="AF183" s="574"/>
      <c r="AG183" s="574"/>
      <c r="AH183" s="574"/>
    </row>
    <row r="184" spans="1:34">
      <c r="A184" s="716"/>
      <c r="B184" s="716"/>
      <c r="C184" s="716"/>
      <c r="D184" s="716"/>
      <c r="E184" s="716"/>
      <c r="F184" s="716"/>
      <c r="G184" s="716"/>
      <c r="H184" s="716"/>
      <c r="I184" s="716"/>
      <c r="J184" s="716"/>
      <c r="K184" s="716"/>
      <c r="L184" s="716"/>
      <c r="M184" s="716"/>
      <c r="N184" s="716"/>
      <c r="O184" s="716"/>
      <c r="P184" s="716"/>
      <c r="Q184" s="716"/>
      <c r="R184" s="716"/>
      <c r="S184" s="716"/>
      <c r="T184" s="716"/>
      <c r="U184" s="716"/>
      <c r="V184" s="716"/>
      <c r="W184" s="716"/>
      <c r="X184" s="716"/>
      <c r="Y184" s="716"/>
      <c r="Z184" s="716"/>
      <c r="AA184" s="574"/>
      <c r="AB184" s="574"/>
      <c r="AC184" s="574"/>
      <c r="AD184" s="574"/>
      <c r="AE184" s="574"/>
      <c r="AF184" s="574"/>
      <c r="AG184" s="574"/>
      <c r="AH184" s="574"/>
    </row>
    <row r="185" spans="1:34">
      <c r="A185" s="716"/>
      <c r="B185" s="716"/>
      <c r="C185" s="716"/>
      <c r="D185" s="716"/>
      <c r="E185" s="716"/>
      <c r="F185" s="716"/>
      <c r="G185" s="716"/>
      <c r="H185" s="716"/>
      <c r="I185" s="716"/>
      <c r="J185" s="716"/>
      <c r="K185" s="716"/>
      <c r="L185" s="716"/>
      <c r="M185" s="716"/>
      <c r="N185" s="716"/>
      <c r="O185" s="716"/>
      <c r="P185" s="716"/>
      <c r="Q185" s="716"/>
      <c r="R185" s="716"/>
      <c r="S185" s="716"/>
      <c r="T185" s="716"/>
      <c r="U185" s="716"/>
      <c r="V185" s="716"/>
      <c r="W185" s="716"/>
      <c r="X185" s="716"/>
      <c r="Y185" s="716"/>
      <c r="Z185" s="716"/>
      <c r="AA185" s="574"/>
      <c r="AB185" s="574"/>
      <c r="AC185" s="574"/>
      <c r="AD185" s="574"/>
      <c r="AE185" s="574"/>
      <c r="AF185" s="574"/>
      <c r="AG185" s="574"/>
      <c r="AH185" s="574"/>
    </row>
    <row r="186" spans="1:34">
      <c r="A186" s="716"/>
      <c r="B186" s="716"/>
      <c r="C186" s="716"/>
      <c r="D186" s="716"/>
      <c r="E186" s="716"/>
      <c r="F186" s="716"/>
      <c r="G186" s="716"/>
      <c r="H186" s="716"/>
      <c r="I186" s="716"/>
      <c r="J186" s="716"/>
      <c r="K186" s="716"/>
      <c r="L186" s="716"/>
      <c r="M186" s="716"/>
      <c r="N186" s="716"/>
      <c r="O186" s="716"/>
      <c r="P186" s="716"/>
      <c r="Q186" s="716"/>
      <c r="R186" s="716"/>
      <c r="S186" s="716"/>
      <c r="T186" s="716"/>
      <c r="U186" s="716"/>
      <c r="V186" s="716"/>
      <c r="W186" s="716"/>
      <c r="X186" s="716"/>
      <c r="Y186" s="716"/>
      <c r="Z186" s="716"/>
      <c r="AA186" s="574"/>
      <c r="AB186" s="574"/>
      <c r="AC186" s="574"/>
      <c r="AD186" s="574"/>
      <c r="AE186" s="574"/>
      <c r="AF186" s="574"/>
      <c r="AG186" s="574"/>
      <c r="AH186" s="574"/>
    </row>
    <row r="187" spans="1:34">
      <c r="A187" s="716"/>
      <c r="B187" s="716"/>
      <c r="C187" s="716"/>
      <c r="D187" s="716"/>
      <c r="E187" s="716"/>
      <c r="F187" s="716"/>
      <c r="G187" s="716"/>
      <c r="H187" s="716"/>
      <c r="I187" s="716"/>
      <c r="J187" s="716"/>
      <c r="K187" s="716"/>
      <c r="L187" s="716"/>
      <c r="M187" s="716"/>
      <c r="N187" s="716"/>
      <c r="O187" s="716"/>
      <c r="P187" s="716"/>
      <c r="Q187" s="716"/>
      <c r="R187" s="716"/>
      <c r="S187" s="716"/>
      <c r="T187" s="716"/>
      <c r="U187" s="716"/>
      <c r="V187" s="716"/>
      <c r="W187" s="716"/>
      <c r="X187" s="716"/>
      <c r="Y187" s="716"/>
      <c r="Z187" s="716"/>
      <c r="AA187" s="574"/>
      <c r="AB187" s="574"/>
      <c r="AC187" s="574"/>
      <c r="AD187" s="574"/>
      <c r="AE187" s="574"/>
      <c r="AF187" s="574"/>
      <c r="AG187" s="574"/>
      <c r="AH187" s="574"/>
    </row>
    <row r="188" spans="1:34">
      <c r="A188" s="716"/>
      <c r="B188" s="716"/>
      <c r="C188" s="716"/>
      <c r="D188" s="716"/>
      <c r="E188" s="716"/>
      <c r="F188" s="716"/>
      <c r="G188" s="716"/>
      <c r="H188" s="716"/>
      <c r="I188" s="716"/>
      <c r="J188" s="716"/>
      <c r="K188" s="716"/>
      <c r="L188" s="716"/>
      <c r="M188" s="716"/>
      <c r="N188" s="716"/>
      <c r="O188" s="716"/>
      <c r="P188" s="716"/>
      <c r="Q188" s="716"/>
      <c r="R188" s="716"/>
      <c r="S188" s="716"/>
      <c r="T188" s="716"/>
      <c r="U188" s="716"/>
      <c r="V188" s="716"/>
      <c r="W188" s="716"/>
      <c r="X188" s="716"/>
      <c r="Y188" s="716"/>
      <c r="Z188" s="716"/>
      <c r="AA188" s="574"/>
      <c r="AB188" s="574"/>
      <c r="AC188" s="574"/>
      <c r="AD188" s="574"/>
      <c r="AE188" s="574"/>
      <c r="AF188" s="574"/>
      <c r="AG188" s="574"/>
      <c r="AH188" s="574"/>
    </row>
    <row r="189" spans="1:34">
      <c r="A189" s="716"/>
      <c r="B189" s="716"/>
      <c r="C189" s="716"/>
      <c r="D189" s="716"/>
      <c r="E189" s="716"/>
      <c r="F189" s="716"/>
      <c r="G189" s="716"/>
      <c r="H189" s="716"/>
      <c r="I189" s="716"/>
      <c r="J189" s="716"/>
      <c r="K189" s="716"/>
      <c r="L189" s="716"/>
      <c r="M189" s="716"/>
      <c r="N189" s="716"/>
      <c r="O189" s="716"/>
      <c r="P189" s="716"/>
      <c r="Q189" s="716"/>
      <c r="R189" s="716"/>
      <c r="S189" s="716"/>
      <c r="T189" s="716"/>
      <c r="U189" s="716"/>
      <c r="V189" s="716"/>
      <c r="W189" s="716"/>
      <c r="X189" s="716"/>
      <c r="Y189" s="716"/>
      <c r="Z189" s="716"/>
      <c r="AA189" s="574"/>
      <c r="AB189" s="574"/>
      <c r="AC189" s="574"/>
      <c r="AD189" s="574"/>
      <c r="AE189" s="574"/>
      <c r="AF189" s="574"/>
      <c r="AG189" s="574"/>
      <c r="AH189" s="574"/>
    </row>
    <row r="190" spans="1:34">
      <c r="A190" s="716"/>
      <c r="B190" s="716"/>
      <c r="C190" s="716"/>
      <c r="D190" s="716"/>
      <c r="E190" s="716"/>
      <c r="F190" s="716"/>
      <c r="G190" s="716"/>
      <c r="H190" s="716"/>
      <c r="I190" s="716"/>
      <c r="J190" s="716"/>
      <c r="K190" s="716"/>
      <c r="L190" s="716"/>
      <c r="M190" s="716"/>
      <c r="N190" s="716"/>
      <c r="O190" s="716"/>
      <c r="P190" s="716"/>
      <c r="Q190" s="716"/>
      <c r="R190" s="716"/>
      <c r="S190" s="716"/>
      <c r="T190" s="716"/>
      <c r="U190" s="716"/>
      <c r="V190" s="716"/>
      <c r="W190" s="716"/>
      <c r="X190" s="716"/>
      <c r="Y190" s="716"/>
      <c r="Z190" s="716"/>
      <c r="AA190" s="574"/>
      <c r="AB190" s="574"/>
      <c r="AC190" s="574"/>
      <c r="AD190" s="574"/>
      <c r="AE190" s="574"/>
      <c r="AF190" s="574"/>
      <c r="AG190" s="574"/>
      <c r="AH190" s="574"/>
    </row>
    <row r="191" spans="1:34">
      <c r="A191" s="716"/>
      <c r="B191" s="716"/>
      <c r="C191" s="716"/>
      <c r="D191" s="716"/>
      <c r="E191" s="716"/>
      <c r="F191" s="716"/>
      <c r="G191" s="716"/>
      <c r="H191" s="716"/>
      <c r="I191" s="716"/>
      <c r="J191" s="716"/>
      <c r="K191" s="716"/>
      <c r="L191" s="716"/>
      <c r="M191" s="716"/>
      <c r="N191" s="716"/>
      <c r="O191" s="716"/>
      <c r="P191" s="716"/>
      <c r="Q191" s="716"/>
      <c r="R191" s="716"/>
      <c r="S191" s="716"/>
      <c r="T191" s="716"/>
      <c r="U191" s="716"/>
      <c r="V191" s="716"/>
      <c r="W191" s="716"/>
      <c r="X191" s="716"/>
      <c r="Y191" s="716"/>
      <c r="Z191" s="716"/>
      <c r="AA191" s="574"/>
      <c r="AB191" s="574"/>
      <c r="AC191" s="574"/>
      <c r="AD191" s="574"/>
      <c r="AE191" s="574"/>
      <c r="AF191" s="574"/>
      <c r="AG191" s="574"/>
      <c r="AH191" s="574"/>
    </row>
    <row r="192" spans="1:34">
      <c r="A192" s="716"/>
      <c r="B192" s="716"/>
      <c r="C192" s="716"/>
      <c r="D192" s="716"/>
      <c r="E192" s="716"/>
      <c r="F192" s="716"/>
      <c r="G192" s="716"/>
      <c r="H192" s="716"/>
      <c r="I192" s="716"/>
      <c r="J192" s="716"/>
      <c r="K192" s="716"/>
      <c r="L192" s="716"/>
      <c r="M192" s="716"/>
      <c r="N192" s="716"/>
      <c r="O192" s="716"/>
      <c r="P192" s="716"/>
      <c r="Q192" s="716"/>
      <c r="R192" s="716"/>
      <c r="S192" s="716"/>
      <c r="T192" s="716"/>
      <c r="U192" s="716"/>
      <c r="V192" s="716"/>
      <c r="W192" s="716"/>
      <c r="X192" s="716"/>
      <c r="Y192" s="716"/>
      <c r="Z192" s="716"/>
      <c r="AA192" s="574"/>
      <c r="AB192" s="574"/>
      <c r="AC192" s="574"/>
      <c r="AD192" s="574"/>
      <c r="AE192" s="574"/>
      <c r="AF192" s="574"/>
      <c r="AG192" s="574"/>
      <c r="AH192" s="574"/>
    </row>
    <row r="193" spans="1:34">
      <c r="A193" s="716"/>
      <c r="B193" s="716"/>
      <c r="C193" s="716"/>
      <c r="D193" s="716"/>
      <c r="E193" s="716"/>
      <c r="F193" s="716"/>
      <c r="G193" s="716"/>
      <c r="H193" s="716"/>
      <c r="I193" s="716"/>
      <c r="J193" s="716"/>
      <c r="K193" s="716"/>
      <c r="L193" s="716"/>
      <c r="M193" s="716"/>
      <c r="N193" s="716"/>
      <c r="O193" s="716"/>
      <c r="P193" s="716"/>
      <c r="Q193" s="716"/>
      <c r="R193" s="716"/>
      <c r="S193" s="716"/>
      <c r="T193" s="716"/>
      <c r="U193" s="716"/>
      <c r="V193" s="716"/>
      <c r="W193" s="716"/>
      <c r="X193" s="716"/>
      <c r="Y193" s="716"/>
      <c r="Z193" s="716"/>
      <c r="AA193" s="574"/>
      <c r="AB193" s="574"/>
      <c r="AC193" s="574"/>
      <c r="AD193" s="574"/>
      <c r="AE193" s="574"/>
      <c r="AF193" s="574"/>
      <c r="AG193" s="574"/>
      <c r="AH193" s="574"/>
    </row>
    <row r="194" spans="1:34">
      <c r="A194" s="716"/>
      <c r="B194" s="716"/>
      <c r="C194" s="716"/>
      <c r="D194" s="716"/>
      <c r="E194" s="716"/>
      <c r="F194" s="716"/>
      <c r="G194" s="716"/>
      <c r="H194" s="716"/>
      <c r="I194" s="716"/>
      <c r="J194" s="716"/>
      <c r="K194" s="716"/>
      <c r="L194" s="716"/>
      <c r="M194" s="716"/>
      <c r="N194" s="716"/>
      <c r="O194" s="716"/>
      <c r="P194" s="716"/>
      <c r="Q194" s="716"/>
      <c r="R194" s="716"/>
      <c r="S194" s="716"/>
      <c r="T194" s="716"/>
      <c r="U194" s="716"/>
      <c r="V194" s="716"/>
      <c r="W194" s="716"/>
      <c r="X194" s="716"/>
      <c r="Y194" s="716"/>
      <c r="Z194" s="716"/>
      <c r="AA194" s="574"/>
      <c r="AB194" s="574"/>
      <c r="AC194" s="574"/>
      <c r="AD194" s="574"/>
      <c r="AE194" s="574"/>
      <c r="AF194" s="574"/>
      <c r="AG194" s="574"/>
      <c r="AH194" s="574"/>
    </row>
    <row r="195" spans="1:34">
      <c r="A195" s="716"/>
      <c r="B195" s="716"/>
      <c r="C195" s="716"/>
      <c r="D195" s="716"/>
      <c r="E195" s="716"/>
      <c r="F195" s="716"/>
      <c r="G195" s="716"/>
      <c r="H195" s="716"/>
      <c r="I195" s="716"/>
      <c r="J195" s="716"/>
      <c r="K195" s="716"/>
      <c r="L195" s="716"/>
      <c r="M195" s="716"/>
      <c r="N195" s="716"/>
      <c r="O195" s="716"/>
      <c r="P195" s="716"/>
      <c r="Q195" s="716"/>
      <c r="R195" s="716"/>
      <c r="S195" s="716"/>
      <c r="T195" s="716"/>
      <c r="U195" s="716"/>
      <c r="V195" s="716"/>
      <c r="W195" s="716"/>
      <c r="X195" s="716"/>
      <c r="Y195" s="716"/>
      <c r="Z195" s="716"/>
      <c r="AA195" s="574"/>
      <c r="AB195" s="574"/>
      <c r="AC195" s="574"/>
      <c r="AD195" s="574"/>
      <c r="AE195" s="574"/>
      <c r="AF195" s="574"/>
      <c r="AG195" s="574"/>
      <c r="AH195" s="574"/>
    </row>
    <row r="196" spans="1:34">
      <c r="A196" s="716"/>
      <c r="B196" s="716"/>
      <c r="C196" s="716"/>
      <c r="D196" s="716"/>
      <c r="E196" s="716"/>
      <c r="F196" s="716"/>
      <c r="G196" s="716"/>
      <c r="H196" s="716"/>
      <c r="I196" s="716"/>
      <c r="J196" s="716"/>
      <c r="K196" s="716"/>
      <c r="L196" s="716"/>
      <c r="M196" s="716"/>
      <c r="N196" s="716"/>
      <c r="O196" s="716"/>
      <c r="P196" s="716"/>
      <c r="Q196" s="716"/>
      <c r="R196" s="716"/>
      <c r="S196" s="716"/>
      <c r="T196" s="716"/>
      <c r="U196" s="716"/>
      <c r="V196" s="716"/>
      <c r="W196" s="716"/>
      <c r="X196" s="716"/>
      <c r="Y196" s="716"/>
      <c r="Z196" s="716"/>
      <c r="AA196" s="574"/>
      <c r="AB196" s="574"/>
      <c r="AC196" s="574"/>
      <c r="AD196" s="574"/>
      <c r="AE196" s="574"/>
      <c r="AF196" s="574"/>
      <c r="AG196" s="574"/>
      <c r="AH196" s="574"/>
    </row>
    <row r="197" spans="1:34">
      <c r="A197" s="716"/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74"/>
      <c r="AB197" s="574"/>
      <c r="AC197" s="574"/>
      <c r="AD197" s="574"/>
      <c r="AE197" s="574"/>
      <c r="AF197" s="574"/>
      <c r="AG197" s="574"/>
      <c r="AH197" s="574"/>
    </row>
    <row r="198" spans="1:34">
      <c r="A198" s="716"/>
      <c r="B198" s="716"/>
      <c r="C198" s="716"/>
      <c r="D198" s="716"/>
      <c r="E198" s="716"/>
      <c r="F198" s="716"/>
      <c r="G198" s="716"/>
      <c r="H198" s="716"/>
      <c r="I198" s="716"/>
      <c r="J198" s="716"/>
      <c r="K198" s="716"/>
      <c r="L198" s="716"/>
      <c r="M198" s="716"/>
      <c r="N198" s="716"/>
      <c r="O198" s="716"/>
      <c r="P198" s="716"/>
      <c r="Q198" s="716"/>
      <c r="R198" s="716"/>
      <c r="S198" s="716"/>
      <c r="T198" s="716"/>
      <c r="U198" s="716"/>
      <c r="V198" s="716"/>
      <c r="W198" s="716"/>
      <c r="X198" s="716"/>
      <c r="Y198" s="716"/>
      <c r="Z198" s="716"/>
      <c r="AA198" s="574"/>
      <c r="AB198" s="574"/>
      <c r="AC198" s="574"/>
      <c r="AD198" s="574"/>
      <c r="AE198" s="574"/>
      <c r="AF198" s="574"/>
      <c r="AG198" s="574"/>
      <c r="AH198" s="574"/>
    </row>
    <row r="199" spans="1:34">
      <c r="A199" s="716"/>
      <c r="B199" s="716"/>
      <c r="C199" s="716"/>
      <c r="D199" s="716"/>
      <c r="E199" s="716"/>
      <c r="F199" s="716"/>
      <c r="G199" s="716"/>
      <c r="H199" s="716"/>
      <c r="I199" s="716"/>
      <c r="J199" s="716"/>
      <c r="K199" s="716"/>
      <c r="L199" s="716"/>
      <c r="M199" s="716"/>
      <c r="N199" s="716"/>
      <c r="O199" s="716"/>
      <c r="P199" s="716"/>
      <c r="Q199" s="716"/>
      <c r="R199" s="716"/>
      <c r="S199" s="716"/>
      <c r="T199" s="716"/>
      <c r="U199" s="716"/>
      <c r="V199" s="716"/>
      <c r="W199" s="716"/>
      <c r="X199" s="716"/>
      <c r="Y199" s="716"/>
      <c r="Z199" s="716"/>
      <c r="AA199" s="574"/>
      <c r="AB199" s="574"/>
      <c r="AC199" s="574"/>
      <c r="AD199" s="574"/>
      <c r="AE199" s="574"/>
      <c r="AF199" s="574"/>
      <c r="AG199" s="574"/>
      <c r="AH199" s="574"/>
    </row>
    <row r="200" spans="1:34">
      <c r="A200" s="716"/>
      <c r="B200" s="716"/>
      <c r="C200" s="716"/>
      <c r="D200" s="716"/>
      <c r="E200" s="716"/>
      <c r="F200" s="716"/>
      <c r="G200" s="716"/>
      <c r="H200" s="716"/>
      <c r="I200" s="716"/>
      <c r="J200" s="716"/>
      <c r="K200" s="716"/>
      <c r="L200" s="716"/>
      <c r="M200" s="716"/>
      <c r="N200" s="716"/>
      <c r="O200" s="716"/>
      <c r="P200" s="716"/>
      <c r="Q200" s="716"/>
      <c r="R200" s="716"/>
      <c r="S200" s="716"/>
      <c r="T200" s="716"/>
      <c r="U200" s="716"/>
      <c r="V200" s="716"/>
      <c r="W200" s="716"/>
      <c r="X200" s="716"/>
      <c r="Y200" s="716"/>
      <c r="Z200" s="716"/>
      <c r="AA200" s="574"/>
      <c r="AB200" s="574"/>
      <c r="AC200" s="574"/>
      <c r="AD200" s="574"/>
      <c r="AE200" s="574"/>
      <c r="AF200" s="574"/>
      <c r="AG200" s="574"/>
      <c r="AH200" s="574"/>
    </row>
    <row r="201" spans="1:34">
      <c r="A201" s="716"/>
      <c r="B201" s="716"/>
      <c r="C201" s="716"/>
      <c r="D201" s="716"/>
      <c r="E201" s="716"/>
      <c r="F201" s="716"/>
      <c r="G201" s="716"/>
      <c r="H201" s="716"/>
      <c r="I201" s="716"/>
      <c r="J201" s="716"/>
      <c r="K201" s="716"/>
      <c r="L201" s="716"/>
      <c r="M201" s="716"/>
      <c r="N201" s="716"/>
      <c r="O201" s="716"/>
      <c r="P201" s="716"/>
      <c r="Q201" s="716"/>
      <c r="R201" s="716"/>
      <c r="S201" s="716"/>
      <c r="T201" s="716"/>
      <c r="U201" s="716"/>
      <c r="V201" s="716"/>
      <c r="W201" s="716"/>
      <c r="X201" s="716"/>
      <c r="Y201" s="716"/>
      <c r="Z201" s="716"/>
      <c r="AA201" s="574"/>
      <c r="AB201" s="574"/>
      <c r="AC201" s="574"/>
      <c r="AD201" s="574"/>
      <c r="AE201" s="574"/>
      <c r="AF201" s="574"/>
      <c r="AG201" s="574"/>
      <c r="AH201" s="574"/>
    </row>
    <row r="202" spans="1:34">
      <c r="A202" s="716"/>
      <c r="B202" s="716"/>
      <c r="C202" s="716"/>
      <c r="D202" s="716"/>
      <c r="E202" s="716"/>
      <c r="F202" s="716"/>
      <c r="G202" s="716"/>
      <c r="H202" s="716"/>
      <c r="I202" s="716"/>
      <c r="J202" s="716"/>
      <c r="K202" s="716"/>
      <c r="L202" s="716"/>
      <c r="M202" s="716"/>
      <c r="N202" s="716"/>
      <c r="O202" s="716"/>
      <c r="P202" s="716"/>
      <c r="Q202" s="716"/>
      <c r="R202" s="716"/>
      <c r="S202" s="716"/>
      <c r="T202" s="716"/>
      <c r="U202" s="716"/>
      <c r="V202" s="716"/>
      <c r="W202" s="716"/>
      <c r="X202" s="716"/>
      <c r="Y202" s="716"/>
      <c r="Z202" s="716"/>
      <c r="AA202" s="574"/>
      <c r="AB202" s="574"/>
      <c r="AC202" s="574"/>
      <c r="AD202" s="574"/>
      <c r="AE202" s="574"/>
      <c r="AF202" s="574"/>
      <c r="AG202" s="574"/>
      <c r="AH202" s="574"/>
    </row>
  </sheetData>
  <mergeCells count="37">
    <mergeCell ref="A2:AE2"/>
    <mergeCell ref="A3:B3"/>
    <mergeCell ref="A4:B4"/>
    <mergeCell ref="A5:B5"/>
    <mergeCell ref="A6:B6"/>
    <mergeCell ref="A7:B7"/>
    <mergeCell ref="J8:P8"/>
    <mergeCell ref="X23:AA23"/>
    <mergeCell ref="C24:U24"/>
    <mergeCell ref="V24:AA24"/>
    <mergeCell ref="C25:U25"/>
    <mergeCell ref="V25:AA25"/>
    <mergeCell ref="Q27:S27"/>
    <mergeCell ref="T27:V27"/>
    <mergeCell ref="W27:Y27"/>
    <mergeCell ref="Z27:AB27"/>
    <mergeCell ref="Q28:S28"/>
    <mergeCell ref="T28:V28"/>
    <mergeCell ref="W28:Y28"/>
    <mergeCell ref="Z28:AB28"/>
    <mergeCell ref="G29:J29"/>
    <mergeCell ref="K29:N29"/>
    <mergeCell ref="O29:P29"/>
    <mergeCell ref="G30:J30"/>
    <mergeCell ref="K30:N30"/>
    <mergeCell ref="O30:P30"/>
    <mergeCell ref="J31:AD31"/>
    <mergeCell ref="A8:A10"/>
    <mergeCell ref="A11:A16"/>
    <mergeCell ref="A17:A23"/>
    <mergeCell ref="A24:A30"/>
    <mergeCell ref="B24:B25"/>
    <mergeCell ref="B26:B28"/>
    <mergeCell ref="B29:B30"/>
    <mergeCell ref="C26:C28"/>
    <mergeCell ref="D26:I28"/>
    <mergeCell ref="J26:P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6"/>
  <sheetViews>
    <sheetView tabSelected="1" zoomScale="115" zoomScaleNormal="115" workbookViewId="0">
      <selection activeCell="F26" sqref="F26"/>
    </sheetView>
  </sheetViews>
  <sheetFormatPr defaultColWidth="9" defaultRowHeight="13.5"/>
  <sheetData>
    <row r="1" ht="16.5" customHeight="1" spans="1:64">
      <c r="A1" s="619"/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</row>
    <row r="2" ht="21" customHeight="1" spans="1:64">
      <c r="A2" s="620" t="s">
        <v>134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1" t="s">
        <v>54</v>
      </c>
      <c r="Q2" s="620"/>
      <c r="R2" s="620"/>
      <c r="S2" s="620"/>
      <c r="T2" s="620"/>
      <c r="U2" s="620"/>
      <c r="V2" s="620"/>
      <c r="W2" s="621" t="s">
        <v>56</v>
      </c>
      <c r="X2" s="620"/>
      <c r="Y2" s="620"/>
      <c r="Z2" s="620"/>
      <c r="AA2" s="620"/>
      <c r="AB2" s="620"/>
      <c r="AC2" s="620"/>
      <c r="AD2" s="620"/>
      <c r="AE2" s="620"/>
      <c r="AF2" s="621" t="s">
        <v>135</v>
      </c>
      <c r="AG2" s="620"/>
      <c r="AH2" s="620"/>
      <c r="AI2" s="620"/>
      <c r="AJ2" s="620"/>
      <c r="AK2" s="620"/>
      <c r="AL2" s="620"/>
      <c r="AM2" s="620"/>
      <c r="AN2" s="620"/>
      <c r="AO2" s="620"/>
      <c r="AP2" s="620"/>
      <c r="AQ2" s="620"/>
      <c r="AR2" s="620"/>
      <c r="AS2" s="620"/>
      <c r="AT2" s="620"/>
      <c r="AU2" s="620"/>
      <c r="AV2" s="620"/>
      <c r="AW2" s="620"/>
      <c r="AX2" s="620"/>
      <c r="AY2" s="620"/>
      <c r="AZ2" s="620"/>
      <c r="BA2" s="620"/>
      <c r="BB2" s="620"/>
      <c r="BC2" s="620"/>
      <c r="BD2" s="620"/>
      <c r="BE2" s="620"/>
      <c r="BF2" s="620"/>
      <c r="BG2" s="620"/>
      <c r="BH2" s="620"/>
      <c r="BI2" s="620"/>
      <c r="BJ2" s="620"/>
      <c r="BK2" s="620"/>
      <c r="BL2" s="620"/>
    </row>
    <row r="3" ht="16.5" spans="1:64">
      <c r="A3" s="622" t="s">
        <v>136</v>
      </c>
      <c r="B3" s="622">
        <v>1</v>
      </c>
      <c r="C3" s="622">
        <v>2</v>
      </c>
      <c r="D3" s="622">
        <v>3</v>
      </c>
      <c r="E3" s="622">
        <v>4</v>
      </c>
      <c r="F3" s="622">
        <v>5</v>
      </c>
      <c r="G3" s="622">
        <v>6</v>
      </c>
      <c r="H3" s="622">
        <v>7</v>
      </c>
      <c r="I3" s="622">
        <v>8</v>
      </c>
      <c r="J3" s="622">
        <v>9</v>
      </c>
      <c r="K3" s="622">
        <v>10</v>
      </c>
      <c r="L3" s="622">
        <v>11</v>
      </c>
      <c r="M3" s="622">
        <v>12</v>
      </c>
      <c r="N3" s="622">
        <v>13</v>
      </c>
      <c r="O3" s="622">
        <v>14</v>
      </c>
      <c r="P3" s="622">
        <v>15</v>
      </c>
      <c r="Q3" s="622">
        <v>16</v>
      </c>
      <c r="R3" s="622">
        <v>17</v>
      </c>
      <c r="S3" s="622">
        <v>18</v>
      </c>
      <c r="T3" s="622">
        <v>19</v>
      </c>
      <c r="U3" s="622">
        <v>20</v>
      </c>
      <c r="V3" s="622">
        <v>21</v>
      </c>
      <c r="W3" s="622">
        <v>22</v>
      </c>
      <c r="X3" s="622">
        <v>23</v>
      </c>
      <c r="Y3" s="622">
        <v>24</v>
      </c>
      <c r="Z3" s="622">
        <v>25</v>
      </c>
      <c r="AA3" s="622">
        <v>26</v>
      </c>
      <c r="AB3" s="622">
        <v>27</v>
      </c>
      <c r="AC3" s="622">
        <v>28</v>
      </c>
      <c r="AD3" s="622">
        <v>29</v>
      </c>
      <c r="AE3" s="622">
        <v>30</v>
      </c>
      <c r="AF3" s="623">
        <v>31</v>
      </c>
      <c r="AG3" s="623">
        <v>32</v>
      </c>
      <c r="AH3" s="623">
        <v>33</v>
      </c>
      <c r="AI3" s="623">
        <v>34</v>
      </c>
      <c r="AJ3" s="623">
        <v>35</v>
      </c>
      <c r="AK3" s="623">
        <v>36</v>
      </c>
      <c r="AL3" s="623">
        <v>37</v>
      </c>
      <c r="AM3" s="623">
        <v>38</v>
      </c>
      <c r="AN3" s="623">
        <v>39</v>
      </c>
      <c r="AO3" s="623">
        <v>40</v>
      </c>
      <c r="AP3" s="623">
        <v>41</v>
      </c>
      <c r="AQ3" s="623">
        <v>42</v>
      </c>
      <c r="AR3" s="623">
        <v>43</v>
      </c>
      <c r="AS3" s="623">
        <v>44</v>
      </c>
      <c r="AT3" s="623">
        <v>45</v>
      </c>
      <c r="AU3" s="623">
        <v>46</v>
      </c>
      <c r="AV3" s="623">
        <v>47</v>
      </c>
      <c r="AW3" s="623">
        <v>48</v>
      </c>
      <c r="AX3" s="623">
        <v>49</v>
      </c>
      <c r="AY3" s="623">
        <v>50</v>
      </c>
      <c r="AZ3" s="623">
        <v>51</v>
      </c>
      <c r="BA3" s="623">
        <v>52</v>
      </c>
      <c r="BB3" s="623">
        <v>53</v>
      </c>
      <c r="BC3" s="623">
        <v>54</v>
      </c>
      <c r="BD3" s="623">
        <v>55</v>
      </c>
      <c r="BE3" s="623">
        <v>56</v>
      </c>
      <c r="BF3" s="623">
        <v>57</v>
      </c>
      <c r="BG3" s="623">
        <v>58</v>
      </c>
      <c r="BH3" s="623">
        <v>59</v>
      </c>
      <c r="BI3" s="623">
        <v>60</v>
      </c>
      <c r="BJ3" s="623">
        <v>61</v>
      </c>
      <c r="BK3" s="623">
        <v>62</v>
      </c>
      <c r="BL3" s="623">
        <v>63</v>
      </c>
    </row>
    <row r="4" ht="16.5" customHeight="1" spans="1:64">
      <c r="A4" s="619" t="s">
        <v>82</v>
      </c>
      <c r="B4" s="624" t="s">
        <v>137</v>
      </c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  <c r="N4" s="624"/>
      <c r="O4" s="624"/>
      <c r="P4" s="624"/>
      <c r="Q4" s="624"/>
      <c r="R4" s="624"/>
      <c r="S4" s="624"/>
      <c r="T4" s="624"/>
      <c r="U4" s="624"/>
      <c r="V4" s="624"/>
      <c r="W4" s="624"/>
      <c r="X4" s="624"/>
      <c r="Y4" s="624"/>
      <c r="Z4" s="624"/>
      <c r="AA4" s="624"/>
      <c r="AB4" s="624"/>
      <c r="AC4" s="624"/>
      <c r="AD4" s="624"/>
      <c r="AE4" s="624"/>
      <c r="AF4" s="624"/>
      <c r="AG4" s="624"/>
      <c r="AH4" s="624"/>
      <c r="AI4" s="624"/>
      <c r="AJ4" s="624"/>
      <c r="AK4" s="624"/>
      <c r="AL4" s="624"/>
      <c r="AM4" s="624"/>
      <c r="AN4" s="624"/>
      <c r="AO4" s="624"/>
      <c r="AP4" s="624"/>
      <c r="AQ4" s="624"/>
      <c r="AR4" s="624"/>
      <c r="AS4" s="624"/>
      <c r="AT4" s="624"/>
      <c r="AU4" s="624"/>
      <c r="AV4" s="624"/>
      <c r="AW4" s="624"/>
      <c r="AX4" s="624"/>
      <c r="AY4" s="624"/>
      <c r="AZ4" s="624"/>
      <c r="BA4" s="624"/>
      <c r="BB4" s="624"/>
      <c r="BC4" s="624"/>
      <c r="BD4" s="624"/>
      <c r="BE4" s="624"/>
      <c r="BF4" s="624"/>
      <c r="BG4" s="624"/>
      <c r="BH4" s="624"/>
      <c r="BI4" s="624"/>
      <c r="BJ4" s="624"/>
      <c r="BK4" s="624"/>
      <c r="BL4" s="624"/>
    </row>
    <row r="5" ht="16.5" customHeight="1" spans="1:64">
      <c r="A5" s="619" t="s">
        <v>82</v>
      </c>
      <c r="B5" s="625" t="s">
        <v>138</v>
      </c>
      <c r="C5" s="625"/>
      <c r="D5" s="625"/>
      <c r="E5" s="625"/>
      <c r="F5" s="625"/>
      <c r="G5" s="625"/>
      <c r="H5" s="625"/>
      <c r="I5" s="625"/>
      <c r="J5" s="625"/>
      <c r="K5" s="625"/>
      <c r="L5" s="625"/>
      <c r="M5" s="625"/>
      <c r="N5" s="625"/>
      <c r="O5" s="625"/>
      <c r="P5" s="625"/>
      <c r="Q5" s="625"/>
      <c r="R5" s="625"/>
      <c r="S5" s="625"/>
      <c r="T5" s="625"/>
      <c r="U5" s="625"/>
      <c r="V5" s="625"/>
      <c r="W5" s="625"/>
      <c r="X5" s="625"/>
      <c r="Y5" s="625"/>
      <c r="Z5" s="625"/>
      <c r="AA5" s="625"/>
      <c r="AB5" s="625"/>
      <c r="AC5" s="625"/>
      <c r="AD5" s="625"/>
      <c r="AE5" s="625"/>
      <c r="AF5" s="625"/>
      <c r="AG5" s="625"/>
      <c r="AH5" s="625"/>
      <c r="AI5" s="625"/>
      <c r="AJ5" s="625"/>
      <c r="AK5" s="625"/>
      <c r="AL5" s="625"/>
      <c r="AM5" s="625"/>
      <c r="AN5" s="625"/>
      <c r="AO5" s="625"/>
      <c r="AP5" s="625"/>
      <c r="AQ5" s="625"/>
      <c r="AR5" s="625"/>
      <c r="AS5" s="625"/>
      <c r="AT5" s="625"/>
      <c r="AU5" s="625"/>
      <c r="AV5" s="625"/>
      <c r="AW5" s="625"/>
      <c r="AX5" s="625"/>
      <c r="AY5" s="625"/>
      <c r="AZ5" s="625"/>
      <c r="BA5" s="625"/>
      <c r="BB5" s="625"/>
      <c r="BC5" s="625"/>
      <c r="BD5" s="625"/>
      <c r="BE5" s="625"/>
      <c r="BF5" s="625"/>
      <c r="BG5" s="625"/>
      <c r="BH5" s="625"/>
      <c r="BI5" s="625"/>
      <c r="BJ5" s="625"/>
      <c r="BK5" s="625"/>
      <c r="BL5" s="625"/>
    </row>
    <row r="6" ht="16.5" customHeight="1" spans="1:64">
      <c r="A6" s="619" t="s">
        <v>82</v>
      </c>
      <c r="B6" s="626" t="s">
        <v>139</v>
      </c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  <c r="S6" s="626"/>
      <c r="T6" s="626"/>
      <c r="U6" s="626"/>
      <c r="V6" s="626"/>
      <c r="W6" s="626"/>
      <c r="X6" s="626"/>
      <c r="Y6" s="626"/>
      <c r="Z6" s="626"/>
      <c r="AA6" s="626"/>
      <c r="AB6" s="626"/>
      <c r="AC6" s="626"/>
      <c r="AD6" s="626"/>
      <c r="AE6" s="626"/>
      <c r="AF6" s="626"/>
      <c r="AG6" s="626"/>
      <c r="AH6" s="626"/>
      <c r="AI6" s="626"/>
      <c r="AJ6" s="626"/>
      <c r="AK6" s="626"/>
      <c r="AL6" s="626"/>
      <c r="AM6" s="626"/>
      <c r="AN6" s="626"/>
      <c r="AO6" s="626"/>
      <c r="AP6" s="626"/>
      <c r="AQ6" s="626"/>
      <c r="AR6" s="626"/>
      <c r="AS6" s="626"/>
      <c r="AT6" s="626"/>
      <c r="AU6" s="626"/>
      <c r="AV6" s="626"/>
      <c r="AW6" s="626"/>
      <c r="AX6" s="626"/>
      <c r="AY6" s="626"/>
      <c r="AZ6" s="626"/>
      <c r="BA6" s="626"/>
      <c r="BB6" s="626"/>
      <c r="BC6" s="626"/>
      <c r="BD6" s="626"/>
      <c r="BE6" s="626"/>
      <c r="BF6" s="626"/>
      <c r="BG6" s="626"/>
      <c r="BH6" s="626"/>
      <c r="BI6" s="626"/>
      <c r="BJ6" s="626"/>
      <c r="BK6" s="626"/>
      <c r="BL6" s="626"/>
    </row>
    <row r="7" ht="16.5" customHeight="1" spans="1:64">
      <c r="A7" s="619" t="s">
        <v>82</v>
      </c>
      <c r="B7" s="627" t="s">
        <v>140</v>
      </c>
      <c r="C7" s="627"/>
      <c r="D7" s="627"/>
      <c r="E7" s="627"/>
      <c r="F7" s="627"/>
      <c r="G7" s="627"/>
      <c r="H7" s="627"/>
      <c r="I7" s="627"/>
      <c r="J7" s="627"/>
      <c r="K7" s="627"/>
      <c r="L7" s="627"/>
      <c r="M7" s="627"/>
      <c r="N7" s="627"/>
      <c r="O7" s="627"/>
      <c r="P7" s="627"/>
      <c r="Q7" s="627"/>
      <c r="R7" s="627"/>
      <c r="S7" s="627"/>
      <c r="T7" s="627"/>
      <c r="U7" s="627"/>
      <c r="V7" s="627"/>
      <c r="W7" s="627"/>
      <c r="X7" s="627"/>
      <c r="Y7" s="627"/>
      <c r="Z7" s="627"/>
      <c r="AA7" s="627"/>
      <c r="AB7" s="627"/>
      <c r="AC7" s="627"/>
      <c r="AD7" s="627"/>
      <c r="AE7" s="627"/>
      <c r="AF7" s="627"/>
      <c r="AG7" s="627"/>
      <c r="AH7" s="627"/>
      <c r="AI7" s="627"/>
      <c r="AJ7" s="627"/>
      <c r="AK7" s="627"/>
      <c r="AL7" s="627"/>
      <c r="AM7" s="627"/>
      <c r="AN7" s="627"/>
      <c r="AO7" s="627"/>
      <c r="AP7" s="627"/>
      <c r="AQ7" s="627"/>
      <c r="AR7" s="627"/>
      <c r="AS7" s="627"/>
      <c r="AT7" s="627"/>
      <c r="AU7" s="627"/>
      <c r="AV7" s="627"/>
      <c r="AW7" s="627"/>
      <c r="AX7" s="627"/>
      <c r="AY7" s="627"/>
      <c r="AZ7" s="627"/>
      <c r="BA7" s="627"/>
      <c r="BB7" s="627"/>
      <c r="BC7" s="627"/>
      <c r="BD7" s="627"/>
      <c r="BE7" s="627"/>
      <c r="BF7" s="627"/>
      <c r="BG7" s="627"/>
      <c r="BH7" s="627"/>
      <c r="BI7" s="627"/>
      <c r="BJ7" s="627"/>
      <c r="BK7" s="627"/>
      <c r="BL7" s="627"/>
    </row>
    <row r="8" ht="16.5" customHeight="1" spans="1:64">
      <c r="A8" s="619" t="s">
        <v>82</v>
      </c>
      <c r="B8" s="628" t="s">
        <v>141</v>
      </c>
      <c r="C8" s="628"/>
      <c r="D8" s="628"/>
      <c r="E8" s="628"/>
      <c r="F8" s="628"/>
      <c r="G8" s="628"/>
      <c r="H8" s="628"/>
      <c r="I8" s="628"/>
      <c r="J8" s="628"/>
      <c r="K8" s="628"/>
      <c r="L8" s="628"/>
      <c r="M8" s="628"/>
      <c r="N8" s="628"/>
      <c r="O8" s="628"/>
      <c r="P8" s="628"/>
      <c r="Q8" s="628"/>
      <c r="R8" s="628"/>
      <c r="S8" s="628"/>
      <c r="T8" s="628"/>
      <c r="U8" s="628"/>
      <c r="V8" s="628"/>
      <c r="W8" s="628"/>
      <c r="X8" s="628"/>
      <c r="Y8" s="628"/>
      <c r="Z8" s="628"/>
      <c r="AA8" s="628"/>
      <c r="AB8" s="628"/>
      <c r="AC8" s="628"/>
      <c r="AD8" s="628"/>
      <c r="AE8" s="628"/>
      <c r="AF8" s="629"/>
      <c r="AG8" s="629"/>
      <c r="AH8" s="629"/>
      <c r="AI8" s="629"/>
      <c r="AJ8" s="629"/>
      <c r="AK8" s="629"/>
      <c r="AL8" s="629"/>
      <c r="AM8" s="629"/>
      <c r="AN8" s="629"/>
      <c r="AO8" s="629"/>
      <c r="AP8" s="629"/>
      <c r="AQ8" s="629"/>
      <c r="AR8" s="629"/>
      <c r="AS8" s="629"/>
      <c r="AT8" s="629"/>
      <c r="AU8" s="629"/>
      <c r="AV8" s="629"/>
      <c r="AW8" s="629"/>
      <c r="AX8" s="629"/>
      <c r="AY8" s="629"/>
      <c r="AZ8" s="629"/>
      <c r="BA8" s="629"/>
      <c r="BB8" s="629"/>
      <c r="BC8" s="629"/>
      <c r="BD8" s="629"/>
      <c r="BE8" s="629"/>
      <c r="BF8" s="629"/>
      <c r="BG8" s="629"/>
      <c r="BH8" s="629"/>
      <c r="BI8" s="629"/>
      <c r="BJ8" s="629"/>
      <c r="BK8" s="629"/>
      <c r="BL8" s="629"/>
    </row>
    <row r="9" ht="16.5" customHeight="1" spans="1:64">
      <c r="A9" s="619" t="s">
        <v>82</v>
      </c>
      <c r="B9" s="630" t="s">
        <v>142</v>
      </c>
      <c r="C9" s="630"/>
      <c r="D9" s="630"/>
      <c r="E9" s="630"/>
      <c r="F9" s="630"/>
      <c r="G9" s="630"/>
      <c r="H9" s="630"/>
      <c r="I9" s="630"/>
      <c r="J9" s="630"/>
      <c r="K9" s="630"/>
      <c r="L9" s="630"/>
      <c r="M9" s="630"/>
      <c r="N9" s="630"/>
      <c r="O9" s="630"/>
      <c r="P9" s="631" t="s">
        <v>143</v>
      </c>
      <c r="Q9" s="631"/>
      <c r="R9" s="631"/>
      <c r="S9" s="631"/>
      <c r="T9" s="631"/>
      <c r="U9" s="631"/>
      <c r="V9" s="631"/>
      <c r="W9" s="631"/>
      <c r="X9" s="631"/>
      <c r="Y9" s="631"/>
      <c r="Z9" s="631"/>
      <c r="AA9" s="631"/>
      <c r="AB9" s="631"/>
      <c r="AC9" s="631"/>
      <c r="AD9" s="631" t="s">
        <v>144</v>
      </c>
      <c r="AE9" s="631"/>
      <c r="AF9" s="631"/>
      <c r="AG9" s="631"/>
      <c r="AH9" s="631"/>
      <c r="AI9" s="631"/>
      <c r="AJ9" s="631"/>
      <c r="AK9" s="631"/>
      <c r="AL9" s="631"/>
      <c r="AM9" s="631"/>
      <c r="AN9" s="631"/>
      <c r="AO9" s="631"/>
      <c r="AP9" s="631"/>
      <c r="AQ9" s="631"/>
      <c r="AR9" s="629"/>
      <c r="AS9" s="629"/>
      <c r="AT9" s="629"/>
      <c r="AU9" s="629"/>
      <c r="AV9" s="629"/>
      <c r="AW9" s="629"/>
      <c r="AX9" s="629"/>
      <c r="AY9" s="629"/>
      <c r="AZ9" s="629"/>
      <c r="BA9" s="629"/>
      <c r="BB9" s="629"/>
      <c r="BC9" s="629"/>
      <c r="BD9" s="629"/>
      <c r="BE9" s="629"/>
      <c r="BF9" s="629"/>
      <c r="BG9" s="629"/>
      <c r="BH9" s="629"/>
      <c r="BI9" s="629"/>
      <c r="BJ9" s="629"/>
      <c r="BK9" s="629"/>
      <c r="BL9" s="629"/>
    </row>
    <row r="10" ht="16.5" customHeight="1" spans="1:64">
      <c r="A10" s="619" t="s">
        <v>82</v>
      </c>
      <c r="B10" s="619" t="s">
        <v>145</v>
      </c>
      <c r="C10" s="619"/>
      <c r="D10" s="619"/>
      <c r="E10" s="619"/>
      <c r="F10" s="619"/>
      <c r="G10" s="619"/>
      <c r="H10" s="619"/>
      <c r="I10" s="619" t="s">
        <v>146</v>
      </c>
      <c r="J10" s="619"/>
      <c r="K10" s="619"/>
      <c r="L10" s="619"/>
      <c r="M10" s="619"/>
      <c r="N10" s="619"/>
      <c r="O10" s="619"/>
      <c r="P10" s="632" t="s">
        <v>146</v>
      </c>
      <c r="Q10" s="632"/>
      <c r="R10" s="632"/>
      <c r="S10" s="632"/>
      <c r="T10" s="632"/>
      <c r="U10" s="632"/>
      <c r="V10" s="632"/>
      <c r="W10" s="633" t="s">
        <v>147</v>
      </c>
      <c r="X10" s="633"/>
      <c r="Y10" s="633"/>
      <c r="Z10" s="633"/>
      <c r="AA10" s="633"/>
      <c r="AB10" s="633"/>
      <c r="AC10" s="633"/>
      <c r="AD10" s="619" t="s">
        <v>147</v>
      </c>
      <c r="AE10" s="619"/>
      <c r="AF10" s="619"/>
      <c r="AG10" s="619"/>
      <c r="AH10" s="619"/>
      <c r="AI10" s="619"/>
      <c r="AJ10" s="619"/>
      <c r="AK10" s="619" t="s">
        <v>147</v>
      </c>
      <c r="AL10" s="619"/>
      <c r="AM10" s="619"/>
      <c r="AN10" s="619"/>
      <c r="AO10" s="619"/>
      <c r="AP10" s="619"/>
      <c r="AQ10" s="619"/>
      <c r="AR10" s="629"/>
      <c r="AS10" s="629"/>
      <c r="AT10" s="629"/>
      <c r="AU10" s="629"/>
      <c r="AV10" s="629"/>
      <c r="AW10" s="629"/>
      <c r="AX10" s="629"/>
      <c r="AY10" s="629"/>
      <c r="AZ10" s="629"/>
      <c r="BA10" s="629"/>
      <c r="BB10" s="629"/>
      <c r="BC10" s="629"/>
      <c r="BD10" s="629"/>
      <c r="BE10" s="629"/>
      <c r="BF10" s="629"/>
      <c r="BG10" s="629"/>
      <c r="BH10" s="629"/>
      <c r="BI10" s="629"/>
      <c r="BJ10" s="629"/>
      <c r="BK10" s="629"/>
      <c r="BL10" s="629"/>
    </row>
    <row r="11" ht="16.5" customHeight="1" spans="1:64">
      <c r="A11" s="619" t="s">
        <v>82</v>
      </c>
      <c r="B11" s="631" t="s">
        <v>148</v>
      </c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1"/>
      <c r="O11" s="631"/>
      <c r="P11" s="631"/>
      <c r="Q11" s="620"/>
      <c r="R11" s="620"/>
      <c r="S11" s="620"/>
      <c r="T11" s="620"/>
      <c r="U11" s="620"/>
      <c r="V11" s="620"/>
      <c r="W11" s="631" t="s">
        <v>149</v>
      </c>
      <c r="X11" s="631"/>
      <c r="Y11" s="631"/>
      <c r="Z11" s="631"/>
      <c r="AA11" s="631"/>
      <c r="AB11" s="631"/>
      <c r="AC11" s="631"/>
      <c r="AD11" s="629"/>
      <c r="AE11" s="629"/>
      <c r="AF11" s="629"/>
      <c r="AG11" s="629"/>
      <c r="AH11" s="629"/>
      <c r="AI11" s="629"/>
      <c r="AJ11" s="629"/>
      <c r="AK11" s="629"/>
      <c r="AL11" s="629"/>
      <c r="AM11" s="629"/>
      <c r="AN11" s="629"/>
      <c r="AO11" s="629"/>
      <c r="AP11" s="629"/>
      <c r="AQ11" s="629"/>
      <c r="AR11" s="629"/>
      <c r="AS11" s="629"/>
      <c r="AT11" s="629"/>
      <c r="AU11" s="629"/>
      <c r="AV11" s="629"/>
      <c r="AW11" s="629"/>
      <c r="AX11" s="629"/>
      <c r="AY11" s="629"/>
      <c r="AZ11" s="629"/>
      <c r="BA11" s="629"/>
      <c r="BB11" s="629"/>
      <c r="BC11" s="629"/>
      <c r="BD11" s="629"/>
      <c r="BE11" s="629"/>
      <c r="BF11" s="629"/>
      <c r="BG11" s="629"/>
      <c r="BH11" s="629"/>
      <c r="BI11" s="629"/>
      <c r="BJ11" s="629"/>
      <c r="BK11" s="629"/>
      <c r="BL11" s="629"/>
    </row>
    <row r="12" ht="16.5" customHeight="1" spans="1:64">
      <c r="A12" s="619" t="s">
        <v>82</v>
      </c>
      <c r="B12" s="628" t="s">
        <v>150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0"/>
      <c r="R12" s="620"/>
      <c r="S12" s="620"/>
      <c r="T12" s="620"/>
      <c r="U12" s="620"/>
      <c r="V12" s="620"/>
      <c r="W12" s="629"/>
      <c r="X12" s="629"/>
      <c r="Y12" s="629"/>
      <c r="Z12" s="629"/>
      <c r="AA12" s="629"/>
      <c r="AB12" s="629"/>
      <c r="AC12" s="629"/>
      <c r="AD12" s="629"/>
      <c r="AE12" s="629"/>
      <c r="AF12" s="629"/>
      <c r="AG12" s="629"/>
      <c r="AH12" s="629"/>
      <c r="AI12" s="629"/>
      <c r="AJ12" s="629"/>
      <c r="AK12" s="629"/>
      <c r="AL12" s="629"/>
      <c r="AM12" s="629"/>
      <c r="AN12" s="629"/>
      <c r="AO12" s="629"/>
      <c r="AP12" s="629"/>
      <c r="AQ12" s="629"/>
      <c r="AR12" s="629"/>
      <c r="AS12" s="629"/>
      <c r="AT12" s="629"/>
      <c r="AU12" s="629"/>
      <c r="AV12" s="629"/>
      <c r="AW12" s="629"/>
      <c r="AX12" s="629"/>
      <c r="AY12" s="629"/>
      <c r="AZ12" s="629"/>
      <c r="BA12" s="629"/>
      <c r="BB12" s="629"/>
      <c r="BC12" s="629"/>
      <c r="BD12" s="629"/>
      <c r="BE12" s="629"/>
      <c r="BF12" s="629"/>
      <c r="BG12" s="629"/>
      <c r="BH12" s="629"/>
      <c r="BI12" s="629"/>
      <c r="BJ12" s="629"/>
      <c r="BK12" s="629"/>
      <c r="BL12" s="629"/>
    </row>
    <row r="13" ht="16.5" customHeight="1" spans="1:64">
      <c r="A13" s="619" t="s">
        <v>82</v>
      </c>
      <c r="B13" s="634" t="s">
        <v>151</v>
      </c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4"/>
      <c r="N13" s="634"/>
      <c r="O13" s="634"/>
      <c r="P13" s="620"/>
      <c r="Q13" s="620"/>
      <c r="R13" s="620"/>
      <c r="S13" s="620"/>
      <c r="T13" s="620"/>
      <c r="U13" s="620"/>
      <c r="V13" s="620"/>
      <c r="W13" s="629"/>
      <c r="X13" s="629"/>
      <c r="Y13" s="629"/>
      <c r="Z13" s="629"/>
      <c r="AA13" s="629"/>
      <c r="AB13" s="629"/>
      <c r="AC13" s="629"/>
      <c r="AD13" s="629"/>
      <c r="AE13" s="629"/>
      <c r="AF13" s="629"/>
      <c r="AG13" s="629"/>
      <c r="AH13" s="629"/>
      <c r="AI13" s="629"/>
      <c r="AJ13" s="629"/>
      <c r="AK13" s="629"/>
      <c r="AL13" s="629"/>
      <c r="AM13" s="629"/>
      <c r="AN13" s="629"/>
      <c r="AO13" s="629"/>
      <c r="AP13" s="629"/>
      <c r="AQ13" s="629"/>
      <c r="AR13" s="629"/>
      <c r="AS13" s="629"/>
      <c r="AT13" s="629"/>
      <c r="AU13" s="629"/>
      <c r="AV13" s="629"/>
      <c r="AW13" s="629"/>
      <c r="AX13" s="629"/>
      <c r="AY13" s="629"/>
      <c r="AZ13" s="629"/>
      <c r="BA13" s="629"/>
      <c r="BB13" s="629"/>
      <c r="BC13" s="629"/>
      <c r="BD13" s="629"/>
      <c r="BE13" s="629"/>
      <c r="BF13" s="629"/>
      <c r="BG13" s="629"/>
      <c r="BH13" s="629"/>
      <c r="BI13" s="629"/>
      <c r="BJ13" s="629"/>
      <c r="BK13" s="629"/>
      <c r="BL13" s="629"/>
    </row>
    <row r="14" ht="16.5" customHeight="1" spans="1:64">
      <c r="A14" s="619" t="s">
        <v>82</v>
      </c>
      <c r="B14" s="635" t="s">
        <v>152</v>
      </c>
      <c r="C14" s="635"/>
      <c r="D14" s="635"/>
      <c r="E14" s="635"/>
      <c r="F14" s="635"/>
      <c r="G14" s="635"/>
      <c r="H14" s="635"/>
      <c r="I14" s="636" t="s">
        <v>153</v>
      </c>
      <c r="J14" s="636"/>
      <c r="K14" s="636"/>
      <c r="L14" s="636"/>
      <c r="M14" s="636"/>
      <c r="N14" s="636"/>
      <c r="O14" s="636"/>
      <c r="P14" s="637" t="s">
        <v>154</v>
      </c>
      <c r="Q14" s="637"/>
      <c r="R14" s="637"/>
      <c r="S14" s="637"/>
      <c r="T14" s="637"/>
      <c r="U14" s="637"/>
      <c r="V14" s="637"/>
      <c r="W14" s="632" t="s">
        <v>155</v>
      </c>
      <c r="X14" s="632"/>
      <c r="Y14" s="632"/>
      <c r="Z14" s="632"/>
      <c r="AA14" s="632"/>
      <c r="AB14" s="632"/>
      <c r="AC14" s="632"/>
      <c r="AD14" s="638" t="s">
        <v>156</v>
      </c>
      <c r="AE14" s="638"/>
      <c r="AF14" s="638"/>
      <c r="AG14" s="638"/>
      <c r="AH14" s="638"/>
      <c r="AI14" s="638"/>
      <c r="AJ14" s="638"/>
      <c r="AK14" s="637" t="s">
        <v>154</v>
      </c>
      <c r="AL14" s="637"/>
      <c r="AM14" s="637"/>
      <c r="AN14" s="637"/>
      <c r="AO14" s="637"/>
      <c r="AP14" s="637"/>
      <c r="AQ14" s="637"/>
      <c r="AR14" s="632" t="s">
        <v>157</v>
      </c>
      <c r="AS14" s="632"/>
      <c r="AT14" s="632"/>
      <c r="AU14" s="632"/>
      <c r="AV14" s="632"/>
      <c r="AW14" s="632"/>
      <c r="AX14" s="632"/>
      <c r="AY14" s="638" t="s">
        <v>156</v>
      </c>
      <c r="AZ14" s="638"/>
      <c r="BA14" s="638"/>
      <c r="BB14" s="638"/>
      <c r="BC14" s="638"/>
      <c r="BD14" s="638"/>
      <c r="BE14" s="638"/>
      <c r="BF14" s="637" t="s">
        <v>154</v>
      </c>
      <c r="BG14" s="637"/>
      <c r="BH14" s="637"/>
      <c r="BI14" s="637"/>
      <c r="BJ14" s="637"/>
      <c r="BK14" s="637"/>
      <c r="BL14" s="637"/>
    </row>
    <row r="15" ht="16.5" customHeight="1" spans="1:64">
      <c r="A15" s="619" t="s">
        <v>82</v>
      </c>
      <c r="B15" s="620"/>
      <c r="C15" s="620"/>
      <c r="D15" s="620"/>
      <c r="E15" s="620"/>
      <c r="F15" s="639" t="s">
        <v>158</v>
      </c>
      <c r="G15" s="639"/>
      <c r="H15" s="639"/>
      <c r="I15" s="639"/>
      <c r="J15" s="619"/>
      <c r="K15" s="619"/>
      <c r="L15" s="636" t="s">
        <v>159</v>
      </c>
      <c r="M15" s="636"/>
      <c r="N15" s="636"/>
      <c r="O15" s="636"/>
      <c r="P15" s="629"/>
      <c r="Q15" s="629"/>
      <c r="R15" s="629"/>
      <c r="S15" s="629"/>
      <c r="T15" s="629"/>
      <c r="U15" s="629"/>
      <c r="V15" s="629"/>
      <c r="W15" s="629"/>
      <c r="X15" s="629"/>
      <c r="Y15" s="629"/>
      <c r="Z15" s="629"/>
      <c r="AA15" s="629"/>
      <c r="AB15" s="629"/>
      <c r="AC15" s="629"/>
      <c r="AD15" s="629"/>
      <c r="AE15" s="629"/>
      <c r="AF15" s="629"/>
      <c r="AG15" s="629"/>
      <c r="AH15" s="629"/>
      <c r="AI15" s="629"/>
      <c r="AJ15" s="629"/>
      <c r="AK15" s="629"/>
      <c r="AL15" s="629"/>
      <c r="AM15" s="629"/>
      <c r="AN15" s="629"/>
      <c r="AO15" s="629"/>
      <c r="AP15" s="629"/>
      <c r="AQ15" s="629"/>
      <c r="AR15" s="629"/>
      <c r="AS15" s="629"/>
      <c r="AT15" s="629"/>
      <c r="AU15" s="629"/>
      <c r="AV15" s="629"/>
      <c r="AW15" s="629"/>
      <c r="AX15" s="629"/>
      <c r="AY15" s="629"/>
      <c r="AZ15" s="629"/>
      <c r="BA15" s="629"/>
      <c r="BB15" s="629"/>
      <c r="BC15" s="629"/>
      <c r="BD15" s="629"/>
      <c r="BE15" s="629"/>
      <c r="BF15" s="629"/>
      <c r="BG15" s="629"/>
      <c r="BH15" s="629"/>
      <c r="BI15" s="629"/>
      <c r="BJ15" s="629"/>
      <c r="BK15" s="629"/>
      <c r="BL15" s="629"/>
    </row>
    <row r="16" ht="16.5" customHeight="1" spans="1:64">
      <c r="A16" s="619" t="s">
        <v>82</v>
      </c>
      <c r="B16" s="629"/>
      <c r="C16" s="629"/>
      <c r="D16" s="640" t="s">
        <v>160</v>
      </c>
      <c r="E16" s="640"/>
      <c r="F16" s="640"/>
      <c r="G16" s="629"/>
      <c r="H16" s="629"/>
      <c r="I16" s="629"/>
      <c r="J16" s="629"/>
      <c r="K16" s="620"/>
      <c r="L16" s="620"/>
      <c r="M16" s="620"/>
      <c r="N16" s="620"/>
      <c r="O16" s="620"/>
      <c r="P16" s="620"/>
      <c r="Q16" s="620"/>
      <c r="R16" s="620"/>
      <c r="S16" s="620"/>
      <c r="T16" s="620"/>
      <c r="U16" s="629"/>
      <c r="V16" s="629"/>
      <c r="W16" s="629"/>
      <c r="X16" s="629"/>
      <c r="Y16" s="629"/>
      <c r="Z16" s="629"/>
      <c r="AA16" s="620"/>
      <c r="AB16" s="629"/>
      <c r="AC16" s="629"/>
      <c r="AD16" s="629"/>
      <c r="AE16" s="629"/>
      <c r="AF16" s="620"/>
      <c r="AG16" s="629"/>
      <c r="AH16" s="629"/>
      <c r="AI16" s="620"/>
      <c r="AJ16" s="629"/>
      <c r="AK16" s="629"/>
      <c r="AL16" s="629"/>
      <c r="AM16" s="629"/>
      <c r="AN16" s="629"/>
      <c r="AO16" s="629"/>
      <c r="AP16" s="629"/>
      <c r="AQ16" s="629"/>
      <c r="AR16" s="629"/>
      <c r="AS16" s="629"/>
      <c r="AT16" s="629"/>
      <c r="AU16" s="629"/>
      <c r="AV16" s="629"/>
      <c r="AW16" s="629"/>
      <c r="AX16" s="629"/>
      <c r="AY16" s="629"/>
      <c r="AZ16" s="629"/>
      <c r="BA16" s="629"/>
      <c r="BB16" s="629"/>
      <c r="BC16" s="629"/>
      <c r="BD16" s="629"/>
      <c r="BE16" s="629"/>
      <c r="BF16" s="629"/>
      <c r="BG16" s="629"/>
      <c r="BH16" s="629"/>
      <c r="BI16" s="629"/>
      <c r="BJ16" s="629"/>
      <c r="BK16" s="629"/>
      <c r="BL16" s="629"/>
    </row>
    <row r="17" ht="16.5" customHeight="1" spans="1:64">
      <c r="A17" s="619" t="s">
        <v>82</v>
      </c>
      <c r="B17" s="629"/>
      <c r="C17" s="629"/>
      <c r="D17" s="629"/>
      <c r="E17" s="629"/>
      <c r="F17" s="629"/>
      <c r="G17" s="629"/>
      <c r="H17" s="629"/>
      <c r="I17" s="629"/>
      <c r="J17" s="629"/>
      <c r="K17" s="620"/>
      <c r="L17" s="620"/>
      <c r="M17" s="620"/>
      <c r="N17" s="620"/>
      <c r="O17" s="620"/>
      <c r="P17" s="641" t="s">
        <v>161</v>
      </c>
      <c r="Q17" s="641"/>
      <c r="R17" s="641"/>
      <c r="S17" s="641"/>
      <c r="T17" s="641"/>
      <c r="U17" s="641"/>
      <c r="V17" s="641"/>
      <c r="W17" s="637" t="s">
        <v>162</v>
      </c>
      <c r="X17" s="637"/>
      <c r="Y17" s="637"/>
      <c r="Z17" s="637"/>
      <c r="AA17" s="637"/>
      <c r="AB17" s="637"/>
      <c r="AC17" s="637"/>
      <c r="AD17" s="628" t="s">
        <v>163</v>
      </c>
      <c r="AE17" s="628"/>
      <c r="AF17" s="628"/>
      <c r="AG17" s="628"/>
      <c r="AH17" s="628"/>
      <c r="AI17" s="628"/>
      <c r="AJ17" s="628"/>
      <c r="AK17" s="641" t="s">
        <v>164</v>
      </c>
      <c r="AL17" s="641"/>
      <c r="AM17" s="641"/>
      <c r="AN17" s="641"/>
      <c r="AO17" s="641"/>
      <c r="AP17" s="641"/>
      <c r="AQ17" s="641"/>
      <c r="AR17" s="637" t="s">
        <v>162</v>
      </c>
      <c r="AS17" s="637"/>
      <c r="AT17" s="637"/>
      <c r="AU17" s="637"/>
      <c r="AV17" s="637"/>
      <c r="AW17" s="637"/>
      <c r="AX17" s="637"/>
      <c r="AY17" s="628" t="s">
        <v>163</v>
      </c>
      <c r="AZ17" s="628"/>
      <c r="BA17" s="628"/>
      <c r="BB17" s="628"/>
      <c r="BC17" s="628"/>
      <c r="BD17" s="628"/>
      <c r="BE17" s="628"/>
      <c r="BF17" s="641" t="s">
        <v>165</v>
      </c>
      <c r="BG17" s="641"/>
      <c r="BH17" s="641"/>
      <c r="BI17" s="641"/>
      <c r="BJ17" s="641"/>
      <c r="BK17" s="641"/>
      <c r="BL17" s="641"/>
    </row>
    <row r="18" ht="16.5" customHeight="1" spans="1:64">
      <c r="A18" s="619" t="s">
        <v>82</v>
      </c>
      <c r="B18" s="642" t="s">
        <v>166</v>
      </c>
      <c r="C18" s="642"/>
      <c r="D18" s="642"/>
      <c r="E18" s="642"/>
      <c r="F18" s="642"/>
      <c r="G18" s="642"/>
      <c r="H18" s="642"/>
      <c r="I18" s="642"/>
      <c r="J18" s="642"/>
      <c r="K18" s="642"/>
      <c r="L18" s="642"/>
      <c r="M18" s="642"/>
      <c r="N18" s="642"/>
      <c r="O18" s="642"/>
      <c r="P18" s="642"/>
      <c r="Q18" s="642"/>
      <c r="R18" s="642"/>
      <c r="S18" s="642"/>
      <c r="T18" s="642"/>
      <c r="U18" s="642"/>
      <c r="V18" s="642"/>
      <c r="W18" s="642"/>
      <c r="X18" s="642"/>
      <c r="Y18" s="642"/>
      <c r="Z18" s="642"/>
      <c r="AA18" s="642"/>
      <c r="AB18" s="642"/>
      <c r="AC18" s="642"/>
      <c r="AD18" s="642"/>
      <c r="AE18" s="642"/>
      <c r="AF18" s="643" t="s">
        <v>167</v>
      </c>
      <c r="AG18" s="643"/>
      <c r="AH18" s="643"/>
      <c r="AI18" s="643"/>
      <c r="AJ18" s="643"/>
      <c r="AK18" s="643"/>
      <c r="AL18" s="643"/>
      <c r="AM18" s="643"/>
      <c r="AN18" s="643"/>
      <c r="AO18" s="643"/>
      <c r="AP18" s="643"/>
      <c r="AQ18" s="643"/>
      <c r="AR18" s="643"/>
      <c r="AS18" s="643"/>
      <c r="AT18" s="643"/>
      <c r="AU18" s="643"/>
      <c r="AV18" s="643"/>
      <c r="AW18" s="643"/>
      <c r="AX18" s="643"/>
      <c r="AY18" s="643"/>
      <c r="AZ18" s="643"/>
      <c r="BA18" s="643"/>
      <c r="BB18" s="643"/>
      <c r="BC18" s="643"/>
      <c r="BD18" s="643"/>
      <c r="BE18" s="643"/>
      <c r="BF18" s="643"/>
      <c r="BG18" s="643"/>
      <c r="BH18" s="643"/>
      <c r="BI18" s="643"/>
      <c r="BJ18" s="643"/>
      <c r="BK18" s="643"/>
      <c r="BL18" s="643"/>
    </row>
    <row r="19" ht="16.5" customHeight="1" spans="1:64">
      <c r="A19" s="619" t="s">
        <v>168</v>
      </c>
      <c r="B19" s="619"/>
      <c r="C19" s="619"/>
      <c r="D19" s="619"/>
      <c r="E19" s="619"/>
      <c r="F19" s="620"/>
      <c r="G19" s="620"/>
      <c r="H19" s="620"/>
      <c r="I19" s="644" t="s">
        <v>169</v>
      </c>
      <c r="J19" s="644"/>
      <c r="K19" s="644"/>
      <c r="L19" s="644"/>
      <c r="M19" s="644"/>
      <c r="N19" s="644"/>
      <c r="O19" s="644"/>
      <c r="P19" s="619" t="s">
        <v>170</v>
      </c>
      <c r="Q19" s="619"/>
      <c r="R19" s="619"/>
      <c r="S19" s="619"/>
      <c r="T19" s="619"/>
      <c r="U19" s="619"/>
      <c r="V19" s="619"/>
      <c r="W19" s="629"/>
      <c r="X19" s="629"/>
      <c r="Y19" s="629"/>
      <c r="Z19" s="629"/>
      <c r="AA19" s="629"/>
      <c r="AB19" s="645" t="s">
        <v>171</v>
      </c>
      <c r="AC19" s="645"/>
      <c r="AD19" s="645"/>
      <c r="AE19" s="645"/>
      <c r="AF19" s="629"/>
      <c r="AG19" s="629"/>
      <c r="AH19" s="629"/>
      <c r="AI19" s="629"/>
      <c r="AJ19" s="629"/>
      <c r="AK19" s="629"/>
      <c r="AL19" s="629"/>
      <c r="AM19" s="629"/>
      <c r="AN19" s="629"/>
      <c r="AO19" s="629"/>
      <c r="AP19" s="629"/>
      <c r="AQ19" s="629"/>
      <c r="AR19" s="629"/>
      <c r="AS19" s="629"/>
      <c r="AT19" s="629"/>
      <c r="AU19" s="629"/>
      <c r="AV19" s="629"/>
      <c r="AW19" s="629"/>
      <c r="AX19" s="629"/>
      <c r="AY19" s="629"/>
      <c r="AZ19" s="629"/>
      <c r="BA19" s="629"/>
      <c r="BB19" s="629"/>
      <c r="BC19" s="629"/>
      <c r="BD19" s="629"/>
      <c r="BE19" s="629"/>
      <c r="BF19" s="629"/>
      <c r="BG19" s="629"/>
      <c r="BH19" s="629"/>
      <c r="BI19" s="629"/>
      <c r="BJ19" s="629"/>
      <c r="BK19" s="629"/>
      <c r="BL19" s="629"/>
    </row>
    <row r="20" ht="16.5" customHeight="1" spans="1:64">
      <c r="A20" s="619" t="s">
        <v>172</v>
      </c>
      <c r="B20" s="629"/>
      <c r="C20" s="629"/>
      <c r="D20" s="629"/>
      <c r="E20" s="629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19" t="s">
        <v>173</v>
      </c>
      <c r="X20" s="619"/>
      <c r="Y20" s="619"/>
      <c r="Z20" s="619"/>
      <c r="AA20" s="619"/>
      <c r="AB20" s="619"/>
      <c r="AC20" s="619"/>
      <c r="AD20" s="629"/>
      <c r="AE20" s="629"/>
      <c r="AF20" s="638" t="s">
        <v>174</v>
      </c>
      <c r="AG20" s="638"/>
      <c r="AH20" s="638"/>
      <c r="AI20" s="638"/>
      <c r="AJ20" s="638"/>
      <c r="AK20" s="638"/>
      <c r="AL20" s="638"/>
      <c r="AM20" s="638"/>
      <c r="AN20" s="638"/>
      <c r="AO20" s="638"/>
      <c r="AP20" s="638"/>
      <c r="AQ20" s="638"/>
      <c r="AR20" s="638"/>
      <c r="AS20" s="638"/>
      <c r="AT20" s="638"/>
      <c r="AU20" s="646" t="s">
        <v>175</v>
      </c>
      <c r="AV20" s="646"/>
      <c r="AW20" s="646"/>
      <c r="AX20" s="646"/>
      <c r="AY20" s="646"/>
      <c r="AZ20" s="646"/>
      <c r="BA20" s="646"/>
      <c r="BB20" s="646"/>
      <c r="BC20" s="646"/>
      <c r="BD20" s="646"/>
      <c r="BE20" s="646"/>
      <c r="BF20" s="646"/>
      <c r="BG20" s="646"/>
      <c r="BH20" s="646"/>
      <c r="BI20" s="646"/>
      <c r="BJ20" s="638"/>
      <c r="BK20" s="638"/>
      <c r="BL20" s="638"/>
    </row>
    <row r="21" ht="16.5" spans="1:64">
      <c r="A21" s="619"/>
      <c r="B21" s="629"/>
      <c r="C21" s="629"/>
      <c r="D21" s="629"/>
      <c r="E21" s="629"/>
      <c r="F21" s="629"/>
      <c r="G21" s="629"/>
      <c r="H21" s="629"/>
      <c r="I21" s="629"/>
      <c r="J21" s="629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9"/>
      <c r="X21" s="629"/>
      <c r="Y21" s="629"/>
      <c r="Z21" s="629"/>
      <c r="AA21" s="629"/>
      <c r="AB21" s="629"/>
      <c r="AC21" s="629"/>
      <c r="AD21" s="629"/>
      <c r="AE21" s="629"/>
      <c r="AF21" s="629"/>
      <c r="AG21" s="629"/>
      <c r="AH21" s="629"/>
      <c r="AI21" s="629"/>
      <c r="AJ21" s="629"/>
      <c r="AK21" s="629"/>
      <c r="AL21" s="629"/>
      <c r="AM21" s="629"/>
      <c r="AN21" s="629"/>
      <c r="AO21" s="629"/>
      <c r="AP21" s="629"/>
      <c r="AQ21" s="629"/>
      <c r="AR21" s="629"/>
      <c r="AS21" s="629"/>
      <c r="AT21" s="629"/>
      <c r="AU21" s="629"/>
      <c r="AV21" s="629"/>
      <c r="AW21" s="629"/>
      <c r="AX21" s="629"/>
      <c r="AY21" s="629"/>
      <c r="AZ21" s="629"/>
      <c r="BA21" s="629"/>
      <c r="BB21" s="629"/>
      <c r="BC21" s="629"/>
      <c r="BD21" s="629"/>
      <c r="BE21" s="629"/>
      <c r="BF21" s="629"/>
      <c r="BG21" s="629"/>
      <c r="BH21" s="629"/>
      <c r="BI21" s="629"/>
      <c r="BJ21" s="629"/>
      <c r="BK21" s="629"/>
      <c r="BL21" s="629"/>
    </row>
    <row r="22" ht="16.5" spans="1:64">
      <c r="A22" s="619"/>
      <c r="B22" s="629"/>
      <c r="C22" s="629"/>
      <c r="D22" s="629"/>
      <c r="E22" s="629"/>
      <c r="F22" s="629"/>
      <c r="G22" s="629"/>
      <c r="H22" s="629"/>
      <c r="I22" s="629"/>
      <c r="J22" s="629"/>
      <c r="K22" s="620"/>
      <c r="L22" s="620"/>
      <c r="M22" s="620"/>
      <c r="N22" s="620"/>
      <c r="O22" s="620"/>
      <c r="P22" s="620"/>
      <c r="Q22" s="620"/>
      <c r="R22" s="620"/>
      <c r="S22" s="620"/>
      <c r="T22" s="620"/>
      <c r="U22" s="620"/>
      <c r="V22" s="620"/>
      <c r="W22" s="629"/>
      <c r="X22" s="629"/>
      <c r="Y22" s="629"/>
      <c r="Z22" s="629"/>
      <c r="AA22" s="629"/>
      <c r="AB22" s="629"/>
      <c r="AC22" s="629"/>
      <c r="AD22" s="629"/>
      <c r="AE22" s="629"/>
      <c r="AF22" s="629"/>
      <c r="AG22" s="629"/>
      <c r="AH22" s="629"/>
      <c r="AI22" s="629"/>
      <c r="AJ22" s="629"/>
      <c r="AK22" s="629"/>
      <c r="AL22" s="629"/>
      <c r="AM22" s="629"/>
      <c r="AN22" s="629"/>
      <c r="AO22" s="629"/>
      <c r="AP22" s="629"/>
      <c r="AQ22" s="629"/>
      <c r="AR22" s="629"/>
      <c r="AS22" s="629"/>
      <c r="AT22" s="629"/>
      <c r="AU22" s="629"/>
      <c r="AV22" s="629"/>
      <c r="AW22" s="629"/>
      <c r="AX22" s="629"/>
      <c r="AY22" s="629"/>
      <c r="AZ22" s="629"/>
      <c r="BA22" s="629"/>
      <c r="BB22" s="629"/>
      <c r="BC22" s="629"/>
      <c r="BD22" s="629"/>
      <c r="BE22" s="629"/>
      <c r="BF22" s="629"/>
      <c r="BG22" s="629"/>
      <c r="BH22" s="629"/>
      <c r="BI22" s="629"/>
      <c r="BJ22" s="629"/>
      <c r="BK22" s="629"/>
      <c r="BL22" s="629"/>
    </row>
    <row r="23" ht="16.5" spans="1:64">
      <c r="A23" s="619"/>
      <c r="B23" s="629"/>
      <c r="C23" s="629"/>
      <c r="D23" s="629"/>
      <c r="E23" s="629"/>
      <c r="F23" s="629"/>
      <c r="G23" s="629"/>
      <c r="H23" s="629"/>
      <c r="I23" s="629"/>
      <c r="J23" s="629"/>
      <c r="K23" s="620"/>
      <c r="L23" s="620"/>
      <c r="M23" s="620"/>
      <c r="N23" s="620"/>
      <c r="O23" s="620"/>
      <c r="P23" s="620"/>
      <c r="Q23" s="620"/>
      <c r="R23" s="620"/>
      <c r="S23" s="620"/>
      <c r="T23" s="620"/>
      <c r="U23" s="620"/>
      <c r="V23" s="620"/>
      <c r="W23" s="629"/>
      <c r="X23" s="629"/>
      <c r="Y23" s="629"/>
      <c r="Z23" s="629"/>
      <c r="AA23" s="629"/>
      <c r="AB23" s="629"/>
      <c r="AC23" s="629"/>
      <c r="AD23" s="629"/>
      <c r="AE23" s="629"/>
      <c r="AF23" s="629"/>
      <c r="AG23" s="629"/>
      <c r="AH23" s="629"/>
      <c r="AI23" s="629"/>
      <c r="AJ23" s="629"/>
      <c r="AK23" s="629"/>
      <c r="AL23" s="629"/>
      <c r="AM23" s="629"/>
      <c r="AN23" s="629"/>
      <c r="AO23" s="629"/>
      <c r="AP23" s="629"/>
      <c r="AQ23" s="629"/>
      <c r="AR23" s="629"/>
      <c r="AS23" s="629"/>
      <c r="AT23" s="629"/>
      <c r="AU23" s="629"/>
      <c r="AV23" s="629"/>
      <c r="AW23" s="629"/>
      <c r="AX23" s="629"/>
      <c r="AY23" s="629"/>
      <c r="AZ23" s="629"/>
      <c r="BA23" s="629"/>
      <c r="BB23" s="629"/>
      <c r="BC23" s="629"/>
      <c r="BD23" s="629"/>
      <c r="BE23" s="629"/>
      <c r="BF23" s="629"/>
      <c r="BG23" s="629"/>
      <c r="BH23" s="629"/>
      <c r="BI23" s="629"/>
      <c r="BJ23" s="629"/>
      <c r="BK23" s="629"/>
      <c r="BL23" s="629"/>
    </row>
    <row r="24" ht="16.5" spans="1:64">
      <c r="A24" s="619"/>
      <c r="B24" s="629"/>
      <c r="C24" s="629"/>
      <c r="D24" s="629"/>
      <c r="E24" s="629"/>
      <c r="F24" s="629"/>
      <c r="G24" s="629"/>
      <c r="H24" s="629"/>
      <c r="I24" s="629"/>
      <c r="J24" s="629"/>
      <c r="K24" s="620"/>
      <c r="L24" s="620"/>
      <c r="M24" s="620"/>
      <c r="N24" s="620"/>
      <c r="O24" s="620"/>
      <c r="P24" s="620"/>
      <c r="Q24" s="620"/>
      <c r="R24" s="620"/>
      <c r="S24" s="620"/>
      <c r="T24" s="620"/>
      <c r="U24" s="620"/>
      <c r="V24" s="620"/>
      <c r="W24" s="629"/>
      <c r="X24" s="629"/>
      <c r="Y24" s="629"/>
      <c r="Z24" s="629"/>
      <c r="AA24" s="629"/>
      <c r="AB24" s="629"/>
      <c r="AC24" s="629"/>
      <c r="AD24" s="629"/>
      <c r="AE24" s="629"/>
      <c r="AF24" s="629"/>
      <c r="AG24" s="629"/>
      <c r="AH24" s="629"/>
      <c r="AI24" s="629"/>
      <c r="AJ24" s="629"/>
      <c r="AK24" s="629"/>
      <c r="AL24" s="629"/>
      <c r="AM24" s="629"/>
      <c r="AN24" s="629"/>
      <c r="AO24" s="629"/>
      <c r="AP24" s="629"/>
      <c r="AQ24" s="629"/>
      <c r="AR24" s="629"/>
      <c r="AS24" s="629"/>
      <c r="AT24" s="629"/>
      <c r="AU24" s="629"/>
      <c r="AV24" s="629"/>
      <c r="AW24" s="629"/>
      <c r="AX24" s="629"/>
      <c r="AY24" s="629"/>
      <c r="AZ24" s="629"/>
      <c r="BA24" s="629"/>
      <c r="BB24" s="629"/>
      <c r="BC24" s="629"/>
      <c r="BD24" s="629"/>
      <c r="BE24" s="629"/>
      <c r="BF24" s="629"/>
      <c r="BG24" s="629"/>
      <c r="BH24" s="629"/>
      <c r="BI24" s="629"/>
      <c r="BJ24" s="629"/>
      <c r="BK24" s="629"/>
      <c r="BL24" s="629"/>
    </row>
    <row r="25" ht="16.5" spans="1:64">
      <c r="A25" s="619"/>
      <c r="B25" s="629"/>
      <c r="C25" s="629"/>
      <c r="D25" s="629"/>
      <c r="E25" s="629"/>
      <c r="F25" s="629"/>
      <c r="G25" s="629"/>
      <c r="H25" s="629"/>
      <c r="I25" s="629"/>
      <c r="J25" s="629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9"/>
      <c r="X25" s="629"/>
      <c r="Y25" s="629"/>
      <c r="Z25" s="629"/>
      <c r="AA25" s="629"/>
      <c r="AB25" s="629"/>
      <c r="AC25" s="629"/>
      <c r="AD25" s="629"/>
      <c r="AE25" s="629"/>
      <c r="AF25" s="629"/>
      <c r="AG25" s="629"/>
      <c r="AH25" s="629"/>
      <c r="AI25" s="629"/>
      <c r="AJ25" s="629"/>
      <c r="AK25" s="629"/>
      <c r="AL25" s="629"/>
      <c r="AM25" s="629"/>
      <c r="AN25" s="629"/>
      <c r="AO25" s="629"/>
      <c r="AP25" s="629"/>
      <c r="AQ25" s="629"/>
      <c r="AR25" s="629"/>
      <c r="AS25" s="629"/>
      <c r="AT25" s="629"/>
      <c r="AU25" s="629"/>
      <c r="AV25" s="629"/>
      <c r="AW25" s="629"/>
      <c r="AX25" s="629"/>
      <c r="AY25" s="629"/>
      <c r="AZ25" s="629"/>
      <c r="BA25" s="629"/>
      <c r="BB25" s="629"/>
      <c r="BC25" s="629"/>
      <c r="BD25" s="629"/>
      <c r="BE25" s="629"/>
      <c r="BF25" s="629"/>
      <c r="BG25" s="629"/>
      <c r="BH25" s="629"/>
      <c r="BI25" s="629"/>
      <c r="BJ25" s="629"/>
      <c r="BK25" s="629"/>
      <c r="BL25" s="629"/>
    </row>
    <row r="26" ht="16.5" spans="1:64">
      <c r="A26" s="647"/>
      <c r="B26" s="648"/>
      <c r="C26" s="648"/>
      <c r="D26" s="648"/>
      <c r="E26" s="648"/>
      <c r="F26" s="648"/>
      <c r="G26" s="648"/>
      <c r="H26" s="648"/>
      <c r="I26" s="648"/>
      <c r="J26" s="648"/>
      <c r="K26" s="592"/>
      <c r="L26" s="592"/>
      <c r="M26" s="592"/>
      <c r="N26" s="592"/>
      <c r="O26" s="592"/>
      <c r="P26" s="592"/>
      <c r="Q26" s="592"/>
      <c r="R26" s="592"/>
      <c r="S26" s="592"/>
      <c r="T26" s="592"/>
      <c r="U26" s="592"/>
      <c r="V26" s="592"/>
      <c r="W26" s="648"/>
      <c r="X26" s="648"/>
      <c r="Y26" s="648"/>
      <c r="Z26" s="648"/>
      <c r="AA26" s="648"/>
      <c r="AB26" s="648"/>
      <c r="AC26" s="648"/>
      <c r="AD26" s="648"/>
      <c r="AE26" s="648"/>
      <c r="AF26" s="648"/>
      <c r="AG26" s="648"/>
      <c r="AH26" s="648"/>
      <c r="AI26" s="648"/>
      <c r="AJ26" s="648"/>
      <c r="AK26" s="648"/>
      <c r="AL26" s="648"/>
      <c r="AM26" s="648"/>
      <c r="AN26" s="648"/>
      <c r="AO26" s="648"/>
      <c r="AP26" s="648"/>
      <c r="AQ26" s="648"/>
      <c r="AR26" s="648"/>
      <c r="AS26" s="648"/>
      <c r="AT26" s="648"/>
      <c r="AU26" s="648"/>
      <c r="AV26" s="648"/>
      <c r="AW26" s="648"/>
      <c r="AX26" s="648"/>
      <c r="AY26" s="648"/>
      <c r="AZ26" s="648"/>
      <c r="BA26" s="648"/>
      <c r="BB26" s="648"/>
      <c r="BC26" s="648"/>
      <c r="BD26" s="648"/>
      <c r="BE26" s="648"/>
      <c r="BF26" s="648"/>
      <c r="BG26" s="648"/>
      <c r="BH26" s="648"/>
      <c r="BI26" s="648"/>
      <c r="BJ26" s="648"/>
      <c r="BK26" s="648"/>
      <c r="BL26" s="648"/>
    </row>
  </sheetData>
  <mergeCells count="50">
    <mergeCell ref="I1:O1"/>
    <mergeCell ref="P1:V1"/>
    <mergeCell ref="W1:AC1"/>
    <mergeCell ref="B4:AL4"/>
    <mergeCell ref="B5:AL5"/>
    <mergeCell ref="B6:AL6"/>
    <mergeCell ref="B7:AL7"/>
    <mergeCell ref="B8:AE8"/>
    <mergeCell ref="B9:O9"/>
    <mergeCell ref="P9:AC9"/>
    <mergeCell ref="AD9:AQ9"/>
    <mergeCell ref="B10:H10"/>
    <mergeCell ref="I10:O10"/>
    <mergeCell ref="P10:V10"/>
    <mergeCell ref="W10:AC10"/>
    <mergeCell ref="AD10:AJ10"/>
    <mergeCell ref="AK10:AQ10"/>
    <mergeCell ref="B11:P11"/>
    <mergeCell ref="W11:AC11"/>
    <mergeCell ref="B12:P12"/>
    <mergeCell ref="B13:O13"/>
    <mergeCell ref="B14:H14"/>
    <mergeCell ref="I14:O14"/>
    <mergeCell ref="P14:V14"/>
    <mergeCell ref="W14:AC14"/>
    <mergeCell ref="AD14:AJ14"/>
    <mergeCell ref="AK14:AQ14"/>
    <mergeCell ref="AR14:AX14"/>
    <mergeCell ref="AY14:BE14"/>
    <mergeCell ref="BF14:BL14"/>
    <mergeCell ref="F15:I15"/>
    <mergeCell ref="L15:O15"/>
    <mergeCell ref="D16:F16"/>
    <mergeCell ref="P17:V17"/>
    <mergeCell ref="W17:AC17"/>
    <mergeCell ref="AD17:AJ17"/>
    <mergeCell ref="AK17:AQ17"/>
    <mergeCell ref="AR17:AX17"/>
    <mergeCell ref="AY17:BE17"/>
    <mergeCell ref="BF17:BL17"/>
    <mergeCell ref="B18:AE18"/>
    <mergeCell ref="AF18:BI18"/>
    <mergeCell ref="BJ18:BL18"/>
    <mergeCell ref="I19:O19"/>
    <mergeCell ref="P19:V19"/>
    <mergeCell ref="AB19:AE19"/>
    <mergeCell ref="W20:AC20"/>
    <mergeCell ref="AF20:AT20"/>
    <mergeCell ref="AU20:BI20"/>
    <mergeCell ref="BJ20:BL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4"/>
  <dimension ref="A1:L287"/>
  <sheetViews>
    <sheetView zoomScale="115" zoomScaleNormal="115" topLeftCell="C1" workbookViewId="0">
      <pane ySplit="3" topLeftCell="A4" activePane="bottomLeft" state="frozen"/>
      <selection/>
      <selection pane="bottomLeft" activeCell="C19" sqref="C19"/>
    </sheetView>
  </sheetViews>
  <sheetFormatPr defaultColWidth="9" defaultRowHeight="13.5"/>
  <cols>
    <col min="1" max="1" width="18.0416666666667" customWidth="1"/>
    <col min="3" max="3" width="14.75" customWidth="1"/>
    <col min="4" max="4" width="9.375"/>
    <col min="6" max="7" width="10.25" customWidth="1"/>
    <col min="8" max="8" width="26.125" customWidth="1"/>
    <col min="9" max="9" width="11.875" customWidth="1"/>
    <col min="10" max="10" width="11.75" customWidth="1"/>
    <col min="11" max="11" width="13.25" customWidth="1"/>
    <col min="12" max="12" width="28.75" customWidth="1"/>
  </cols>
  <sheetData>
    <row r="1" ht="16.5" spans="1:12">
      <c r="A1" s="14"/>
      <c r="B1" s="14"/>
      <c r="C1" s="14"/>
      <c r="D1" s="14"/>
      <c r="E1" s="14"/>
      <c r="F1" s="14"/>
      <c r="G1" s="14"/>
      <c r="H1" s="14"/>
    </row>
    <row r="2" ht="16.5" spans="1:12">
      <c r="A2" s="14"/>
      <c r="B2" s="14"/>
      <c r="C2" s="14"/>
      <c r="D2" s="14"/>
      <c r="E2" s="14"/>
      <c r="F2" s="14"/>
      <c r="G2" s="14"/>
      <c r="H2" s="601" t="s">
        <v>176</v>
      </c>
    </row>
    <row r="3" ht="16.5" spans="1:12">
      <c r="A3" s="14"/>
      <c r="B3" s="602" t="s">
        <v>177</v>
      </c>
      <c r="C3" s="602" t="s">
        <v>178</v>
      </c>
      <c r="D3" s="602" t="s">
        <v>179</v>
      </c>
      <c r="E3" s="601" t="s">
        <v>180</v>
      </c>
      <c r="F3" s="601" t="s">
        <v>181</v>
      </c>
      <c r="G3" s="601" t="s">
        <v>182</v>
      </c>
      <c r="H3" s="601" t="s">
        <v>183</v>
      </c>
      <c r="I3" s="601" t="s">
        <v>184</v>
      </c>
      <c r="J3" s="601" t="s">
        <v>185</v>
      </c>
      <c r="K3" s="601" t="s">
        <v>186</v>
      </c>
      <c r="L3" s="601" t="s">
        <v>187</v>
      </c>
    </row>
    <row r="4" ht="16.5" spans="1:12">
      <c r="A4" s="14"/>
      <c r="B4" s="55">
        <v>1</v>
      </c>
      <c r="C4" s="55" t="s">
        <v>188</v>
      </c>
      <c r="D4" s="55">
        <v>1</v>
      </c>
      <c r="E4" s="55" t="s">
        <v>189</v>
      </c>
      <c r="F4" s="55">
        <v>1</v>
      </c>
      <c r="G4" s="55">
        <v>0.1</v>
      </c>
      <c r="H4" s="55" t="s">
        <v>190</v>
      </c>
      <c r="I4" s="55" t="s">
        <v>191</v>
      </c>
      <c r="J4" s="55">
        <v>5</v>
      </c>
      <c r="K4" s="55"/>
      <c r="L4" s="55" t="s">
        <v>192</v>
      </c>
    </row>
    <row r="5" ht="16.5" spans="1:12">
      <c r="A5" s="14"/>
      <c r="B5" s="55">
        <v>2</v>
      </c>
      <c r="C5" s="55" t="s">
        <v>193</v>
      </c>
      <c r="D5" s="55">
        <v>13</v>
      </c>
      <c r="E5" s="55"/>
      <c r="F5" s="55">
        <v>2</v>
      </c>
      <c r="G5" s="55">
        <v>0.2</v>
      </c>
      <c r="H5" s="55" t="s">
        <v>194</v>
      </c>
      <c r="I5" s="55"/>
      <c r="J5" s="55">
        <v>7</v>
      </c>
      <c r="K5" s="55"/>
      <c r="L5" s="55"/>
    </row>
    <row r="6" ht="16.5" spans="1:12">
      <c r="A6" s="14"/>
      <c r="B6" s="55">
        <v>3</v>
      </c>
      <c r="C6" s="55" t="s">
        <v>195</v>
      </c>
      <c r="D6" s="55">
        <v>2</v>
      </c>
      <c r="E6" s="55"/>
      <c r="F6" s="55">
        <v>0.05</v>
      </c>
      <c r="G6" s="55">
        <v>0.005</v>
      </c>
      <c r="H6" s="55" t="s">
        <v>196</v>
      </c>
      <c r="I6" s="55"/>
      <c r="J6" s="55">
        <v>5</v>
      </c>
      <c r="K6" s="55"/>
      <c r="L6" s="55"/>
    </row>
    <row r="7" ht="16.5" spans="1:12">
      <c r="A7" s="14"/>
      <c r="B7" s="55">
        <v>4</v>
      </c>
      <c r="C7" s="55" t="s">
        <v>197</v>
      </c>
      <c r="D7" s="55">
        <v>44</v>
      </c>
      <c r="E7" s="55"/>
      <c r="F7" s="55">
        <v>10</v>
      </c>
      <c r="G7" s="55">
        <v>1.4</v>
      </c>
      <c r="H7" s="55" t="s">
        <v>198</v>
      </c>
      <c r="I7" s="55" t="s">
        <v>199</v>
      </c>
      <c r="J7" s="55">
        <v>2</v>
      </c>
      <c r="K7" s="55"/>
      <c r="L7" s="603" t="s">
        <v>200</v>
      </c>
    </row>
    <row r="8" ht="16.5" spans="1:12">
      <c r="A8" s="14"/>
      <c r="B8" s="55">
        <v>5</v>
      </c>
      <c r="C8" s="55" t="s">
        <v>201</v>
      </c>
      <c r="D8" s="55">
        <v>20003</v>
      </c>
      <c r="E8" s="55"/>
      <c r="F8" s="55">
        <v>30</v>
      </c>
      <c r="G8" s="55"/>
      <c r="H8" s="55"/>
      <c r="I8" s="55"/>
      <c r="J8" s="55"/>
      <c r="K8" s="55"/>
      <c r="L8" s="603"/>
    </row>
    <row r="9" ht="16.5" spans="1:12">
      <c r="A9" s="14"/>
      <c r="B9" s="55">
        <v>6</v>
      </c>
      <c r="C9" s="55" t="s">
        <v>202</v>
      </c>
      <c r="D9" s="55">
        <v>20033</v>
      </c>
      <c r="E9" s="55"/>
      <c r="F9" s="55">
        <v>40</v>
      </c>
      <c r="G9" s="55"/>
      <c r="H9" s="55"/>
      <c r="I9" s="55"/>
      <c r="J9" s="55"/>
      <c r="K9" s="55"/>
      <c r="L9" s="55"/>
    </row>
    <row r="10" ht="16.5" spans="1:12">
      <c r="A10" s="14"/>
      <c r="B10" s="55">
        <v>7</v>
      </c>
      <c r="C10" s="55" t="s">
        <v>203</v>
      </c>
      <c r="D10" s="55">
        <v>5800004</v>
      </c>
      <c r="E10" s="55"/>
      <c r="F10" s="55">
        <v>30</v>
      </c>
      <c r="G10" s="55">
        <v>3</v>
      </c>
      <c r="H10" s="55"/>
      <c r="I10" s="55"/>
      <c r="J10" s="55"/>
      <c r="K10" s="55"/>
      <c r="L10" s="55"/>
    </row>
    <row r="11" ht="16.5" spans="1:12">
      <c r="A11" s="14"/>
      <c r="B11" s="55">
        <v>8</v>
      </c>
      <c r="C11" s="55" t="s">
        <v>204</v>
      </c>
      <c r="D11" s="55">
        <v>5800005</v>
      </c>
      <c r="E11" s="55"/>
      <c r="F11" s="55">
        <v>50</v>
      </c>
      <c r="G11" s="55"/>
      <c r="H11" s="55"/>
      <c r="I11" s="55"/>
      <c r="J11" s="55"/>
      <c r="K11" s="55"/>
      <c r="L11" s="55"/>
    </row>
    <row r="12" ht="16.5" spans="1:12">
      <c r="A12" s="14"/>
      <c r="B12" s="55">
        <v>9</v>
      </c>
      <c r="C12" s="55" t="s">
        <v>205</v>
      </c>
      <c r="D12" s="55">
        <v>20034</v>
      </c>
      <c r="E12" s="55"/>
      <c r="F12" s="55">
        <v>250</v>
      </c>
      <c r="G12" s="55"/>
      <c r="H12" s="55"/>
      <c r="I12" s="55"/>
      <c r="J12" s="55"/>
      <c r="K12" s="55"/>
      <c r="L12" s="55"/>
    </row>
    <row r="13" ht="16.5" spans="1:12">
      <c r="A13" s="14"/>
      <c r="B13" s="55">
        <v>10</v>
      </c>
      <c r="C13" s="55" t="s">
        <v>206</v>
      </c>
      <c r="D13" s="55">
        <v>20035</v>
      </c>
      <c r="E13" s="55"/>
      <c r="F13" s="55">
        <v>700</v>
      </c>
      <c r="G13" s="55"/>
      <c r="H13" s="55"/>
      <c r="I13" s="55"/>
      <c r="J13" s="55"/>
      <c r="K13" s="55"/>
      <c r="L13" s="55"/>
    </row>
    <row r="14" ht="16.5" spans="1:12">
      <c r="A14" s="14"/>
      <c r="B14" s="55">
        <v>11</v>
      </c>
      <c r="C14" s="55" t="s">
        <v>207</v>
      </c>
      <c r="D14" s="55">
        <v>28</v>
      </c>
      <c r="E14" s="55"/>
      <c r="F14" s="55">
        <v>200</v>
      </c>
      <c r="G14" s="55">
        <v>20</v>
      </c>
      <c r="H14" s="55"/>
      <c r="I14" s="55"/>
      <c r="J14" s="55"/>
      <c r="K14" s="55"/>
      <c r="L14" s="55"/>
    </row>
    <row r="15" ht="16.5" spans="1:12">
      <c r="A15" s="14"/>
      <c r="B15" s="55">
        <v>12</v>
      </c>
      <c r="C15" s="55" t="s">
        <v>208</v>
      </c>
      <c r="D15" s="55">
        <v>5104001</v>
      </c>
      <c r="E15" s="55"/>
      <c r="F15" s="55">
        <v>2</v>
      </c>
      <c r="G15" s="55">
        <v>0.2</v>
      </c>
      <c r="H15" s="55"/>
      <c r="I15" s="55"/>
      <c r="J15" s="55"/>
      <c r="K15" s="55"/>
      <c r="L15" s="55"/>
    </row>
    <row r="16" ht="16.5" spans="1:12">
      <c r="A16" s="14"/>
      <c r="B16" s="55">
        <v>13</v>
      </c>
      <c r="C16" s="55" t="s">
        <v>209</v>
      </c>
      <c r="D16" s="55">
        <v>5103001</v>
      </c>
      <c r="E16" s="55" t="s">
        <v>210</v>
      </c>
      <c r="F16" s="55">
        <v>1</v>
      </c>
      <c r="G16" s="55">
        <v>0.1</v>
      </c>
      <c r="H16" s="55" t="s">
        <v>211</v>
      </c>
      <c r="I16" s="55"/>
      <c r="J16" s="55">
        <v>5</v>
      </c>
      <c r="K16" s="55"/>
      <c r="L16" s="55" t="s">
        <v>212</v>
      </c>
    </row>
    <row r="17" ht="16.5" spans="1:12">
      <c r="A17" s="1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</row>
    <row r="18" ht="16.5" spans="1:12">
      <c r="A18" s="14"/>
      <c r="G18" s="16"/>
    </row>
    <row r="19" ht="16.5" spans="1:12">
      <c r="A19" s="14"/>
      <c r="B19" s="55">
        <v>14</v>
      </c>
      <c r="C19" s="55" t="s">
        <v>213</v>
      </c>
      <c r="D19" s="55">
        <v>11</v>
      </c>
      <c r="E19" s="55"/>
      <c r="F19" s="55">
        <v>30</v>
      </c>
      <c r="G19" s="55">
        <v>3</v>
      </c>
      <c r="H19" s="55" t="s">
        <v>214</v>
      </c>
      <c r="I19" s="55" t="s">
        <v>215</v>
      </c>
      <c r="J19" s="55">
        <v>6</v>
      </c>
      <c r="K19" s="55"/>
      <c r="L19" s="603" t="s">
        <v>216</v>
      </c>
    </row>
    <row r="20" ht="16.5" spans="1:12">
      <c r="A20" s="14"/>
      <c r="B20" s="55">
        <v>15</v>
      </c>
      <c r="C20" s="55" t="s">
        <v>217</v>
      </c>
      <c r="D20" s="55">
        <v>35</v>
      </c>
      <c r="E20" s="55"/>
      <c r="F20" s="55">
        <v>100</v>
      </c>
      <c r="G20" s="55">
        <v>10</v>
      </c>
      <c r="H20" s="55" t="s">
        <v>218</v>
      </c>
      <c r="I20" s="55"/>
      <c r="J20" s="55"/>
      <c r="K20" s="55" t="s">
        <v>219</v>
      </c>
      <c r="L20" s="55"/>
    </row>
    <row r="21" ht="16.5" spans="1:12">
      <c r="A21" s="14"/>
      <c r="B21" s="55">
        <v>16</v>
      </c>
      <c r="C21" s="55" t="s">
        <v>27</v>
      </c>
      <c r="D21" s="55"/>
      <c r="E21" s="55"/>
      <c r="F21" s="604">
        <v>120</v>
      </c>
      <c r="G21" s="55">
        <v>10</v>
      </c>
      <c r="H21" s="55" t="s">
        <v>215</v>
      </c>
      <c r="I21" s="55"/>
      <c r="J21" s="55">
        <v>10</v>
      </c>
      <c r="K21" s="55" t="s">
        <v>220</v>
      </c>
      <c r="L21" s="603" t="s">
        <v>221</v>
      </c>
    </row>
    <row r="22" ht="16.5" spans="1:12">
      <c r="A22" s="14"/>
      <c r="B22" s="55">
        <v>17</v>
      </c>
      <c r="C22" s="55" t="s">
        <v>222</v>
      </c>
      <c r="D22" s="55">
        <v>1310100</v>
      </c>
      <c r="E22" s="55"/>
      <c r="F22" s="55">
        <f>F27*10</f>
        <v>60</v>
      </c>
      <c r="G22" s="55">
        <f>F27</f>
        <v>6</v>
      </c>
      <c r="H22" s="55" t="s">
        <v>223</v>
      </c>
      <c r="I22" s="55"/>
      <c r="J22" s="55">
        <v>8</v>
      </c>
      <c r="K22" s="55"/>
      <c r="L22" s="55" t="s">
        <v>224</v>
      </c>
    </row>
    <row r="23" ht="16.5" spans="1:12">
      <c r="A23" s="14"/>
      <c r="B23" s="55">
        <v>18</v>
      </c>
      <c r="C23" s="77" t="s">
        <v>225</v>
      </c>
      <c r="D23" s="55">
        <v>1420200</v>
      </c>
      <c r="E23" s="55"/>
      <c r="F23" s="55">
        <f>F28*10</f>
        <v>120</v>
      </c>
      <c r="G23" s="55">
        <f>F28</f>
        <v>12</v>
      </c>
      <c r="H23" s="55" t="s">
        <v>223</v>
      </c>
      <c r="I23" s="55"/>
      <c r="J23" s="55">
        <v>8</v>
      </c>
      <c r="K23" s="55"/>
      <c r="L23" s="55" t="s">
        <v>224</v>
      </c>
    </row>
    <row r="24" ht="16.5" spans="1:12">
      <c r="A24" s="14"/>
      <c r="B24" s="55">
        <v>19</v>
      </c>
      <c r="C24" s="77" t="s">
        <v>226</v>
      </c>
      <c r="D24" s="55">
        <v>1130100</v>
      </c>
      <c r="E24" s="55"/>
      <c r="F24" s="55">
        <f>F29*10</f>
        <v>240</v>
      </c>
      <c r="G24" s="55">
        <f>F29</f>
        <v>24</v>
      </c>
      <c r="H24" s="55" t="s">
        <v>223</v>
      </c>
      <c r="I24" s="55"/>
      <c r="J24" s="55">
        <v>8</v>
      </c>
      <c r="K24" s="55"/>
      <c r="L24" s="55" t="s">
        <v>224</v>
      </c>
    </row>
    <row r="25" ht="16.5" spans="1:12">
      <c r="A25" s="14"/>
      <c r="B25" s="55">
        <v>20</v>
      </c>
      <c r="C25" s="77" t="s">
        <v>227</v>
      </c>
      <c r="D25" s="77"/>
      <c r="E25" s="77"/>
      <c r="F25" s="55">
        <f>F30*10</f>
        <v>480</v>
      </c>
      <c r="G25" s="55">
        <f>F30</f>
        <v>48</v>
      </c>
      <c r="H25" s="55" t="s">
        <v>223</v>
      </c>
      <c r="I25" s="77"/>
      <c r="J25" s="55">
        <v>8</v>
      </c>
      <c r="K25" s="77"/>
      <c r="L25" s="55" t="s">
        <v>224</v>
      </c>
    </row>
    <row r="26" ht="16.5" spans="1:12">
      <c r="A26" s="14"/>
      <c r="B26" s="55">
        <v>21</v>
      </c>
      <c r="C26" s="77" t="s">
        <v>228</v>
      </c>
      <c r="D26" s="77"/>
      <c r="E26" s="77"/>
      <c r="F26" s="55">
        <f>F31*10</f>
        <v>960</v>
      </c>
      <c r="G26" s="55">
        <f>F31</f>
        <v>96</v>
      </c>
      <c r="H26" s="55" t="s">
        <v>223</v>
      </c>
      <c r="I26" s="77"/>
      <c r="J26" s="55">
        <v>8</v>
      </c>
      <c r="K26" s="77"/>
      <c r="L26" s="55" t="s">
        <v>224</v>
      </c>
    </row>
    <row r="27" ht="16.5" spans="1:12">
      <c r="A27" s="14"/>
      <c r="B27" s="55">
        <v>22</v>
      </c>
      <c r="C27" s="55" t="s">
        <v>229</v>
      </c>
      <c r="D27" s="77">
        <v>13101001</v>
      </c>
      <c r="E27" s="77"/>
      <c r="F27" s="77">
        <v>6</v>
      </c>
      <c r="G27" s="55"/>
      <c r="H27" s="55" t="s">
        <v>223</v>
      </c>
      <c r="I27" s="77"/>
      <c r="J27" s="55">
        <v>8</v>
      </c>
      <c r="K27" s="77"/>
      <c r="L27" s="77"/>
    </row>
    <row r="28" ht="16.5" spans="1:12">
      <c r="A28" s="14"/>
      <c r="B28" s="55">
        <v>23</v>
      </c>
      <c r="C28" s="77" t="s">
        <v>230</v>
      </c>
      <c r="D28" s="77">
        <v>14202001</v>
      </c>
      <c r="E28" s="77"/>
      <c r="F28" s="77">
        <v>12</v>
      </c>
      <c r="G28" s="55">
        <v>1.2</v>
      </c>
      <c r="H28" s="55" t="s">
        <v>223</v>
      </c>
      <c r="I28" s="77"/>
      <c r="J28" s="55">
        <v>8</v>
      </c>
      <c r="K28" s="77"/>
      <c r="L28" s="77"/>
    </row>
    <row r="29" ht="16.5" spans="1:12">
      <c r="A29" s="14"/>
      <c r="B29" s="55">
        <v>24</v>
      </c>
      <c r="C29" s="77" t="s">
        <v>231</v>
      </c>
      <c r="D29" s="55">
        <v>11301001</v>
      </c>
      <c r="E29" s="55"/>
      <c r="F29" s="77">
        <v>24</v>
      </c>
      <c r="G29" s="55">
        <v>2.4</v>
      </c>
      <c r="H29" s="55" t="s">
        <v>223</v>
      </c>
      <c r="I29" s="55"/>
      <c r="J29" s="55">
        <v>8</v>
      </c>
      <c r="K29" s="55"/>
      <c r="L29" s="77"/>
    </row>
    <row r="30" ht="16.5" spans="1:12">
      <c r="A30" s="14"/>
      <c r="B30" s="55">
        <v>25</v>
      </c>
      <c r="C30" s="77" t="s">
        <v>232</v>
      </c>
      <c r="D30" s="55"/>
      <c r="E30" s="55"/>
      <c r="F30" s="77">
        <v>48</v>
      </c>
      <c r="G30" s="55">
        <v>4.8</v>
      </c>
      <c r="H30" s="55" t="s">
        <v>223</v>
      </c>
      <c r="I30" s="77"/>
      <c r="J30" s="55">
        <v>8</v>
      </c>
      <c r="K30" s="77"/>
      <c r="L30" s="77"/>
    </row>
    <row r="31" ht="16.5" spans="1:12">
      <c r="A31" s="14"/>
      <c r="B31" s="55">
        <v>26</v>
      </c>
      <c r="C31" s="77" t="s">
        <v>233</v>
      </c>
      <c r="D31" s="55"/>
      <c r="E31" s="55"/>
      <c r="F31" s="77">
        <v>96</v>
      </c>
      <c r="G31" s="55"/>
      <c r="H31" s="55" t="s">
        <v>223</v>
      </c>
      <c r="I31" s="77"/>
      <c r="J31" s="55">
        <v>8</v>
      </c>
      <c r="K31" s="77"/>
      <c r="L31" s="77"/>
    </row>
    <row r="32" ht="16.5" spans="1:12">
      <c r="A32" s="14"/>
      <c r="G32" s="16"/>
    </row>
    <row r="33" ht="16.5" spans="1:12">
      <c r="A33" s="14"/>
      <c r="B33" s="55" t="s">
        <v>234</v>
      </c>
      <c r="C33" s="77" t="s">
        <v>235</v>
      </c>
      <c r="D33" s="55">
        <v>1610100</v>
      </c>
      <c r="E33" s="55"/>
      <c r="F33" s="77" t="inlineStr">
        <is>
          <t>暂不定价</t>
        </is>
      </c>
      <c r="G33" s="55"/>
      <c r="H33" s="55"/>
      <c r="I33" s="77"/>
      <c r="J33" s="55"/>
      <c r="K33" s="77" t="inlineStr">
        <is>
          <t>原估值引用已隐藏的旧粉卡试炼；现行配置无可复核估值锚，暂不定价</t>
        </is>
      </c>
      <c r="L33" s="77"/>
    </row>
    <row r="34" ht="16.5" spans="1:12">
      <c r="A34" s="14"/>
      <c r="B34" s="55">
        <v>27</v>
      </c>
      <c r="C34" s="77" t="s">
        <v>236</v>
      </c>
      <c r="D34" s="55">
        <v>50</v>
      </c>
      <c r="E34" s="55"/>
      <c r="F34" s="77">
        <v>0.1</v>
      </c>
      <c r="G34" s="55">
        <v>0.01</v>
      </c>
      <c r="H34" s="55"/>
      <c r="I34" s="77"/>
      <c r="J34" s="55"/>
      <c r="K34" s="77"/>
      <c r="L34" s="77"/>
    </row>
    <row r="35" ht="16.5" spans="1:12">
      <c r="A35" s="14"/>
      <c r="B35" s="55">
        <v>28</v>
      </c>
      <c r="C35" s="77" t="s">
        <v>237</v>
      </c>
      <c r="D35" s="55">
        <v>5523001</v>
      </c>
      <c r="E35" s="55"/>
      <c r="F35" s="77">
        <v>0.33</v>
      </c>
      <c r="G35" s="55">
        <v>0.033</v>
      </c>
      <c r="H35" s="55"/>
      <c r="I35" s="77"/>
      <c r="J35" s="55">
        <v>5</v>
      </c>
      <c r="K35" s="77"/>
      <c r="L35" s="77"/>
    </row>
    <row r="36" ht="16.5" spans="1:12">
      <c r="A36" s="14"/>
      <c r="B36" s="55">
        <v>29</v>
      </c>
      <c r="C36" s="77" t="inlineStr">
        <is>
          <t>织梦能量</t>
        </is>
      </c>
      <c r="D36" s="55">
        <v>47</v>
      </c>
      <c r="E36" s="55" t="inlineStr">
        <is>
          <t>暂不定价</t>
        </is>
      </c>
      <c r="F36" s="77" t="inlineStr">
        <is>
          <t>暂不定价</t>
        </is>
      </c>
      <c r="G36" s="55" t="inlineStr">
        <is>
          <t>暂不定价</t>
        </is>
      </c>
      <c r="H36" s="55"/>
      <c r="I36" s="77"/>
      <c r="J36" s="55"/>
      <c r="K36" s="77" t="inlineStr">
        <is>
          <t>友情值ID待核；ID47线上名称织梦能量</t>
        </is>
      </c>
      <c r="L36" s="77"/>
    </row>
    <row r="37" ht="16.5" spans="1:12">
      <c r="A37" s="14"/>
      <c r="B37" s="55" t="s">
        <v>234</v>
      </c>
      <c r="C37" s="77" t="s">
        <v>239</v>
      </c>
      <c r="D37" s="55">
        <v>5305010</v>
      </c>
      <c r="E37" s="55"/>
      <c r="F37" s="77">
        <v>1500</v>
      </c>
      <c r="G37" s="55">
        <v>150</v>
      </c>
      <c r="H37" s="55"/>
      <c r="I37" s="77"/>
      <c r="J37" s="55"/>
      <c r="K37" s="77"/>
      <c r="L37" s="77"/>
    </row>
    <row r="38" ht="16.5" spans="1:12">
      <c r="A38" s="14"/>
      <c r="B38" s="55" t="s">
        <v>234</v>
      </c>
      <c r="C38" s="77" t="s">
        <v>240</v>
      </c>
      <c r="D38" s="55"/>
      <c r="E38" s="55"/>
      <c r="F38" s="55">
        <v>5000</v>
      </c>
      <c r="G38" s="55">
        <v>500</v>
      </c>
      <c r="H38" s="77"/>
      <c r="I38" s="77"/>
      <c r="J38" s="77"/>
      <c r="K38" s="77"/>
      <c r="L38" s="77"/>
    </row>
    <row r="39" ht="16.5" spans="1:12">
      <c r="A39" s="14"/>
      <c r="B39" s="55"/>
      <c r="C39" s="77" t="s">
        <v>241</v>
      </c>
      <c r="D39" s="55"/>
      <c r="E39" s="55"/>
      <c r="F39" s="55">
        <v>16000</v>
      </c>
      <c r="G39" s="55">
        <v>1600</v>
      </c>
      <c r="H39" s="77"/>
      <c r="I39" s="77"/>
      <c r="J39" s="77"/>
      <c r="K39" s="77"/>
      <c r="L39" s="77"/>
    </row>
    <row r="40" ht="16.5" spans="1:12">
      <c r="A40" s="14"/>
    </row>
    <row r="41" ht="16.5" spans="1:12">
      <c r="A41" s="14"/>
      <c r="B41" s="55">
        <v>30</v>
      </c>
      <c r="C41" s="55" t="s">
        <v>242</v>
      </c>
      <c r="D41" s="55">
        <v>50002</v>
      </c>
      <c r="E41" s="55" t="s">
        <v>243</v>
      </c>
      <c r="F41" s="55">
        <v>3</v>
      </c>
      <c r="G41" s="55">
        <v>0.3</v>
      </c>
      <c r="H41" s="77" t="s">
        <v>211</v>
      </c>
      <c r="I41" s="77"/>
      <c r="J41" s="77">
        <v>6</v>
      </c>
      <c r="K41" s="77"/>
      <c r="L41" s="77" t="s">
        <v>244</v>
      </c>
    </row>
    <row r="42" ht="16.5" spans="1:12">
      <c r="A42" s="14"/>
      <c r="B42" s="55">
        <v>31</v>
      </c>
      <c r="C42" s="55" t="s">
        <v>245</v>
      </c>
      <c r="D42" s="55">
        <v>50001</v>
      </c>
      <c r="E42" s="55"/>
      <c r="F42" s="55">
        <v>0.1</v>
      </c>
      <c r="G42" s="55">
        <v>0.01</v>
      </c>
      <c r="H42" s="77" t="s">
        <v>211</v>
      </c>
      <c r="I42" s="77"/>
      <c r="J42" s="77">
        <v>5</v>
      </c>
      <c r="K42" s="77" t="s">
        <v>246</v>
      </c>
      <c r="L42" s="77" t="s">
        <v>212</v>
      </c>
    </row>
    <row r="43" ht="16.5" spans="1:12">
      <c r="A43" s="14"/>
      <c r="B43" s="55">
        <v>32</v>
      </c>
      <c r="C43" s="55" t="s">
        <v>247</v>
      </c>
      <c r="D43" s="55"/>
      <c r="E43" s="55"/>
      <c r="F43" s="605">
        <v>15</v>
      </c>
      <c r="G43" s="55"/>
      <c r="H43" s="77" t="s">
        <v>211</v>
      </c>
      <c r="I43" s="77"/>
      <c r="J43" s="77"/>
      <c r="K43" s="77"/>
      <c r="L43" s="77"/>
    </row>
    <row r="44" ht="16.5" spans="1:12">
      <c r="A44" s="14"/>
      <c r="B44" s="55">
        <v>33</v>
      </c>
      <c r="C44" s="55" t="s">
        <v>248</v>
      </c>
      <c r="D44" s="55"/>
      <c r="E44" s="55"/>
      <c r="F44" s="605">
        <v>50</v>
      </c>
      <c r="G44" s="55"/>
      <c r="H44" s="77" t="s">
        <v>211</v>
      </c>
      <c r="I44" s="77"/>
      <c r="J44" s="77"/>
      <c r="K44" s="77"/>
      <c r="L44" s="77"/>
    </row>
    <row r="45" ht="16.5" spans="1:12">
      <c r="A45" s="14"/>
      <c r="B45" s="55">
        <v>34</v>
      </c>
      <c r="C45" s="55" t="s">
        <v>249</v>
      </c>
      <c r="D45" s="55"/>
      <c r="E45" s="55"/>
      <c r="F45" s="605">
        <v>15</v>
      </c>
      <c r="G45" s="55"/>
      <c r="H45" s="77" t="s">
        <v>211</v>
      </c>
      <c r="I45" s="77"/>
      <c r="J45" s="77"/>
      <c r="K45" s="77"/>
      <c r="L45" s="77"/>
    </row>
    <row r="46" ht="16.5" spans="1:12">
      <c r="A46" s="14"/>
      <c r="B46" s="55">
        <v>34</v>
      </c>
      <c r="C46" s="55" t="s">
        <v>250</v>
      </c>
      <c r="D46" s="55"/>
      <c r="E46" s="55"/>
      <c r="F46" s="55"/>
      <c r="G46" s="55"/>
      <c r="H46" s="77" t="s">
        <v>211</v>
      </c>
      <c r="I46" s="77"/>
      <c r="J46" s="77"/>
      <c r="K46" s="77"/>
      <c r="L46" s="77"/>
    </row>
    <row r="47" ht="16.5" spans="1:12">
      <c r="A47" s="14"/>
      <c r="B47" s="55">
        <v>35</v>
      </c>
      <c r="C47" s="55" t="s">
        <v>251</v>
      </c>
      <c r="D47" s="55"/>
      <c r="E47" s="55"/>
      <c r="F47" s="55"/>
      <c r="G47" s="55"/>
      <c r="H47" s="77" t="s">
        <v>211</v>
      </c>
      <c r="I47" s="77"/>
      <c r="J47" s="77"/>
      <c r="K47" s="77"/>
      <c r="L47" s="77"/>
    </row>
    <row r="48" ht="16.5" spans="1:12">
      <c r="A48" s="14"/>
      <c r="B48" s="55">
        <v>36</v>
      </c>
      <c r="C48" s="55" t="s">
        <v>252</v>
      </c>
      <c r="D48" s="55"/>
      <c r="E48" s="55"/>
      <c r="F48" s="55"/>
      <c r="G48" s="55"/>
      <c r="H48" s="77" t="s">
        <v>211</v>
      </c>
      <c r="I48" s="77"/>
      <c r="J48" s="77"/>
      <c r="K48" s="77"/>
      <c r="L48" s="77"/>
    </row>
    <row r="49" ht="16.5" spans="1:12">
      <c r="A49" s="14"/>
      <c r="B49" s="55">
        <v>37</v>
      </c>
      <c r="C49" s="55" t="s">
        <v>253</v>
      </c>
      <c r="D49" s="55"/>
      <c r="E49" s="55"/>
      <c r="F49" s="55"/>
      <c r="G49" s="55"/>
      <c r="H49" s="77" t="s">
        <v>211</v>
      </c>
      <c r="I49" s="77"/>
      <c r="J49" s="77"/>
      <c r="K49" s="77"/>
      <c r="L49" s="77"/>
    </row>
    <row r="50" ht="16.5" spans="1:12">
      <c r="A50" s="14"/>
      <c r="B50" s="55">
        <v>38</v>
      </c>
      <c r="C50" s="55" t="s">
        <v>254</v>
      </c>
      <c r="D50" s="55"/>
      <c r="E50" s="55"/>
      <c r="F50" s="55"/>
      <c r="G50" s="55"/>
      <c r="H50" s="77" t="s">
        <v>211</v>
      </c>
      <c r="I50" s="77"/>
      <c r="J50" s="77"/>
      <c r="K50" s="77"/>
      <c r="L50" s="77"/>
    </row>
    <row r="51" ht="16.5" spans="1:12">
      <c r="A51" s="14"/>
      <c r="B51" s="55">
        <v>39</v>
      </c>
      <c r="C51" s="55" t="s">
        <v>255</v>
      </c>
      <c r="D51" s="55"/>
      <c r="E51" s="55"/>
      <c r="F51" s="55"/>
      <c r="G51" s="55"/>
      <c r="H51" s="77" t="s">
        <v>211</v>
      </c>
      <c r="I51" s="77">
        <v>285.714285714286</v>
      </c>
      <c r="J51" s="77"/>
      <c r="K51" s="77"/>
      <c r="L51" s="77"/>
    </row>
    <row r="52" ht="16.5" spans="1:12">
      <c r="A52" s="14"/>
      <c r="B52" s="55">
        <v>40</v>
      </c>
      <c r="C52" s="55" t="s">
        <v>256</v>
      </c>
      <c r="D52" s="55"/>
      <c r="E52" s="55"/>
      <c r="F52" s="55"/>
      <c r="G52" s="55"/>
      <c r="H52" s="77" t="s">
        <v>211</v>
      </c>
      <c r="I52" s="77">
        <v>47619.0476190476</v>
      </c>
      <c r="J52" s="77"/>
      <c r="K52" s="77"/>
      <c r="L52" s="77"/>
    </row>
    <row r="53" ht="16.5" spans="1:12">
      <c r="A53" s="14"/>
      <c r="B53" s="55" t="s">
        <v>234</v>
      </c>
      <c r="C53" s="55" t="s">
        <v>257</v>
      </c>
      <c r="D53" s="55">
        <v>5600207</v>
      </c>
      <c r="E53" s="55"/>
      <c r="F53" s="55">
        <f>F67</f>
        <v>4096</v>
      </c>
      <c r="G53" s="55"/>
      <c r="H53" s="77"/>
      <c r="I53" s="77"/>
      <c r="J53" s="77"/>
      <c r="K53" s="77"/>
      <c r="L53" s="77"/>
    </row>
    <row r="54" ht="16.5" spans="1:12">
      <c r="A54" s="14"/>
      <c r="B54" s="55" t="s">
        <v>234</v>
      </c>
      <c r="C54" s="55"/>
      <c r="D54" s="55"/>
      <c r="E54" s="55"/>
      <c r="F54" s="55"/>
      <c r="G54" s="55"/>
      <c r="H54" s="77"/>
      <c r="I54" s="77">
        <v>1500</v>
      </c>
      <c r="J54" s="77"/>
      <c r="K54" s="77"/>
      <c r="L54" s="77"/>
    </row>
    <row r="55" ht="16.5" spans="1:12">
      <c r="A55" s="14"/>
      <c r="B55" s="55">
        <v>41</v>
      </c>
      <c r="C55" s="55" t="s">
        <v>258</v>
      </c>
      <c r="D55" s="55">
        <v>9</v>
      </c>
      <c r="E55" s="55" t="s">
        <v>259</v>
      </c>
      <c r="F55" s="55">
        <v>50</v>
      </c>
      <c r="G55" s="55">
        <v>5</v>
      </c>
      <c r="H55" s="55" t="s">
        <v>215</v>
      </c>
      <c r="I55" s="55"/>
      <c r="J55" s="55"/>
      <c r="K55" s="55" t="s">
        <v>260</v>
      </c>
      <c r="L55" s="55"/>
    </row>
    <row r="56" ht="16.5" spans="1:12">
      <c r="A56" s="14"/>
      <c r="B56" s="55">
        <v>42</v>
      </c>
      <c r="C56" s="606" t="s">
        <v>261</v>
      </c>
      <c r="D56" s="55">
        <v>30</v>
      </c>
      <c r="E56" s="55"/>
      <c r="F56" s="55">
        <v>280</v>
      </c>
      <c r="G56" s="55">
        <v>28</v>
      </c>
      <c r="H56" s="55" t="s">
        <v>215</v>
      </c>
      <c r="I56" s="55"/>
      <c r="J56" s="55">
        <v>5</v>
      </c>
      <c r="K56" s="55" t="s">
        <v>262</v>
      </c>
      <c r="L56" s="55"/>
    </row>
    <row r="57" ht="16.5" spans="1:12">
      <c r="A57" s="14"/>
      <c r="B57" s="55">
        <v>43</v>
      </c>
      <c r="C57" s="55" t="s">
        <v>263</v>
      </c>
      <c r="D57" s="55">
        <v>5303001</v>
      </c>
      <c r="E57" s="55"/>
      <c r="F57" s="55">
        <v>5</v>
      </c>
      <c r="G57" s="55">
        <v>0.5</v>
      </c>
      <c r="H57" s="55" t="s">
        <v>211</v>
      </c>
      <c r="I57" s="55"/>
      <c r="J57" s="55">
        <v>8</v>
      </c>
      <c r="K57" s="55" t="s">
        <v>264</v>
      </c>
      <c r="L57" s="55"/>
    </row>
    <row r="58" ht="16.5" spans="1:12">
      <c r="A58" s="14"/>
      <c r="B58" s="55">
        <v>44</v>
      </c>
      <c r="C58" s="55" t="s">
        <v>265</v>
      </c>
      <c r="D58" s="55">
        <v>5305001</v>
      </c>
      <c r="E58" s="55"/>
      <c r="F58" s="55">
        <v>60</v>
      </c>
      <c r="G58" s="55">
        <v>6</v>
      </c>
      <c r="H58" s="55" t="s">
        <v>215</v>
      </c>
      <c r="I58" s="55"/>
      <c r="J58" s="55">
        <v>5</v>
      </c>
      <c r="K58" s="55" t="s">
        <v>266</v>
      </c>
      <c r="L58" s="55" t="s">
        <v>267</v>
      </c>
    </row>
    <row r="59" ht="16.5" spans="1:12">
      <c r="A59" s="14"/>
      <c r="B59" s="55"/>
      <c r="C59" s="55" t="s">
        <v>239</v>
      </c>
      <c r="D59" s="55">
        <v>5305010</v>
      </c>
      <c r="E59" s="55"/>
      <c r="F59" s="55">
        <v>1500</v>
      </c>
      <c r="G59" s="55">
        <v>150</v>
      </c>
      <c r="H59" s="55"/>
      <c r="I59" s="55"/>
      <c r="J59" s="55"/>
      <c r="K59" s="55"/>
      <c r="L59" s="55"/>
    </row>
    <row r="60" ht="16.5" spans="1:12">
      <c r="A60" s="14"/>
      <c r="B60" s="55"/>
      <c r="C60" s="55" t="s">
        <v>240</v>
      </c>
      <c r="D60" s="55">
        <v>5305008</v>
      </c>
      <c r="E60" s="55"/>
      <c r="F60" s="55">
        <v>5000</v>
      </c>
      <c r="G60" s="55">
        <v>500</v>
      </c>
      <c r="H60" s="55"/>
      <c r="I60" s="55"/>
      <c r="J60" s="55"/>
      <c r="K60" s="55"/>
      <c r="L60" s="55"/>
    </row>
    <row r="61" ht="16.5" spans="1:12">
      <c r="A61" s="14"/>
      <c r="B61" s="55"/>
      <c r="C61" s="55" t="s">
        <v>241</v>
      </c>
      <c r="D61" s="55">
        <v>5305009</v>
      </c>
      <c r="E61" s="55"/>
      <c r="F61" s="55">
        <v>16000</v>
      </c>
      <c r="G61" s="55">
        <v>1600</v>
      </c>
      <c r="H61" s="55"/>
      <c r="I61" s="55"/>
      <c r="J61" s="55"/>
      <c r="K61" s="55"/>
      <c r="L61" s="55"/>
    </row>
    <row r="62" ht="16.5" spans="1:12">
      <c r="A62" s="14"/>
      <c r="G62" s="16"/>
    </row>
    <row r="63" ht="16.5" spans="1:12">
      <c r="A63" s="14"/>
      <c r="B63" s="55">
        <v>45</v>
      </c>
      <c r="C63" s="55" t="s">
        <v>268</v>
      </c>
      <c r="D63" s="55">
        <v>5301000</v>
      </c>
      <c r="E63" s="55"/>
      <c r="F63" s="55">
        <v>16</v>
      </c>
      <c r="G63" s="55">
        <v>1.6</v>
      </c>
      <c r="H63" s="55" t="s">
        <v>211</v>
      </c>
      <c r="I63" s="55"/>
      <c r="J63" s="55"/>
      <c r="K63" s="55" t="s">
        <v>269</v>
      </c>
      <c r="L63" s="55"/>
    </row>
    <row r="64" ht="16.5" spans="1:12">
      <c r="A64" s="14"/>
      <c r="B64" s="55">
        <v>46</v>
      </c>
      <c r="C64" s="55" t="s">
        <v>270</v>
      </c>
      <c r="D64" s="55">
        <v>5302000</v>
      </c>
      <c r="E64" s="55"/>
      <c r="F64" s="55">
        <v>64</v>
      </c>
      <c r="G64" s="55">
        <v>6.4</v>
      </c>
      <c r="H64" s="55" t="s">
        <v>211</v>
      </c>
      <c r="I64" s="55"/>
      <c r="J64" s="55"/>
      <c r="K64" s="55" t="s">
        <v>271</v>
      </c>
      <c r="L64" s="55"/>
    </row>
    <row r="65" ht="16.5" spans="1:12">
      <c r="A65" s="14"/>
      <c r="B65" s="55">
        <v>47</v>
      </c>
      <c r="C65" s="55" t="s">
        <v>272</v>
      </c>
      <c r="D65" s="55">
        <v>5303000</v>
      </c>
      <c r="E65" s="55"/>
      <c r="F65" s="55">
        <v>256</v>
      </c>
      <c r="G65" s="55">
        <v>25.6</v>
      </c>
      <c r="H65" s="55" t="s">
        <v>211</v>
      </c>
      <c r="I65" s="55"/>
      <c r="J65" s="55"/>
      <c r="K65" s="55" t="s">
        <v>273</v>
      </c>
      <c r="L65" s="55"/>
    </row>
    <row r="66" ht="16.5" spans="1:12">
      <c r="A66" s="14"/>
      <c r="B66" s="55">
        <v>48</v>
      </c>
      <c r="C66" s="55" t="s">
        <v>274</v>
      </c>
      <c r="D66" s="55">
        <v>5304000</v>
      </c>
      <c r="E66" s="55"/>
      <c r="F66" s="55">
        <v>1024</v>
      </c>
      <c r="G66" s="55">
        <v>102.4</v>
      </c>
      <c r="H66" s="55" t="s">
        <v>211</v>
      </c>
      <c r="I66" s="55"/>
      <c r="J66" s="55"/>
      <c r="K66" s="55" t="s">
        <v>275</v>
      </c>
      <c r="L66" s="55"/>
    </row>
    <row r="67" ht="16.5" spans="1:12">
      <c r="A67" s="14"/>
      <c r="B67" s="55">
        <v>49</v>
      </c>
      <c r="C67" s="55" t="s">
        <v>276</v>
      </c>
      <c r="D67" s="55">
        <v>5305000</v>
      </c>
      <c r="E67" s="55"/>
      <c r="F67" s="55">
        <v>4096</v>
      </c>
      <c r="G67" s="55">
        <v>409.6</v>
      </c>
      <c r="H67" s="55" t="s">
        <v>211</v>
      </c>
      <c r="I67" s="55"/>
      <c r="J67" s="55"/>
      <c r="K67" s="55" t="s">
        <v>277</v>
      </c>
      <c r="L67" s="55" t="s">
        <v>267</v>
      </c>
    </row>
    <row r="68" ht="16.5" spans="1:12">
      <c r="A68" s="14"/>
      <c r="B68" s="55">
        <v>50</v>
      </c>
      <c r="C68" s="55" t="s">
        <v>278</v>
      </c>
      <c r="D68" s="55">
        <v>5306000</v>
      </c>
      <c r="E68" s="55"/>
      <c r="F68" s="55">
        <v>16384</v>
      </c>
      <c r="G68" s="55">
        <v>1638.4</v>
      </c>
      <c r="H68" s="55" t="s">
        <v>211</v>
      </c>
      <c r="I68" s="55"/>
      <c r="J68" s="55"/>
      <c r="K68" s="55" t="s">
        <v>279</v>
      </c>
      <c r="L68" s="55" t="s">
        <v>280</v>
      </c>
    </row>
    <row r="69" ht="16.5" spans="1:12">
      <c r="A69" s="14"/>
      <c r="B69" s="55">
        <v>51</v>
      </c>
      <c r="C69" s="55" t="s">
        <v>281</v>
      </c>
      <c r="D69" s="55">
        <v>5307000</v>
      </c>
      <c r="E69" s="55"/>
      <c r="F69" s="55">
        <v>65536</v>
      </c>
      <c r="G69" s="55">
        <v>6553.6</v>
      </c>
      <c r="H69" s="55" t="s">
        <v>211</v>
      </c>
      <c r="I69" s="55"/>
      <c r="J69" s="55"/>
      <c r="K69" s="55" t="s">
        <v>282</v>
      </c>
      <c r="L69" s="603" t="s">
        <v>283</v>
      </c>
    </row>
    <row r="70" ht="16.5" spans="1:12">
      <c r="A70" s="14"/>
      <c r="B70" s="55"/>
      <c r="C70" s="55" t="s">
        <v>284</v>
      </c>
      <c r="D70" s="55"/>
      <c r="E70" s="55"/>
      <c r="F70" s="55">
        <v>700</v>
      </c>
      <c r="G70" s="55">
        <v>70</v>
      </c>
      <c r="H70" s="55"/>
      <c r="I70" s="55"/>
      <c r="J70" s="55"/>
      <c r="K70" s="55"/>
      <c r="L70" s="603" t="s">
        <v>285</v>
      </c>
    </row>
    <row r="71" ht="16.5" spans="1:12">
      <c r="A71" s="14"/>
      <c r="B71" s="55"/>
      <c r="C71" s="55" t="s">
        <v>286</v>
      </c>
      <c r="D71" s="55"/>
      <c r="E71" s="55"/>
      <c r="F71" s="55">
        <v>2500</v>
      </c>
      <c r="G71" s="55">
        <v>250</v>
      </c>
      <c r="H71" s="55"/>
      <c r="I71" s="55"/>
      <c r="J71" s="55"/>
      <c r="K71" s="55"/>
      <c r="L71" s="603" t="s">
        <v>287</v>
      </c>
    </row>
    <row r="72" ht="16.5" spans="1:12">
      <c r="A72" s="14"/>
      <c r="B72" s="55"/>
      <c r="C72" s="55" t="s">
        <v>288</v>
      </c>
      <c r="D72" s="55"/>
      <c r="E72" s="55"/>
      <c r="F72" s="55">
        <v>3000</v>
      </c>
      <c r="G72" s="55">
        <v>300</v>
      </c>
      <c r="H72" s="55"/>
      <c r="I72" s="55"/>
      <c r="J72" s="55"/>
      <c r="K72" s="55"/>
      <c r="L72" s="603"/>
    </row>
    <row r="73" ht="16.5" spans="1:12">
      <c r="A73" s="14"/>
      <c r="B73" s="55"/>
      <c r="C73" s="55" t="s">
        <v>289</v>
      </c>
      <c r="D73" s="55"/>
      <c r="E73" s="55"/>
      <c r="F73" s="55">
        <v>6000</v>
      </c>
      <c r="G73" s="55">
        <v>600</v>
      </c>
      <c r="H73" s="55"/>
      <c r="I73" s="55"/>
      <c r="J73" s="55"/>
      <c r="K73" s="55"/>
      <c r="L73" s="603"/>
    </row>
    <row r="74" ht="16.5" spans="1:12">
      <c r="A74" s="14"/>
      <c r="G74" s="16"/>
    </row>
    <row r="75" ht="16.5" spans="1:12">
      <c r="A75" s="14"/>
      <c r="B75" s="55">
        <v>52</v>
      </c>
      <c r="C75" s="55" t="s">
        <v>290</v>
      </c>
      <c r="D75" s="55">
        <v>5401000</v>
      </c>
      <c r="E75" s="55"/>
      <c r="F75" s="55">
        <v>17.728</v>
      </c>
      <c r="G75" s="55"/>
      <c r="H75" s="55"/>
      <c r="I75" s="55"/>
      <c r="J75" s="55"/>
      <c r="K75" s="55"/>
      <c r="L75" s="55"/>
    </row>
    <row r="76" ht="16.5" spans="1:12">
      <c r="A76" s="14"/>
      <c r="B76" s="55">
        <v>53</v>
      </c>
      <c r="C76" s="55" t="s">
        <v>291</v>
      </c>
      <c r="D76" s="55">
        <v>5203001</v>
      </c>
      <c r="E76" s="55" t="s">
        <v>292</v>
      </c>
      <c r="F76" s="55">
        <v>3</v>
      </c>
      <c r="G76" s="55">
        <v>0.3</v>
      </c>
      <c r="H76" s="55" t="s">
        <v>211</v>
      </c>
      <c r="I76" s="55"/>
      <c r="J76" s="55">
        <v>6</v>
      </c>
      <c r="K76" s="55" t="s">
        <v>293</v>
      </c>
      <c r="L76" s="55" t="s">
        <v>192</v>
      </c>
    </row>
    <row r="77" ht="16.5" spans="1:12">
      <c r="A77" s="14"/>
      <c r="B77" s="55">
        <v>54</v>
      </c>
      <c r="C77" s="55" t="s">
        <v>294</v>
      </c>
      <c r="D77" s="55">
        <v>5205001</v>
      </c>
      <c r="E77" s="55"/>
      <c r="F77" s="55">
        <v>500</v>
      </c>
      <c r="G77" s="55">
        <v>50</v>
      </c>
      <c r="H77" s="55" t="s">
        <v>295</v>
      </c>
      <c r="I77" s="55"/>
      <c r="J77" s="55"/>
      <c r="K77" s="55" t="s">
        <v>296</v>
      </c>
      <c r="L77" s="55"/>
    </row>
    <row r="78" ht="16.5" spans="1:12">
      <c r="A78" s="14"/>
      <c r="B78" s="55">
        <v>55</v>
      </c>
      <c r="C78" s="55" t="s">
        <v>297</v>
      </c>
      <c r="D78" s="55">
        <v>5204001</v>
      </c>
      <c r="E78" s="55"/>
      <c r="F78" s="55">
        <v>5</v>
      </c>
      <c r="G78" s="55">
        <v>0.5</v>
      </c>
      <c r="H78" s="55" t="s">
        <v>211</v>
      </c>
      <c r="I78" s="55"/>
      <c r="J78" s="55"/>
      <c r="K78" s="55"/>
      <c r="L78" s="603" t="s">
        <v>298</v>
      </c>
    </row>
    <row r="79" ht="16.5" spans="1:12">
      <c r="A79" s="14"/>
      <c r="B79" s="55" t="s">
        <v>234</v>
      </c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 ht="16.5" spans="1:12">
      <c r="A80" s="14"/>
      <c r="B80" s="55">
        <v>56</v>
      </c>
      <c r="C80" s="55" t="inlineStr">
        <is>
          <t>咸鱼之王</t>
        </is>
      </c>
      <c r="D80" s="55">
        <v>5525002</v>
      </c>
      <c r="E80" s="55" t="inlineStr">
        <is>
          <t>暂不定价</t>
        </is>
      </c>
      <c r="F80" s="55" t="inlineStr">
        <is>
          <t>暂不定价</t>
        </is>
      </c>
      <c r="G80" s="55" t="inlineStr">
        <is>
          <t>暂不定价</t>
        </is>
      </c>
      <c r="H80" s="55" t="s">
        <v>301</v>
      </c>
      <c r="I80" s="55"/>
      <c r="J80" s="55"/>
      <c r="K80" s="55" t="inlineStr">
        <is>
          <t>原表晶石；ID5525002线上名称咸鱼之王</t>
        </is>
      </c>
      <c r="L80" s="55"/>
    </row>
    <row r="81" ht="16.5" spans="1:12">
      <c r="A81" s="14"/>
      <c r="B81" s="55">
        <v>57</v>
      </c>
      <c r="C81" s="55" t="s">
        <v>302</v>
      </c>
      <c r="D81" s="55"/>
      <c r="E81" s="55"/>
      <c r="F81" s="55">
        <v>0.02</v>
      </c>
      <c r="G81" s="55">
        <v>0.002</v>
      </c>
      <c r="H81" s="55"/>
      <c r="I81" s="55"/>
      <c r="J81" s="55"/>
      <c r="K81" s="55"/>
      <c r="L81" s="55"/>
    </row>
    <row r="82" ht="16.5" spans="1:12">
      <c r="A82" s="14"/>
      <c r="B82" s="55"/>
      <c r="C82" s="55"/>
      <c r="D82" s="55"/>
      <c r="E82" s="55" t="s">
        <v>303</v>
      </c>
      <c r="F82" s="55"/>
      <c r="G82" s="55"/>
      <c r="H82" s="55"/>
      <c r="I82" s="55"/>
      <c r="J82" s="55"/>
      <c r="K82" s="55"/>
      <c r="L82" s="55"/>
    </row>
    <row r="83" ht="16.5" spans="1:12">
      <c r="A83" s="14"/>
      <c r="B83" s="55"/>
      <c r="C83" s="55" t="inlineStr">
        <is>
          <t>贪吃币</t>
        </is>
      </c>
      <c r="D83" s="55">
        <v>59</v>
      </c>
      <c r="E83" s="55" t="inlineStr">
        <is>
          <t>暂不定价</t>
        </is>
      </c>
      <c r="F83" s="55" t="inlineStr">
        <is>
          <t>暂不定价</t>
        </is>
      </c>
      <c r="G83" s="55" t="inlineStr">
        <is>
          <t>暂不定价</t>
        </is>
      </c>
      <c r="H83" s="55"/>
      <c r="I83" s="55"/>
      <c r="J83" s="55"/>
      <c r="K83" s="55" t="inlineStr">
        <is>
          <t>boss积分ID待核；ID59线上名称贪吃币</t>
        </is>
      </c>
      <c r="L83" s="55"/>
    </row>
    <row r="84" ht="16.5" spans="1:12">
      <c r="A84" s="14"/>
      <c r="B84" s="55"/>
      <c r="C84" s="55"/>
      <c r="D84" s="55"/>
      <c r="E84" s="55" t="s">
        <v>305</v>
      </c>
      <c r="F84" s="55"/>
      <c r="G84" s="55"/>
      <c r="H84" s="55"/>
      <c r="I84" s="55"/>
      <c r="J84" s="55"/>
      <c r="K84" s="55"/>
      <c r="L84" s="55"/>
    </row>
    <row r="85" ht="16.5" spans="1:12">
      <c r="A85" s="14"/>
      <c r="B85" s="55">
        <v>56</v>
      </c>
      <c r="C85" s="55" t="s">
        <v>306</v>
      </c>
      <c r="D85" s="55">
        <v>5600077</v>
      </c>
      <c r="E85" s="55"/>
      <c r="F85" s="55">
        <v>60</v>
      </c>
      <c r="G85" s="55"/>
      <c r="H85" s="55" t="s">
        <v>307</v>
      </c>
      <c r="I85" s="55"/>
      <c r="J85" s="55"/>
      <c r="K85" s="55" t="s">
        <v>308</v>
      </c>
      <c r="L85" s="55"/>
    </row>
    <row r="86" ht="16.5" spans="1:12">
      <c r="A86" s="14"/>
      <c r="B86" s="55" t="s">
        <v>234</v>
      </c>
      <c r="C86" s="55" t="s">
        <v>309</v>
      </c>
      <c r="D86" s="55"/>
      <c r="E86" s="55"/>
      <c r="F86" s="55">
        <v>30</v>
      </c>
      <c r="G86" s="55"/>
      <c r="H86" s="55"/>
      <c r="I86" s="55"/>
      <c r="J86" s="55"/>
      <c r="K86" s="55"/>
      <c r="L86" s="55"/>
    </row>
    <row r="87" ht="16.5" spans="1:12">
      <c r="A87" s="14"/>
      <c r="B87" s="55"/>
      <c r="C87" s="55" t="s">
        <v>310</v>
      </c>
      <c r="D87" s="55">
        <v>5600112</v>
      </c>
      <c r="E87" s="55"/>
      <c r="F87" s="55">
        <v>30</v>
      </c>
      <c r="G87" s="55"/>
      <c r="H87" s="55"/>
      <c r="I87" s="55"/>
      <c r="J87" s="55"/>
      <c r="K87" s="55" t="s">
        <v>311</v>
      </c>
      <c r="L87" s="55"/>
    </row>
    <row r="88" ht="16.5" spans="1:12">
      <c r="A88" s="14"/>
      <c r="B88" s="55"/>
      <c r="C88" s="55" t="s">
        <v>312</v>
      </c>
      <c r="D88" s="55">
        <v>5600113</v>
      </c>
      <c r="E88" s="55"/>
      <c r="F88" s="55">
        <v>200</v>
      </c>
      <c r="G88" s="55"/>
      <c r="H88" s="55"/>
      <c r="I88" s="55"/>
      <c r="J88" s="55"/>
      <c r="K88" s="55" t="s">
        <v>313</v>
      </c>
      <c r="L88" s="55"/>
    </row>
    <row r="89" ht="16.5" spans="1:12">
      <c r="A89" s="14"/>
      <c r="B89" s="55"/>
      <c r="C89" s="55" t="s">
        <v>314</v>
      </c>
      <c r="D89" s="55"/>
      <c r="E89" s="55"/>
      <c r="F89" s="55">
        <v>0.5</v>
      </c>
      <c r="G89" s="55"/>
      <c r="H89" s="55"/>
      <c r="I89" s="55"/>
      <c r="J89" s="55"/>
      <c r="K89" s="55"/>
      <c r="L89" s="55"/>
    </row>
    <row r="90" ht="16.5" spans="1:12">
      <c r="A90" s="14"/>
      <c r="B90" s="55"/>
      <c r="C90" s="77" t="s">
        <v>315</v>
      </c>
      <c r="D90" s="55"/>
      <c r="E90" s="55"/>
      <c r="F90" s="77">
        <v>200</v>
      </c>
      <c r="G90" s="55"/>
      <c r="H90" s="55"/>
      <c r="I90" s="55"/>
      <c r="J90" s="55"/>
      <c r="K90" s="55"/>
      <c r="L90" s="55"/>
    </row>
    <row r="91" ht="16.5" spans="1:12">
      <c r="A91" s="14"/>
      <c r="B91" s="55"/>
      <c r="C91" s="77" t="s">
        <v>316</v>
      </c>
      <c r="D91" s="55">
        <v>100050</v>
      </c>
      <c r="E91" s="55"/>
      <c r="F91" s="77">
        <v>60</v>
      </c>
      <c r="G91" s="55"/>
      <c r="H91" s="55"/>
      <c r="I91" s="55"/>
      <c r="J91" s="55"/>
      <c r="K91" s="55" t="s">
        <v>317</v>
      </c>
      <c r="L91" s="55"/>
    </row>
    <row r="92" ht="16.5" spans="1:12">
      <c r="A92" s="14"/>
      <c r="B92" s="55"/>
      <c r="C92" s="364" t="s">
        <v>318</v>
      </c>
      <c r="D92" s="55"/>
      <c r="E92" s="55"/>
      <c r="F92" s="77">
        <v>1500</v>
      </c>
      <c r="G92" s="55"/>
      <c r="H92" s="55"/>
      <c r="I92" s="55"/>
      <c r="J92" s="55"/>
      <c r="K92" s="55"/>
      <c r="L92" s="55"/>
    </row>
    <row r="93" ht="16.5" spans="1:12">
      <c r="A93" s="14"/>
      <c r="B93" s="55"/>
      <c r="C93" s="77" t="s">
        <v>319</v>
      </c>
      <c r="D93" s="55">
        <v>5600078</v>
      </c>
      <c r="E93" s="55" t="inlineStr">
        <is>
          <t>暂不定价</t>
        </is>
      </c>
      <c r="F93" s="77" t="inlineStr">
        <is>
          <t>暂不定价</t>
        </is>
      </c>
      <c r="G93" s="55" t="inlineStr">
        <is>
          <t>暂不定价</t>
        </is>
      </c>
      <c r="H93" s="55"/>
      <c r="I93" s="607" t="s">
        <v>320</v>
      </c>
      <c r="J93" s="55"/>
      <c r="K93" s="55" t="inlineStr">
        <is>
          <t>ID5600078仅见1条小鱼干流水，名称待核</t>
        </is>
      </c>
      <c r="L93" s="55"/>
    </row>
    <row r="94" ht="16.5" spans="1:12">
      <c r="A94" s="14"/>
    </row>
    <row r="95" ht="16.5" spans="1:12">
      <c r="A95" s="14"/>
      <c r="B95" s="55">
        <v>58</v>
      </c>
      <c r="C95" s="55" t="s">
        <v>321</v>
      </c>
      <c r="D95" s="55"/>
      <c r="E95" s="55"/>
      <c r="F95" s="55">
        <v>1500</v>
      </c>
      <c r="G95" s="16"/>
      <c r="H95" s="55" t="s">
        <v>307</v>
      </c>
      <c r="I95" s="55">
        <v>30</v>
      </c>
      <c r="J95" s="55"/>
      <c r="K95" s="55"/>
      <c r="L95" s="55"/>
    </row>
    <row r="96" ht="16.5" spans="1:12">
      <c r="A96" s="14"/>
      <c r="B96" s="55">
        <v>59</v>
      </c>
      <c r="C96" s="55" t="s">
        <v>322</v>
      </c>
      <c r="D96" s="55"/>
      <c r="E96" s="55"/>
      <c r="F96" s="55">
        <v>4000</v>
      </c>
      <c r="G96" s="16"/>
      <c r="H96" s="55" t="s">
        <v>307</v>
      </c>
      <c r="I96" s="55">
        <v>128</v>
      </c>
      <c r="J96" s="55"/>
      <c r="K96" s="55"/>
      <c r="L96" s="55"/>
    </row>
    <row r="97" ht="16.5" spans="1:12">
      <c r="A97" s="14"/>
      <c r="B97" s="55">
        <v>60</v>
      </c>
      <c r="C97" s="55" t="s">
        <v>323</v>
      </c>
      <c r="D97" s="55"/>
      <c r="E97" s="55"/>
      <c r="F97" s="55">
        <v>8000</v>
      </c>
      <c r="G97" s="16"/>
      <c r="H97" s="55" t="s">
        <v>307</v>
      </c>
      <c r="I97" s="55">
        <v>198</v>
      </c>
      <c r="J97" s="55"/>
      <c r="K97" s="55"/>
      <c r="L97" s="55"/>
    </row>
    <row r="98" ht="16.5" spans="1:12">
      <c r="A98" s="14"/>
      <c r="B98" s="55" t="s">
        <v>234</v>
      </c>
      <c r="C98" s="55" t="s">
        <v>324</v>
      </c>
      <c r="D98" s="55"/>
      <c r="E98" s="55"/>
      <c r="F98" s="55">
        <v>2000</v>
      </c>
      <c r="G98" s="16"/>
      <c r="H98" s="55"/>
      <c r="I98" s="55"/>
      <c r="J98" s="55"/>
      <c r="K98" s="55"/>
      <c r="L98" s="55"/>
    </row>
    <row r="99" ht="16.5" spans="1:12">
      <c r="A99" s="14"/>
      <c r="B99" s="55">
        <v>61</v>
      </c>
      <c r="C99" s="55" t="s">
        <v>325</v>
      </c>
      <c r="D99" s="55"/>
      <c r="E99" s="55"/>
      <c r="F99" s="55">
        <v>4000</v>
      </c>
      <c r="G99" s="16"/>
      <c r="H99" s="55"/>
      <c r="I99" s="55">
        <v>128</v>
      </c>
      <c r="J99" s="55"/>
      <c r="K99" s="55"/>
      <c r="L99" s="55"/>
    </row>
    <row r="100" ht="16.5" spans="1:12">
      <c r="A100" s="14"/>
      <c r="B100" s="55">
        <v>62</v>
      </c>
      <c r="C100" s="55" t="s">
        <v>326</v>
      </c>
      <c r="D100" s="55"/>
      <c r="E100" s="55"/>
      <c r="F100" s="55">
        <v>8000</v>
      </c>
      <c r="G100" s="16"/>
      <c r="H100" s="55"/>
      <c r="I100" s="55">
        <v>168</v>
      </c>
      <c r="J100" s="55"/>
      <c r="K100" s="55"/>
      <c r="L100" s="55"/>
    </row>
    <row r="101" ht="16.5" spans="1:12">
      <c r="A101" s="14"/>
      <c r="B101" s="55">
        <v>63</v>
      </c>
      <c r="C101" s="55" t="s">
        <v>327</v>
      </c>
      <c r="D101" s="55"/>
      <c r="E101" s="55"/>
      <c r="F101" s="55">
        <v>2500</v>
      </c>
      <c r="G101" s="16"/>
      <c r="H101" s="55"/>
      <c r="I101" s="55"/>
      <c r="J101" s="55"/>
      <c r="K101" s="55"/>
      <c r="L101" s="55"/>
    </row>
    <row r="102" ht="16.5" spans="1:12">
      <c r="B102" s="55">
        <v>64</v>
      </c>
      <c r="C102" s="55" t="s">
        <v>328</v>
      </c>
      <c r="D102" s="55"/>
      <c r="E102" s="55"/>
      <c r="F102" s="55">
        <v>7000</v>
      </c>
      <c r="G102" s="16"/>
      <c r="H102" s="55"/>
      <c r="I102" s="55">
        <v>266</v>
      </c>
      <c r="J102" s="55"/>
      <c r="K102" s="55"/>
      <c r="L102" s="55" t="s">
        <v>329</v>
      </c>
    </row>
    <row r="103" ht="16.5" spans="1:12">
      <c r="B103" s="55">
        <v>65</v>
      </c>
      <c r="C103" s="55" t="s">
        <v>330</v>
      </c>
      <c r="D103" s="55"/>
      <c r="E103" s="55"/>
      <c r="F103" s="55">
        <v>12000</v>
      </c>
      <c r="G103" s="16"/>
      <c r="H103" s="55"/>
      <c r="I103" s="55">
        <v>328</v>
      </c>
      <c r="J103" s="55"/>
      <c r="K103" s="55"/>
      <c r="L103" s="55" t="s">
        <v>329</v>
      </c>
    </row>
    <row r="104" ht="16.5" spans="1:12">
      <c r="B104" s="55" t="s">
        <v>234</v>
      </c>
      <c r="C104" s="55" t="s">
        <v>331</v>
      </c>
      <c r="D104" s="55"/>
      <c r="E104" s="55"/>
      <c r="F104" s="55">
        <v>2000</v>
      </c>
      <c r="G104" s="55"/>
      <c r="H104" s="55"/>
      <c r="I104" s="55"/>
      <c r="J104" s="55"/>
      <c r="K104" s="55"/>
      <c r="L104" s="55"/>
    </row>
    <row r="105" ht="16.5" spans="1:12">
      <c r="B105" s="55">
        <v>66</v>
      </c>
      <c r="C105" s="55" t="s">
        <v>332</v>
      </c>
      <c r="D105" s="55"/>
      <c r="E105" s="55"/>
      <c r="F105" s="55">
        <v>6000</v>
      </c>
      <c r="G105" s="55"/>
      <c r="H105" s="55"/>
      <c r="I105" s="55"/>
      <c r="J105" s="55"/>
      <c r="K105" s="55"/>
      <c r="L105" s="55"/>
    </row>
    <row r="106" ht="16.5" spans="1:12">
      <c r="B106" s="55">
        <v>67</v>
      </c>
      <c r="C106" s="55" t="s">
        <v>333</v>
      </c>
      <c r="D106" s="55"/>
      <c r="E106" s="55"/>
      <c r="F106" s="55">
        <v>12000</v>
      </c>
      <c r="G106" s="55"/>
      <c r="H106" s="55"/>
      <c r="I106" s="55"/>
      <c r="J106" s="55"/>
      <c r="K106" s="55"/>
      <c r="L106" s="55"/>
    </row>
    <row r="107" ht="16.5" spans="1:12">
      <c r="B107" s="55" t="s">
        <v>234</v>
      </c>
      <c r="C107" s="55"/>
      <c r="D107" s="55"/>
      <c r="E107" s="55"/>
      <c r="F107" s="55"/>
      <c r="G107" s="55"/>
      <c r="H107" s="55"/>
      <c r="I107" s="55"/>
      <c r="J107" s="55"/>
      <c r="K107" s="55"/>
      <c r="L107" s="55"/>
    </row>
    <row r="108" ht="16.5" spans="1:12">
      <c r="B108" s="55">
        <v>68</v>
      </c>
      <c r="C108" s="55" t="s">
        <v>334</v>
      </c>
      <c r="D108" s="55"/>
      <c r="E108" s="55"/>
      <c r="F108" s="55">
        <v>500</v>
      </c>
      <c r="G108" s="55"/>
      <c r="H108" s="55"/>
      <c r="I108" s="55"/>
      <c r="J108" s="55"/>
      <c r="K108" s="55"/>
      <c r="L108" s="55"/>
    </row>
    <row r="109" ht="16.5" spans="1:12">
      <c r="B109" s="55">
        <v>69</v>
      </c>
      <c r="C109" s="55" t="s">
        <v>335</v>
      </c>
      <c r="D109" s="55"/>
      <c r="E109" s="55"/>
      <c r="F109" s="55">
        <v>1000</v>
      </c>
      <c r="G109" s="55"/>
      <c r="H109" s="55"/>
      <c r="I109" s="55"/>
      <c r="J109" s="55"/>
      <c r="K109" s="55"/>
      <c r="L109" s="55"/>
    </row>
    <row r="110" ht="16.5" spans="1:12">
      <c r="B110" s="55">
        <v>70</v>
      </c>
      <c r="C110" s="55" t="s">
        <v>336</v>
      </c>
      <c r="D110" s="55"/>
      <c r="E110" s="55"/>
      <c r="F110" s="55">
        <v>1500</v>
      </c>
      <c r="G110" s="55"/>
      <c r="H110" s="55"/>
      <c r="I110" s="55"/>
      <c r="J110" s="55"/>
      <c r="K110" s="55"/>
      <c r="L110" s="55"/>
    </row>
    <row r="111" ht="17" customHeight="1" spans="1:12">
      <c r="B111" s="608" t="s">
        <v>234</v>
      </c>
      <c r="C111" s="608"/>
      <c r="D111" s="608"/>
      <c r="E111" s="608"/>
      <c r="F111" s="608"/>
      <c r="G111" s="608"/>
      <c r="H111" s="608"/>
      <c r="I111" s="608"/>
      <c r="J111" s="608"/>
      <c r="K111" s="608"/>
      <c r="L111" s="608"/>
    </row>
    <row r="112" ht="17" customHeight="1" spans="1:12">
      <c r="B112" s="609">
        <v>9800301</v>
      </c>
      <c r="C112" s="610" t="s">
        <v>337</v>
      </c>
      <c r="D112" s="611">
        <v>9800301</v>
      </c>
      <c r="E112" s="611"/>
      <c r="F112" s="609">
        <v>50</v>
      </c>
      <c r="G112" s="610">
        <v>5</v>
      </c>
      <c r="H112" s="195"/>
      <c r="I112" s="195"/>
      <c r="J112" s="195"/>
      <c r="K112" s="195"/>
      <c r="L112" s="195"/>
    </row>
    <row r="113" ht="17" customHeight="1" spans="2:12"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</row>
    <row r="114" ht="17" customHeight="1" spans="2:12">
      <c r="B114" s="612">
        <v>62</v>
      </c>
      <c r="C114" s="612" t="s">
        <v>338</v>
      </c>
      <c r="D114" s="611">
        <v>62</v>
      </c>
      <c r="E114" s="611"/>
      <c r="F114" s="612">
        <v>150</v>
      </c>
      <c r="G114" s="612">
        <v>15</v>
      </c>
      <c r="H114" s="611"/>
      <c r="I114" s="611"/>
      <c r="J114" s="612" t="s">
        <v>339</v>
      </c>
      <c r="K114" s="612" t="s">
        <v>340</v>
      </c>
      <c r="L114" s="611"/>
    </row>
    <row r="115" ht="17" customHeight="1" spans="2:12">
      <c r="B115" s="612">
        <v>63</v>
      </c>
      <c r="C115" s="612" t="s">
        <v>341</v>
      </c>
      <c r="D115" s="611">
        <v>63</v>
      </c>
      <c r="E115" s="611"/>
      <c r="F115" s="612">
        <v>1</v>
      </c>
      <c r="G115" s="612">
        <v>0.1</v>
      </c>
      <c r="H115" s="611"/>
      <c r="I115" s="611"/>
      <c r="J115" s="612" t="s">
        <v>342</v>
      </c>
      <c r="K115" s="612" t="s">
        <v>343</v>
      </c>
      <c r="L115" s="611"/>
    </row>
    <row r="116" ht="17" customHeight="1" spans="2:12">
      <c r="B116" s="612">
        <v>6030001</v>
      </c>
      <c r="C116" s="612" t="s">
        <v>344</v>
      </c>
      <c r="D116" s="611"/>
      <c r="E116" s="611"/>
      <c r="F116" s="612">
        <v>200</v>
      </c>
      <c r="G116" s="612">
        <v>20</v>
      </c>
      <c r="H116" s="611"/>
      <c r="I116" s="611"/>
      <c r="J116" s="612" t="s">
        <v>342</v>
      </c>
      <c r="K116" s="612" t="s">
        <v>343</v>
      </c>
      <c r="L116" s="611"/>
    </row>
    <row r="117" ht="17" customHeight="1" spans="2:12">
      <c r="B117" s="612">
        <v>6030002</v>
      </c>
      <c r="C117" s="612" t="s">
        <v>345</v>
      </c>
      <c r="D117" s="611"/>
      <c r="E117" s="611"/>
      <c r="F117" s="612">
        <v>400</v>
      </c>
      <c r="G117" s="612">
        <v>40</v>
      </c>
      <c r="H117" s="611"/>
      <c r="I117" s="611"/>
      <c r="J117" s="612" t="s">
        <v>342</v>
      </c>
      <c r="K117" s="612" t="s">
        <v>340</v>
      </c>
      <c r="L117" s="611"/>
    </row>
    <row r="118" ht="17" customHeight="1" spans="2:12">
      <c r="B118" s="612">
        <v>6030003</v>
      </c>
      <c r="C118" s="612" t="s">
        <v>346</v>
      </c>
      <c r="D118" s="611"/>
      <c r="E118" s="611"/>
      <c r="F118" s="612">
        <v>800</v>
      </c>
      <c r="G118" s="612">
        <v>80</v>
      </c>
      <c r="H118" s="611"/>
      <c r="I118" s="611"/>
      <c r="J118" s="612" t="s">
        <v>342</v>
      </c>
      <c r="K118" s="612" t="s">
        <v>347</v>
      </c>
      <c r="L118" s="611"/>
    </row>
    <row r="119" ht="17" customHeight="1" spans="2:12">
      <c r="B119" s="612">
        <v>6030004</v>
      </c>
      <c r="C119" s="612" t="s">
        <v>348</v>
      </c>
      <c r="D119" s="611"/>
      <c r="E119" s="611"/>
      <c r="F119" s="612">
        <v>1600</v>
      </c>
      <c r="G119" s="612">
        <v>160</v>
      </c>
      <c r="H119" s="611"/>
      <c r="I119" s="611"/>
      <c r="J119" s="612" t="s">
        <v>342</v>
      </c>
      <c r="K119" s="612" t="s">
        <v>349</v>
      </c>
      <c r="L119" s="611"/>
    </row>
    <row r="120" ht="17" customHeight="1" spans="2:12">
      <c r="B120" s="613">
        <v>6040001</v>
      </c>
      <c r="C120" s="612" t="s">
        <v>350</v>
      </c>
      <c r="D120" s="611"/>
      <c r="E120" s="611"/>
      <c r="F120" s="612">
        <v>2000</v>
      </c>
      <c r="G120" s="612">
        <v>200</v>
      </c>
      <c r="H120" s="611"/>
      <c r="I120" s="611"/>
      <c r="J120" s="612" t="s">
        <v>342</v>
      </c>
      <c r="K120" s="612"/>
      <c r="L120" s="611"/>
    </row>
    <row r="121" ht="17" customHeight="1" spans="2:12">
      <c r="B121" s="613">
        <v>6040002</v>
      </c>
      <c r="C121" s="612" t="s">
        <v>351</v>
      </c>
      <c r="D121" s="611"/>
      <c r="E121" s="611"/>
      <c r="F121" s="612">
        <v>4000</v>
      </c>
      <c r="G121" s="612">
        <v>400</v>
      </c>
      <c r="H121" s="611"/>
      <c r="I121" s="611"/>
      <c r="J121" s="612" t="s">
        <v>342</v>
      </c>
      <c r="K121" s="612"/>
      <c r="L121" s="611"/>
    </row>
    <row r="122" ht="17" customHeight="1" spans="2:12">
      <c r="B122" s="613">
        <v>6040003</v>
      </c>
      <c r="C122" s="612" t="s">
        <v>352</v>
      </c>
      <c r="D122" s="611"/>
      <c r="E122" s="611"/>
      <c r="F122" s="612">
        <v>8000</v>
      </c>
      <c r="G122" s="612">
        <v>800</v>
      </c>
      <c r="H122" s="611"/>
      <c r="I122" s="611"/>
      <c r="J122" s="612" t="s">
        <v>342</v>
      </c>
      <c r="K122" s="612"/>
      <c r="L122" s="611"/>
    </row>
    <row r="123" ht="17" customHeight="1" spans="2:12">
      <c r="B123" s="613">
        <v>6040004</v>
      </c>
      <c r="C123" s="612" t="s">
        <v>353</v>
      </c>
      <c r="D123" s="611"/>
      <c r="E123" s="611"/>
      <c r="F123" s="612">
        <v>16000</v>
      </c>
      <c r="G123" s="612">
        <v>1600</v>
      </c>
      <c r="H123" s="611"/>
      <c r="I123" s="611"/>
      <c r="J123" s="612" t="s">
        <v>342</v>
      </c>
      <c r="K123" s="612"/>
      <c r="L123" s="611"/>
    </row>
    <row r="124" ht="17" customHeight="1" spans="2:12">
      <c r="B124" s="612">
        <v>6110030</v>
      </c>
      <c r="C124" s="612" t="s">
        <v>354</v>
      </c>
      <c r="D124" s="611"/>
      <c r="E124" s="611"/>
      <c r="F124" s="612">
        <v>12000</v>
      </c>
      <c r="G124" s="612">
        <v>1200</v>
      </c>
      <c r="H124" s="611"/>
      <c r="I124" s="611"/>
      <c r="J124" s="612" t="s">
        <v>342</v>
      </c>
      <c r="K124" s="612" t="s">
        <v>347</v>
      </c>
      <c r="L124" s="611"/>
    </row>
    <row r="125" ht="17" customHeight="1" spans="2:12">
      <c r="B125" s="614">
        <v>5800004</v>
      </c>
      <c r="C125" s="614" t="s">
        <v>203</v>
      </c>
      <c r="D125" s="611"/>
      <c r="E125" s="611"/>
      <c r="F125" s="614">
        <v>30</v>
      </c>
      <c r="G125" s="614">
        <v>3</v>
      </c>
      <c r="H125" s="611"/>
      <c r="I125" s="611"/>
      <c r="J125" s="611"/>
      <c r="K125" s="615" t="s">
        <v>340</v>
      </c>
      <c r="L125" s="614" t="s">
        <v>355</v>
      </c>
    </row>
    <row r="126" ht="17" customHeight="1" spans="2:12">
      <c r="B126" s="614"/>
      <c r="C126" s="614" t="s">
        <v>302</v>
      </c>
      <c r="D126" s="611"/>
      <c r="E126" s="611"/>
      <c r="F126" s="614">
        <v>0.02</v>
      </c>
      <c r="G126" s="614">
        <v>0.002</v>
      </c>
      <c r="H126" s="611"/>
      <c r="I126" s="611"/>
      <c r="J126" s="611"/>
      <c r="K126" s="615"/>
      <c r="L126" s="615"/>
    </row>
    <row r="127" ht="17" customHeight="1" spans="2:12">
      <c r="B127" s="614"/>
      <c r="C127" s="614" t="s">
        <v>304</v>
      </c>
      <c r="D127" s="611"/>
      <c r="E127" s="611" t="inlineStr">
        <is>
          <t>暂不定价</t>
        </is>
      </c>
      <c r="F127" s="614" t="inlineStr">
        <is>
          <t>暂不定价</t>
        </is>
      </c>
      <c r="G127" s="614" t="inlineStr">
        <is>
          <t>暂不定价</t>
        </is>
      </c>
      <c r="H127" s="611"/>
      <c r="I127" s="611"/>
      <c r="J127" s="611"/>
      <c r="K127" s="615"/>
      <c r="L127" s="615"/>
    </row>
    <row r="128" ht="17" customHeight="1" spans="2:12">
      <c r="B128" s="614">
        <v>5205001</v>
      </c>
      <c r="C128" s="614" t="s">
        <v>294</v>
      </c>
      <c r="D128" s="611"/>
      <c r="E128" s="611"/>
      <c r="F128" s="614">
        <v>500</v>
      </c>
      <c r="G128" s="614">
        <v>50</v>
      </c>
      <c r="H128" s="611"/>
      <c r="I128" s="611"/>
      <c r="J128" s="611"/>
      <c r="K128" s="615" t="s">
        <v>340</v>
      </c>
      <c r="L128" s="614" t="s">
        <v>356</v>
      </c>
    </row>
    <row r="129" ht="17" customHeight="1" spans="2:12">
      <c r="B129" s="614"/>
      <c r="C129" s="614"/>
      <c r="D129" s="611"/>
      <c r="E129" s="611"/>
      <c r="F129" s="614"/>
      <c r="G129" s="614"/>
      <c r="H129" s="611"/>
      <c r="I129" s="611"/>
      <c r="J129" s="611"/>
      <c r="K129" s="615"/>
      <c r="L129" s="616"/>
    </row>
    <row r="130" ht="17" customHeight="1" spans="2:12">
      <c r="B130" s="614">
        <v>50</v>
      </c>
      <c r="C130" s="614" t="s">
        <v>236</v>
      </c>
      <c r="D130" s="611"/>
      <c r="E130" s="611"/>
      <c r="F130" s="614">
        <v>0.1</v>
      </c>
      <c r="G130" s="614">
        <v>0.01</v>
      </c>
      <c r="H130" s="611"/>
      <c r="I130" s="611"/>
      <c r="J130" s="611"/>
      <c r="K130" s="615" t="s">
        <v>343</v>
      </c>
      <c r="L130" s="614" t="s">
        <v>357</v>
      </c>
    </row>
    <row r="131" ht="17" customHeight="1" spans="2:12">
      <c r="B131" s="614"/>
      <c r="C131" s="614" t="s">
        <v>238</v>
      </c>
      <c r="D131" s="611"/>
      <c r="E131" s="611" t="inlineStr">
        <is>
          <t>暂不定价</t>
        </is>
      </c>
      <c r="F131" s="614" t="inlineStr">
        <is>
          <t>暂不定价</t>
        </is>
      </c>
      <c r="G131" s="614" t="inlineStr">
        <is>
          <t>暂不定价</t>
        </is>
      </c>
      <c r="H131" s="611"/>
      <c r="I131" s="611"/>
      <c r="J131" s="611"/>
      <c r="K131" s="615"/>
      <c r="L131" s="615"/>
    </row>
    <row r="132" ht="17" customHeight="1" spans="2:12">
      <c r="B132" s="614">
        <v>28</v>
      </c>
      <c r="C132" s="614" t="s">
        <v>207</v>
      </c>
      <c r="D132" s="611"/>
      <c r="E132" s="611"/>
      <c r="F132" s="614">
        <v>200</v>
      </c>
      <c r="G132" s="614">
        <v>20</v>
      </c>
      <c r="H132" s="611"/>
      <c r="I132" s="611"/>
      <c r="J132" s="611"/>
      <c r="K132" s="615" t="s">
        <v>343</v>
      </c>
      <c r="L132" s="614" t="s">
        <v>358</v>
      </c>
    </row>
    <row r="133" ht="17" customHeight="1" spans="2:12">
      <c r="B133" s="614">
        <v>5523004</v>
      </c>
      <c r="C133" s="614" t="s">
        <v>359</v>
      </c>
      <c r="D133" s="611">
        <v>5523004</v>
      </c>
      <c r="E133" s="611"/>
      <c r="F133" s="614">
        <v>300</v>
      </c>
      <c r="G133" s="614">
        <v>30</v>
      </c>
      <c r="H133" s="611"/>
      <c r="I133" s="611"/>
      <c r="J133" s="611"/>
      <c r="K133" s="615" t="s">
        <v>340</v>
      </c>
      <c r="L133" s="614" t="s">
        <v>360</v>
      </c>
    </row>
    <row r="134" ht="17" customHeight="1" spans="2:12">
      <c r="B134" s="614">
        <v>5523003</v>
      </c>
      <c r="C134" s="614" t="s">
        <v>361</v>
      </c>
      <c r="D134" s="611">
        <v>5523003</v>
      </c>
      <c r="E134" s="611"/>
      <c r="F134" s="614">
        <v>90</v>
      </c>
      <c r="G134" s="614">
        <v>9</v>
      </c>
      <c r="H134" s="611"/>
      <c r="I134" s="611"/>
      <c r="J134" s="611"/>
      <c r="K134" s="615" t="s">
        <v>343</v>
      </c>
      <c r="L134" s="614" t="s">
        <v>360</v>
      </c>
    </row>
    <row r="135" ht="17" customHeight="1" spans="2:12">
      <c r="B135" s="615"/>
      <c r="C135" s="615" t="s">
        <v>362</v>
      </c>
      <c r="D135" s="611"/>
      <c r="E135" s="611"/>
      <c r="F135" s="615">
        <v>2400</v>
      </c>
      <c r="G135" s="615">
        <v>240</v>
      </c>
      <c r="H135" s="611"/>
      <c r="I135" s="611"/>
      <c r="J135" s="611"/>
      <c r="K135" s="615"/>
      <c r="L135" s="615"/>
    </row>
    <row r="136" ht="17" customHeight="1" spans="2:12">
      <c r="B136" s="615"/>
      <c r="C136" s="615" t="s">
        <v>363</v>
      </c>
      <c r="D136" s="611"/>
      <c r="E136" s="611"/>
      <c r="F136" s="615">
        <v>4800</v>
      </c>
      <c r="G136" s="615">
        <v>480</v>
      </c>
      <c r="H136" s="611"/>
      <c r="I136" s="611"/>
      <c r="J136" s="611"/>
      <c r="K136" s="615"/>
      <c r="L136" s="615"/>
    </row>
    <row r="137" ht="17" customHeight="1" spans="2:12">
      <c r="B137" s="615"/>
      <c r="C137" s="615" t="s">
        <v>364</v>
      </c>
      <c r="D137" s="611"/>
      <c r="E137" s="611"/>
      <c r="F137" s="615">
        <v>9600</v>
      </c>
      <c r="G137" s="615">
        <v>960</v>
      </c>
      <c r="H137" s="611"/>
      <c r="I137" s="611"/>
      <c r="J137" s="611"/>
      <c r="K137" s="615"/>
      <c r="L137" s="615"/>
    </row>
    <row r="138" ht="17" customHeight="1" spans="2:12">
      <c r="B138" s="615">
        <v>6200001</v>
      </c>
      <c r="C138" s="615" t="s">
        <v>365</v>
      </c>
      <c r="D138" s="611"/>
      <c r="E138" s="611"/>
      <c r="F138" s="615">
        <v>2400</v>
      </c>
      <c r="G138" s="615">
        <v>240</v>
      </c>
      <c r="H138" s="611"/>
      <c r="I138" s="611"/>
      <c r="J138" s="611"/>
      <c r="K138" s="615" t="s">
        <v>343</v>
      </c>
      <c r="L138" s="615"/>
    </row>
    <row r="139" ht="17" customHeight="1" spans="2:12">
      <c r="B139" s="615">
        <v>6200002</v>
      </c>
      <c r="C139" s="615" t="s">
        <v>366</v>
      </c>
      <c r="D139" s="611"/>
      <c r="E139" s="611"/>
      <c r="F139" s="615">
        <v>2400</v>
      </c>
      <c r="G139" s="615">
        <v>240</v>
      </c>
      <c r="H139" s="611"/>
      <c r="I139" s="611"/>
      <c r="J139" s="611"/>
      <c r="K139" s="615" t="s">
        <v>343</v>
      </c>
      <c r="L139" s="615"/>
    </row>
    <row r="140" ht="17" customHeight="1" spans="2:12">
      <c r="B140" s="615">
        <v>6200003</v>
      </c>
      <c r="C140" s="615" t="s">
        <v>367</v>
      </c>
      <c r="D140" s="611"/>
      <c r="E140" s="611"/>
      <c r="F140" s="615">
        <v>2400</v>
      </c>
      <c r="G140" s="615">
        <v>240</v>
      </c>
      <c r="H140" s="611"/>
      <c r="I140" s="611"/>
      <c r="J140" s="611"/>
      <c r="K140" s="615" t="s">
        <v>343</v>
      </c>
      <c r="L140" s="615"/>
    </row>
    <row r="141" ht="17" customHeight="1" spans="2:12">
      <c r="B141" s="615">
        <v>6200004</v>
      </c>
      <c r="C141" s="615" t="s">
        <v>368</v>
      </c>
      <c r="D141" s="611"/>
      <c r="E141" s="611"/>
      <c r="F141" s="615">
        <v>2400</v>
      </c>
      <c r="G141" s="615">
        <v>240</v>
      </c>
      <c r="H141" s="611"/>
      <c r="I141" s="611"/>
      <c r="J141" s="611"/>
      <c r="K141" s="615" t="s">
        <v>343</v>
      </c>
      <c r="L141" s="615"/>
    </row>
    <row r="142" ht="17" customHeight="1" spans="2:12">
      <c r="B142" s="615">
        <v>6200005</v>
      </c>
      <c r="C142" s="615" t="s">
        <v>369</v>
      </c>
      <c r="D142" s="611"/>
      <c r="E142" s="611"/>
      <c r="F142" s="615">
        <v>2400</v>
      </c>
      <c r="G142" s="615">
        <v>240</v>
      </c>
      <c r="H142" s="611"/>
      <c r="I142" s="611"/>
      <c r="J142" s="611"/>
      <c r="K142" s="615" t="s">
        <v>343</v>
      </c>
      <c r="L142" s="615"/>
    </row>
    <row r="143" ht="17" customHeight="1" spans="2:12">
      <c r="B143" s="615">
        <v>6200006</v>
      </c>
      <c r="C143" s="615" t="s">
        <v>370</v>
      </c>
      <c r="D143" s="611"/>
      <c r="E143" s="611"/>
      <c r="F143" s="615">
        <v>4800</v>
      </c>
      <c r="G143" s="615">
        <v>480</v>
      </c>
      <c r="H143" s="611"/>
      <c r="I143" s="611"/>
      <c r="J143" s="611"/>
      <c r="K143" s="615" t="s">
        <v>340</v>
      </c>
      <c r="L143" s="615"/>
    </row>
    <row r="144" ht="17" customHeight="1" spans="2:12">
      <c r="B144" s="615">
        <v>6200007</v>
      </c>
      <c r="C144" s="615" t="s">
        <v>371</v>
      </c>
      <c r="D144" s="611"/>
      <c r="E144" s="611"/>
      <c r="F144" s="615">
        <v>4800</v>
      </c>
      <c r="G144" s="615">
        <v>480</v>
      </c>
      <c r="H144" s="611"/>
      <c r="I144" s="611"/>
      <c r="J144" s="611"/>
      <c r="K144" s="615" t="s">
        <v>340</v>
      </c>
      <c r="L144" s="615"/>
    </row>
    <row r="145" ht="17" customHeight="1" spans="2:12">
      <c r="B145" s="615">
        <v>6200008</v>
      </c>
      <c r="C145" s="615" t="s">
        <v>372</v>
      </c>
      <c r="D145" s="611"/>
      <c r="E145" s="611"/>
      <c r="F145" s="615">
        <v>4800</v>
      </c>
      <c r="G145" s="615">
        <v>480</v>
      </c>
      <c r="H145" s="611"/>
      <c r="I145" s="611"/>
      <c r="J145" s="611"/>
      <c r="K145" s="615" t="s">
        <v>340</v>
      </c>
      <c r="L145" s="615"/>
    </row>
    <row r="146" ht="17" customHeight="1" spans="2:12">
      <c r="B146" s="615">
        <v>6200009</v>
      </c>
      <c r="C146" s="615" t="s">
        <v>373</v>
      </c>
      <c r="D146" s="611"/>
      <c r="E146" s="611"/>
      <c r="F146" s="615">
        <v>4800</v>
      </c>
      <c r="G146" s="615">
        <v>480</v>
      </c>
      <c r="H146" s="611"/>
      <c r="I146" s="611"/>
      <c r="J146" s="611"/>
      <c r="K146" s="615" t="s">
        <v>340</v>
      </c>
      <c r="L146" s="615"/>
    </row>
    <row r="147" ht="17" customHeight="1" spans="2:12">
      <c r="B147" s="615">
        <v>6200010</v>
      </c>
      <c r="C147" s="615" t="s">
        <v>374</v>
      </c>
      <c r="D147" s="611"/>
      <c r="E147" s="611"/>
      <c r="F147" s="615">
        <v>4800</v>
      </c>
      <c r="G147" s="615">
        <v>480</v>
      </c>
      <c r="H147" s="611"/>
      <c r="I147" s="611"/>
      <c r="J147" s="611"/>
      <c r="K147" s="615" t="s">
        <v>340</v>
      </c>
      <c r="L147" s="615"/>
    </row>
    <row r="148" ht="17" customHeight="1" spans="2:12">
      <c r="B148" s="615">
        <v>6200011</v>
      </c>
      <c r="C148" s="615" t="s">
        <v>375</v>
      </c>
      <c r="D148" s="611"/>
      <c r="E148" s="611"/>
      <c r="F148" s="615">
        <v>4800</v>
      </c>
      <c r="G148" s="615">
        <v>480</v>
      </c>
      <c r="H148" s="611"/>
      <c r="I148" s="611"/>
      <c r="J148" s="611"/>
      <c r="K148" s="615" t="s">
        <v>340</v>
      </c>
      <c r="L148" s="615"/>
    </row>
    <row r="149" ht="17" customHeight="1" spans="2:12">
      <c r="B149" s="615">
        <v>6200012</v>
      </c>
      <c r="C149" s="615" t="s">
        <v>376</v>
      </c>
      <c r="D149" s="611">
        <v>6200012</v>
      </c>
      <c r="E149" s="611"/>
      <c r="F149" s="615">
        <v>4800</v>
      </c>
      <c r="G149" s="615">
        <v>480</v>
      </c>
      <c r="H149" s="611"/>
      <c r="I149" s="611"/>
      <c r="J149" s="611"/>
      <c r="K149" s="615" t="s">
        <v>340</v>
      </c>
      <c r="L149" s="615"/>
    </row>
    <row r="150" ht="17" customHeight="1" spans="2:12">
      <c r="B150" s="615">
        <v>6200013</v>
      </c>
      <c r="C150" s="615" t="s">
        <v>377</v>
      </c>
      <c r="D150" s="611"/>
      <c r="E150" s="611"/>
      <c r="F150" s="615">
        <v>4800</v>
      </c>
      <c r="G150" s="615">
        <v>480</v>
      </c>
      <c r="H150" s="611"/>
      <c r="I150" s="611"/>
      <c r="J150" s="611"/>
      <c r="K150" s="615" t="s">
        <v>340</v>
      </c>
      <c r="L150" s="615"/>
    </row>
    <row r="151" ht="17" customHeight="1" spans="2:12">
      <c r="B151" s="615">
        <v>6200014</v>
      </c>
      <c r="C151" s="615" t="s">
        <v>378</v>
      </c>
      <c r="D151" s="611"/>
      <c r="E151" s="611"/>
      <c r="F151" s="615">
        <v>4800</v>
      </c>
      <c r="G151" s="615">
        <v>480</v>
      </c>
      <c r="H151" s="611"/>
      <c r="I151" s="611"/>
      <c r="J151" s="611"/>
      <c r="K151" s="615" t="s">
        <v>340</v>
      </c>
      <c r="L151" s="615"/>
    </row>
    <row r="152" ht="17" customHeight="1" spans="2:12">
      <c r="B152" s="615">
        <v>6200015</v>
      </c>
      <c r="C152" s="615" t="s">
        <v>379</v>
      </c>
      <c r="D152" s="611">
        <v>6200015</v>
      </c>
      <c r="E152" s="611"/>
      <c r="F152" s="615">
        <v>4800</v>
      </c>
      <c r="G152" s="615">
        <v>480</v>
      </c>
      <c r="H152" s="611"/>
      <c r="I152" s="611"/>
      <c r="J152" s="611"/>
      <c r="K152" s="615" t="s">
        <v>340</v>
      </c>
      <c r="L152" s="615"/>
    </row>
    <row r="153" ht="17" customHeight="1" spans="2:12">
      <c r="B153" s="617">
        <v>6200016</v>
      </c>
      <c r="C153" s="617" t="s">
        <v>380</v>
      </c>
      <c r="D153" s="611">
        <v>6200016</v>
      </c>
      <c r="E153" s="611"/>
      <c r="F153" s="617">
        <v>9600</v>
      </c>
      <c r="G153" s="617">
        <v>960</v>
      </c>
      <c r="H153" s="611"/>
      <c r="I153" s="611"/>
      <c r="J153" s="611"/>
      <c r="K153" s="617" t="s">
        <v>347</v>
      </c>
      <c r="L153" s="615"/>
    </row>
    <row r="154" ht="17" customHeight="1" spans="2:12">
      <c r="B154" s="617">
        <v>6200017</v>
      </c>
      <c r="C154" s="617" t="s">
        <v>381</v>
      </c>
      <c r="D154" s="611"/>
      <c r="E154" s="611"/>
      <c r="F154" s="617">
        <v>9600</v>
      </c>
      <c r="G154" s="617">
        <v>960</v>
      </c>
      <c r="H154" s="611"/>
      <c r="I154" s="611"/>
      <c r="J154" s="611"/>
      <c r="K154" s="617" t="s">
        <v>347</v>
      </c>
      <c r="L154" s="615"/>
    </row>
    <row r="155" ht="17" customHeight="1" spans="2:12">
      <c r="B155" s="617">
        <v>6200018</v>
      </c>
      <c r="C155" s="617" t="s">
        <v>382</v>
      </c>
      <c r="D155" s="611"/>
      <c r="E155" s="611"/>
      <c r="F155" s="617">
        <v>9600</v>
      </c>
      <c r="G155" s="617">
        <v>960</v>
      </c>
      <c r="H155" s="611"/>
      <c r="I155" s="611"/>
      <c r="J155" s="611"/>
      <c r="K155" s="617" t="s">
        <v>347</v>
      </c>
      <c r="L155" s="615"/>
    </row>
    <row r="156" ht="17" customHeight="1" spans="2:12">
      <c r="B156" s="615"/>
      <c r="C156" s="615"/>
      <c r="D156" s="611"/>
      <c r="E156" s="611"/>
      <c r="F156" s="615"/>
      <c r="G156" s="615"/>
      <c r="H156" s="611"/>
      <c r="I156" s="611"/>
      <c r="J156" s="611"/>
      <c r="K156" s="615"/>
      <c r="L156" s="615"/>
    </row>
    <row r="157" ht="17" customHeight="1" spans="2:12">
      <c r="B157" s="615">
        <v>6210001</v>
      </c>
      <c r="C157" s="615" t="s">
        <v>383</v>
      </c>
      <c r="D157" s="611"/>
      <c r="E157" s="611"/>
      <c r="F157" s="615">
        <v>240</v>
      </c>
      <c r="G157" s="615">
        <v>24</v>
      </c>
      <c r="H157" s="611"/>
      <c r="I157" s="611"/>
      <c r="J157" s="611"/>
      <c r="K157" s="615" t="s">
        <v>343</v>
      </c>
      <c r="L157" s="615"/>
    </row>
    <row r="158" ht="17" customHeight="1" spans="2:12">
      <c r="B158" s="615">
        <v>6210002</v>
      </c>
      <c r="C158" s="615" t="s">
        <v>384</v>
      </c>
      <c r="D158" s="611"/>
      <c r="E158" s="611"/>
      <c r="F158" s="615">
        <v>240</v>
      </c>
      <c r="G158" s="615">
        <v>24</v>
      </c>
      <c r="H158" s="611"/>
      <c r="I158" s="611"/>
      <c r="J158" s="611"/>
      <c r="K158" s="615" t="s">
        <v>343</v>
      </c>
      <c r="L158" s="615"/>
    </row>
    <row r="159" ht="17" customHeight="1" spans="2:12">
      <c r="B159" s="615">
        <v>6210003</v>
      </c>
      <c r="C159" s="615" t="s">
        <v>385</v>
      </c>
      <c r="D159" s="611"/>
      <c r="E159" s="611"/>
      <c r="F159" s="615">
        <v>240</v>
      </c>
      <c r="G159" s="615">
        <v>24</v>
      </c>
      <c r="H159" s="611"/>
      <c r="I159" s="611"/>
      <c r="J159" s="611"/>
      <c r="K159" s="615" t="s">
        <v>343</v>
      </c>
      <c r="L159" s="615"/>
    </row>
    <row r="160" ht="17" customHeight="1" spans="2:12">
      <c r="B160" s="615">
        <v>6210004</v>
      </c>
      <c r="C160" s="615" t="s">
        <v>386</v>
      </c>
      <c r="D160" s="611"/>
      <c r="E160" s="611"/>
      <c r="F160" s="615">
        <v>240</v>
      </c>
      <c r="G160" s="615">
        <v>24</v>
      </c>
      <c r="H160" s="611"/>
      <c r="I160" s="611"/>
      <c r="J160" s="611"/>
      <c r="K160" s="615" t="s">
        <v>343</v>
      </c>
      <c r="L160" s="615"/>
    </row>
    <row r="161" ht="17" customHeight="1" spans="2:12">
      <c r="B161" s="615">
        <v>6210005</v>
      </c>
      <c r="C161" s="615" t="s">
        <v>387</v>
      </c>
      <c r="D161" s="611"/>
      <c r="E161" s="611"/>
      <c r="F161" s="615">
        <v>240</v>
      </c>
      <c r="G161" s="615">
        <v>24</v>
      </c>
      <c r="H161" s="611"/>
      <c r="I161" s="611"/>
      <c r="J161" s="611"/>
      <c r="K161" s="615" t="s">
        <v>343</v>
      </c>
      <c r="L161" s="615"/>
    </row>
    <row r="162" ht="17" customHeight="1" spans="2:12">
      <c r="B162" s="615">
        <v>6210006</v>
      </c>
      <c r="C162" s="615" t="s">
        <v>388</v>
      </c>
      <c r="D162" s="611">
        <v>6210006</v>
      </c>
      <c r="E162" s="611"/>
      <c r="F162" s="615">
        <v>480</v>
      </c>
      <c r="G162" s="615">
        <v>48</v>
      </c>
      <c r="H162" s="611"/>
      <c r="I162" s="611"/>
      <c r="J162" s="611"/>
      <c r="K162" s="615" t="s">
        <v>340</v>
      </c>
      <c r="L162" s="615"/>
    </row>
    <row r="163" ht="17" customHeight="1" spans="2:12">
      <c r="B163" s="615">
        <v>6210007</v>
      </c>
      <c r="C163" s="615" t="s">
        <v>389</v>
      </c>
      <c r="D163" s="611"/>
      <c r="E163" s="611"/>
      <c r="F163" s="615">
        <v>480</v>
      </c>
      <c r="G163" s="615">
        <v>48</v>
      </c>
      <c r="H163" s="611"/>
      <c r="I163" s="611"/>
      <c r="J163" s="611"/>
      <c r="K163" s="615" t="s">
        <v>340</v>
      </c>
      <c r="L163" s="615"/>
    </row>
    <row r="164" ht="17" customHeight="1" spans="2:12">
      <c r="B164" s="615">
        <v>6210008</v>
      </c>
      <c r="C164" s="615" t="s">
        <v>390</v>
      </c>
      <c r="D164" s="611"/>
      <c r="E164" s="611"/>
      <c r="F164" s="615">
        <v>480</v>
      </c>
      <c r="G164" s="615">
        <v>48</v>
      </c>
      <c r="H164" s="611"/>
      <c r="I164" s="611"/>
      <c r="J164" s="611"/>
      <c r="K164" s="615" t="s">
        <v>340</v>
      </c>
      <c r="L164" s="615"/>
    </row>
    <row r="165" ht="17" customHeight="1" spans="2:12">
      <c r="B165" s="615">
        <v>6210009</v>
      </c>
      <c r="C165" s="615" t="s">
        <v>391</v>
      </c>
      <c r="D165" s="611"/>
      <c r="E165" s="611"/>
      <c r="F165" s="615">
        <v>480</v>
      </c>
      <c r="G165" s="615">
        <v>48</v>
      </c>
      <c r="H165" s="611"/>
      <c r="I165" s="611"/>
      <c r="J165" s="611"/>
      <c r="K165" s="615" t="s">
        <v>340</v>
      </c>
      <c r="L165" s="615"/>
    </row>
    <row r="166" ht="17" customHeight="1" spans="2:12">
      <c r="B166" s="615">
        <v>6210010</v>
      </c>
      <c r="C166" s="615" t="s">
        <v>392</v>
      </c>
      <c r="D166" s="611"/>
      <c r="E166" s="611"/>
      <c r="F166" s="615">
        <v>480</v>
      </c>
      <c r="G166" s="615">
        <v>48</v>
      </c>
      <c r="H166" s="611"/>
      <c r="I166" s="611"/>
      <c r="J166" s="611"/>
      <c r="K166" s="615" t="s">
        <v>340</v>
      </c>
      <c r="L166" s="615"/>
    </row>
    <row r="167" ht="17" customHeight="1" spans="2:12">
      <c r="B167" s="615">
        <v>6210011</v>
      </c>
      <c r="C167" s="615" t="s">
        <v>393</v>
      </c>
      <c r="D167" s="611"/>
      <c r="E167" s="611"/>
      <c r="F167" s="615">
        <v>480</v>
      </c>
      <c r="G167" s="615">
        <v>48</v>
      </c>
      <c r="H167" s="611"/>
      <c r="I167" s="611"/>
      <c r="J167" s="611"/>
      <c r="K167" s="615" t="s">
        <v>340</v>
      </c>
      <c r="L167" s="615"/>
    </row>
    <row r="168" ht="17" customHeight="1" spans="2:12">
      <c r="B168" s="615">
        <v>6210012</v>
      </c>
      <c r="C168" s="615" t="s">
        <v>394</v>
      </c>
      <c r="D168" s="611"/>
      <c r="E168" s="611"/>
      <c r="F168" s="615">
        <v>480</v>
      </c>
      <c r="G168" s="615">
        <v>48</v>
      </c>
      <c r="H168" s="611"/>
      <c r="I168" s="611"/>
      <c r="J168" s="611"/>
      <c r="K168" s="615" t="s">
        <v>340</v>
      </c>
      <c r="L168" s="615"/>
    </row>
    <row r="169" ht="17" customHeight="1" spans="2:12">
      <c r="B169" s="615">
        <v>6210013</v>
      </c>
      <c r="C169" s="615" t="s">
        <v>395</v>
      </c>
      <c r="D169" s="611"/>
      <c r="E169" s="611"/>
      <c r="F169" s="615">
        <v>480</v>
      </c>
      <c r="G169" s="615">
        <v>48</v>
      </c>
      <c r="H169" s="611"/>
      <c r="I169" s="611"/>
      <c r="J169" s="611"/>
      <c r="K169" s="615" t="s">
        <v>340</v>
      </c>
      <c r="L169" s="615"/>
    </row>
    <row r="170" ht="17" customHeight="1" spans="2:12">
      <c r="B170" s="615">
        <v>6210014</v>
      </c>
      <c r="C170" s="615" t="s">
        <v>396</v>
      </c>
      <c r="D170" s="611"/>
      <c r="E170" s="611"/>
      <c r="F170" s="615">
        <v>480</v>
      </c>
      <c r="G170" s="615">
        <v>48</v>
      </c>
      <c r="H170" s="611"/>
      <c r="I170" s="611"/>
      <c r="J170" s="611"/>
      <c r="K170" s="615" t="s">
        <v>340</v>
      </c>
      <c r="L170" s="615"/>
    </row>
    <row r="171" ht="17" customHeight="1" spans="2:12">
      <c r="B171" s="615">
        <v>6210015</v>
      </c>
      <c r="C171" s="615" t="s">
        <v>397</v>
      </c>
      <c r="D171" s="611"/>
      <c r="E171" s="611"/>
      <c r="F171" s="615">
        <v>480</v>
      </c>
      <c r="G171" s="615">
        <v>48</v>
      </c>
      <c r="H171" s="611"/>
      <c r="I171" s="611"/>
      <c r="J171" s="611"/>
      <c r="K171" s="615" t="s">
        <v>340</v>
      </c>
      <c r="L171" s="615"/>
    </row>
    <row r="172" ht="17" customHeight="1" spans="2:12">
      <c r="B172" s="615">
        <v>6210016</v>
      </c>
      <c r="C172" s="615" t="s">
        <v>398</v>
      </c>
      <c r="D172" s="611"/>
      <c r="E172" s="611"/>
      <c r="F172" s="615">
        <v>960</v>
      </c>
      <c r="G172" s="615">
        <v>96</v>
      </c>
      <c r="H172" s="611"/>
      <c r="I172" s="611"/>
      <c r="J172" s="611"/>
      <c r="K172" s="615" t="s">
        <v>347</v>
      </c>
      <c r="L172" s="615"/>
    </row>
    <row r="173" ht="17" customHeight="1" spans="2:12">
      <c r="B173" s="615">
        <v>6210017</v>
      </c>
      <c r="C173" s="615" t="s">
        <v>399</v>
      </c>
      <c r="D173" s="611"/>
      <c r="E173" s="611"/>
      <c r="F173" s="615">
        <v>960</v>
      </c>
      <c r="G173" s="615">
        <v>96</v>
      </c>
      <c r="H173" s="611"/>
      <c r="I173" s="611"/>
      <c r="J173" s="611"/>
      <c r="K173" s="615" t="s">
        <v>347</v>
      </c>
      <c r="L173" s="615"/>
    </row>
    <row r="174" ht="17" customHeight="1" spans="2:12">
      <c r="B174" s="615">
        <v>6210018</v>
      </c>
      <c r="C174" s="615" t="s">
        <v>400</v>
      </c>
      <c r="D174" s="611"/>
      <c r="E174" s="611"/>
      <c r="F174" s="615">
        <v>960</v>
      </c>
      <c r="G174" s="615">
        <v>96</v>
      </c>
      <c r="H174" s="611"/>
      <c r="I174" s="611"/>
      <c r="J174" s="611"/>
      <c r="K174" s="615" t="s">
        <v>347</v>
      </c>
      <c r="L174" s="615"/>
    </row>
    <row r="175" ht="17" customHeight="1" spans="2:12">
      <c r="B175" s="615">
        <v>6220001</v>
      </c>
      <c r="C175" s="615" t="s">
        <v>401</v>
      </c>
      <c r="D175" s="611">
        <v>6220001</v>
      </c>
      <c r="E175" s="611"/>
      <c r="F175" s="615">
        <v>2400</v>
      </c>
      <c r="G175" s="615">
        <v>240</v>
      </c>
      <c r="H175" s="611"/>
      <c r="I175" s="611"/>
      <c r="J175" s="611"/>
      <c r="K175" s="615" t="s">
        <v>343</v>
      </c>
      <c r="L175" s="615"/>
    </row>
    <row r="176" ht="17" customHeight="1" spans="2:12">
      <c r="B176" s="615">
        <v>6220002</v>
      </c>
      <c r="C176" s="615" t="s">
        <v>402</v>
      </c>
      <c r="D176" s="611">
        <v>6220002</v>
      </c>
      <c r="E176" s="611"/>
      <c r="F176" s="615">
        <v>4800</v>
      </c>
      <c r="G176" s="615">
        <v>480</v>
      </c>
      <c r="H176" s="611"/>
      <c r="I176" s="611"/>
      <c r="J176" s="611"/>
      <c r="K176" s="615" t="s">
        <v>340</v>
      </c>
      <c r="L176" s="615"/>
    </row>
    <row r="177" ht="17" customHeight="1" spans="1:12">
      <c r="B177" s="615">
        <v>6220003</v>
      </c>
      <c r="C177" s="615" t="s">
        <v>403</v>
      </c>
      <c r="D177" s="611"/>
      <c r="E177" s="611"/>
      <c r="F177" s="615">
        <v>9600</v>
      </c>
      <c r="G177" s="615">
        <v>960</v>
      </c>
      <c r="H177" s="611"/>
      <c r="I177" s="611"/>
      <c r="J177" s="611"/>
      <c r="K177" s="615" t="s">
        <v>347</v>
      </c>
      <c r="L177" s="615"/>
    </row>
    <row r="178" ht="17" customHeight="1" spans="1:12">
      <c r="B178" s="615">
        <v>6220011</v>
      </c>
      <c r="C178" s="615" t="s">
        <v>404</v>
      </c>
      <c r="D178" s="611"/>
      <c r="E178" s="611"/>
      <c r="F178" s="615">
        <v>2400</v>
      </c>
      <c r="G178" s="615">
        <v>240</v>
      </c>
      <c r="H178" s="611"/>
      <c r="I178" s="611"/>
      <c r="J178" s="611"/>
      <c r="K178" s="615" t="s">
        <v>343</v>
      </c>
      <c r="L178" s="615"/>
    </row>
    <row r="179" ht="17" customHeight="1" spans="1:12">
      <c r="B179" s="615">
        <v>6220012</v>
      </c>
      <c r="C179" s="615" t="s">
        <v>405</v>
      </c>
      <c r="D179" s="611"/>
      <c r="E179" s="611"/>
      <c r="F179" s="615">
        <v>4800</v>
      </c>
      <c r="G179" s="615">
        <v>480</v>
      </c>
      <c r="H179" s="611"/>
      <c r="I179" s="611"/>
      <c r="J179" s="611"/>
      <c r="K179" s="615" t="s">
        <v>340</v>
      </c>
      <c r="L179" s="615"/>
    </row>
    <row r="180" ht="17" customHeight="1" spans="1:12">
      <c r="B180" s="615">
        <v>6220013</v>
      </c>
      <c r="C180" s="615" t="s">
        <v>406</v>
      </c>
      <c r="D180" s="611">
        <v>6220013</v>
      </c>
      <c r="E180" s="611"/>
      <c r="F180" s="615">
        <v>9600</v>
      </c>
      <c r="G180" s="615">
        <v>960</v>
      </c>
      <c r="H180" s="611"/>
      <c r="I180" s="611"/>
      <c r="J180" s="611"/>
      <c r="K180" s="615" t="s">
        <v>347</v>
      </c>
      <c r="L180" s="615"/>
    </row>
    <row r="181" ht="17" customHeight="1" spans="1:12">
      <c r="B181" s="615">
        <v>6220021</v>
      </c>
      <c r="C181" s="615" t="s">
        <v>401</v>
      </c>
      <c r="D181" s="611">
        <v>6220021</v>
      </c>
      <c r="E181" s="611"/>
      <c r="F181" s="615">
        <v>2400</v>
      </c>
      <c r="G181" s="615">
        <v>240</v>
      </c>
      <c r="H181" s="611"/>
      <c r="I181" s="611"/>
      <c r="J181" s="611"/>
      <c r="K181" s="615" t="s">
        <v>343</v>
      </c>
      <c r="L181" s="615"/>
    </row>
    <row r="182" ht="17" customHeight="1" spans="1:12">
      <c r="B182" s="615">
        <v>6220031</v>
      </c>
      <c r="C182" s="615" t="s">
        <v>407</v>
      </c>
      <c r="D182" s="611"/>
      <c r="E182" s="611"/>
      <c r="F182" s="615">
        <v>240</v>
      </c>
      <c r="G182" s="615">
        <v>24</v>
      </c>
      <c r="H182" s="611"/>
      <c r="I182" s="611"/>
      <c r="J182" s="611"/>
      <c r="K182" s="615" t="s">
        <v>343</v>
      </c>
      <c r="L182" s="615"/>
    </row>
    <row r="183" ht="17" customHeight="1" spans="1:12">
      <c r="B183" s="615">
        <v>6220032</v>
      </c>
      <c r="C183" s="615" t="s">
        <v>408</v>
      </c>
      <c r="D183" s="611"/>
      <c r="E183" s="611"/>
      <c r="F183" s="615">
        <v>480</v>
      </c>
      <c r="G183" s="615">
        <v>48</v>
      </c>
      <c r="H183" s="611"/>
      <c r="I183" s="611"/>
      <c r="J183" s="611"/>
      <c r="K183" s="615" t="s">
        <v>340</v>
      </c>
      <c r="L183" s="615"/>
    </row>
    <row r="184" ht="17" customHeight="1" spans="1:12">
      <c r="B184" s="615">
        <v>6220033</v>
      </c>
      <c r="C184" s="615" t="s">
        <v>409</v>
      </c>
      <c r="D184" s="611"/>
      <c r="E184" s="611"/>
      <c r="F184" s="615">
        <v>960</v>
      </c>
      <c r="G184" s="615">
        <v>96</v>
      </c>
      <c r="H184" s="611"/>
      <c r="I184" s="611"/>
      <c r="J184" s="611"/>
      <c r="K184" s="615" t="s">
        <v>347</v>
      </c>
      <c r="L184" s="615"/>
    </row>
    <row r="185" ht="17" customHeight="1" spans="1:12">
      <c r="B185" s="615">
        <v>6220041</v>
      </c>
      <c r="C185" s="615" t="s">
        <v>410</v>
      </c>
      <c r="D185" s="611"/>
      <c r="E185" s="611"/>
      <c r="F185" s="615">
        <v>240</v>
      </c>
      <c r="G185" s="615">
        <v>24</v>
      </c>
      <c r="H185" s="611"/>
      <c r="I185" s="611"/>
      <c r="J185" s="611"/>
      <c r="K185" s="615" t="s">
        <v>343</v>
      </c>
      <c r="L185" s="615"/>
    </row>
    <row r="186" ht="17" customHeight="1" spans="1:12">
      <c r="B186" s="615">
        <v>6220042</v>
      </c>
      <c r="C186" s="615" t="s">
        <v>411</v>
      </c>
      <c r="D186" s="611"/>
      <c r="E186" s="611"/>
      <c r="F186" s="615">
        <v>480</v>
      </c>
      <c r="G186" s="615">
        <v>48</v>
      </c>
      <c r="H186" s="611"/>
      <c r="I186" s="611"/>
      <c r="J186" s="611"/>
      <c r="K186" s="615" t="s">
        <v>340</v>
      </c>
      <c r="L186" s="615"/>
    </row>
    <row r="187" ht="17" customHeight="1" spans="1:12">
      <c r="B187" s="615">
        <v>6220043</v>
      </c>
      <c r="C187" s="615" t="s">
        <v>412</v>
      </c>
      <c r="D187" s="611"/>
      <c r="E187" s="611"/>
      <c r="F187" s="615">
        <v>960</v>
      </c>
      <c r="G187" s="615">
        <v>96</v>
      </c>
      <c r="H187" s="611"/>
      <c r="I187" s="611"/>
      <c r="J187" s="611"/>
      <c r="K187" s="615" t="s">
        <v>347</v>
      </c>
      <c r="L187" s="615"/>
    </row>
    <row r="189" ht="17" customHeight="1" spans="1:12">
      <c r="A189" s="14"/>
      <c r="B189" s="602" t="s">
        <v>177</v>
      </c>
      <c r="C189" s="602" t="s">
        <v>178</v>
      </c>
      <c r="D189" s="602" t="s">
        <v>179</v>
      </c>
      <c r="E189" s="601" t="s">
        <v>413</v>
      </c>
      <c r="F189" s="601" t="s">
        <v>181</v>
      </c>
      <c r="G189" s="601"/>
      <c r="H189" s="601"/>
      <c r="I189" s="601"/>
      <c r="J189" s="601"/>
      <c r="K189" s="601"/>
      <c r="L189" s="601" t="s">
        <v>414</v>
      </c>
    </row>
    <row r="190" ht="36" customHeight="1" spans="1:12">
      <c r="A190" s="14"/>
      <c r="B190" s="55">
        <v>1</v>
      </c>
      <c r="C190" s="618" t="s">
        <v>415</v>
      </c>
      <c r="D190" s="55">
        <v>100040</v>
      </c>
      <c r="E190" s="55" t="s">
        <v>416</v>
      </c>
      <c r="F190" s="55"/>
      <c r="G190" s="55"/>
      <c r="H190" s="55"/>
      <c r="I190" s="55"/>
      <c r="J190" s="55"/>
      <c r="K190" s="55"/>
      <c r="L190" s="618" t="s">
        <v>417</v>
      </c>
    </row>
    <row r="191" ht="36" customHeight="1" spans="1:12">
      <c r="A191" s="14"/>
      <c r="B191" s="55">
        <v>2</v>
      </c>
      <c r="C191" s="618" t="s">
        <v>418</v>
      </c>
      <c r="D191" s="55">
        <v>10140370</v>
      </c>
      <c r="E191" s="55" t="s">
        <v>419</v>
      </c>
      <c r="F191" s="55"/>
      <c r="G191" s="55"/>
      <c r="H191" s="55"/>
      <c r="I191" s="55"/>
      <c r="J191" s="55"/>
      <c r="K191" s="55"/>
      <c r="L191" s="618" t="s">
        <v>420</v>
      </c>
    </row>
    <row r="192" ht="36" customHeight="1" spans="1:12">
      <c r="A192" s="14"/>
      <c r="B192" s="55">
        <v>3</v>
      </c>
      <c r="C192" s="618" t="s">
        <v>421</v>
      </c>
      <c r="D192" s="55">
        <v>10340370</v>
      </c>
      <c r="E192" s="55" t="s">
        <v>419</v>
      </c>
      <c r="F192" s="55"/>
      <c r="G192" s="55"/>
      <c r="H192" s="55"/>
      <c r="I192" s="55"/>
      <c r="J192" s="55"/>
      <c r="K192" s="55"/>
      <c r="L192" s="618" t="s">
        <v>420</v>
      </c>
    </row>
    <row r="193" ht="36" customHeight="1" spans="1:12">
      <c r="A193" s="14"/>
      <c r="B193" s="55">
        <v>4</v>
      </c>
      <c r="C193" s="618" t="s">
        <v>422</v>
      </c>
      <c r="D193" s="55">
        <v>5600200</v>
      </c>
      <c r="E193" s="55" t="s">
        <v>423</v>
      </c>
      <c r="F193" s="55">
        <v>150</v>
      </c>
      <c r="G193" s="55"/>
      <c r="H193" s="55"/>
      <c r="I193" s="55"/>
      <c r="J193" s="55"/>
      <c r="K193" s="55"/>
      <c r="L193" s="618" t="s">
        <v>424</v>
      </c>
    </row>
    <row r="194" ht="36" customHeight="1" spans="1:12">
      <c r="A194" s="14"/>
      <c r="B194" s="55">
        <v>5</v>
      </c>
      <c r="C194" s="618" t="s">
        <v>425</v>
      </c>
      <c r="D194" s="55">
        <v>100090</v>
      </c>
      <c r="E194" s="55" t="s">
        <v>423</v>
      </c>
      <c r="F194" s="55">
        <v>60</v>
      </c>
      <c r="G194" s="55"/>
      <c r="H194" s="55"/>
      <c r="I194" s="55"/>
      <c r="J194" s="55"/>
      <c r="K194" s="55"/>
      <c r="L194" s="618" t="s">
        <v>426</v>
      </c>
    </row>
    <row r="195" ht="36" customHeight="1" spans="1:12">
      <c r="A195" s="14"/>
      <c r="B195" s="55">
        <v>6</v>
      </c>
      <c r="C195" s="618" t="s">
        <v>242</v>
      </c>
      <c r="D195" s="55">
        <v>50026</v>
      </c>
      <c r="E195" s="55" t="s">
        <v>423</v>
      </c>
      <c r="F195" s="55">
        <v>3</v>
      </c>
      <c r="G195" s="55"/>
      <c r="H195" s="55"/>
      <c r="I195" s="55"/>
      <c r="J195" s="55"/>
      <c r="K195" s="55"/>
      <c r="L195" s="618" t="s">
        <v>427</v>
      </c>
    </row>
    <row r="196" ht="53" customHeight="1" spans="1:12">
      <c r="A196" s="14"/>
      <c r="B196" s="55">
        <v>7</v>
      </c>
      <c r="C196" s="618" t="s">
        <v>428</v>
      </c>
      <c r="D196" s="55">
        <v>20038</v>
      </c>
      <c r="E196" s="55" t="s">
        <v>423</v>
      </c>
      <c r="F196" s="55">
        <v>80</v>
      </c>
      <c r="G196" s="55"/>
      <c r="H196" s="55"/>
      <c r="I196" s="55"/>
      <c r="J196" s="55"/>
      <c r="K196" s="55"/>
      <c r="L196" s="618" t="s">
        <v>429</v>
      </c>
    </row>
    <row r="197" ht="36" customHeight="1" spans="1:12">
      <c r="A197" s="14"/>
      <c r="B197" s="55">
        <v>8</v>
      </c>
      <c r="C197" s="618" t="s">
        <v>430</v>
      </c>
      <c r="D197" s="55">
        <v>100067</v>
      </c>
      <c r="E197" s="55" t="s">
        <v>423</v>
      </c>
      <c r="F197" s="55">
        <v>60</v>
      </c>
      <c r="G197" s="55"/>
      <c r="H197" s="55"/>
      <c r="I197" s="55"/>
      <c r="J197" s="55"/>
      <c r="K197" s="55"/>
      <c r="L197" s="618" t="s">
        <v>431</v>
      </c>
    </row>
    <row r="198" ht="36" customHeight="1" spans="1:12">
      <c r="A198" s="14"/>
      <c r="B198" s="55">
        <v>9</v>
      </c>
      <c r="C198" s="618" t="s">
        <v>430</v>
      </c>
      <c r="D198" s="55">
        <v>100104</v>
      </c>
      <c r="E198" s="55" t="s">
        <v>423</v>
      </c>
      <c r="F198" s="55">
        <v>60</v>
      </c>
      <c r="G198" s="55"/>
      <c r="H198" s="55"/>
      <c r="I198" s="55"/>
      <c r="J198" s="55"/>
      <c r="K198" s="55"/>
      <c r="L198" s="618" t="s">
        <v>432</v>
      </c>
    </row>
    <row r="199" ht="36" customHeight="1" spans="1:12">
      <c r="A199" s="14"/>
      <c r="B199" s="55">
        <v>10</v>
      </c>
      <c r="C199" s="618" t="s">
        <v>433</v>
      </c>
      <c r="D199" s="55">
        <v>100109</v>
      </c>
      <c r="E199" s="55" t="s">
        <v>423</v>
      </c>
      <c r="F199" s="55">
        <v>60</v>
      </c>
      <c r="G199" s="55"/>
      <c r="H199" s="55"/>
      <c r="I199" s="55"/>
      <c r="J199" s="55"/>
      <c r="K199" s="55"/>
      <c r="L199" s="618" t="s">
        <v>431</v>
      </c>
    </row>
    <row r="200" ht="36" customHeight="1" spans="1:12">
      <c r="A200" s="14"/>
      <c r="B200" s="55">
        <v>11</v>
      </c>
      <c r="C200" s="618" t="s">
        <v>434</v>
      </c>
      <c r="D200" s="55">
        <v>5600070</v>
      </c>
      <c r="E200" s="55" t="s">
        <v>423</v>
      </c>
      <c r="F200" s="55">
        <v>100</v>
      </c>
      <c r="G200" s="55"/>
      <c r="H200" s="55"/>
      <c r="I200" s="55"/>
      <c r="J200" s="55"/>
      <c r="K200" s="55"/>
      <c r="L200" s="618" t="s">
        <v>435</v>
      </c>
    </row>
    <row r="201" ht="36" customHeight="1" spans="1:12">
      <c r="A201" s="14"/>
      <c r="B201" s="55">
        <v>12</v>
      </c>
      <c r="C201" s="618" t="s">
        <v>436</v>
      </c>
      <c r="D201" s="55">
        <v>5600083</v>
      </c>
      <c r="E201" s="55" t="s">
        <v>423</v>
      </c>
      <c r="F201" s="55">
        <v>120</v>
      </c>
      <c r="G201" s="55"/>
      <c r="H201" s="55"/>
      <c r="I201" s="55"/>
      <c r="J201" s="55"/>
      <c r="K201" s="55"/>
      <c r="L201" s="618" t="s">
        <v>437</v>
      </c>
    </row>
    <row r="202" ht="36" customHeight="1" spans="1:12">
      <c r="A202" s="14"/>
      <c r="B202" s="55">
        <v>13</v>
      </c>
      <c r="C202" s="618" t="s">
        <v>438</v>
      </c>
      <c r="D202" s="55">
        <v>5600115</v>
      </c>
      <c r="E202" s="55" t="s">
        <v>423</v>
      </c>
      <c r="F202" s="55">
        <v>30</v>
      </c>
      <c r="G202" s="55"/>
      <c r="H202" s="55"/>
      <c r="I202" s="55"/>
      <c r="J202" s="55"/>
      <c r="K202" s="55"/>
      <c r="L202" s="618" t="s">
        <v>439</v>
      </c>
    </row>
    <row r="203" ht="19" customHeight="1" spans="1:12">
      <c r="A203" s="14"/>
      <c r="B203" s="55">
        <v>14</v>
      </c>
      <c r="C203" s="618" t="s">
        <v>440</v>
      </c>
      <c r="D203" s="55">
        <v>5505001</v>
      </c>
      <c r="E203" s="55" t="s">
        <v>423</v>
      </c>
      <c r="F203" s="55">
        <v>4000</v>
      </c>
      <c r="G203" s="55"/>
      <c r="H203" s="55"/>
      <c r="I203" s="55"/>
      <c r="J203" s="55"/>
      <c r="K203" s="55"/>
      <c r="L203" s="618" t="s">
        <v>441</v>
      </c>
    </row>
    <row r="204" ht="53" customHeight="1" spans="1:12">
      <c r="A204" s="14"/>
      <c r="B204" s="55">
        <v>15</v>
      </c>
      <c r="C204" s="618" t="s">
        <v>442</v>
      </c>
      <c r="D204" s="55">
        <v>5600022</v>
      </c>
      <c r="E204" s="55" t="s">
        <v>423</v>
      </c>
      <c r="F204" s="55">
        <v>240</v>
      </c>
      <c r="G204" s="55"/>
      <c r="H204" s="55"/>
      <c r="I204" s="55"/>
      <c r="J204" s="55"/>
      <c r="K204" s="55"/>
      <c r="L204" s="618" t="s">
        <v>443</v>
      </c>
    </row>
    <row r="205" ht="19" customHeight="1" spans="1:12">
      <c r="A205" s="14"/>
      <c r="B205" s="55">
        <v>16</v>
      </c>
      <c r="C205" s="618" t="s">
        <v>444</v>
      </c>
      <c r="D205" s="55">
        <v>100009</v>
      </c>
      <c r="E205" s="55" t="s">
        <v>423</v>
      </c>
      <c r="F205" s="55">
        <v>1500</v>
      </c>
      <c r="G205" s="55"/>
      <c r="H205" s="55"/>
      <c r="I205" s="55"/>
      <c r="J205" s="55"/>
      <c r="K205" s="55"/>
      <c r="L205" s="618" t="s">
        <v>441</v>
      </c>
    </row>
    <row r="206" ht="19" customHeight="1" spans="1:12">
      <c r="A206" s="14"/>
      <c r="B206" s="55">
        <v>17</v>
      </c>
      <c r="C206" s="618" t="s">
        <v>445</v>
      </c>
      <c r="D206" s="55">
        <v>100008</v>
      </c>
      <c r="E206" s="55" t="s">
        <v>423</v>
      </c>
      <c r="F206" s="55">
        <v>4000</v>
      </c>
      <c r="G206" s="55"/>
      <c r="H206" s="55"/>
      <c r="I206" s="55"/>
      <c r="J206" s="55"/>
      <c r="K206" s="55"/>
      <c r="L206" s="618" t="s">
        <v>441</v>
      </c>
    </row>
    <row r="207" ht="19" customHeight="1" spans="1:12">
      <c r="A207" s="14"/>
      <c r="B207" s="55">
        <v>18</v>
      </c>
      <c r="C207" s="618" t="s">
        <v>446</v>
      </c>
      <c r="D207" s="55">
        <v>100143</v>
      </c>
      <c r="E207" s="55" t="s">
        <v>423</v>
      </c>
      <c r="F207" s="55">
        <v>6000</v>
      </c>
      <c r="G207" s="55"/>
      <c r="H207" s="55"/>
      <c r="I207" s="55"/>
      <c r="J207" s="55"/>
      <c r="K207" s="55"/>
      <c r="L207" s="618" t="s">
        <v>441</v>
      </c>
    </row>
    <row r="208" ht="70" customHeight="1" spans="1:12">
      <c r="A208" s="14"/>
      <c r="B208" s="55">
        <v>19</v>
      </c>
      <c r="C208" s="618" t="s">
        <v>447</v>
      </c>
      <c r="D208" s="55">
        <v>100022</v>
      </c>
      <c r="E208" s="55" t="s">
        <v>423</v>
      </c>
      <c r="F208" s="55">
        <v>4000</v>
      </c>
      <c r="G208" s="55"/>
      <c r="H208" s="55"/>
      <c r="I208" s="55"/>
      <c r="J208" s="55"/>
      <c r="K208" s="55"/>
      <c r="L208" s="618" t="s">
        <v>448</v>
      </c>
    </row>
    <row r="209" ht="19" customHeight="1" spans="1:12">
      <c r="A209" s="14"/>
      <c r="B209" s="55">
        <v>20</v>
      </c>
      <c r="C209" s="618" t="s">
        <v>449</v>
      </c>
      <c r="D209" s="55">
        <v>100020</v>
      </c>
      <c r="E209" s="55" t="s">
        <v>423</v>
      </c>
      <c r="F209" s="55">
        <v>8000</v>
      </c>
      <c r="G209" s="55"/>
      <c r="H209" s="55"/>
      <c r="I209" s="55"/>
      <c r="J209" s="55"/>
      <c r="K209" s="55"/>
      <c r="L209" s="618" t="s">
        <v>450</v>
      </c>
    </row>
    <row r="210" ht="19" customHeight="1" spans="1:12">
      <c r="A210" s="14"/>
      <c r="B210" s="55">
        <v>21</v>
      </c>
      <c r="C210" s="618" t="s">
        <v>451</v>
      </c>
      <c r="D210" s="55">
        <v>100053</v>
      </c>
      <c r="E210" s="55" t="s">
        <v>423</v>
      </c>
      <c r="F210" s="55">
        <v>8000</v>
      </c>
      <c r="G210" s="55"/>
      <c r="H210" s="55"/>
      <c r="I210" s="55"/>
      <c r="J210" s="55"/>
      <c r="K210" s="55"/>
      <c r="L210" s="618" t="s">
        <v>450</v>
      </c>
    </row>
    <row r="211" ht="19" customHeight="1" spans="1:12">
      <c r="A211" s="14"/>
      <c r="B211" s="55">
        <v>22</v>
      </c>
      <c r="C211" s="618" t="s">
        <v>452</v>
      </c>
      <c r="D211" s="55">
        <v>100012</v>
      </c>
      <c r="E211" s="55" t="s">
        <v>423</v>
      </c>
      <c r="F211" s="55">
        <v>6000</v>
      </c>
      <c r="G211" s="55"/>
      <c r="H211" s="55"/>
      <c r="I211" s="55"/>
      <c r="J211" s="55"/>
      <c r="K211" s="55"/>
      <c r="L211" s="618" t="s">
        <v>450</v>
      </c>
    </row>
    <row r="212" ht="19" customHeight="1" spans="1:12">
      <c r="A212" s="14"/>
      <c r="B212" s="55">
        <v>23</v>
      </c>
      <c r="C212" s="618" t="s">
        <v>453</v>
      </c>
      <c r="D212" s="55">
        <v>100035</v>
      </c>
      <c r="E212" s="55" t="s">
        <v>423</v>
      </c>
      <c r="F212" s="55">
        <v>7000</v>
      </c>
      <c r="G212" s="55"/>
      <c r="H212" s="55"/>
      <c r="I212" s="55"/>
      <c r="J212" s="55"/>
      <c r="K212" s="55"/>
      <c r="L212" s="618" t="s">
        <v>450</v>
      </c>
    </row>
    <row r="213" ht="19" customHeight="1" spans="1:12">
      <c r="A213" s="14"/>
      <c r="B213" s="55">
        <v>24</v>
      </c>
      <c r="C213" s="618" t="s">
        <v>454</v>
      </c>
      <c r="D213" s="55">
        <v>100062</v>
      </c>
      <c r="E213" s="55" t="s">
        <v>423</v>
      </c>
      <c r="F213" s="55">
        <v>12000</v>
      </c>
      <c r="G213" s="55"/>
      <c r="H213" s="55"/>
      <c r="I213" s="55"/>
      <c r="J213" s="55"/>
      <c r="K213" s="55"/>
      <c r="L213" s="618" t="s">
        <v>450</v>
      </c>
    </row>
    <row r="214" ht="19" customHeight="1" spans="1:12">
      <c r="A214" s="14"/>
      <c r="B214" s="55">
        <v>25</v>
      </c>
      <c r="C214" s="618" t="s">
        <v>455</v>
      </c>
      <c r="D214" s="55">
        <v>100094</v>
      </c>
      <c r="E214" s="55" t="s">
        <v>423</v>
      </c>
      <c r="F214" s="55">
        <v>8000</v>
      </c>
      <c r="G214" s="55"/>
      <c r="H214" s="55"/>
      <c r="I214" s="55"/>
      <c r="J214" s="55"/>
      <c r="K214" s="55"/>
      <c r="L214" s="618" t="s">
        <v>450</v>
      </c>
    </row>
    <row r="215" ht="19" customHeight="1" spans="1:12">
      <c r="A215" s="14"/>
      <c r="B215" s="55">
        <v>26</v>
      </c>
      <c r="C215" s="618" t="s">
        <v>456</v>
      </c>
      <c r="D215" s="55">
        <v>100095</v>
      </c>
      <c r="E215" s="55" t="s">
        <v>423</v>
      </c>
      <c r="F215" s="55">
        <v>4000</v>
      </c>
      <c r="G215" s="55"/>
      <c r="H215" s="55"/>
      <c r="I215" s="55"/>
      <c r="J215" s="55"/>
      <c r="K215" s="55"/>
      <c r="L215" s="618" t="s">
        <v>450</v>
      </c>
    </row>
    <row r="216" ht="19" customHeight="1" spans="1:12">
      <c r="A216" s="14"/>
      <c r="B216" s="55">
        <v>27</v>
      </c>
      <c r="C216" s="618" t="s">
        <v>457</v>
      </c>
      <c r="D216" s="55">
        <v>100121</v>
      </c>
      <c r="E216" s="55" t="s">
        <v>423</v>
      </c>
      <c r="F216" s="55">
        <v>4000</v>
      </c>
      <c r="G216" s="55"/>
      <c r="H216" s="55"/>
      <c r="I216" s="55"/>
      <c r="J216" s="55"/>
      <c r="K216" s="55"/>
      <c r="L216" s="618" t="s">
        <v>450</v>
      </c>
    </row>
    <row r="217" ht="19" customHeight="1" spans="1:12">
      <c r="A217" s="14"/>
      <c r="B217" s="55">
        <v>28</v>
      </c>
      <c r="C217" s="618" t="s">
        <v>458</v>
      </c>
      <c r="D217" s="55">
        <v>5505014</v>
      </c>
      <c r="E217" s="55" t="s">
        <v>423</v>
      </c>
      <c r="F217" s="55">
        <v>8000</v>
      </c>
      <c r="G217" s="55"/>
      <c r="H217" s="55"/>
      <c r="I217" s="55"/>
      <c r="J217" s="55"/>
      <c r="K217" s="55"/>
      <c r="L217" s="618" t="s">
        <v>450</v>
      </c>
    </row>
    <row r="218" ht="19" customHeight="1" spans="1:12">
      <c r="A218" s="14"/>
      <c r="B218" s="55">
        <v>29</v>
      </c>
      <c r="C218" s="618" t="s">
        <v>459</v>
      </c>
      <c r="D218" s="55">
        <v>5506001</v>
      </c>
      <c r="E218" s="55" t="s">
        <v>423</v>
      </c>
      <c r="F218" s="55">
        <v>4000</v>
      </c>
      <c r="G218" s="55"/>
      <c r="H218" s="55"/>
      <c r="I218" s="55"/>
      <c r="J218" s="55"/>
      <c r="K218" s="55"/>
      <c r="L218" s="618" t="s">
        <v>450</v>
      </c>
    </row>
    <row r="219" ht="19" customHeight="1" spans="1:12">
      <c r="A219" s="14"/>
      <c r="B219" s="55">
        <v>30</v>
      </c>
      <c r="C219" s="618" t="s">
        <v>460</v>
      </c>
      <c r="D219" s="55">
        <v>100065</v>
      </c>
      <c r="E219" s="55" t="s">
        <v>423</v>
      </c>
      <c r="F219" s="55">
        <v>6000</v>
      </c>
      <c r="G219" s="55"/>
      <c r="H219" s="55"/>
      <c r="I219" s="55"/>
      <c r="J219" s="55"/>
      <c r="K219" s="55"/>
      <c r="L219" s="618" t="s">
        <v>450</v>
      </c>
    </row>
    <row r="220" ht="19" customHeight="1" spans="1:12">
      <c r="A220" s="14"/>
      <c r="B220" s="55">
        <v>31</v>
      </c>
      <c r="C220" s="618" t="s">
        <v>461</v>
      </c>
      <c r="D220" s="55">
        <v>100069</v>
      </c>
      <c r="E220" s="55" t="s">
        <v>423</v>
      </c>
      <c r="F220" s="55">
        <v>7000</v>
      </c>
      <c r="G220" s="55"/>
      <c r="H220" s="55"/>
      <c r="I220" s="55"/>
      <c r="J220" s="55"/>
      <c r="K220" s="55"/>
      <c r="L220" s="618" t="s">
        <v>450</v>
      </c>
    </row>
    <row r="221" ht="19" customHeight="1" spans="1:12">
      <c r="A221" s="14"/>
      <c r="B221" s="55">
        <v>32</v>
      </c>
      <c r="C221" s="618" t="s">
        <v>462</v>
      </c>
      <c r="D221" s="55">
        <v>100092</v>
      </c>
      <c r="E221" s="55" t="s">
        <v>423</v>
      </c>
      <c r="F221" s="55">
        <v>15000</v>
      </c>
      <c r="G221" s="55"/>
      <c r="H221" s="55"/>
      <c r="I221" s="55"/>
      <c r="J221" s="55"/>
      <c r="K221" s="55"/>
      <c r="L221" s="618" t="s">
        <v>450</v>
      </c>
    </row>
    <row r="222" ht="19" customHeight="1" spans="1:12">
      <c r="A222" s="14"/>
      <c r="B222" s="55">
        <v>33</v>
      </c>
      <c r="C222" s="618" t="s">
        <v>463</v>
      </c>
      <c r="D222" s="55">
        <v>100111</v>
      </c>
      <c r="E222" s="55" t="s">
        <v>423</v>
      </c>
      <c r="F222" s="55">
        <v>15000</v>
      </c>
      <c r="G222" s="55"/>
      <c r="H222" s="55"/>
      <c r="I222" s="55"/>
      <c r="J222" s="55"/>
      <c r="K222" s="55"/>
      <c r="L222" s="618" t="s">
        <v>450</v>
      </c>
    </row>
    <row r="223" ht="19" customHeight="1" spans="1:12">
      <c r="A223" s="14"/>
      <c r="B223" s="55">
        <v>34</v>
      </c>
      <c r="C223" s="618" t="s">
        <v>464</v>
      </c>
      <c r="D223" s="55">
        <v>100119</v>
      </c>
      <c r="E223" s="55" t="s">
        <v>423</v>
      </c>
      <c r="F223" s="55">
        <v>4000</v>
      </c>
      <c r="G223" s="55"/>
      <c r="H223" s="55"/>
      <c r="I223" s="55"/>
      <c r="J223" s="55"/>
      <c r="K223" s="55"/>
      <c r="L223" s="618" t="s">
        <v>465</v>
      </c>
    </row>
    <row r="224" ht="19" customHeight="1" spans="1:12">
      <c r="A224" s="14"/>
      <c r="B224" s="55">
        <v>35</v>
      </c>
      <c r="C224" s="618" t="s">
        <v>466</v>
      </c>
      <c r="D224" s="55">
        <v>100123</v>
      </c>
      <c r="E224" s="55" t="s">
        <v>423</v>
      </c>
      <c r="F224" s="55">
        <v>8000</v>
      </c>
      <c r="G224" s="55"/>
      <c r="H224" s="55"/>
      <c r="I224" s="55"/>
      <c r="J224" s="55"/>
      <c r="K224" s="55"/>
      <c r="L224" s="618" t="s">
        <v>450</v>
      </c>
    </row>
    <row r="225" ht="19" customHeight="1" spans="1:12">
      <c r="A225" s="14"/>
      <c r="B225" s="55">
        <v>36</v>
      </c>
      <c r="C225" s="618" t="s">
        <v>467</v>
      </c>
      <c r="D225" s="55">
        <v>100125</v>
      </c>
      <c r="E225" s="55" t="s">
        <v>423</v>
      </c>
      <c r="F225" s="55">
        <v>8000</v>
      </c>
      <c r="G225" s="55"/>
      <c r="H225" s="55"/>
      <c r="I225" s="55"/>
      <c r="J225" s="55"/>
      <c r="K225" s="55"/>
      <c r="L225" s="618" t="s">
        <v>450</v>
      </c>
    </row>
    <row r="226" ht="19" customHeight="1" spans="1:12">
      <c r="A226" s="14"/>
      <c r="B226" s="55">
        <v>37</v>
      </c>
      <c r="C226" s="618" t="s">
        <v>468</v>
      </c>
      <c r="D226" s="55">
        <v>100145</v>
      </c>
      <c r="E226" s="55" t="s">
        <v>423</v>
      </c>
      <c r="F226" s="55">
        <v>6000</v>
      </c>
      <c r="G226" s="55"/>
      <c r="H226" s="55"/>
      <c r="I226" s="55"/>
      <c r="J226" s="55"/>
      <c r="K226" s="55"/>
      <c r="L226" s="618" t="s">
        <v>450</v>
      </c>
    </row>
    <row r="227" ht="19" customHeight="1" spans="1:12">
      <c r="A227" s="14"/>
      <c r="B227" s="55">
        <v>38</v>
      </c>
      <c r="C227" s="618" t="s">
        <v>469</v>
      </c>
      <c r="D227" s="55">
        <v>5505010</v>
      </c>
      <c r="E227" s="55" t="s">
        <v>423</v>
      </c>
      <c r="F227" s="55">
        <v>4000</v>
      </c>
      <c r="G227" s="55"/>
      <c r="H227" s="55"/>
      <c r="I227" s="55"/>
      <c r="J227" s="55"/>
      <c r="K227" s="55"/>
      <c r="L227" s="618" t="s">
        <v>450</v>
      </c>
    </row>
    <row r="228" ht="19" customHeight="1" spans="1:12">
      <c r="A228" s="14"/>
      <c r="B228" s="55">
        <v>39</v>
      </c>
      <c r="C228" s="618" t="s">
        <v>470</v>
      </c>
      <c r="D228" s="55">
        <v>5505016</v>
      </c>
      <c r="E228" s="55" t="s">
        <v>423</v>
      </c>
      <c r="F228" s="55">
        <v>4000</v>
      </c>
      <c r="G228" s="55"/>
      <c r="H228" s="55"/>
      <c r="I228" s="55"/>
      <c r="J228" s="55"/>
      <c r="K228" s="55"/>
      <c r="L228" s="618" t="s">
        <v>450</v>
      </c>
    </row>
    <row r="229" ht="19" customHeight="1" spans="1:12">
      <c r="A229" s="14"/>
      <c r="B229" s="55">
        <v>40</v>
      </c>
      <c r="C229" s="618" t="s">
        <v>471</v>
      </c>
      <c r="D229" s="55">
        <v>10150030</v>
      </c>
      <c r="E229" s="55" t="s">
        <v>423</v>
      </c>
      <c r="F229" s="55">
        <v>8000</v>
      </c>
      <c r="G229" s="55"/>
      <c r="H229" s="55"/>
      <c r="I229" s="55"/>
      <c r="J229" s="55"/>
      <c r="K229" s="55"/>
      <c r="L229" s="618" t="s">
        <v>450</v>
      </c>
    </row>
    <row r="230" ht="53" customHeight="1" spans="1:12">
      <c r="A230" s="14"/>
      <c r="B230" s="55">
        <v>41</v>
      </c>
      <c r="C230" s="618" t="s">
        <v>472</v>
      </c>
      <c r="D230" s="55">
        <v>11101001</v>
      </c>
      <c r="E230" s="55" t="s">
        <v>423</v>
      </c>
      <c r="F230" s="55">
        <v>24</v>
      </c>
      <c r="G230" s="55"/>
      <c r="H230" s="55"/>
      <c r="I230" s="55"/>
      <c r="J230" s="55"/>
      <c r="K230" s="55"/>
      <c r="L230" s="618" t="s">
        <v>473</v>
      </c>
    </row>
    <row r="231" ht="53" customHeight="1" spans="1:12">
      <c r="A231" s="14"/>
      <c r="B231" s="55">
        <v>42</v>
      </c>
      <c r="C231" s="618" t="s">
        <v>474</v>
      </c>
      <c r="D231" s="55">
        <v>11401001</v>
      </c>
      <c r="E231" s="55" t="s">
        <v>423</v>
      </c>
      <c r="F231" s="55">
        <v>24</v>
      </c>
      <c r="G231" s="55"/>
      <c r="H231" s="55"/>
      <c r="I231" s="55"/>
      <c r="J231" s="55"/>
      <c r="K231" s="55"/>
      <c r="L231" s="618" t="s">
        <v>473</v>
      </c>
    </row>
    <row r="232" ht="53" customHeight="1" spans="1:12">
      <c r="A232" s="14"/>
      <c r="B232" s="55">
        <v>43</v>
      </c>
      <c r="C232" s="618" t="s">
        <v>475</v>
      </c>
      <c r="D232" s="55">
        <v>11402001</v>
      </c>
      <c r="E232" s="55" t="s">
        <v>423</v>
      </c>
      <c r="F232" s="55">
        <v>24</v>
      </c>
      <c r="G232" s="55"/>
      <c r="H232" s="55"/>
      <c r="I232" s="55"/>
      <c r="J232" s="55"/>
      <c r="K232" s="55"/>
      <c r="L232" s="618" t="s">
        <v>473</v>
      </c>
    </row>
    <row r="233" ht="53" customHeight="1" spans="1:12">
      <c r="A233" s="14"/>
      <c r="B233" s="55">
        <v>44</v>
      </c>
      <c r="C233" s="618" t="s">
        <v>476</v>
      </c>
      <c r="D233" s="55">
        <v>12103001</v>
      </c>
      <c r="E233" s="55" t="s">
        <v>423</v>
      </c>
      <c r="F233" s="55">
        <v>24</v>
      </c>
      <c r="G233" s="55"/>
      <c r="H233" s="55"/>
      <c r="I233" s="55"/>
      <c r="J233" s="55"/>
      <c r="K233" s="55"/>
      <c r="L233" s="618" t="s">
        <v>473</v>
      </c>
    </row>
    <row r="234" ht="53" customHeight="1" spans="1:12">
      <c r="A234" s="14"/>
      <c r="B234" s="55">
        <v>45</v>
      </c>
      <c r="C234" s="618" t="s">
        <v>477</v>
      </c>
      <c r="D234" s="55">
        <v>12104001</v>
      </c>
      <c r="E234" s="55" t="s">
        <v>423</v>
      </c>
      <c r="F234" s="55">
        <v>6</v>
      </c>
      <c r="G234" s="55"/>
      <c r="H234" s="55"/>
      <c r="I234" s="55"/>
      <c r="J234" s="55"/>
      <c r="K234" s="55"/>
      <c r="L234" s="618" t="s">
        <v>473</v>
      </c>
    </row>
    <row r="235" ht="53" customHeight="1" spans="1:12">
      <c r="A235" s="14"/>
      <c r="B235" s="55">
        <v>46</v>
      </c>
      <c r="C235" s="618" t="s">
        <v>478</v>
      </c>
      <c r="D235" s="55">
        <v>12106001</v>
      </c>
      <c r="E235" s="55" t="s">
        <v>423</v>
      </c>
      <c r="F235" s="55">
        <v>12</v>
      </c>
      <c r="G235" s="55"/>
      <c r="H235" s="55"/>
      <c r="I235" s="55"/>
      <c r="J235" s="55"/>
      <c r="K235" s="55"/>
      <c r="L235" s="618" t="s">
        <v>473</v>
      </c>
    </row>
    <row r="236" ht="53" customHeight="1" spans="1:12">
      <c r="A236" s="14"/>
      <c r="B236" s="55">
        <v>47</v>
      </c>
      <c r="C236" s="618" t="s">
        <v>479</v>
      </c>
      <c r="D236" s="55">
        <v>12107001</v>
      </c>
      <c r="E236" s="55" t="s">
        <v>423</v>
      </c>
      <c r="F236" s="55">
        <v>12</v>
      </c>
      <c r="G236" s="55"/>
      <c r="H236" s="55"/>
      <c r="I236" s="55"/>
      <c r="J236" s="55"/>
      <c r="K236" s="55"/>
      <c r="L236" s="618" t="s">
        <v>473</v>
      </c>
    </row>
    <row r="237" ht="53" customHeight="1" spans="1:12">
      <c r="A237" s="14"/>
      <c r="B237" s="55">
        <v>48</v>
      </c>
      <c r="C237" s="618" t="s">
        <v>480</v>
      </c>
      <c r="D237" s="55">
        <v>12301001</v>
      </c>
      <c r="E237" s="55" t="s">
        <v>423</v>
      </c>
      <c r="F237" s="55">
        <v>6</v>
      </c>
      <c r="G237" s="55"/>
      <c r="H237" s="55"/>
      <c r="I237" s="55"/>
      <c r="J237" s="55"/>
      <c r="K237" s="55"/>
      <c r="L237" s="618" t="s">
        <v>473</v>
      </c>
    </row>
    <row r="238" ht="53" customHeight="1" spans="1:12">
      <c r="A238" s="14"/>
      <c r="B238" s="55">
        <v>49</v>
      </c>
      <c r="C238" s="618" t="s">
        <v>481</v>
      </c>
      <c r="D238" s="55">
        <v>12304001</v>
      </c>
      <c r="E238" s="55" t="s">
        <v>423</v>
      </c>
      <c r="F238" s="55">
        <v>12</v>
      </c>
      <c r="G238" s="55"/>
      <c r="H238" s="55"/>
      <c r="I238" s="55"/>
      <c r="J238" s="55"/>
      <c r="K238" s="55"/>
      <c r="L238" s="618" t="s">
        <v>473</v>
      </c>
    </row>
    <row r="239" ht="53" customHeight="1" spans="1:12">
      <c r="A239" s="14"/>
      <c r="B239" s="55">
        <v>50</v>
      </c>
      <c r="C239" s="618" t="s">
        <v>482</v>
      </c>
      <c r="D239" s="55">
        <v>13103001</v>
      </c>
      <c r="E239" s="55" t="s">
        <v>423</v>
      </c>
      <c r="F239" s="55">
        <v>12</v>
      </c>
      <c r="G239" s="55"/>
      <c r="H239" s="55"/>
      <c r="I239" s="55"/>
      <c r="J239" s="55"/>
      <c r="K239" s="55"/>
      <c r="L239" s="618" t="s">
        <v>473</v>
      </c>
    </row>
    <row r="240" ht="53" customHeight="1" spans="1:12">
      <c r="A240" s="14"/>
      <c r="B240" s="55">
        <v>51</v>
      </c>
      <c r="C240" s="618" t="s">
        <v>483</v>
      </c>
      <c r="D240" s="55">
        <v>13201001</v>
      </c>
      <c r="E240" s="55" t="s">
        <v>423</v>
      </c>
      <c r="F240" s="55">
        <v>12</v>
      </c>
      <c r="G240" s="55"/>
      <c r="H240" s="55"/>
      <c r="I240" s="55"/>
      <c r="J240" s="55"/>
      <c r="K240" s="55"/>
      <c r="L240" s="618" t="s">
        <v>473</v>
      </c>
    </row>
    <row r="241" ht="53" customHeight="1" spans="1:12">
      <c r="A241" s="14"/>
      <c r="B241" s="55">
        <v>52</v>
      </c>
      <c r="C241" s="618" t="s">
        <v>484</v>
      </c>
      <c r="D241" s="55">
        <v>14307001</v>
      </c>
      <c r="E241" s="55" t="s">
        <v>423</v>
      </c>
      <c r="F241" s="55">
        <v>24</v>
      </c>
      <c r="G241" s="55"/>
      <c r="H241" s="55"/>
      <c r="I241" s="55"/>
      <c r="J241" s="55"/>
      <c r="K241" s="55"/>
      <c r="L241" s="618" t="s">
        <v>473</v>
      </c>
    </row>
    <row r="242" ht="53" customHeight="1" spans="1:12">
      <c r="A242" s="14"/>
      <c r="B242" s="55">
        <v>53</v>
      </c>
      <c r="C242" s="618" t="s">
        <v>485</v>
      </c>
      <c r="D242" s="55">
        <v>15301001</v>
      </c>
      <c r="E242" s="55" t="s">
        <v>423</v>
      </c>
      <c r="F242" s="55">
        <v>24</v>
      </c>
      <c r="G242" s="55"/>
      <c r="H242" s="55"/>
      <c r="I242" s="55"/>
      <c r="J242" s="55"/>
      <c r="K242" s="55"/>
      <c r="L242" s="618" t="s">
        <v>473</v>
      </c>
    </row>
    <row r="243" ht="19" customHeight="1" spans="1:12">
      <c r="A243" s="14"/>
      <c r="B243" s="55">
        <v>54</v>
      </c>
      <c r="C243" s="618" t="s">
        <v>486</v>
      </c>
      <c r="D243" s="55">
        <v>57</v>
      </c>
      <c r="E243" s="55" t="s">
        <v>423</v>
      </c>
      <c r="F243" s="55">
        <v>200</v>
      </c>
      <c r="G243" s="55"/>
      <c r="H243" s="55"/>
      <c r="I243" s="55"/>
      <c r="J243" s="55"/>
      <c r="K243" s="55"/>
      <c r="L243" s="618" t="s">
        <v>450</v>
      </c>
    </row>
    <row r="244" ht="19" customHeight="1" spans="1:12">
      <c r="A244" s="14"/>
      <c r="B244" s="55">
        <v>55</v>
      </c>
      <c r="C244" s="618" t="s">
        <v>487</v>
      </c>
      <c r="D244" s="55">
        <v>100041</v>
      </c>
      <c r="E244" s="55" t="s">
        <v>423</v>
      </c>
      <c r="F244" s="55">
        <v>12000</v>
      </c>
      <c r="G244" s="55"/>
      <c r="H244" s="55"/>
      <c r="I244" s="55"/>
      <c r="J244" s="55"/>
      <c r="K244" s="55"/>
      <c r="L244" s="618" t="s">
        <v>450</v>
      </c>
    </row>
    <row r="245" ht="19" customHeight="1" spans="1:12">
      <c r="A245" s="14"/>
      <c r="B245" s="55">
        <v>56</v>
      </c>
      <c r="C245" s="618" t="s">
        <v>488</v>
      </c>
      <c r="D245" s="55">
        <v>100146</v>
      </c>
      <c r="E245" s="55" t="s">
        <v>423</v>
      </c>
      <c r="F245" s="55">
        <v>7000</v>
      </c>
      <c r="G245" s="55"/>
      <c r="H245" s="55"/>
      <c r="I245" s="55"/>
      <c r="J245" s="55"/>
      <c r="K245" s="55"/>
      <c r="L245" s="618" t="s">
        <v>450</v>
      </c>
    </row>
    <row r="246" ht="53" customHeight="1" spans="1:12">
      <c r="A246" s="14"/>
      <c r="B246" s="55">
        <v>57</v>
      </c>
      <c r="C246" s="618" t="s">
        <v>489</v>
      </c>
      <c r="D246" s="55">
        <v>1410200</v>
      </c>
      <c r="E246" s="55" t="s">
        <v>423</v>
      </c>
      <c r="F246" s="55">
        <v>480</v>
      </c>
      <c r="G246" s="55"/>
      <c r="H246" s="55"/>
      <c r="I246" s="55"/>
      <c r="J246" s="55"/>
      <c r="K246" s="55"/>
      <c r="L246" s="618" t="s">
        <v>490</v>
      </c>
    </row>
    <row r="247" ht="53" customHeight="1" spans="1:12">
      <c r="A247" s="14"/>
      <c r="B247" s="55">
        <v>58</v>
      </c>
      <c r="C247" s="618" t="s">
        <v>491</v>
      </c>
      <c r="D247" s="55">
        <v>1530100</v>
      </c>
      <c r="E247" s="55" t="s">
        <v>423</v>
      </c>
      <c r="F247" s="55">
        <v>240</v>
      </c>
      <c r="G247" s="55"/>
      <c r="H247" s="55"/>
      <c r="I247" s="55"/>
      <c r="J247" s="55"/>
      <c r="K247" s="55"/>
      <c r="L247" s="618" t="s">
        <v>443</v>
      </c>
    </row>
    <row r="248" ht="19" customHeight="1" spans="1:12">
      <c r="A248" s="14"/>
      <c r="B248" s="55">
        <v>59</v>
      </c>
      <c r="C248" s="618" t="s">
        <v>492</v>
      </c>
      <c r="D248" s="55">
        <v>5506002</v>
      </c>
      <c r="E248" s="55" t="s">
        <v>423</v>
      </c>
      <c r="F248" s="55">
        <v>8000</v>
      </c>
      <c r="G248" s="55"/>
      <c r="H248" s="55"/>
      <c r="I248" s="55"/>
      <c r="J248" s="55"/>
      <c r="K248" s="55"/>
      <c r="L248" s="618" t="s">
        <v>450</v>
      </c>
    </row>
    <row r="249" ht="19" customHeight="1" spans="1:12">
      <c r="A249" s="14"/>
      <c r="B249" s="55">
        <v>60</v>
      </c>
      <c r="C249" s="618" t="s">
        <v>493</v>
      </c>
      <c r="D249" s="55">
        <v>5600114</v>
      </c>
      <c r="E249" s="55" t="s">
        <v>423</v>
      </c>
      <c r="F249" s="55">
        <v>200</v>
      </c>
      <c r="G249" s="55"/>
      <c r="H249" s="55"/>
      <c r="I249" s="55"/>
      <c r="J249" s="55"/>
      <c r="K249" s="55"/>
      <c r="L249" s="618" t="s">
        <v>465</v>
      </c>
    </row>
    <row r="250" ht="19" customHeight="1" spans="1:12">
      <c r="A250" s="14"/>
      <c r="B250" s="55">
        <v>61</v>
      </c>
      <c r="C250" s="618" t="s">
        <v>494</v>
      </c>
      <c r="D250" s="55">
        <v>6010011</v>
      </c>
      <c r="E250" s="55" t="s">
        <v>423</v>
      </c>
      <c r="F250" s="55">
        <v>200</v>
      </c>
      <c r="G250" s="55"/>
      <c r="H250" s="55"/>
      <c r="I250" s="55"/>
      <c r="J250" s="55"/>
      <c r="K250" s="55"/>
      <c r="L250" s="618" t="s">
        <v>450</v>
      </c>
    </row>
    <row r="251" ht="19" customHeight="1" spans="1:12">
      <c r="A251" s="14"/>
      <c r="B251" s="55">
        <v>62</v>
      </c>
      <c r="C251" s="618" t="s">
        <v>495</v>
      </c>
      <c r="D251" s="55">
        <v>6010012</v>
      </c>
      <c r="E251" s="55" t="s">
        <v>423</v>
      </c>
      <c r="F251" s="55">
        <v>200</v>
      </c>
      <c r="G251" s="55"/>
      <c r="H251" s="55"/>
      <c r="I251" s="55"/>
      <c r="J251" s="55"/>
      <c r="K251" s="55"/>
      <c r="L251" s="618" t="s">
        <v>450</v>
      </c>
    </row>
    <row r="252" ht="19" customHeight="1" spans="1:12">
      <c r="A252" s="14"/>
      <c r="B252" s="55">
        <v>63</v>
      </c>
      <c r="C252" s="618" t="s">
        <v>496</v>
      </c>
      <c r="D252" s="55">
        <v>6010013</v>
      </c>
      <c r="E252" s="55" t="s">
        <v>423</v>
      </c>
      <c r="F252" s="55">
        <v>200</v>
      </c>
      <c r="G252" s="55"/>
      <c r="H252" s="55"/>
      <c r="I252" s="55"/>
      <c r="J252" s="55"/>
      <c r="K252" s="55"/>
      <c r="L252" s="618" t="s">
        <v>450</v>
      </c>
    </row>
    <row r="253" ht="19" customHeight="1" spans="1:12">
      <c r="A253" s="14"/>
      <c r="B253" s="55">
        <v>64</v>
      </c>
      <c r="C253" s="618" t="s">
        <v>497</v>
      </c>
      <c r="D253" s="55">
        <v>6010014</v>
      </c>
      <c r="E253" s="55" t="s">
        <v>423</v>
      </c>
      <c r="F253" s="55">
        <v>400</v>
      </c>
      <c r="G253" s="55"/>
      <c r="H253" s="55"/>
      <c r="I253" s="55"/>
      <c r="J253" s="55"/>
      <c r="K253" s="55"/>
      <c r="L253" s="618" t="s">
        <v>450</v>
      </c>
    </row>
    <row r="254" ht="19" customHeight="1" spans="1:12">
      <c r="A254" s="14"/>
      <c r="B254" s="55">
        <v>65</v>
      </c>
      <c r="C254" s="618" t="s">
        <v>498</v>
      </c>
      <c r="D254" s="55">
        <v>6010015</v>
      </c>
      <c r="E254" s="55" t="s">
        <v>423</v>
      </c>
      <c r="F254" s="55">
        <v>400</v>
      </c>
      <c r="G254" s="55"/>
      <c r="H254" s="55"/>
      <c r="I254" s="55"/>
      <c r="J254" s="55"/>
      <c r="K254" s="55"/>
      <c r="L254" s="618" t="s">
        <v>450</v>
      </c>
    </row>
    <row r="255" ht="19" customHeight="1" spans="1:12">
      <c r="A255" s="14"/>
      <c r="B255" s="55">
        <v>66</v>
      </c>
      <c r="C255" s="618" t="s">
        <v>499</v>
      </c>
      <c r="D255" s="55">
        <v>6010016</v>
      </c>
      <c r="E255" s="55" t="s">
        <v>423</v>
      </c>
      <c r="F255" s="55">
        <v>400</v>
      </c>
      <c r="G255" s="55"/>
      <c r="H255" s="55"/>
      <c r="I255" s="55"/>
      <c r="J255" s="55"/>
      <c r="K255" s="55"/>
      <c r="L255" s="618" t="s">
        <v>450</v>
      </c>
    </row>
    <row r="256" ht="19" customHeight="1" spans="1:12">
      <c r="A256" s="14"/>
      <c r="B256" s="55">
        <v>67</v>
      </c>
      <c r="C256" s="618" t="s">
        <v>500</v>
      </c>
      <c r="D256" s="55">
        <v>6010017</v>
      </c>
      <c r="E256" s="55" t="s">
        <v>423</v>
      </c>
      <c r="F256" s="55">
        <v>400</v>
      </c>
      <c r="G256" s="55"/>
      <c r="H256" s="55"/>
      <c r="I256" s="55"/>
      <c r="J256" s="55"/>
      <c r="K256" s="55"/>
      <c r="L256" s="618" t="s">
        <v>450</v>
      </c>
    </row>
    <row r="257" ht="19" customHeight="1" spans="1:12">
      <c r="A257" s="14"/>
      <c r="B257" s="55">
        <v>68</v>
      </c>
      <c r="C257" s="618" t="s">
        <v>501</v>
      </c>
      <c r="D257" s="55">
        <v>6010018</v>
      </c>
      <c r="E257" s="55" t="s">
        <v>423</v>
      </c>
      <c r="F257" s="55">
        <v>800</v>
      </c>
      <c r="G257" s="55"/>
      <c r="H257" s="55"/>
      <c r="I257" s="55"/>
      <c r="J257" s="55"/>
      <c r="K257" s="55"/>
      <c r="L257" s="618" t="s">
        <v>450</v>
      </c>
    </row>
    <row r="258" ht="19" customHeight="1" spans="1:12">
      <c r="A258" s="14"/>
      <c r="B258" s="55">
        <v>69</v>
      </c>
      <c r="C258" s="618" t="s">
        <v>502</v>
      </c>
      <c r="D258" s="55">
        <v>6010019</v>
      </c>
      <c r="E258" s="55" t="s">
        <v>423</v>
      </c>
      <c r="F258" s="55">
        <v>800</v>
      </c>
      <c r="G258" s="55"/>
      <c r="H258" s="55"/>
      <c r="I258" s="55"/>
      <c r="J258" s="55"/>
      <c r="K258" s="55"/>
      <c r="L258" s="618" t="s">
        <v>450</v>
      </c>
    </row>
    <row r="259" ht="19" customHeight="1" spans="1:12">
      <c r="A259" s="14"/>
      <c r="B259" s="55">
        <v>70</v>
      </c>
      <c r="C259" s="618" t="s">
        <v>503</v>
      </c>
      <c r="D259" s="55">
        <v>6010020</v>
      </c>
      <c r="E259" s="55" t="s">
        <v>423</v>
      </c>
      <c r="F259" s="55">
        <v>800</v>
      </c>
      <c r="G259" s="55"/>
      <c r="H259" s="55"/>
      <c r="I259" s="55"/>
      <c r="J259" s="55"/>
      <c r="K259" s="55"/>
      <c r="L259" s="618" t="s">
        <v>450</v>
      </c>
    </row>
    <row r="260" ht="19" customHeight="1" spans="1:12">
      <c r="A260" s="14"/>
      <c r="B260" s="55">
        <v>71</v>
      </c>
      <c r="C260" s="618" t="s">
        <v>504</v>
      </c>
      <c r="D260" s="55">
        <v>6010021</v>
      </c>
      <c r="E260" s="55" t="s">
        <v>423</v>
      </c>
      <c r="F260" s="55">
        <v>800</v>
      </c>
      <c r="G260" s="55"/>
      <c r="H260" s="55"/>
      <c r="I260" s="55"/>
      <c r="J260" s="55"/>
      <c r="K260" s="55"/>
      <c r="L260" s="618" t="s">
        <v>450</v>
      </c>
    </row>
    <row r="261" ht="19" customHeight="1" spans="1:12">
      <c r="A261" s="14"/>
      <c r="B261" s="55">
        <v>72</v>
      </c>
      <c r="C261" s="618" t="s">
        <v>505</v>
      </c>
      <c r="D261" s="55">
        <v>6010022</v>
      </c>
      <c r="E261" s="55" t="s">
        <v>423</v>
      </c>
      <c r="F261" s="55">
        <v>800</v>
      </c>
      <c r="G261" s="55"/>
      <c r="H261" s="55"/>
      <c r="I261" s="55"/>
      <c r="J261" s="55"/>
      <c r="K261" s="55"/>
      <c r="L261" s="618" t="s">
        <v>450</v>
      </c>
    </row>
    <row r="262" ht="19" customHeight="1" spans="1:12">
      <c r="A262" s="14"/>
      <c r="B262" s="55">
        <v>73</v>
      </c>
      <c r="C262" s="618" t="s">
        <v>506</v>
      </c>
      <c r="D262" s="55">
        <v>6010023</v>
      </c>
      <c r="E262" s="55" t="s">
        <v>423</v>
      </c>
      <c r="F262" s="55">
        <v>800</v>
      </c>
      <c r="G262" s="55"/>
      <c r="H262" s="55"/>
      <c r="I262" s="55"/>
      <c r="J262" s="55"/>
      <c r="K262" s="55"/>
      <c r="L262" s="618" t="s">
        <v>450</v>
      </c>
    </row>
    <row r="263" ht="19" customHeight="1" spans="1:12">
      <c r="A263" s="14"/>
      <c r="B263" s="55">
        <v>74</v>
      </c>
      <c r="C263" s="618" t="s">
        <v>507</v>
      </c>
      <c r="D263" s="55">
        <v>6010024</v>
      </c>
      <c r="E263" s="55" t="s">
        <v>423</v>
      </c>
      <c r="F263" s="55">
        <v>1600</v>
      </c>
      <c r="G263" s="55"/>
      <c r="H263" s="55"/>
      <c r="I263" s="55"/>
      <c r="J263" s="55"/>
      <c r="K263" s="55"/>
      <c r="L263" s="618" t="s">
        <v>450</v>
      </c>
    </row>
    <row r="264" ht="19" customHeight="1" spans="1:12">
      <c r="A264" s="14"/>
      <c r="B264" s="55">
        <v>75</v>
      </c>
      <c r="C264" s="618" t="s">
        <v>508</v>
      </c>
      <c r="D264" s="55">
        <v>6010025</v>
      </c>
      <c r="E264" s="55" t="s">
        <v>423</v>
      </c>
      <c r="F264" s="55">
        <v>1600</v>
      </c>
      <c r="G264" s="55"/>
      <c r="H264" s="55"/>
      <c r="I264" s="55"/>
      <c r="J264" s="55"/>
      <c r="K264" s="55"/>
      <c r="L264" s="618" t="s">
        <v>450</v>
      </c>
    </row>
    <row r="265" ht="19" customHeight="1" spans="1:12">
      <c r="A265" s="14"/>
      <c r="B265" s="55">
        <v>76</v>
      </c>
      <c r="C265" s="618" t="s">
        <v>509</v>
      </c>
      <c r="D265" s="55">
        <v>6010026</v>
      </c>
      <c r="E265" s="55" t="s">
        <v>423</v>
      </c>
      <c r="F265" s="55">
        <v>1600</v>
      </c>
      <c r="G265" s="55"/>
      <c r="H265" s="55"/>
      <c r="I265" s="55"/>
      <c r="J265" s="55"/>
      <c r="K265" s="55"/>
      <c r="L265" s="618" t="s">
        <v>450</v>
      </c>
    </row>
    <row r="266" ht="19" customHeight="1" spans="1:12">
      <c r="A266" s="14"/>
      <c r="B266" s="55">
        <v>77</v>
      </c>
      <c r="C266" s="618" t="s">
        <v>510</v>
      </c>
      <c r="D266" s="55">
        <v>6010027</v>
      </c>
      <c r="E266" s="55" t="s">
        <v>423</v>
      </c>
      <c r="F266" s="55">
        <v>1600</v>
      </c>
      <c r="G266" s="55"/>
      <c r="H266" s="55"/>
      <c r="I266" s="55"/>
      <c r="J266" s="55"/>
      <c r="K266" s="55"/>
      <c r="L266" s="618" t="s">
        <v>450</v>
      </c>
    </row>
    <row r="267" ht="19" customHeight="1" spans="1:12">
      <c r="A267" s="14"/>
      <c r="B267" s="55">
        <v>78</v>
      </c>
      <c r="C267" s="618" t="s">
        <v>511</v>
      </c>
      <c r="D267" s="55">
        <v>6010028</v>
      </c>
      <c r="E267" s="55" t="s">
        <v>423</v>
      </c>
      <c r="F267" s="55">
        <v>1600</v>
      </c>
      <c r="G267" s="55"/>
      <c r="H267" s="55"/>
      <c r="I267" s="55"/>
      <c r="J267" s="55"/>
      <c r="K267" s="55"/>
      <c r="L267" s="618" t="s">
        <v>450</v>
      </c>
    </row>
    <row r="268" ht="19" customHeight="1" spans="1:12">
      <c r="A268" s="14"/>
      <c r="B268" s="55">
        <v>79</v>
      </c>
      <c r="C268" s="618" t="s">
        <v>512</v>
      </c>
      <c r="D268" s="55">
        <v>6010029</v>
      </c>
      <c r="E268" s="55" t="s">
        <v>423</v>
      </c>
      <c r="F268" s="55">
        <v>1600</v>
      </c>
      <c r="G268" s="55"/>
      <c r="H268" s="55"/>
      <c r="I268" s="55"/>
      <c r="J268" s="55"/>
      <c r="K268" s="55"/>
      <c r="L268" s="618" t="s">
        <v>450</v>
      </c>
    </row>
    <row r="269" ht="19" customHeight="1" spans="1:12">
      <c r="A269" s="14"/>
      <c r="B269" s="55">
        <v>80</v>
      </c>
      <c r="C269" s="618" t="s">
        <v>513</v>
      </c>
      <c r="D269" s="55">
        <v>6010030</v>
      </c>
      <c r="E269" s="55" t="s">
        <v>423</v>
      </c>
      <c r="F269" s="55">
        <v>1600</v>
      </c>
      <c r="G269" s="55"/>
      <c r="H269" s="55"/>
      <c r="I269" s="55"/>
      <c r="J269" s="55"/>
      <c r="K269" s="55"/>
      <c r="L269" s="618" t="s">
        <v>450</v>
      </c>
    </row>
    <row r="270" ht="19" customHeight="1" spans="1:12">
      <c r="A270" s="14"/>
      <c r="B270" s="55">
        <v>81</v>
      </c>
      <c r="C270" s="618" t="s">
        <v>514</v>
      </c>
      <c r="D270" s="55">
        <v>6010031</v>
      </c>
      <c r="E270" s="55" t="s">
        <v>423</v>
      </c>
      <c r="F270" s="55">
        <v>1600</v>
      </c>
      <c r="G270" s="55"/>
      <c r="H270" s="55"/>
      <c r="I270" s="55"/>
      <c r="J270" s="55"/>
      <c r="K270" s="55"/>
      <c r="L270" s="618" t="s">
        <v>450</v>
      </c>
    </row>
    <row r="271" ht="53" customHeight="1" spans="1:12">
      <c r="A271" s="14"/>
      <c r="B271" s="55">
        <v>82</v>
      </c>
      <c r="C271" s="618" t="s">
        <v>515</v>
      </c>
      <c r="D271" s="55">
        <v>11201001</v>
      </c>
      <c r="E271" s="55" t="s">
        <v>423</v>
      </c>
      <c r="F271" s="55">
        <v>48</v>
      </c>
      <c r="G271" s="55"/>
      <c r="H271" s="55"/>
      <c r="I271" s="55"/>
      <c r="J271" s="55"/>
      <c r="K271" s="55"/>
      <c r="L271" s="618" t="s">
        <v>473</v>
      </c>
    </row>
    <row r="272" ht="53" customHeight="1" spans="1:12">
      <c r="A272" s="14"/>
      <c r="B272" s="55">
        <v>83</v>
      </c>
      <c r="C272" s="618" t="s">
        <v>516</v>
      </c>
      <c r="D272" s="55">
        <v>11302001</v>
      </c>
      <c r="E272" s="55" t="s">
        <v>423</v>
      </c>
      <c r="F272" s="55">
        <v>48</v>
      </c>
      <c r="G272" s="55"/>
      <c r="H272" s="55"/>
      <c r="I272" s="55"/>
      <c r="J272" s="55"/>
      <c r="K272" s="55"/>
      <c r="L272" s="618" t="s">
        <v>473</v>
      </c>
    </row>
    <row r="273" ht="53" customHeight="1" spans="1:12">
      <c r="A273" s="14"/>
      <c r="B273" s="55">
        <v>84</v>
      </c>
      <c r="C273" s="618" t="s">
        <v>517</v>
      </c>
      <c r="D273" s="55">
        <v>14102001</v>
      </c>
      <c r="E273" s="55" t="s">
        <v>423</v>
      </c>
      <c r="F273" s="55">
        <v>48</v>
      </c>
      <c r="G273" s="55"/>
      <c r="H273" s="55"/>
      <c r="I273" s="55"/>
      <c r="J273" s="55"/>
      <c r="K273" s="55"/>
      <c r="L273" s="618" t="s">
        <v>473</v>
      </c>
    </row>
    <row r="274" ht="53" customHeight="1" spans="1:12">
      <c r="A274" s="14"/>
      <c r="B274" s="55">
        <v>85</v>
      </c>
      <c r="C274" s="618" t="s">
        <v>518</v>
      </c>
      <c r="D274" s="55">
        <v>14203001</v>
      </c>
      <c r="E274" s="55" t="s">
        <v>423</v>
      </c>
      <c r="F274" s="55">
        <v>48</v>
      </c>
      <c r="G274" s="55"/>
      <c r="H274" s="55"/>
      <c r="I274" s="55"/>
      <c r="J274" s="55"/>
      <c r="K274" s="55"/>
      <c r="L274" s="618" t="s">
        <v>473</v>
      </c>
    </row>
    <row r="275" ht="53" customHeight="1" spans="1:12">
      <c r="A275" s="14"/>
      <c r="B275" s="55">
        <v>86</v>
      </c>
      <c r="C275" s="618" t="s">
        <v>519</v>
      </c>
      <c r="D275" s="55">
        <v>15301011</v>
      </c>
      <c r="E275" s="55" t="s">
        <v>423</v>
      </c>
      <c r="F275" s="55">
        <v>4000</v>
      </c>
      <c r="G275" s="55"/>
      <c r="H275" s="55"/>
      <c r="I275" s="55"/>
      <c r="J275" s="55"/>
      <c r="K275" s="55"/>
      <c r="L275" s="618" t="s">
        <v>520</v>
      </c>
    </row>
    <row r="276" ht="53" customHeight="1" spans="1:12">
      <c r="A276" s="14"/>
      <c r="B276" s="55">
        <v>87</v>
      </c>
      <c r="C276" s="618" t="s">
        <v>521</v>
      </c>
      <c r="D276" s="55">
        <v>15302001</v>
      </c>
      <c r="E276" s="55" t="s">
        <v>423</v>
      </c>
      <c r="F276" s="55">
        <v>48</v>
      </c>
      <c r="G276" s="55"/>
      <c r="H276" s="55"/>
      <c r="I276" s="55"/>
      <c r="J276" s="55"/>
      <c r="K276" s="55"/>
      <c r="L276" s="618" t="s">
        <v>473</v>
      </c>
    </row>
    <row r="277" ht="53" customHeight="1" spans="1:12">
      <c r="A277" s="14"/>
      <c r="B277" s="55">
        <v>88</v>
      </c>
      <c r="C277" s="618" t="s">
        <v>522</v>
      </c>
      <c r="D277" s="55">
        <v>15502001</v>
      </c>
      <c r="E277" s="55" t="s">
        <v>423</v>
      </c>
      <c r="F277" s="55">
        <v>48</v>
      </c>
      <c r="G277" s="55"/>
      <c r="H277" s="55"/>
      <c r="I277" s="55"/>
      <c r="J277" s="55"/>
      <c r="K277" s="55"/>
      <c r="L277" s="618" t="s">
        <v>473</v>
      </c>
    </row>
    <row r="278" ht="53" customHeight="1" spans="1:12">
      <c r="A278" s="14"/>
      <c r="B278" s="55">
        <v>89</v>
      </c>
      <c r="C278" s="618" t="s">
        <v>523</v>
      </c>
      <c r="D278" s="55">
        <v>16101001</v>
      </c>
      <c r="E278" s="55" t="s">
        <v>423</v>
      </c>
      <c r="F278" s="55">
        <v>96</v>
      </c>
      <c r="G278" s="55"/>
      <c r="H278" s="55"/>
      <c r="I278" s="55"/>
      <c r="J278" s="55"/>
      <c r="K278" s="55"/>
      <c r="L278" s="618" t="s">
        <v>473</v>
      </c>
    </row>
    <row r="279" ht="53" customHeight="1" spans="1:12">
      <c r="A279" s="14"/>
      <c r="B279" s="55">
        <v>90</v>
      </c>
      <c r="C279" s="618" t="s">
        <v>524</v>
      </c>
      <c r="D279" s="55">
        <v>16201001</v>
      </c>
      <c r="E279" s="55" t="s">
        <v>423</v>
      </c>
      <c r="F279" s="55">
        <v>96</v>
      </c>
      <c r="G279" s="55"/>
      <c r="H279" s="55"/>
      <c r="I279" s="55"/>
      <c r="J279" s="55"/>
      <c r="K279" s="55"/>
      <c r="L279" s="618" t="s">
        <v>473</v>
      </c>
    </row>
    <row r="280" ht="19" customHeight="1" spans="1:12">
      <c r="A280" s="14"/>
      <c r="B280" s="55">
        <v>91</v>
      </c>
      <c r="C280" s="618" t="s">
        <v>274</v>
      </c>
      <c r="D280" s="55">
        <v>5304237</v>
      </c>
      <c r="E280" s="55" t="s">
        <v>525</v>
      </c>
      <c r="F280" s="55">
        <v>1024</v>
      </c>
      <c r="G280" s="55"/>
      <c r="H280" s="55"/>
      <c r="I280" s="55"/>
      <c r="J280" s="55"/>
      <c r="K280" s="55"/>
      <c r="L280" s="618" t="s">
        <v>526</v>
      </c>
    </row>
    <row r="281" ht="19" customHeight="1" spans="1:12">
      <c r="A281" s="14"/>
      <c r="B281" s="55">
        <v>92</v>
      </c>
      <c r="C281" s="618" t="s">
        <v>527</v>
      </c>
      <c r="D281" s="55">
        <v>5103002</v>
      </c>
      <c r="E281" s="55" t="s">
        <v>525</v>
      </c>
      <c r="F281" s="55">
        <v>1</v>
      </c>
      <c r="G281" s="55"/>
      <c r="H281" s="55"/>
      <c r="I281" s="55"/>
      <c r="J281" s="55"/>
      <c r="K281" s="55"/>
      <c r="L281" s="618" t="s">
        <v>526</v>
      </c>
    </row>
    <row r="282" ht="36" customHeight="1" spans="1:12">
      <c r="A282" s="14"/>
      <c r="B282" s="55">
        <v>93</v>
      </c>
      <c r="C282" s="618" t="s">
        <v>528</v>
      </c>
      <c r="D282" s="55">
        <v>50003</v>
      </c>
      <c r="E282" s="55" t="s">
        <v>525</v>
      </c>
      <c r="F282" s="55">
        <v>3</v>
      </c>
      <c r="G282" s="55"/>
      <c r="H282" s="55"/>
      <c r="I282" s="55"/>
      <c r="J282" s="55"/>
      <c r="K282" s="55"/>
      <c r="L282" s="618" t="s">
        <v>529</v>
      </c>
    </row>
    <row r="283" ht="36" customHeight="1" spans="1:12">
      <c r="A283" s="14"/>
      <c r="B283" s="55">
        <v>94</v>
      </c>
      <c r="C283" s="618" t="s">
        <v>530</v>
      </c>
      <c r="D283" s="55">
        <v>50004</v>
      </c>
      <c r="E283" s="55" t="s">
        <v>525</v>
      </c>
      <c r="F283" s="55">
        <v>3</v>
      </c>
      <c r="G283" s="55"/>
      <c r="H283" s="55"/>
      <c r="I283" s="55"/>
      <c r="J283" s="55"/>
      <c r="K283" s="55"/>
      <c r="L283" s="618" t="s">
        <v>529</v>
      </c>
    </row>
    <row r="284" ht="36" customHeight="1" spans="1:12">
      <c r="A284" s="14"/>
      <c r="B284" s="55">
        <v>95</v>
      </c>
      <c r="C284" s="618" t="s">
        <v>531</v>
      </c>
      <c r="D284" s="55">
        <v>50005</v>
      </c>
      <c r="E284" s="55" t="s">
        <v>525</v>
      </c>
      <c r="F284" s="55">
        <v>3</v>
      </c>
      <c r="G284" s="55"/>
      <c r="H284" s="55"/>
      <c r="I284" s="55"/>
      <c r="J284" s="55"/>
      <c r="K284" s="55"/>
      <c r="L284" s="618" t="s">
        <v>529</v>
      </c>
    </row>
    <row r="285" ht="36" customHeight="1" spans="1:12">
      <c r="A285" s="14"/>
      <c r="B285" s="55">
        <v>96</v>
      </c>
      <c r="C285" s="618" t="s">
        <v>532</v>
      </c>
      <c r="D285" s="55">
        <v>50006</v>
      </c>
      <c r="E285" s="55" t="s">
        <v>525</v>
      </c>
      <c r="F285" s="55">
        <v>3</v>
      </c>
      <c r="G285" s="55"/>
      <c r="H285" s="55"/>
      <c r="I285" s="55"/>
      <c r="J285" s="55"/>
      <c r="K285" s="55"/>
      <c r="L285" s="618" t="s">
        <v>529</v>
      </c>
    </row>
    <row r="286" ht="36" customHeight="1" spans="1:12">
      <c r="A286" s="14"/>
      <c r="B286" s="55">
        <v>97</v>
      </c>
      <c r="C286" s="618" t="s">
        <v>533</v>
      </c>
      <c r="D286" s="55">
        <v>50007</v>
      </c>
      <c r="E286" s="55" t="s">
        <v>525</v>
      </c>
      <c r="F286" s="55">
        <v>3</v>
      </c>
      <c r="G286" s="55"/>
      <c r="H286" s="55"/>
      <c r="I286" s="55"/>
      <c r="J286" s="55"/>
      <c r="K286" s="55"/>
      <c r="L286" s="618" t="s">
        <v>529</v>
      </c>
    </row>
    <row r="287" ht="36" customHeight="1" spans="1:12">
      <c r="A287" s="14"/>
      <c r="B287" s="55">
        <v>98</v>
      </c>
      <c r="C287" s="618" t="s">
        <v>534</v>
      </c>
      <c r="D287" s="55">
        <v>50008</v>
      </c>
      <c r="E287" s="55" t="s">
        <v>525</v>
      </c>
      <c r="F287" s="55">
        <v>3</v>
      </c>
      <c r="G287" s="55"/>
      <c r="H287" s="55"/>
      <c r="I287" s="55"/>
      <c r="J287" s="55"/>
      <c r="K287" s="55"/>
      <c r="L287" s="618" t="s">
        <v>529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C38"/>
  <sheetViews>
    <sheetView zoomScale="115" zoomScaleNormal="115" workbookViewId="0">
      <selection activeCell="K32" sqref="K32"/>
    </sheetView>
  </sheetViews>
  <sheetFormatPr defaultColWidth="9" defaultRowHeight="13.5"/>
  <cols>
    <col min="1" max="2" width="9" customWidth="1"/>
    <col min="3" max="3" width="15.125" customWidth="1"/>
    <col min="4" max="5" width="30.25" customWidth="1"/>
    <col min="6" max="6" width="15.125" customWidth="1"/>
    <col min="7" max="14" width="9" customWidth="1"/>
    <col min="16" max="16" width="18.5" customWidth="1"/>
    <col min="17" max="17" width="12.625"/>
    <col min="18" max="18" width="9.34166666666667" customWidth="1"/>
    <col min="22" max="22" width="10.1" customWidth="1"/>
  </cols>
  <sheetData>
    <row r="4" spans="2:29">
      <c r="B4" s="578"/>
      <c r="C4" s="574" t="s">
        <v>535</v>
      </c>
      <c r="D4" s="574"/>
      <c r="E4" s="574"/>
    </row>
    <row r="5" spans="2:29">
      <c r="B5" s="574"/>
      <c r="C5" s="574"/>
      <c r="D5" s="574"/>
      <c r="E5" s="574"/>
    </row>
    <row r="6" ht="18" spans="2:29">
      <c r="B6" s="574"/>
      <c r="C6" s="579" t="s">
        <v>535</v>
      </c>
      <c r="D6" s="579" t="s">
        <v>536</v>
      </c>
      <c r="E6" s="579" t="s">
        <v>537</v>
      </c>
      <c r="M6" s="580" t="s">
        <v>538</v>
      </c>
      <c r="N6" s="581"/>
      <c r="O6" s="581"/>
      <c r="P6" s="581"/>
      <c r="Q6" s="581"/>
      <c r="R6" s="581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</row>
    <row r="7" ht="27.75" spans="2:29">
      <c r="B7" s="574"/>
      <c r="C7" s="582" t="s">
        <v>539</v>
      </c>
      <c r="D7" s="582" t="s">
        <v>540</v>
      </c>
      <c r="E7" s="582" t="s">
        <v>541</v>
      </c>
      <c r="M7" s="583"/>
      <c r="N7" s="584" t="s">
        <v>542</v>
      </c>
      <c r="O7" s="585"/>
      <c r="P7" s="585"/>
      <c r="Q7" s="585"/>
      <c r="R7" s="585"/>
      <c r="S7" s="586"/>
      <c r="T7" s="586"/>
      <c r="U7" s="586"/>
      <c r="V7" s="586"/>
      <c r="W7" s="586"/>
      <c r="X7" s="586"/>
      <c r="Y7" s="586"/>
      <c r="Z7" s="586"/>
      <c r="AA7" s="586"/>
      <c r="AB7" s="586"/>
      <c r="AC7" s="586"/>
    </row>
    <row r="8" ht="18" spans="2:29">
      <c r="B8" s="574"/>
      <c r="C8" s="582" t="s">
        <v>543</v>
      </c>
      <c r="D8" s="582" t="s">
        <v>544</v>
      </c>
      <c r="E8" s="582" t="s">
        <v>545</v>
      </c>
      <c r="M8" s="580"/>
      <c r="N8" s="587" t="s">
        <v>546</v>
      </c>
      <c r="O8" s="587" t="s">
        <v>547</v>
      </c>
      <c r="P8" s="587" t="s">
        <v>187</v>
      </c>
      <c r="Q8" s="587" t="s">
        <v>548</v>
      </c>
      <c r="R8" s="588" t="s">
        <v>549</v>
      </c>
      <c r="S8" s="588" t="s">
        <v>550</v>
      </c>
      <c r="T8" s="588"/>
      <c r="U8" s="588"/>
      <c r="V8" s="588"/>
      <c r="W8" s="588"/>
      <c r="X8" s="588"/>
      <c r="Y8" s="588"/>
      <c r="Z8" s="588"/>
      <c r="AA8" s="588"/>
      <c r="AB8" s="588"/>
      <c r="AC8" s="588"/>
    </row>
    <row r="9" ht="18" spans="2:29">
      <c r="B9" s="574"/>
      <c r="C9" s="582" t="s">
        <v>551</v>
      </c>
      <c r="D9" s="582" t="s">
        <v>552</v>
      </c>
      <c r="E9" s="582" t="s">
        <v>553</v>
      </c>
      <c r="M9" s="580"/>
      <c r="N9" s="587"/>
      <c r="O9" s="587"/>
      <c r="P9" s="587"/>
      <c r="Q9" s="587"/>
      <c r="R9" s="588"/>
      <c r="S9" s="589" t="s">
        <v>554</v>
      </c>
      <c r="T9" s="589" t="s">
        <v>555</v>
      </c>
      <c r="U9" s="589" t="s">
        <v>556</v>
      </c>
      <c r="V9" s="589" t="s">
        <v>557</v>
      </c>
      <c r="W9" s="589" t="s">
        <v>558</v>
      </c>
      <c r="X9" s="589" t="s">
        <v>559</v>
      </c>
      <c r="Y9" s="589" t="s">
        <v>198</v>
      </c>
      <c r="Z9" s="589" t="s">
        <v>560</v>
      </c>
      <c r="AA9" s="589" t="s">
        <v>561</v>
      </c>
      <c r="AB9" s="589" t="s">
        <v>360</v>
      </c>
      <c r="AC9" s="589" t="s">
        <v>562</v>
      </c>
    </row>
    <row r="10" ht="18" spans="2:29">
      <c r="B10" s="574"/>
      <c r="C10" s="582" t="s">
        <v>563</v>
      </c>
      <c r="D10" s="582" t="s">
        <v>564</v>
      </c>
      <c r="E10" s="582" t="s">
        <v>565</v>
      </c>
      <c r="M10" s="580"/>
      <c r="N10" s="287" t="s">
        <v>566</v>
      </c>
      <c r="O10" s="287">
        <v>1</v>
      </c>
      <c r="P10" s="287" t="s">
        <v>567</v>
      </c>
      <c r="Q10" s="288">
        <v>0</v>
      </c>
      <c r="R10" s="288"/>
      <c r="S10" s="590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</row>
    <row r="11" ht="18" spans="2:29">
      <c r="M11" s="580"/>
      <c r="N11" s="287" t="s">
        <v>568</v>
      </c>
      <c r="O11" s="287">
        <v>1</v>
      </c>
      <c r="P11" s="287" t="s">
        <v>569</v>
      </c>
      <c r="Q11" s="288">
        <f>SUM($S$10:AC11)</f>
        <v>6</v>
      </c>
      <c r="R11" s="591">
        <v>50</v>
      </c>
      <c r="S11" s="590">
        <v>6</v>
      </c>
      <c r="T11" s="590"/>
      <c r="U11" s="590"/>
      <c r="V11" s="590"/>
      <c r="W11" s="590"/>
      <c r="X11" s="590"/>
      <c r="Y11" s="590"/>
      <c r="Z11" s="590"/>
      <c r="AA11" s="590"/>
      <c r="AB11" s="590"/>
      <c r="AC11" s="590"/>
    </row>
    <row r="12" ht="18" spans="2:29">
      <c r="B12" s="578"/>
      <c r="C12" s="574" t="s">
        <v>570</v>
      </c>
      <c r="D12" s="574"/>
      <c r="E12" s="574"/>
      <c r="M12" s="580"/>
      <c r="N12" s="287"/>
      <c r="O12" s="287">
        <v>2</v>
      </c>
      <c r="P12" s="287" t="s">
        <v>571</v>
      </c>
      <c r="Q12" s="288">
        <f>SUM($S$10:AC12)</f>
        <v>54</v>
      </c>
      <c r="R12" s="591">
        <v>20</v>
      </c>
      <c r="S12" s="590"/>
      <c r="T12" s="590">
        <v>48</v>
      </c>
      <c r="U12" s="590"/>
      <c r="V12" s="590"/>
      <c r="W12" s="590"/>
      <c r="X12" s="590"/>
      <c r="Y12" s="590"/>
      <c r="Z12" s="590"/>
      <c r="AA12" s="590"/>
      <c r="AB12" s="590"/>
      <c r="AC12" s="590"/>
    </row>
    <row r="13" ht="18" spans="2:29">
      <c r="B13" s="574"/>
      <c r="C13" s="574"/>
      <c r="D13" s="574"/>
      <c r="E13" s="574"/>
      <c r="M13" s="580"/>
      <c r="N13" s="287"/>
      <c r="O13" s="287">
        <v>3</v>
      </c>
      <c r="P13" s="287" t="s">
        <v>572</v>
      </c>
      <c r="Q13" s="288">
        <f>SUM($S$10:AC13)</f>
        <v>200</v>
      </c>
      <c r="R13" s="591">
        <v>10</v>
      </c>
      <c r="S13" s="590"/>
      <c r="T13" s="590"/>
      <c r="U13" s="590">
        <v>48</v>
      </c>
      <c r="V13" s="590"/>
      <c r="W13" s="590">
        <v>98</v>
      </c>
      <c r="X13" s="590"/>
      <c r="Y13" s="590"/>
      <c r="Z13" s="590"/>
      <c r="AA13" s="590"/>
      <c r="AB13" s="590"/>
      <c r="AC13" s="590"/>
    </row>
    <row r="14" ht="18" spans="2:29">
      <c r="B14" s="574"/>
      <c r="C14" s="59" t="s">
        <v>573</v>
      </c>
      <c r="D14" s="59" t="s">
        <v>574</v>
      </c>
      <c r="E14" s="59" t="s">
        <v>575</v>
      </c>
      <c r="F14" s="59"/>
      <c r="G14" s="592"/>
      <c r="H14" s="592" t="s">
        <v>576</v>
      </c>
      <c r="I14" s="592"/>
      <c r="J14" s="592"/>
      <c r="K14" s="592"/>
      <c r="M14" s="580"/>
      <c r="N14" s="287" t="s">
        <v>577</v>
      </c>
      <c r="O14" s="287">
        <v>1</v>
      </c>
      <c r="P14" s="287" t="s">
        <v>578</v>
      </c>
      <c r="Q14" s="288">
        <f>SUM($S$10:AC14)</f>
        <v>824</v>
      </c>
      <c r="R14" s="591">
        <v>10</v>
      </c>
      <c r="S14" s="590"/>
      <c r="T14" s="590"/>
      <c r="U14" s="590"/>
      <c r="V14" s="590"/>
      <c r="W14" s="590"/>
      <c r="X14" s="590">
        <v>192</v>
      </c>
      <c r="Y14" s="590"/>
      <c r="Z14" s="590"/>
      <c r="AA14" s="590"/>
      <c r="AB14" s="590">
        <v>432</v>
      </c>
      <c r="AC14" s="590"/>
    </row>
    <row r="15" ht="18" spans="2:29">
      <c r="B15" s="574"/>
      <c r="C15" s="593">
        <v>6</v>
      </c>
      <c r="D15" s="594">
        <v>10</v>
      </c>
      <c r="E15" s="593" t="s">
        <v>579</v>
      </c>
      <c r="F15" s="593"/>
      <c r="G15" s="592"/>
      <c r="H15" s="592" t="s">
        <v>580</v>
      </c>
      <c r="I15" s="592" t="s">
        <v>581</v>
      </c>
      <c r="J15" s="592"/>
      <c r="K15" s="592"/>
      <c r="M15" s="580"/>
      <c r="N15" s="287"/>
      <c r="O15" s="287">
        <v>2</v>
      </c>
      <c r="P15" s="287" t="s">
        <v>582</v>
      </c>
      <c r="Q15" s="288">
        <f>SUM($S$10:AC15)</f>
        <v>1280</v>
      </c>
      <c r="R15" s="591">
        <v>5</v>
      </c>
      <c r="S15" s="590"/>
      <c r="T15" s="590"/>
      <c r="U15" s="590"/>
      <c r="V15" s="590"/>
      <c r="W15" s="590"/>
      <c r="X15" s="590"/>
      <c r="Y15" s="590"/>
      <c r="Z15" s="590">
        <v>180</v>
      </c>
      <c r="AA15" s="590">
        <v>108</v>
      </c>
      <c r="AB15" s="590"/>
      <c r="AC15" s="590">
        <v>168</v>
      </c>
    </row>
    <row r="16" ht="33" spans="2:29">
      <c r="B16" s="574"/>
      <c r="C16" s="593">
        <v>12</v>
      </c>
      <c r="D16" s="594">
        <v>8</v>
      </c>
      <c r="E16" s="593"/>
      <c r="F16" s="593"/>
      <c r="G16" s="592"/>
      <c r="H16" s="592"/>
      <c r="I16" s="592" t="s">
        <v>583</v>
      </c>
      <c r="J16" s="592"/>
      <c r="K16" s="592"/>
      <c r="M16" s="580"/>
      <c r="N16" s="287"/>
      <c r="O16" s="287">
        <v>4</v>
      </c>
      <c r="P16" s="595" t="s">
        <v>584</v>
      </c>
      <c r="Q16" s="288">
        <f>SUM($S$10:AC16)</f>
        <v>3304</v>
      </c>
      <c r="R16" s="591">
        <v>2.5</v>
      </c>
      <c r="S16" s="590"/>
      <c r="T16" s="590"/>
      <c r="U16" s="590"/>
      <c r="V16" s="590"/>
      <c r="W16" s="590"/>
      <c r="X16" s="590"/>
      <c r="Y16" s="590">
        <v>750</v>
      </c>
      <c r="Z16" s="590">
        <v>490</v>
      </c>
      <c r="AA16" s="590">
        <v>294</v>
      </c>
      <c r="AB16" s="590"/>
      <c r="AC16" s="590">
        <v>490</v>
      </c>
    </row>
    <row r="17" ht="18" spans="2:29">
      <c r="B17" s="574"/>
      <c r="C17" s="593">
        <v>30</v>
      </c>
      <c r="D17" s="594">
        <v>6</v>
      </c>
      <c r="E17" s="593" t="s">
        <v>585</v>
      </c>
      <c r="F17" s="593"/>
      <c r="G17" s="592"/>
      <c r="H17" s="592"/>
      <c r="I17" s="592"/>
      <c r="J17" s="592"/>
      <c r="K17" s="592"/>
      <c r="M17" s="580"/>
      <c r="N17" s="287" t="s">
        <v>586</v>
      </c>
      <c r="O17" s="287">
        <v>1</v>
      </c>
      <c r="P17" s="287" t="s">
        <v>587</v>
      </c>
      <c r="Q17" s="288">
        <f>SUM($S$10:AC17)</f>
        <v>10928</v>
      </c>
      <c r="R17" s="591">
        <v>2</v>
      </c>
      <c r="S17" s="590"/>
      <c r="T17" s="590"/>
      <c r="U17" s="590"/>
      <c r="V17" s="590">
        <v>5000</v>
      </c>
      <c r="W17" s="590"/>
      <c r="X17" s="590"/>
      <c r="Y17" s="590"/>
      <c r="Z17" s="590"/>
      <c r="AA17" s="590">
        <v>1640</v>
      </c>
      <c r="AB17" s="590">
        <v>984</v>
      </c>
      <c r="AC17" s="590"/>
    </row>
    <row r="18" ht="18" spans="2:29">
      <c r="B18" s="574"/>
      <c r="C18" s="593">
        <v>68</v>
      </c>
      <c r="D18" s="594">
        <v>5</v>
      </c>
      <c r="E18" s="593"/>
      <c r="F18" s="593"/>
      <c r="G18" s="592"/>
      <c r="H18" s="592"/>
      <c r="I18" s="592" t="s">
        <v>588</v>
      </c>
      <c r="J18" s="592">
        <v>10</v>
      </c>
      <c r="K18" s="592"/>
      <c r="M18" s="580"/>
      <c r="N18" s="287"/>
      <c r="O18" s="287">
        <v>2</v>
      </c>
      <c r="P18" s="287" t="s">
        <v>589</v>
      </c>
      <c r="Q18" s="288">
        <f>SUM($S$10:AC18)</f>
        <v>25928</v>
      </c>
      <c r="R18" s="591">
        <v>1.5</v>
      </c>
      <c r="S18" s="590"/>
      <c r="T18" s="590"/>
      <c r="U18" s="590"/>
      <c r="V18" s="590">
        <v>15000</v>
      </c>
      <c r="W18" s="590"/>
      <c r="X18" s="590"/>
      <c r="Y18" s="590"/>
      <c r="Z18" s="590"/>
      <c r="AA18" s="590"/>
      <c r="AB18" s="590"/>
      <c r="AC18" s="590"/>
    </row>
    <row r="19" ht="18" spans="2:29">
      <c r="B19" s="574"/>
      <c r="C19" s="596">
        <v>98</v>
      </c>
      <c r="D19" s="597">
        <v>4</v>
      </c>
      <c r="E19" s="596"/>
      <c r="F19" s="596"/>
      <c r="G19" s="592"/>
      <c r="H19" s="592"/>
      <c r="I19" s="592" t="s">
        <v>559</v>
      </c>
      <c r="J19" s="592">
        <v>15</v>
      </c>
      <c r="K19" s="592"/>
      <c r="M19" s="580"/>
      <c r="N19" s="287"/>
      <c r="O19" s="287">
        <v>3</v>
      </c>
      <c r="P19" s="287" t="s">
        <v>590</v>
      </c>
      <c r="Q19" s="288">
        <f>SUM($S$10:AC19)</f>
        <v>55928</v>
      </c>
      <c r="R19" s="591">
        <v>1</v>
      </c>
      <c r="S19" s="590"/>
      <c r="T19" s="590"/>
      <c r="U19" s="590"/>
      <c r="V19" s="590">
        <v>30000</v>
      </c>
      <c r="W19" s="590"/>
      <c r="X19" s="590"/>
      <c r="Y19" s="590"/>
      <c r="Z19" s="590"/>
      <c r="AA19" s="590"/>
      <c r="AB19" s="590"/>
      <c r="AC19" s="590"/>
    </row>
    <row r="20" ht="18" spans="2:29">
      <c r="B20" s="574"/>
      <c r="C20" s="593">
        <v>128</v>
      </c>
      <c r="D20" s="594">
        <v>3.5</v>
      </c>
      <c r="E20" s="593"/>
      <c r="F20" s="593"/>
      <c r="G20" s="592"/>
      <c r="H20" s="592"/>
      <c r="I20" s="592"/>
      <c r="J20" s="592"/>
      <c r="K20" s="592"/>
      <c r="M20" s="580"/>
      <c r="N20" s="287" t="s">
        <v>591</v>
      </c>
      <c r="O20" s="287">
        <v>1</v>
      </c>
      <c r="P20" s="287" t="s">
        <v>592</v>
      </c>
      <c r="Q20" s="288">
        <f>SUM($S$10:AC20)</f>
        <v>255928</v>
      </c>
      <c r="R20" s="591">
        <v>1</v>
      </c>
      <c r="S20" s="590"/>
      <c r="T20" s="590"/>
      <c r="U20" s="590"/>
      <c r="V20" s="590">
        <v>200000</v>
      </c>
      <c r="W20" s="590"/>
      <c r="X20" s="590"/>
      <c r="Y20" s="590"/>
      <c r="Z20" s="590"/>
      <c r="AA20" s="590"/>
      <c r="AB20" s="590"/>
      <c r="AC20" s="590"/>
    </row>
    <row r="21" ht="18" spans="2:29">
      <c r="B21" s="574"/>
      <c r="C21" s="593">
        <v>198</v>
      </c>
      <c r="D21" s="594">
        <v>3</v>
      </c>
      <c r="E21" s="593"/>
      <c r="F21" s="593"/>
      <c r="G21" s="592"/>
      <c r="H21" s="592"/>
      <c r="I21" s="592"/>
      <c r="J21" s="592"/>
      <c r="K21" s="592"/>
      <c r="M21" s="580"/>
      <c r="N21" s="581"/>
      <c r="O21" s="581"/>
      <c r="P21" s="581"/>
      <c r="Q21" s="581"/>
      <c r="R21" s="581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</row>
    <row r="22" ht="18" spans="2:29">
      <c r="B22" s="574"/>
      <c r="C22" s="593">
        <v>328</v>
      </c>
      <c r="D22" s="594">
        <v>2.5</v>
      </c>
      <c r="E22" s="593"/>
      <c r="F22" s="593"/>
      <c r="G22" s="592"/>
      <c r="H22" s="592"/>
      <c r="I22" s="592"/>
      <c r="J22" s="592"/>
      <c r="K22" s="592"/>
      <c r="M22" s="580"/>
      <c r="N22" s="581"/>
      <c r="O22" s="581"/>
      <c r="P22" s="581"/>
      <c r="Q22" s="581"/>
      <c r="R22" s="581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</row>
    <row r="23" ht="18" spans="2:29">
      <c r="B23" s="574"/>
      <c r="C23" s="593">
        <v>648</v>
      </c>
      <c r="D23" s="594">
        <v>2</v>
      </c>
      <c r="E23" s="593"/>
      <c r="F23" s="593"/>
      <c r="G23" s="592"/>
      <c r="H23" s="592"/>
      <c r="I23" s="592"/>
      <c r="J23" s="592"/>
      <c r="K23" s="592"/>
      <c r="M23" s="580"/>
      <c r="N23" s="581" t="s">
        <v>593</v>
      </c>
      <c r="O23" s="581"/>
      <c r="P23" s="581"/>
      <c r="Q23" s="581"/>
      <c r="R23" s="581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</row>
    <row r="24" ht="18" spans="2:29">
      <c r="B24" s="574"/>
      <c r="C24" s="574"/>
      <c r="D24" s="574"/>
      <c r="E24" s="574"/>
      <c r="F24" s="574"/>
      <c r="G24" s="574"/>
      <c r="H24" s="574"/>
      <c r="I24" s="574"/>
      <c r="J24" s="574"/>
      <c r="M24" s="580"/>
      <c r="N24" s="287" t="s">
        <v>594</v>
      </c>
      <c r="O24" s="287" t="s">
        <v>595</v>
      </c>
      <c r="P24" s="287" t="s">
        <v>596</v>
      </c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107"/>
      <c r="AC24" s="107"/>
    </row>
    <row r="25" ht="18" spans="2:29">
      <c r="B25" s="578"/>
      <c r="C25" s="574" t="s">
        <v>597</v>
      </c>
      <c r="D25" s="574"/>
      <c r="E25" s="574"/>
      <c r="F25" s="574"/>
      <c r="G25" s="574"/>
      <c r="H25" s="574"/>
      <c r="I25" s="574"/>
      <c r="J25" s="574"/>
      <c r="M25" s="580"/>
      <c r="N25" s="287"/>
      <c r="O25" s="287"/>
      <c r="P25" s="590" t="s">
        <v>554</v>
      </c>
      <c r="Q25" s="590" t="s">
        <v>555</v>
      </c>
      <c r="R25" s="590" t="s">
        <v>556</v>
      </c>
      <c r="S25" s="590" t="s">
        <v>557</v>
      </c>
      <c r="T25" s="590" t="s">
        <v>558</v>
      </c>
      <c r="U25" s="590" t="s">
        <v>559</v>
      </c>
      <c r="V25" s="590" t="s">
        <v>198</v>
      </c>
      <c r="W25" s="590" t="s">
        <v>560</v>
      </c>
      <c r="X25" s="590" t="s">
        <v>561</v>
      </c>
      <c r="Y25" s="590" t="s">
        <v>360</v>
      </c>
      <c r="Z25" s="590" t="s">
        <v>562</v>
      </c>
      <c r="AA25" s="590" t="s">
        <v>598</v>
      </c>
      <c r="AB25" s="107"/>
      <c r="AC25" s="107"/>
    </row>
    <row r="26" ht="18" spans="2:29">
      <c r="B26" s="574"/>
      <c r="C26" s="59" t="s">
        <v>573</v>
      </c>
      <c r="D26" s="59" t="s">
        <v>574</v>
      </c>
      <c r="E26" s="59" t="s">
        <v>575</v>
      </c>
      <c r="F26" s="59"/>
      <c r="G26" s="592"/>
      <c r="H26" s="592"/>
      <c r="I26" s="592"/>
      <c r="J26" s="574"/>
      <c r="M26" s="580"/>
      <c r="N26" s="287" t="s">
        <v>21</v>
      </c>
      <c r="O26" s="288" t="s">
        <v>599</v>
      </c>
      <c r="P26" s="287">
        <v>20</v>
      </c>
      <c r="Q26" s="288"/>
      <c r="R26" s="287"/>
      <c r="S26" s="288"/>
      <c r="T26" s="287"/>
      <c r="U26" s="288"/>
      <c r="V26" s="287"/>
      <c r="W26" s="288"/>
      <c r="X26" s="287"/>
      <c r="Y26" s="288"/>
      <c r="Z26" s="287"/>
      <c r="AA26" s="288"/>
      <c r="AB26" s="107"/>
      <c r="AC26" s="107"/>
    </row>
    <row r="27" ht="18" spans="2:29">
      <c r="B27" s="574"/>
      <c r="C27" s="593">
        <v>6</v>
      </c>
      <c r="D27" s="594">
        <v>10</v>
      </c>
      <c r="E27" s="593"/>
      <c r="F27" s="593"/>
      <c r="G27" s="592"/>
      <c r="H27" s="592"/>
      <c r="I27" s="592"/>
      <c r="J27" s="574"/>
      <c r="M27" s="580"/>
      <c r="N27" s="287"/>
      <c r="O27" s="288"/>
      <c r="P27" s="287"/>
      <c r="Q27" s="288"/>
      <c r="R27" s="287"/>
      <c r="S27" s="288"/>
      <c r="T27" s="287"/>
      <c r="U27" s="288"/>
      <c r="V27" s="287"/>
      <c r="W27" s="288"/>
      <c r="X27" s="287"/>
      <c r="Y27" s="288"/>
      <c r="Z27" s="287"/>
      <c r="AA27" s="288"/>
      <c r="AB27" s="107"/>
      <c r="AC27" s="107"/>
    </row>
    <row r="28" ht="18" spans="2:29">
      <c r="B28" s="574"/>
      <c r="C28" s="593">
        <v>30</v>
      </c>
      <c r="D28" s="594">
        <v>4</v>
      </c>
      <c r="E28" s="593"/>
      <c r="F28" s="593"/>
      <c r="G28" s="592"/>
      <c r="H28" s="592"/>
      <c r="I28" s="592"/>
      <c r="J28" s="574"/>
      <c r="M28" s="580"/>
      <c r="N28" s="287"/>
      <c r="O28" s="288"/>
      <c r="P28" s="287"/>
      <c r="Q28" s="288"/>
      <c r="R28" s="287"/>
      <c r="S28" s="288"/>
      <c r="T28" s="287"/>
      <c r="U28" s="288"/>
      <c r="V28" s="287"/>
      <c r="W28" s="288"/>
      <c r="X28" s="287"/>
      <c r="Y28" s="288"/>
      <c r="Z28" s="287"/>
      <c r="AA28" s="288"/>
      <c r="AB28" s="107"/>
      <c r="AC28" s="107"/>
    </row>
    <row r="29" ht="18" spans="2:29">
      <c r="B29" s="574"/>
      <c r="C29" s="596">
        <v>98</v>
      </c>
      <c r="D29" s="597">
        <v>2.5</v>
      </c>
      <c r="E29" s="596"/>
      <c r="F29" s="596"/>
      <c r="G29" s="592"/>
      <c r="H29" s="592"/>
      <c r="I29" s="592"/>
      <c r="J29" s="574"/>
      <c r="M29" s="580"/>
      <c r="N29" s="287"/>
      <c r="O29" s="288"/>
      <c r="P29" s="287"/>
      <c r="Q29" s="288"/>
      <c r="R29" s="287"/>
      <c r="S29" s="288"/>
      <c r="T29" s="287"/>
      <c r="U29" s="288"/>
      <c r="V29" s="287"/>
      <c r="W29" s="288"/>
      <c r="X29" s="287"/>
      <c r="Y29" s="288"/>
      <c r="Z29" s="287"/>
      <c r="AA29" s="288"/>
      <c r="AB29" s="107"/>
      <c r="AC29" s="107"/>
    </row>
    <row r="30" ht="18" spans="2:29">
      <c r="B30" s="574"/>
      <c r="C30" s="593">
        <v>328</v>
      </c>
      <c r="D30" s="594">
        <v>1.5</v>
      </c>
      <c r="E30" s="593"/>
      <c r="F30" s="593"/>
      <c r="G30" s="592"/>
      <c r="H30" s="592"/>
      <c r="I30" s="592"/>
      <c r="J30" s="574"/>
      <c r="M30" s="580"/>
      <c r="N30" s="287"/>
      <c r="O30" s="288"/>
      <c r="P30" s="287"/>
      <c r="Q30" s="288"/>
      <c r="R30" s="287"/>
      <c r="S30" s="288"/>
      <c r="T30" s="287"/>
      <c r="U30" s="288"/>
      <c r="V30" s="287"/>
      <c r="W30" s="288"/>
      <c r="X30" s="287"/>
      <c r="Y30" s="288"/>
      <c r="Z30" s="287"/>
      <c r="AA30" s="288"/>
      <c r="AB30" s="107"/>
      <c r="AC30" s="107"/>
    </row>
    <row r="31" spans="2:29">
      <c r="B31" s="578"/>
      <c r="C31" s="574"/>
      <c r="D31" s="574"/>
      <c r="E31" s="574"/>
      <c r="F31" s="574"/>
      <c r="G31" s="574"/>
      <c r="H31" s="574"/>
      <c r="I31" s="574"/>
      <c r="J31" s="574"/>
    </row>
    <row r="32" spans="2:29">
      <c r="B32" s="578"/>
      <c r="C32" s="574" t="s">
        <v>600</v>
      </c>
      <c r="D32" s="574"/>
      <c r="E32" s="574"/>
      <c r="F32" s="574"/>
      <c r="G32" s="574"/>
      <c r="H32" s="574"/>
      <c r="I32" s="574"/>
      <c r="J32" s="574"/>
    </row>
    <row r="33" spans="2:10">
      <c r="B33" s="574"/>
      <c r="C33" s="574"/>
      <c r="D33" s="574"/>
      <c r="E33" s="574"/>
      <c r="F33" s="574"/>
      <c r="G33" s="574"/>
      <c r="H33" s="574"/>
      <c r="I33" s="574"/>
      <c r="J33" s="574"/>
    </row>
    <row r="34" ht="16.5" spans="2:10">
      <c r="B34" s="574"/>
      <c r="C34" s="598" t="s">
        <v>601</v>
      </c>
      <c r="D34" s="598" t="s">
        <v>574</v>
      </c>
      <c r="E34" s="574"/>
      <c r="F34" s="574"/>
      <c r="G34" s="574"/>
      <c r="H34" s="574"/>
      <c r="I34" s="574"/>
      <c r="J34" s="574"/>
    </row>
    <row r="35" spans="2:10">
      <c r="B35" s="574"/>
      <c r="C35" s="599" t="s">
        <v>602</v>
      </c>
      <c r="D35" s="600">
        <v>3</v>
      </c>
      <c r="E35" s="574"/>
      <c r="F35" s="574"/>
      <c r="G35" s="574"/>
      <c r="H35" s="574"/>
      <c r="I35" s="574"/>
      <c r="J35" s="574"/>
    </row>
    <row r="36" spans="2:10">
      <c r="B36" s="574"/>
      <c r="C36" s="599" t="s">
        <v>603</v>
      </c>
      <c r="D36" s="599" t="s">
        <v>604</v>
      </c>
      <c r="E36" s="574"/>
      <c r="F36" s="574"/>
      <c r="G36" s="574"/>
      <c r="H36" s="574"/>
      <c r="I36" s="574"/>
      <c r="J36" s="574"/>
    </row>
    <row r="37" spans="2:10">
      <c r="B37" s="574"/>
      <c r="C37" s="599" t="s">
        <v>605</v>
      </c>
      <c r="D37" s="599" t="s">
        <v>606</v>
      </c>
      <c r="E37" s="574"/>
      <c r="F37" s="574"/>
      <c r="G37" s="574"/>
      <c r="H37" s="574"/>
      <c r="I37" s="574"/>
      <c r="J37" s="574"/>
    </row>
    <row r="38" spans="2:10">
      <c r="B38" s="574"/>
      <c r="C38" s="574"/>
      <c r="D38" s="574"/>
      <c r="E38" s="574"/>
      <c r="F38" s="574"/>
      <c r="G38" s="574"/>
      <c r="H38" s="574"/>
      <c r="I38" s="574"/>
      <c r="J38" s="574"/>
    </row>
  </sheetData>
  <mergeCells count="27">
    <mergeCell ref="S8:AC8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P24:AA24"/>
    <mergeCell ref="E26:F26"/>
    <mergeCell ref="E27:F27"/>
    <mergeCell ref="E28:F28"/>
    <mergeCell ref="E29:F29"/>
    <mergeCell ref="E30:F30"/>
    <mergeCell ref="N8:N9"/>
    <mergeCell ref="N11:N13"/>
    <mergeCell ref="N14:N16"/>
    <mergeCell ref="N17:N19"/>
    <mergeCell ref="N24:N25"/>
    <mergeCell ref="O8:O9"/>
    <mergeCell ref="O24:O25"/>
    <mergeCell ref="P8:P9"/>
    <mergeCell ref="Q8:Q9"/>
    <mergeCell ref="R8:R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</sheetPr>
  <dimension ref="A1:W194"/>
  <sheetViews>
    <sheetView topLeftCell="B93" workbookViewId="0">
      <selection activeCell="B95" sqref="B95:L100"/>
    </sheetView>
  </sheetViews>
  <sheetFormatPr defaultColWidth="9" defaultRowHeight="13.5"/>
  <cols>
    <col min="1" max="2" width="9" style="16"/>
    <col min="3" max="3" width="12.875" style="16" customWidth="1"/>
    <col min="4" max="4" width="16.25" style="16" customWidth="1"/>
    <col min="5" max="5" width="9" style="16"/>
    <col min="6" max="6" width="10.75" style="16" customWidth="1"/>
    <col min="7" max="7" width="12.25" style="16" customWidth="1"/>
    <col min="8" max="9" width="17.375" style="16" customWidth="1"/>
    <col min="10" max="11" width="9" style="16"/>
    <col min="12" max="12" width="38" style="16" customWidth="1"/>
    <col min="13" max="14" width="13.125" style="16" customWidth="1"/>
    <col min="15" max="15" width="22.5" style="16" customWidth="1"/>
    <col min="16" max="17" width="10.125" style="16" customWidth="1"/>
    <col min="18" max="21" width="13.125" style="16" customWidth="1"/>
    <col min="22" max="22" width="9" style="16"/>
    <col min="23" max="23" width="31.25" style="16" customWidth="1"/>
    <col min="24" max="16384" width="9" style="16"/>
  </cols>
  <sheetData>
    <row r="1" s="16" customFormat="1" ht="17.25" spans="1:23">
      <c r="A1" s="527">
        <v>5</v>
      </c>
      <c r="B1" s="527">
        <v>6</v>
      </c>
      <c r="C1" s="528">
        <v>0.5</v>
      </c>
    </row>
    <row r="5" ht="14.25" spans="1:23">
      <c r="G5" s="16" t="s">
        <v>607</v>
      </c>
      <c r="N5" s="529" t="s">
        <v>608</v>
      </c>
      <c r="O5" s="529" t="s">
        <v>609</v>
      </c>
      <c r="P5" s="530" t="s">
        <v>610</v>
      </c>
      <c r="Q5" s="530" t="s">
        <v>607</v>
      </c>
      <c r="R5" s="530" t="s">
        <v>611</v>
      </c>
      <c r="S5" s="530" t="s">
        <v>612</v>
      </c>
      <c r="T5" s="530" t="s">
        <v>613</v>
      </c>
      <c r="U5" s="530" t="s">
        <v>614</v>
      </c>
      <c r="V5" s="530" t="s">
        <v>615</v>
      </c>
      <c r="W5" s="530" t="s">
        <v>186</v>
      </c>
    </row>
    <row r="6" s="16" customFormat="1" ht="18" spans="1:23">
      <c r="A6" s="531" t="s">
        <v>616</v>
      </c>
      <c r="B6" s="531" t="s">
        <v>617</v>
      </c>
      <c r="C6" s="531" t="s">
        <v>618</v>
      </c>
      <c r="D6" s="531" t="s">
        <v>619</v>
      </c>
      <c r="G6" s="16" t="str">
        <f>IFERROR(VLOOKUP(D6,O:Q,3,0),"")</f>
        <v/>
      </c>
      <c r="N6" s="532">
        <v>1</v>
      </c>
      <c r="O6" s="532" t="s">
        <v>188</v>
      </c>
      <c r="P6" s="533">
        <v>1</v>
      </c>
      <c r="Q6" s="533">
        <v>0.1</v>
      </c>
      <c r="R6" s="533" t="s">
        <v>539</v>
      </c>
      <c r="S6" s="533"/>
      <c r="T6" s="533" t="s">
        <v>620</v>
      </c>
      <c r="U6" s="533" t="s">
        <v>340</v>
      </c>
      <c r="V6" s="533"/>
      <c r="W6" s="533" t="s">
        <v>621</v>
      </c>
    </row>
    <row r="7" s="16" customFormat="1" ht="17.25" spans="1:23">
      <c r="A7" s="527" t="s">
        <v>622</v>
      </c>
      <c r="B7" s="527">
        <v>1200</v>
      </c>
      <c r="C7" s="534">
        <f t="shared" ref="C7:C12" si="0">$B$1*B7/SUM($B$7:$B$13)</f>
        <v>0.72</v>
      </c>
      <c r="D7" s="534">
        <f t="shared" ref="D7:D12" si="1">C7*$A$1</f>
        <v>3.6</v>
      </c>
      <c r="G7" s="16" t="str">
        <f t="shared" ref="G7:G22" si="2">IFERROR(VLOOKUP(D7,O:Q,3,0),"")</f>
        <v/>
      </c>
      <c r="N7" s="532">
        <v>2</v>
      </c>
      <c r="O7" s="532" t="s">
        <v>195</v>
      </c>
      <c r="P7" s="533">
        <v>0.05</v>
      </c>
      <c r="Q7" s="533">
        <v>0.005</v>
      </c>
      <c r="R7" s="533" t="s">
        <v>539</v>
      </c>
      <c r="S7" s="533"/>
      <c r="T7" s="533" t="s">
        <v>620</v>
      </c>
      <c r="U7" s="533" t="s">
        <v>623</v>
      </c>
      <c r="V7" s="533"/>
      <c r="W7" s="533" t="s">
        <v>621</v>
      </c>
    </row>
    <row r="8" s="16" customFormat="1" ht="17.25" spans="1:23">
      <c r="A8" s="527" t="s">
        <v>624</v>
      </c>
      <c r="B8" s="527">
        <v>2400</v>
      </c>
      <c r="C8" s="534">
        <f t="shared" si="0"/>
        <v>1.44</v>
      </c>
      <c r="D8" s="534">
        <f t="shared" si="1"/>
        <v>7.2</v>
      </c>
      <c r="G8" s="16" t="str">
        <f t="shared" si="2"/>
        <v/>
      </c>
      <c r="N8" s="535">
        <v>9800301</v>
      </c>
      <c r="O8" s="536" t="s">
        <v>337</v>
      </c>
      <c r="P8" s="537">
        <v>50</v>
      </c>
      <c r="Q8" s="538">
        <v>5</v>
      </c>
      <c r="R8" s="537"/>
      <c r="S8" s="537"/>
      <c r="T8" s="537"/>
      <c r="U8" s="537"/>
      <c r="V8" s="537"/>
      <c r="W8" s="537"/>
    </row>
    <row r="9" s="16" customFormat="1" ht="17.25" spans="1:23">
      <c r="A9" s="527" t="s">
        <v>242</v>
      </c>
      <c r="B9" s="527">
        <v>2400</v>
      </c>
      <c r="C9" s="534">
        <f t="shared" si="0"/>
        <v>1.44</v>
      </c>
      <c r="D9" s="534">
        <f t="shared" si="1"/>
        <v>7.2</v>
      </c>
      <c r="G9" s="16" t="str">
        <f t="shared" si="2"/>
        <v/>
      </c>
      <c r="N9" s="535">
        <v>44</v>
      </c>
      <c r="O9" s="535" t="s">
        <v>197</v>
      </c>
      <c r="P9" s="537">
        <v>14</v>
      </c>
      <c r="Q9" s="537">
        <v>1.4</v>
      </c>
      <c r="R9" s="537" t="s">
        <v>543</v>
      </c>
      <c r="S9" s="537"/>
      <c r="T9" s="537" t="s">
        <v>625</v>
      </c>
      <c r="U9" s="537" t="s">
        <v>340</v>
      </c>
      <c r="V9" s="537"/>
      <c r="W9" s="537" t="s">
        <v>626</v>
      </c>
    </row>
    <row r="10" s="16" customFormat="1" ht="17.25" spans="1:23">
      <c r="A10" s="527" t="s">
        <v>627</v>
      </c>
      <c r="B10" s="527">
        <v>400</v>
      </c>
      <c r="C10" s="534">
        <f t="shared" si="0"/>
        <v>0.24</v>
      </c>
      <c r="D10" s="534">
        <f t="shared" si="1"/>
        <v>1.2</v>
      </c>
      <c r="G10" s="16" t="str">
        <f t="shared" si="2"/>
        <v/>
      </c>
      <c r="N10" s="539">
        <v>13</v>
      </c>
      <c r="O10" s="539" t="s">
        <v>193</v>
      </c>
      <c r="P10" s="540">
        <v>2</v>
      </c>
      <c r="Q10" s="540">
        <v>0.2</v>
      </c>
      <c r="R10" s="540" t="s">
        <v>539</v>
      </c>
      <c r="S10" s="540"/>
      <c r="T10" s="540" t="s">
        <v>628</v>
      </c>
      <c r="U10" s="540" t="s">
        <v>343</v>
      </c>
      <c r="V10" s="540"/>
      <c r="W10" s="540"/>
    </row>
    <row r="11" s="16" customFormat="1" ht="17.25" spans="1:23">
      <c r="A11" s="527" t="s">
        <v>629</v>
      </c>
      <c r="B11" s="527">
        <v>1200</v>
      </c>
      <c r="C11" s="534">
        <f t="shared" si="0"/>
        <v>0.72</v>
      </c>
      <c r="D11" s="534">
        <f t="shared" si="1"/>
        <v>3.6</v>
      </c>
      <c r="G11" s="16" t="str">
        <f t="shared" si="2"/>
        <v/>
      </c>
      <c r="N11" s="539">
        <v>20002</v>
      </c>
      <c r="O11" s="539" t="s">
        <v>630</v>
      </c>
      <c r="P11" s="540">
        <v>10</v>
      </c>
      <c r="Q11" s="540">
        <v>1</v>
      </c>
      <c r="R11" s="540" t="s">
        <v>543</v>
      </c>
      <c r="S11" s="540"/>
      <c r="T11" s="540" t="s">
        <v>628</v>
      </c>
      <c r="U11" s="540" t="s">
        <v>343</v>
      </c>
      <c r="V11" s="540"/>
      <c r="W11" s="540" t="s">
        <v>631</v>
      </c>
    </row>
    <row r="12" s="16" customFormat="1" ht="17.25" spans="1:23">
      <c r="A12" s="527" t="s">
        <v>632</v>
      </c>
      <c r="B12" s="527">
        <v>2400</v>
      </c>
      <c r="C12" s="534">
        <f t="shared" si="0"/>
        <v>1.44</v>
      </c>
      <c r="D12" s="534">
        <f t="shared" si="1"/>
        <v>7.2</v>
      </c>
      <c r="G12" s="16" t="str">
        <f t="shared" si="2"/>
        <v/>
      </c>
      <c r="N12" s="539">
        <v>20038</v>
      </c>
      <c r="O12" s="539" t="s">
        <v>428</v>
      </c>
      <c r="P12" s="540">
        <v>80</v>
      </c>
      <c r="Q12" s="540">
        <v>8</v>
      </c>
      <c r="R12" s="540" t="s">
        <v>543</v>
      </c>
      <c r="S12" s="540"/>
      <c r="T12" s="540"/>
      <c r="U12" s="540"/>
      <c r="V12" s="540"/>
      <c r="W12" s="540" t="s">
        <v>631</v>
      </c>
    </row>
    <row r="13" ht="14.25" spans="1:23">
      <c r="C13" s="16">
        <v>5800005</v>
      </c>
      <c r="G13" s="16" t="str">
        <f t="shared" si="2"/>
        <v/>
      </c>
      <c r="N13" s="539">
        <v>5600208</v>
      </c>
      <c r="O13" s="539" t="s">
        <v>633</v>
      </c>
      <c r="P13" s="540">
        <v>3</v>
      </c>
      <c r="Q13" s="540">
        <v>0.3</v>
      </c>
      <c r="R13" s="540" t="s">
        <v>543</v>
      </c>
      <c r="S13" s="540"/>
      <c r="T13" s="540"/>
      <c r="U13" s="540" t="s">
        <v>340</v>
      </c>
      <c r="V13" s="540"/>
      <c r="W13" s="540" t="s">
        <v>634</v>
      </c>
    </row>
    <row r="14" ht="14.25" spans="1:23">
      <c r="G14" s="16" t="str">
        <f t="shared" si="2"/>
        <v/>
      </c>
      <c r="N14" s="541">
        <v>5203001</v>
      </c>
      <c r="O14" s="541" t="s">
        <v>291</v>
      </c>
      <c r="P14" s="542">
        <v>3</v>
      </c>
      <c r="Q14" s="542">
        <v>0.3</v>
      </c>
      <c r="R14" s="542" t="s">
        <v>543</v>
      </c>
      <c r="S14" s="542"/>
      <c r="T14" s="542" t="s">
        <v>635</v>
      </c>
      <c r="U14" s="542" t="s">
        <v>623</v>
      </c>
      <c r="V14" s="542"/>
      <c r="W14" s="542" t="s">
        <v>621</v>
      </c>
    </row>
    <row r="15" ht="14.25" spans="1:23">
      <c r="G15" s="16" t="str">
        <f t="shared" si="2"/>
        <v/>
      </c>
      <c r="N15" s="541">
        <v>5103001</v>
      </c>
      <c r="O15" s="541" t="s">
        <v>527</v>
      </c>
      <c r="P15" s="542">
        <v>1</v>
      </c>
      <c r="Q15" s="542">
        <v>0.1</v>
      </c>
      <c r="R15" s="542" t="s">
        <v>539</v>
      </c>
      <c r="S15" s="542"/>
      <c r="T15" s="542" t="s">
        <v>636</v>
      </c>
      <c r="U15" s="542" t="s">
        <v>623</v>
      </c>
      <c r="V15" s="542"/>
      <c r="W15" s="542" t="s">
        <v>621</v>
      </c>
    </row>
    <row r="16" ht="14.25" spans="1:23">
      <c r="G16" s="16" t="str">
        <f t="shared" si="2"/>
        <v/>
      </c>
      <c r="N16" s="541">
        <v>5104001</v>
      </c>
      <c r="O16" s="541" t="s">
        <v>208</v>
      </c>
      <c r="P16" s="542">
        <v>2</v>
      </c>
      <c r="Q16" s="542">
        <v>0.2</v>
      </c>
      <c r="R16" s="542" t="s">
        <v>539</v>
      </c>
      <c r="S16" s="542"/>
      <c r="T16" s="542" t="s">
        <v>636</v>
      </c>
      <c r="U16" s="542" t="s">
        <v>343</v>
      </c>
      <c r="V16" s="542"/>
      <c r="W16" s="542" t="s">
        <v>621</v>
      </c>
    </row>
    <row r="17" ht="14.25" spans="1:23">
      <c r="G17" s="16" t="str">
        <f t="shared" si="2"/>
        <v/>
      </c>
      <c r="L17" s="16" t="s">
        <v>637</v>
      </c>
      <c r="N17" s="541">
        <v>5600014</v>
      </c>
      <c r="O17" s="541" t="s">
        <v>638</v>
      </c>
      <c r="P17" s="542">
        <v>12</v>
      </c>
      <c r="Q17" s="542">
        <v>1.2</v>
      </c>
      <c r="R17" s="542" t="s">
        <v>539</v>
      </c>
      <c r="S17" s="542"/>
      <c r="T17" s="542" t="s">
        <v>21</v>
      </c>
      <c r="U17" s="542" t="s">
        <v>343</v>
      </c>
      <c r="V17" s="542"/>
      <c r="W17" s="542" t="s">
        <v>621</v>
      </c>
    </row>
    <row r="18" s="16" customFormat="1" ht="33" spans="1:23">
      <c r="A18" s="442" t="s">
        <v>639</v>
      </c>
      <c r="B18" s="543" t="s">
        <v>640</v>
      </c>
      <c r="C18" s="443" t="s">
        <v>641</v>
      </c>
      <c r="D18" s="442" t="s">
        <v>642</v>
      </c>
      <c r="E18" s="443" t="s">
        <v>643</v>
      </c>
      <c r="F18" s="443"/>
      <c r="G18" s="16" t="str">
        <f t="shared" si="2"/>
        <v/>
      </c>
      <c r="H18" s="443" t="s">
        <v>644</v>
      </c>
      <c r="I18" s="442" t="s">
        <v>645</v>
      </c>
      <c r="L18" s="16" t="s">
        <v>646</v>
      </c>
      <c r="N18" s="541">
        <v>5600015</v>
      </c>
      <c r="O18" s="541" t="s">
        <v>638</v>
      </c>
      <c r="P18" s="542">
        <v>24</v>
      </c>
      <c r="Q18" s="542">
        <v>2.4</v>
      </c>
      <c r="R18" s="542" t="s">
        <v>543</v>
      </c>
      <c r="S18" s="542"/>
      <c r="T18" s="542" t="s">
        <v>21</v>
      </c>
      <c r="U18" s="542" t="s">
        <v>340</v>
      </c>
      <c r="V18" s="542"/>
      <c r="W18" s="542"/>
    </row>
    <row r="19" s="16" customFormat="1" ht="16.5" spans="1:23">
      <c r="A19" s="469">
        <v>31001</v>
      </c>
      <c r="B19" s="197" t="s">
        <v>647</v>
      </c>
      <c r="C19" s="469"/>
      <c r="D19" s="544"/>
      <c r="E19" s="545"/>
      <c r="F19" s="544"/>
      <c r="G19" s="16" t="str">
        <f t="shared" si="2"/>
        <v/>
      </c>
      <c r="H19" s="545"/>
      <c r="I19" s="197"/>
      <c r="N19" s="541"/>
      <c r="O19" s="541" t="s">
        <v>638</v>
      </c>
      <c r="P19" s="542">
        <v>48</v>
      </c>
      <c r="Q19" s="542">
        <v>4.8</v>
      </c>
      <c r="R19" s="542" t="s">
        <v>551</v>
      </c>
      <c r="S19" s="542"/>
      <c r="T19" s="542" t="s">
        <v>21</v>
      </c>
      <c r="U19" s="542" t="s">
        <v>347</v>
      </c>
      <c r="V19" s="542"/>
      <c r="W19" s="542"/>
    </row>
    <row r="20" s="16" customFormat="1" ht="16.5" spans="1:23">
      <c r="A20" s="469"/>
      <c r="B20" s="546"/>
      <c r="C20" s="469"/>
      <c r="D20" s="469"/>
      <c r="E20" s="547"/>
      <c r="F20" s="469"/>
      <c r="G20" s="16" t="str">
        <f t="shared" si="2"/>
        <v/>
      </c>
      <c r="H20" s="547"/>
      <c r="I20" s="547"/>
      <c r="N20" s="541"/>
      <c r="O20" s="541" t="s">
        <v>638</v>
      </c>
      <c r="P20" s="542">
        <v>96</v>
      </c>
      <c r="Q20" s="542">
        <v>9.6</v>
      </c>
      <c r="R20" s="542" t="s">
        <v>551</v>
      </c>
      <c r="S20" s="542"/>
      <c r="T20" s="542" t="s">
        <v>21</v>
      </c>
      <c r="U20" s="542"/>
      <c r="V20" s="542"/>
      <c r="W20" s="542"/>
    </row>
    <row r="21" s="16" customFormat="1" ht="17.25" spans="1:23">
      <c r="A21" s="469">
        <v>31101</v>
      </c>
      <c r="B21" s="197">
        <v>11</v>
      </c>
      <c r="C21" s="468">
        <v>311</v>
      </c>
      <c r="D21" s="548">
        <f>INT(VLOOKUP(J21,$A$7:$D$12,2,0)/COUNTIF($J$21:$J$194,J21))</f>
        <v>200</v>
      </c>
      <c r="E21" s="197" t="s">
        <v>648</v>
      </c>
      <c r="F21" s="469"/>
      <c r="G21" s="16" t="str">
        <f t="shared" si="2"/>
        <v/>
      </c>
      <c r="H21" s="197" t="s">
        <v>649</v>
      </c>
      <c r="I21" s="197" t="s">
        <v>650</v>
      </c>
      <c r="J21" s="527" t="s">
        <v>622</v>
      </c>
      <c r="K21" s="16">
        <v>5</v>
      </c>
      <c r="L21" s="16">
        <v>11</v>
      </c>
      <c r="M21" s="16" t="e">
        <f>SUBSTITUTE(SUBSTITUTE(SUBSTITUTE(E21,""&amp;#REF!,""),"}]",""),",","")</f>
        <v>#REF!</v>
      </c>
      <c r="N21" s="541"/>
      <c r="O21" s="541" t="s">
        <v>651</v>
      </c>
      <c r="P21" s="542">
        <v>12</v>
      </c>
      <c r="Q21" s="542">
        <v>1.2</v>
      </c>
      <c r="R21" s="542" t="s">
        <v>543</v>
      </c>
      <c r="S21" s="542"/>
      <c r="T21" s="542" t="s">
        <v>21</v>
      </c>
      <c r="U21" s="542"/>
      <c r="V21" s="542"/>
      <c r="W21" s="542" t="s">
        <v>621</v>
      </c>
    </row>
    <row r="22" s="16" customFormat="1" ht="17.25" spans="1:23">
      <c r="A22" s="469">
        <v>31102</v>
      </c>
      <c r="B22" s="197" t="s">
        <v>652</v>
      </c>
      <c r="C22" s="468">
        <v>311</v>
      </c>
      <c r="D22" s="548">
        <f>INT(VLOOKUP(J22,$A$7:$D$12,2,0)/COUNTIF($J$21:$J$194,J22))</f>
        <v>200</v>
      </c>
      <c r="E22" s="197" t="s">
        <v>653</v>
      </c>
      <c r="F22" s="469"/>
      <c r="G22" s="16" t="str">
        <f t="shared" si="2"/>
        <v/>
      </c>
      <c r="H22" s="197" t="s">
        <v>649</v>
      </c>
      <c r="I22" s="197" t="s">
        <v>654</v>
      </c>
      <c r="J22" s="527" t="s">
        <v>622</v>
      </c>
      <c r="K22" s="16">
        <v>10</v>
      </c>
      <c r="L22" s="16">
        <v>11</v>
      </c>
      <c r="M22" s="16"/>
      <c r="N22" s="541"/>
      <c r="O22" s="541" t="s">
        <v>655</v>
      </c>
      <c r="P22" s="542">
        <v>24</v>
      </c>
      <c r="Q22" s="542">
        <v>2.4</v>
      </c>
      <c r="R22" s="542" t="s">
        <v>543</v>
      </c>
      <c r="S22" s="542"/>
      <c r="T22" s="542" t="s">
        <v>21</v>
      </c>
      <c r="U22" s="542"/>
      <c r="V22" s="542"/>
      <c r="W22" s="542"/>
    </row>
    <row r="23" s="16" customFormat="1" ht="16.5" spans="1:23">
      <c r="A23" s="469">
        <v>31103</v>
      </c>
      <c r="N23" s="541"/>
      <c r="O23" s="541" t="s">
        <v>656</v>
      </c>
      <c r="P23" s="542">
        <v>48</v>
      </c>
      <c r="Q23" s="542">
        <v>4.8</v>
      </c>
      <c r="R23" s="542" t="s">
        <v>551</v>
      </c>
      <c r="S23" s="542"/>
      <c r="T23" s="542" t="s">
        <v>21</v>
      </c>
      <c r="U23" s="542"/>
      <c r="V23" s="542"/>
      <c r="W23" s="542"/>
    </row>
    <row r="24" s="16" customFormat="1" ht="17.25" spans="1:23">
      <c r="A24" s="469">
        <v>31104</v>
      </c>
      <c r="B24" s="197" t="s">
        <v>657</v>
      </c>
      <c r="C24" s="468">
        <v>1310100</v>
      </c>
      <c r="D24" s="548" t="s">
        <v>222</v>
      </c>
      <c r="E24" s="197" t="s">
        <v>658</v>
      </c>
      <c r="F24" s="469"/>
      <c r="G24" s="16">
        <f>F24*0.1</f>
        <v>0</v>
      </c>
      <c r="H24" s="197" t="s">
        <v>649</v>
      </c>
      <c r="I24" s="197" t="s">
        <v>659</v>
      </c>
      <c r="J24" s="527" t="s">
        <v>622</v>
      </c>
      <c r="K24" s="16">
        <v>20</v>
      </c>
      <c r="L24" s="16" t="s">
        <v>224</v>
      </c>
      <c r="M24" s="16"/>
      <c r="N24" s="541"/>
      <c r="O24" s="541" t="s">
        <v>660</v>
      </c>
      <c r="P24" s="542">
        <v>96</v>
      </c>
      <c r="Q24" s="542">
        <v>9.6</v>
      </c>
      <c r="R24" s="542" t="s">
        <v>551</v>
      </c>
      <c r="S24" s="542"/>
      <c r="T24" s="542" t="s">
        <v>21</v>
      </c>
      <c r="U24" s="542"/>
      <c r="V24" s="542"/>
      <c r="W24" s="542"/>
    </row>
    <row r="25" s="16" customFormat="1" ht="17.25" spans="1:23">
      <c r="A25" s="469">
        <v>31105</v>
      </c>
      <c r="B25" s="197">
        <v>11</v>
      </c>
      <c r="C25" s="468">
        <v>1420200</v>
      </c>
      <c r="D25" s="548">
        <f>INT(VLOOKUP(J25,$A$7:$D$12,2,0)/COUNTIF($J$21:$J$194,J25))</f>
        <v>200</v>
      </c>
      <c r="E25" s="197" t="s">
        <v>661</v>
      </c>
      <c r="F25" s="469"/>
      <c r="G25" s="16">
        <f t="shared" ref="G25:G33" si="3">F25*0.1</f>
        <v>0</v>
      </c>
      <c r="H25" s="197" t="s">
        <v>649</v>
      </c>
      <c r="I25" s="197" t="s">
        <v>650</v>
      </c>
      <c r="J25" s="527" t="s">
        <v>622</v>
      </c>
      <c r="K25" s="16">
        <v>5</v>
      </c>
      <c r="L25" s="16" t="s">
        <v>224</v>
      </c>
      <c r="M25" s="16"/>
      <c r="N25" s="541"/>
      <c r="O25" s="541" t="s">
        <v>662</v>
      </c>
      <c r="P25" s="542">
        <v>120</v>
      </c>
      <c r="Q25" s="542">
        <v>12</v>
      </c>
      <c r="R25" s="542" t="s">
        <v>543</v>
      </c>
      <c r="S25" s="542"/>
      <c r="T25" s="542" t="s">
        <v>21</v>
      </c>
      <c r="U25" s="542"/>
      <c r="V25" s="542"/>
      <c r="W25" s="542">
        <v>48</v>
      </c>
    </row>
    <row r="26" s="16" customFormat="1" ht="17.25" spans="1:23">
      <c r="A26" s="469">
        <v>31106</v>
      </c>
      <c r="B26" s="197" t="s">
        <v>652</v>
      </c>
      <c r="C26" s="468">
        <v>1130100</v>
      </c>
      <c r="D26" s="548">
        <f>INT(VLOOKUP(J26,$A$7:$D$12,2,0)/COUNTIF($J$21:$J$194,J26))</f>
        <v>200</v>
      </c>
      <c r="E26" s="197" t="s">
        <v>663</v>
      </c>
      <c r="F26" s="469"/>
      <c r="G26" s="16">
        <f t="shared" si="3"/>
        <v>0</v>
      </c>
      <c r="H26" s="197" t="s">
        <v>649</v>
      </c>
      <c r="I26" s="197" t="s">
        <v>654</v>
      </c>
      <c r="J26" s="527" t="s">
        <v>622</v>
      </c>
      <c r="K26" s="16">
        <v>10</v>
      </c>
      <c r="L26" s="16" t="s">
        <v>224</v>
      </c>
      <c r="M26" s="16"/>
      <c r="N26" s="541"/>
      <c r="O26" s="541" t="s">
        <v>442</v>
      </c>
      <c r="P26" s="542">
        <v>240</v>
      </c>
      <c r="Q26" s="542">
        <v>24</v>
      </c>
      <c r="R26" s="542" t="s">
        <v>543</v>
      </c>
      <c r="S26" s="542"/>
      <c r="T26" s="542" t="s">
        <v>21</v>
      </c>
      <c r="U26" s="542"/>
      <c r="V26" s="542"/>
      <c r="W26" s="542">
        <v>96</v>
      </c>
    </row>
    <row r="27" s="16" customFormat="1" ht="17.25" spans="1:23">
      <c r="A27" s="469">
        <v>31107</v>
      </c>
      <c r="B27" s="197" t="s">
        <v>657</v>
      </c>
      <c r="C27" s="468">
        <v>311</v>
      </c>
      <c r="D27" s="548">
        <f>INT(VLOOKUP(J27,$A$7:$D$12,2,0)/COUNTIF($J$21:$J$194,J27))</f>
        <v>200</v>
      </c>
      <c r="E27" s="197" t="s">
        <v>664</v>
      </c>
      <c r="F27" s="469"/>
      <c r="G27" s="16">
        <f t="shared" si="3"/>
        <v>0</v>
      </c>
      <c r="H27" s="197" t="s">
        <v>649</v>
      </c>
      <c r="I27" s="197" t="s">
        <v>659</v>
      </c>
      <c r="J27" s="527" t="s">
        <v>622</v>
      </c>
      <c r="K27" s="16">
        <v>20</v>
      </c>
      <c r="L27" s="16" t="s">
        <v>665</v>
      </c>
      <c r="M27" s="16"/>
      <c r="N27" s="541"/>
      <c r="O27" s="541" t="s">
        <v>666</v>
      </c>
      <c r="P27" s="542">
        <v>480</v>
      </c>
      <c r="Q27" s="542">
        <v>48</v>
      </c>
      <c r="R27" s="542" t="s">
        <v>551</v>
      </c>
      <c r="S27" s="542"/>
      <c r="T27" s="542" t="s">
        <v>21</v>
      </c>
      <c r="U27" s="542"/>
      <c r="V27" s="542"/>
      <c r="W27" s="542">
        <v>192</v>
      </c>
    </row>
    <row r="28" s="16" customFormat="1" ht="17.25" spans="1:23">
      <c r="A28" s="469">
        <v>31108</v>
      </c>
      <c r="B28" s="197" t="s">
        <v>667</v>
      </c>
      <c r="C28" s="468">
        <v>311</v>
      </c>
      <c r="D28" s="548">
        <f>INT(VLOOKUP(J28,$A$7:$D$12,2,0)/COUNTIF($J$21:$J$194,J28))</f>
        <v>400</v>
      </c>
      <c r="E28" s="197" t="s">
        <v>668</v>
      </c>
      <c r="F28" s="469"/>
      <c r="G28" s="16">
        <f t="shared" si="3"/>
        <v>0</v>
      </c>
      <c r="H28" s="197"/>
      <c r="I28" s="197" t="s">
        <v>669</v>
      </c>
      <c r="J28" s="527" t="s">
        <v>624</v>
      </c>
      <c r="K28" s="16">
        <v>50</v>
      </c>
      <c r="L28" s="16" t="s">
        <v>665</v>
      </c>
      <c r="M28" s="16"/>
      <c r="N28" s="541"/>
      <c r="O28" s="541" t="s">
        <v>670</v>
      </c>
      <c r="P28" s="542">
        <v>960</v>
      </c>
      <c r="Q28" s="542">
        <v>96</v>
      </c>
      <c r="R28" s="542" t="s">
        <v>551</v>
      </c>
      <c r="S28" s="542"/>
      <c r="T28" s="542" t="s">
        <v>21</v>
      </c>
      <c r="U28" s="542"/>
      <c r="V28" s="542"/>
      <c r="W28" s="542">
        <v>384</v>
      </c>
    </row>
    <row r="29" s="16" customFormat="1" ht="17.25" spans="1:23">
      <c r="A29" s="469">
        <v>31109</v>
      </c>
      <c r="B29" s="197" t="s">
        <v>671</v>
      </c>
      <c r="C29" s="468"/>
      <c r="D29" s="548" t="s">
        <v>672</v>
      </c>
      <c r="E29" s="197" t="s">
        <v>673</v>
      </c>
      <c r="F29" s="469"/>
      <c r="G29" s="16">
        <f t="shared" si="3"/>
        <v>0</v>
      </c>
      <c r="H29" s="197"/>
      <c r="I29" s="197" t="s">
        <v>674</v>
      </c>
      <c r="J29" s="527" t="s">
        <v>624</v>
      </c>
      <c r="K29" s="16">
        <v>100</v>
      </c>
      <c r="L29" s="16">
        <v>5103001</v>
      </c>
      <c r="M29" s="16" t="e">
        <f>SUBSTITUTE(SUBSTITUTE(SUBSTITUTE(E30,""&amp;#REF!,""),"}]",""),",","")</f>
        <v>#REF!</v>
      </c>
      <c r="N29" s="541"/>
      <c r="O29" s="541" t="s">
        <v>675</v>
      </c>
      <c r="P29" s="542">
        <v>120</v>
      </c>
      <c r="Q29" s="542">
        <v>12</v>
      </c>
      <c r="R29" s="542" t="s">
        <v>543</v>
      </c>
      <c r="S29" s="542"/>
      <c r="T29" s="542" t="s">
        <v>21</v>
      </c>
      <c r="U29" s="542"/>
      <c r="V29" s="542"/>
      <c r="W29" s="542"/>
    </row>
    <row r="30" s="16" customFormat="1" ht="17.25" spans="1:23">
      <c r="A30" s="469">
        <v>31110</v>
      </c>
      <c r="B30" s="197" t="s">
        <v>676</v>
      </c>
      <c r="C30" s="468"/>
      <c r="D30" s="548" t="s">
        <v>638</v>
      </c>
      <c r="E30" s="197" t="s">
        <v>677</v>
      </c>
      <c r="F30" s="469"/>
      <c r="G30" s="16">
        <f t="shared" si="3"/>
        <v>0</v>
      </c>
      <c r="H30" s="197"/>
      <c r="I30" s="197" t="s">
        <v>678</v>
      </c>
      <c r="J30" s="527" t="s">
        <v>624</v>
      </c>
      <c r="K30" s="16">
        <v>200</v>
      </c>
      <c r="L30" s="16">
        <v>5103001</v>
      </c>
      <c r="M30" s="16" t="e">
        <f>SUBSTITUTE(SUBSTITUTE(SUBSTITUTE(E31,""&amp;#REF!,""),"}]",""),",","")</f>
        <v>#REF!</v>
      </c>
      <c r="N30" s="541"/>
      <c r="O30" s="541" t="s">
        <v>679</v>
      </c>
      <c r="P30" s="542">
        <v>240</v>
      </c>
      <c r="Q30" s="542">
        <v>24</v>
      </c>
      <c r="R30" s="542" t="s">
        <v>543</v>
      </c>
      <c r="S30" s="542"/>
      <c r="T30" s="542" t="s">
        <v>21</v>
      </c>
      <c r="U30" s="542"/>
      <c r="V30" s="542"/>
      <c r="W30" s="542"/>
    </row>
    <row r="31" s="16" customFormat="1" ht="17.25" spans="1:23">
      <c r="A31" s="469">
        <v>31111</v>
      </c>
      <c r="B31" s="197" t="s">
        <v>667</v>
      </c>
      <c r="C31" s="468"/>
      <c r="D31" s="548" t="s">
        <v>680</v>
      </c>
      <c r="E31" s="197" t="s">
        <v>681</v>
      </c>
      <c r="F31" s="469"/>
      <c r="G31" s="16">
        <f t="shared" si="3"/>
        <v>0</v>
      </c>
      <c r="H31" s="197"/>
      <c r="I31" s="197" t="s">
        <v>669</v>
      </c>
      <c r="J31" s="527" t="s">
        <v>624</v>
      </c>
      <c r="K31" s="16">
        <f t="shared" ref="K31:K33" si="4">K28</f>
        <v>50</v>
      </c>
      <c r="L31" s="16">
        <v>5103001</v>
      </c>
      <c r="M31" s="16" t="e">
        <f>SUBSTITUTE(SUBSTITUTE(SUBSTITUTE(E32,""&amp;#REF!,""),"}]",""),",","")</f>
        <v>#REF!</v>
      </c>
      <c r="N31" s="541"/>
      <c r="O31" s="541" t="s">
        <v>682</v>
      </c>
      <c r="P31" s="542">
        <v>480</v>
      </c>
      <c r="Q31" s="542">
        <v>48</v>
      </c>
      <c r="R31" s="542" t="s">
        <v>551</v>
      </c>
      <c r="S31" s="542"/>
      <c r="T31" s="542" t="s">
        <v>21</v>
      </c>
      <c r="U31" s="542"/>
      <c r="V31" s="542"/>
      <c r="W31" s="542" t="s">
        <v>621</v>
      </c>
    </row>
    <row r="32" s="16" customFormat="1" ht="17.25" spans="1:23">
      <c r="A32" s="469">
        <v>31112</v>
      </c>
      <c r="B32" s="197" t="s">
        <v>671</v>
      </c>
      <c r="C32" s="468">
        <v>311</v>
      </c>
      <c r="D32" s="548" t="s">
        <v>683</v>
      </c>
      <c r="E32" s="197" t="s">
        <v>684</v>
      </c>
      <c r="F32" s="469"/>
      <c r="G32" s="16">
        <f t="shared" si="3"/>
        <v>0</v>
      </c>
      <c r="H32" s="197"/>
      <c r="I32" s="197" t="s">
        <v>674</v>
      </c>
      <c r="J32" s="527" t="s">
        <v>624</v>
      </c>
      <c r="K32" s="16">
        <f t="shared" si="4"/>
        <v>100</v>
      </c>
      <c r="L32" s="16">
        <v>5103001</v>
      </c>
      <c r="M32" s="16" t="e">
        <f>SUBSTITUTE(SUBSTITUTE(SUBSTITUTE(E33,""&amp;#REF!,""),"}]",""),",","")</f>
        <v>#REF!</v>
      </c>
      <c r="N32" s="541"/>
      <c r="O32" s="541" t="s">
        <v>685</v>
      </c>
      <c r="P32" s="542">
        <v>960</v>
      </c>
      <c r="Q32" s="542">
        <v>96</v>
      </c>
      <c r="R32" s="542" t="s">
        <v>551</v>
      </c>
      <c r="S32" s="542"/>
      <c r="T32" s="542" t="s">
        <v>21</v>
      </c>
      <c r="U32" s="542"/>
      <c r="V32" s="542"/>
      <c r="W32" s="542"/>
    </row>
    <row r="33" s="16" customFormat="1" ht="17.25" spans="1:23">
      <c r="A33" s="469">
        <v>31113</v>
      </c>
      <c r="B33" s="197" t="s">
        <v>676</v>
      </c>
      <c r="C33" s="468">
        <v>311</v>
      </c>
      <c r="D33" s="548" t="s">
        <v>686</v>
      </c>
      <c r="E33" s="197" t="s">
        <v>687</v>
      </c>
      <c r="F33" s="469"/>
      <c r="G33" s="16">
        <f t="shared" si="3"/>
        <v>0</v>
      </c>
      <c r="H33" s="197"/>
      <c r="I33" s="197" t="s">
        <v>678</v>
      </c>
      <c r="J33" s="527" t="s">
        <v>624</v>
      </c>
      <c r="K33" s="16">
        <f t="shared" si="4"/>
        <v>200</v>
      </c>
      <c r="L33" s="16">
        <v>5103001</v>
      </c>
      <c r="M33" s="16" t="e">
        <f>SUBSTITUTE(SUBSTITUTE(SUBSTITUTE(E39,""&amp;#REF!,""),"}]",""),",","")</f>
        <v>#REF!</v>
      </c>
      <c r="N33" s="535">
        <v>50002</v>
      </c>
      <c r="O33" s="535" t="s">
        <v>242</v>
      </c>
      <c r="P33" s="537">
        <v>3</v>
      </c>
      <c r="Q33" s="537">
        <v>0.3</v>
      </c>
      <c r="R33" s="537" t="s">
        <v>539</v>
      </c>
      <c r="S33" s="537"/>
      <c r="T33" s="537" t="s">
        <v>688</v>
      </c>
      <c r="U33" s="537" t="s">
        <v>623</v>
      </c>
      <c r="V33" s="537"/>
      <c r="W33" s="537" t="s">
        <v>621</v>
      </c>
    </row>
    <row r="34" s="16" customFormat="1" ht="17.25" spans="1:23">
      <c r="A34" s="469"/>
      <c r="B34" s="197"/>
      <c r="C34" s="468"/>
      <c r="D34" s="541" t="s">
        <v>689</v>
      </c>
      <c r="F34" s="541">
        <v>6</v>
      </c>
      <c r="G34" s="541">
        <v>0.6</v>
      </c>
      <c r="H34" s="197"/>
      <c r="I34" s="197"/>
      <c r="J34" s="527"/>
      <c r="N34" s="535"/>
      <c r="O34" s="535"/>
      <c r="P34" s="537"/>
      <c r="Q34" s="537"/>
      <c r="R34" s="537"/>
      <c r="S34" s="537"/>
      <c r="T34" s="537"/>
      <c r="U34" s="537"/>
      <c r="V34" s="537"/>
      <c r="W34" s="537"/>
    </row>
    <row r="35" s="16" customFormat="1" ht="17.25" spans="1:23">
      <c r="A35" s="469"/>
      <c r="B35" s="197"/>
      <c r="C35" s="468"/>
      <c r="D35" s="541" t="s">
        <v>651</v>
      </c>
      <c r="E35" s="197"/>
      <c r="F35" s="541">
        <v>12</v>
      </c>
      <c r="G35" s="541">
        <v>1.2</v>
      </c>
      <c r="H35" s="197"/>
      <c r="I35" s="197"/>
      <c r="J35" s="527"/>
      <c r="N35" s="535"/>
      <c r="O35" s="535"/>
      <c r="P35" s="537"/>
      <c r="Q35" s="537"/>
      <c r="R35" s="537"/>
      <c r="S35" s="537"/>
      <c r="T35" s="537"/>
      <c r="U35" s="537"/>
      <c r="V35" s="537"/>
      <c r="W35" s="537"/>
    </row>
    <row r="36" s="16" customFormat="1" ht="17.25" spans="1:23">
      <c r="A36" s="469"/>
      <c r="B36" s="197"/>
      <c r="C36" s="468"/>
      <c r="D36" s="541" t="s">
        <v>655</v>
      </c>
      <c r="E36" s="197"/>
      <c r="F36" s="541">
        <v>24</v>
      </c>
      <c r="G36" s="541">
        <v>2.4</v>
      </c>
      <c r="H36" s="197"/>
      <c r="I36" s="197"/>
      <c r="J36" s="527"/>
      <c r="N36" s="535"/>
      <c r="O36" s="535"/>
      <c r="P36" s="537"/>
      <c r="Q36" s="537"/>
      <c r="R36" s="537"/>
      <c r="S36" s="537"/>
      <c r="T36" s="537"/>
      <c r="U36" s="537"/>
      <c r="V36" s="537"/>
      <c r="W36" s="537"/>
    </row>
    <row r="37" s="16" customFormat="1" ht="17.25" spans="1:23">
      <c r="A37" s="469"/>
      <c r="B37" s="197"/>
      <c r="C37" s="468"/>
      <c r="D37" s="541" t="s">
        <v>656</v>
      </c>
      <c r="E37" s="197"/>
      <c r="F37" s="541">
        <v>48</v>
      </c>
      <c r="G37" s="541">
        <v>4.8</v>
      </c>
      <c r="H37" s="197"/>
      <c r="I37" s="197"/>
      <c r="J37" s="527"/>
      <c r="N37" s="535"/>
      <c r="O37" s="535"/>
      <c r="P37" s="537"/>
      <c r="Q37" s="537"/>
      <c r="R37" s="537"/>
      <c r="S37" s="537"/>
      <c r="T37" s="537"/>
      <c r="U37" s="537"/>
      <c r="V37" s="537"/>
      <c r="W37" s="537"/>
    </row>
    <row r="38" s="16" customFormat="1" ht="17.25" spans="1:23">
      <c r="A38" s="469"/>
      <c r="B38" s="197"/>
      <c r="C38" s="468"/>
      <c r="D38" s="541" t="s">
        <v>660</v>
      </c>
      <c r="E38" s="197"/>
      <c r="F38" s="541">
        <v>96</v>
      </c>
      <c r="G38" s="541">
        <v>9.6</v>
      </c>
      <c r="H38" s="197"/>
      <c r="I38" s="197"/>
      <c r="J38" s="527"/>
      <c r="N38" s="535"/>
      <c r="O38" s="535"/>
      <c r="P38" s="537"/>
      <c r="Q38" s="537"/>
      <c r="R38" s="537"/>
      <c r="S38" s="537"/>
      <c r="T38" s="537"/>
      <c r="U38" s="537"/>
      <c r="V38" s="537"/>
      <c r="W38" s="537"/>
    </row>
    <row r="39" s="16" customFormat="1" ht="17.25" spans="1:23">
      <c r="A39" s="469">
        <v>31114</v>
      </c>
      <c r="B39" s="197" t="s">
        <v>690</v>
      </c>
      <c r="C39" s="468">
        <v>311</v>
      </c>
      <c r="D39" s="548">
        <f t="shared" ref="D39:D44" si="5">INT(VLOOKUP(J39,$A$7:$D$12,2,0)/COUNTIF($J$21:$J$194,J39))</f>
        <v>68</v>
      </c>
      <c r="E39" s="197" t="s">
        <v>691</v>
      </c>
      <c r="F39" s="469"/>
      <c r="G39" s="16" t="str">
        <f t="shared" ref="G39:G44" si="6">IFERROR(VLOOKUP(D39,O:Q,2,0),"")</f>
        <v/>
      </c>
      <c r="H39" s="197"/>
      <c r="I39" s="549" t="s">
        <v>692</v>
      </c>
      <c r="J39" s="527" t="s">
        <v>242</v>
      </c>
      <c r="K39" s="16">
        <v>10</v>
      </c>
      <c r="L39" s="16">
        <v>50002</v>
      </c>
      <c r="M39" s="16" t="e">
        <f>SUBSTITUTE(SUBSTITUTE(SUBSTITUTE(E40,""&amp;#REF!,""),"}]",""),",","")</f>
        <v>#REF!</v>
      </c>
      <c r="N39" s="535"/>
      <c r="O39" s="535" t="s">
        <v>693</v>
      </c>
      <c r="P39" s="537">
        <v>5</v>
      </c>
      <c r="Q39" s="537">
        <v>0.5</v>
      </c>
      <c r="R39" s="537" t="s">
        <v>543</v>
      </c>
      <c r="S39" s="537"/>
      <c r="T39" s="537" t="s">
        <v>688</v>
      </c>
      <c r="U39" s="537"/>
      <c r="V39" s="537"/>
      <c r="W39" s="537" t="s">
        <v>621</v>
      </c>
    </row>
    <row r="40" s="16" customFormat="1" ht="17.25" spans="1:23">
      <c r="A40" s="469">
        <v>31115</v>
      </c>
      <c r="B40" s="197" t="s">
        <v>694</v>
      </c>
      <c r="C40" s="468">
        <v>311</v>
      </c>
      <c r="D40" s="548">
        <f t="shared" si="5"/>
        <v>68</v>
      </c>
      <c r="E40" s="197" t="s">
        <v>668</v>
      </c>
      <c r="F40" s="469"/>
      <c r="G40" s="16" t="str">
        <f t="shared" si="6"/>
        <v/>
      </c>
      <c r="H40" s="197"/>
      <c r="I40" s="549" t="s">
        <v>695</v>
      </c>
      <c r="J40" s="527" t="s">
        <v>242</v>
      </c>
      <c r="K40" s="16">
        <v>20</v>
      </c>
      <c r="L40" s="16">
        <v>50002</v>
      </c>
      <c r="M40" s="16" t="e">
        <f>SUBSTITUTE(SUBSTITUTE(SUBSTITUTE(E41,""&amp;#REF!,""),"}]",""),",","")</f>
        <v>#REF!</v>
      </c>
      <c r="N40" s="535">
        <v>50001</v>
      </c>
      <c r="O40" s="535" t="s">
        <v>245</v>
      </c>
      <c r="P40" s="537">
        <v>0.1</v>
      </c>
      <c r="Q40" s="537">
        <v>0.01</v>
      </c>
      <c r="R40" s="537" t="s">
        <v>539</v>
      </c>
      <c r="S40" s="537"/>
      <c r="T40" s="537" t="s">
        <v>688</v>
      </c>
      <c r="U40" s="537" t="s">
        <v>623</v>
      </c>
      <c r="V40" s="537"/>
      <c r="W40" s="537" t="s">
        <v>621</v>
      </c>
    </row>
    <row r="41" s="16" customFormat="1" ht="17.25" spans="1:23">
      <c r="A41" s="469">
        <v>31116</v>
      </c>
      <c r="B41" s="197" t="s">
        <v>696</v>
      </c>
      <c r="C41" s="468">
        <v>311</v>
      </c>
      <c r="D41" s="548">
        <f t="shared" si="5"/>
        <v>68</v>
      </c>
      <c r="E41" s="197" t="s">
        <v>673</v>
      </c>
      <c r="F41" s="469"/>
      <c r="G41" s="16" t="str">
        <f t="shared" si="6"/>
        <v/>
      </c>
      <c r="H41" s="197"/>
      <c r="I41" s="549" t="s">
        <v>697</v>
      </c>
      <c r="J41" s="527" t="s">
        <v>242</v>
      </c>
      <c r="K41" s="16">
        <v>40</v>
      </c>
      <c r="L41" s="16">
        <v>50002</v>
      </c>
      <c r="M41" s="16" t="e">
        <f>SUBSTITUTE(SUBSTITUTE(SUBSTITUTE(E42,""&amp;#REF!,""),"}]",""),",","")</f>
        <v>#REF!</v>
      </c>
      <c r="N41" s="535">
        <v>5303001</v>
      </c>
      <c r="O41" s="535" t="s">
        <v>263</v>
      </c>
      <c r="P41" s="537">
        <v>5</v>
      </c>
      <c r="Q41" s="537">
        <v>0.5</v>
      </c>
      <c r="R41" s="537" t="s">
        <v>539</v>
      </c>
      <c r="S41" s="537"/>
      <c r="T41" s="537" t="s">
        <v>43</v>
      </c>
      <c r="U41" s="537" t="s">
        <v>623</v>
      </c>
      <c r="V41" s="537"/>
      <c r="W41" s="537" t="s">
        <v>698</v>
      </c>
    </row>
    <row r="42" s="16" customFormat="1" ht="17.25" spans="1:23">
      <c r="A42" s="469">
        <v>31117</v>
      </c>
      <c r="B42" s="197" t="s">
        <v>690</v>
      </c>
      <c r="C42" s="468">
        <v>311</v>
      </c>
      <c r="D42" s="548">
        <f t="shared" si="5"/>
        <v>68</v>
      </c>
      <c r="E42" s="197" t="s">
        <v>699</v>
      </c>
      <c r="F42" s="469"/>
      <c r="G42" s="16" t="str">
        <f t="shared" si="6"/>
        <v/>
      </c>
      <c r="H42" s="197"/>
      <c r="I42" s="549" t="s">
        <v>692</v>
      </c>
      <c r="J42" s="527" t="s">
        <v>242</v>
      </c>
      <c r="K42" s="16">
        <f>K39</f>
        <v>10</v>
      </c>
      <c r="L42" s="16">
        <v>50002</v>
      </c>
      <c r="M42" s="16" t="e">
        <f>SUBSTITUTE(SUBSTITUTE(SUBSTITUTE(E43,""&amp;#REF!,""),"}]",""),",","")</f>
        <v>#REF!</v>
      </c>
      <c r="N42" s="535">
        <v>5305001</v>
      </c>
      <c r="O42" s="535" t="s">
        <v>265</v>
      </c>
      <c r="P42" s="537">
        <v>60</v>
      </c>
      <c r="Q42" s="537">
        <v>6</v>
      </c>
      <c r="R42" s="537" t="s">
        <v>543</v>
      </c>
      <c r="S42" s="537"/>
      <c r="T42" s="537" t="s">
        <v>43</v>
      </c>
      <c r="U42" s="537" t="s">
        <v>340</v>
      </c>
      <c r="V42" s="537"/>
      <c r="W42" s="537" t="s">
        <v>621</v>
      </c>
    </row>
    <row r="43" s="16" customFormat="1" ht="17.25" spans="1:23">
      <c r="A43" s="469">
        <v>31118</v>
      </c>
      <c r="B43" s="197" t="s">
        <v>694</v>
      </c>
      <c r="C43" s="468">
        <v>311</v>
      </c>
      <c r="D43" s="548">
        <f t="shared" si="5"/>
        <v>68</v>
      </c>
      <c r="E43" s="197" t="s">
        <v>700</v>
      </c>
      <c r="F43" s="469"/>
      <c r="G43" s="16" t="str">
        <f t="shared" si="6"/>
        <v/>
      </c>
      <c r="H43" s="197"/>
      <c r="I43" s="549" t="s">
        <v>695</v>
      </c>
      <c r="J43" s="527" t="s">
        <v>242</v>
      </c>
      <c r="K43" s="16">
        <f>K40</f>
        <v>20</v>
      </c>
      <c r="L43" s="16">
        <v>50002</v>
      </c>
      <c r="M43" s="16" t="e">
        <f>SUBSTITUTE(SUBSTITUTE(SUBSTITUTE(E44,""&amp;#REF!,""),"}]",""),",","")</f>
        <v>#REF!</v>
      </c>
      <c r="N43" s="535">
        <v>5305010</v>
      </c>
      <c r="O43" s="535" t="s">
        <v>239</v>
      </c>
      <c r="P43" s="537">
        <v>1500</v>
      </c>
      <c r="Q43" s="537">
        <v>150</v>
      </c>
      <c r="R43" s="537" t="s">
        <v>551</v>
      </c>
      <c r="S43" s="537"/>
      <c r="T43" s="537" t="s">
        <v>43</v>
      </c>
      <c r="U43" s="537" t="s">
        <v>340</v>
      </c>
      <c r="V43" s="537"/>
      <c r="W43" s="537"/>
    </row>
    <row r="44" s="16" customFormat="1" ht="17.25" spans="1:23">
      <c r="A44" s="469">
        <v>31119</v>
      </c>
      <c r="B44" s="197" t="s">
        <v>696</v>
      </c>
      <c r="C44" s="468">
        <v>311</v>
      </c>
      <c r="D44" s="548">
        <f t="shared" si="5"/>
        <v>68</v>
      </c>
      <c r="E44" s="197" t="s">
        <v>701</v>
      </c>
      <c r="F44" s="469"/>
      <c r="G44" s="16" t="str">
        <f t="shared" si="6"/>
        <v/>
      </c>
      <c r="H44" s="197"/>
      <c r="I44" s="549" t="s">
        <v>697</v>
      </c>
      <c r="J44" s="527" t="s">
        <v>242</v>
      </c>
      <c r="K44" s="16">
        <f>K41</f>
        <v>40</v>
      </c>
      <c r="L44" s="16">
        <v>50002</v>
      </c>
      <c r="M44" s="16" t="e">
        <f>SUBSTITUTE(SUBSTITUTE(SUBSTITUTE(E46,""&amp;#REF!,""),"}]",""),",","")</f>
        <v>#REF!</v>
      </c>
      <c r="N44" s="535">
        <v>5305008</v>
      </c>
      <c r="O44" s="535" t="s">
        <v>240</v>
      </c>
      <c r="P44" s="537">
        <v>5000</v>
      </c>
      <c r="Q44" s="537">
        <v>500</v>
      </c>
      <c r="R44" s="537" t="s">
        <v>551</v>
      </c>
      <c r="S44" s="537"/>
      <c r="T44" s="537" t="s">
        <v>43</v>
      </c>
      <c r="U44" s="537" t="s">
        <v>347</v>
      </c>
      <c r="V44" s="537"/>
      <c r="W44" s="537"/>
    </row>
    <row r="45" s="16" customFormat="1" ht="16.5" spans="1:23">
      <c r="A45" s="469">
        <v>31120</v>
      </c>
      <c r="M45" s="16" t="e">
        <f>SUBSTITUTE(SUBSTITUTE(SUBSTITUTE(E48,""&amp;#REF!,""),"}]",""),",","")</f>
        <v>#REF!</v>
      </c>
      <c r="N45" s="535">
        <v>5305009</v>
      </c>
      <c r="O45" s="535" t="s">
        <v>241</v>
      </c>
      <c r="P45" s="537">
        <v>16000</v>
      </c>
      <c r="Q45" s="537">
        <v>1600</v>
      </c>
      <c r="R45" s="537" t="s">
        <v>551</v>
      </c>
      <c r="S45" s="537"/>
      <c r="T45" s="537" t="s">
        <v>43</v>
      </c>
      <c r="U45" s="537" t="s">
        <v>349</v>
      </c>
      <c r="V45" s="537"/>
      <c r="W45" s="537"/>
    </row>
    <row r="46" s="16" customFormat="1" ht="17.25" spans="1:23">
      <c r="A46" s="469">
        <v>31121</v>
      </c>
      <c r="B46" s="197" t="s">
        <v>702</v>
      </c>
      <c r="C46" s="468">
        <v>311</v>
      </c>
      <c r="D46" s="548">
        <f>INT(VLOOKUP(J46,$A$7:$D$12,2,0)/COUNTIF($J$21:$J$194,J46))</f>
        <v>68</v>
      </c>
      <c r="E46" s="197" t="s">
        <v>691</v>
      </c>
      <c r="F46" s="469"/>
      <c r="G46" s="16" t="str">
        <f>IFERROR(VLOOKUP(D46,O:Q,3,0),"")</f>
        <v/>
      </c>
      <c r="H46" s="197"/>
      <c r="I46" s="549" t="s">
        <v>703</v>
      </c>
      <c r="J46" s="527" t="s">
        <v>242</v>
      </c>
      <c r="K46" s="16">
        <f>K42</f>
        <v>10</v>
      </c>
      <c r="L46" s="16">
        <v>50002</v>
      </c>
      <c r="M46" s="16" t="e">
        <f>SUBSTITUTE(SUBSTITUTE(SUBSTITUTE(E49,""&amp;#REF!,""),"}]",""),",","")</f>
        <v>#REF!</v>
      </c>
      <c r="N46" s="535">
        <v>5301000</v>
      </c>
      <c r="O46" s="535" t="s">
        <v>268</v>
      </c>
      <c r="P46" s="537">
        <v>16</v>
      </c>
      <c r="Q46" s="537">
        <v>1.6</v>
      </c>
      <c r="R46" s="537" t="s">
        <v>539</v>
      </c>
      <c r="S46" s="537"/>
      <c r="T46" s="537" t="s">
        <v>43</v>
      </c>
      <c r="U46" s="537"/>
      <c r="V46" s="537"/>
      <c r="W46" s="537"/>
    </row>
    <row r="47" s="16" customFormat="1" ht="16.5" spans="1:23">
      <c r="A47" s="469">
        <v>31122</v>
      </c>
      <c r="D47" s="548" t="s">
        <v>693</v>
      </c>
      <c r="E47" s="548" t="s">
        <v>691</v>
      </c>
      <c r="F47" s="548">
        <v>5</v>
      </c>
      <c r="G47" s="548">
        <v>0.5</v>
      </c>
      <c r="H47" s="548"/>
      <c r="I47" s="548"/>
      <c r="J47" s="548" t="s">
        <v>242</v>
      </c>
      <c r="M47" s="16" t="e">
        <f>SUBSTITUTE(SUBSTITUTE(SUBSTITUTE(E50,""&amp;#REF!,""),"}]",""),",","")</f>
        <v>#REF!</v>
      </c>
      <c r="N47" s="535">
        <v>5302000</v>
      </c>
      <c r="O47" s="535" t="s">
        <v>270</v>
      </c>
      <c r="P47" s="537">
        <v>64</v>
      </c>
      <c r="Q47" s="537">
        <v>6.4</v>
      </c>
      <c r="R47" s="537" t="s">
        <v>539</v>
      </c>
      <c r="S47" s="537"/>
      <c r="T47" s="537" t="s">
        <v>43</v>
      </c>
      <c r="U47" s="537"/>
      <c r="V47" s="537"/>
      <c r="W47" s="537"/>
    </row>
    <row r="48" s="16" customFormat="1" ht="17.25" spans="1:23">
      <c r="A48" s="469">
        <v>31123</v>
      </c>
      <c r="B48" s="197" t="s">
        <v>704</v>
      </c>
      <c r="C48" s="468">
        <v>311</v>
      </c>
      <c r="D48" s="548">
        <f t="shared" ref="D48:D63" si="7">INT(VLOOKUP(J48,$A$7:$D$12,2,0)/COUNTIF($J$21:$J$194,J48))</f>
        <v>68</v>
      </c>
      <c r="E48" s="197" t="s">
        <v>668</v>
      </c>
      <c r="F48" s="469"/>
      <c r="G48" s="16" t="str">
        <f t="shared" ref="G48:G63" si="8">IFERROR(VLOOKUP(D48,O:Q,3,0),"")</f>
        <v/>
      </c>
      <c r="H48" s="197"/>
      <c r="I48" s="549" t="s">
        <v>705</v>
      </c>
      <c r="J48" s="527" t="s">
        <v>242</v>
      </c>
      <c r="K48" s="16">
        <f>K43</f>
        <v>20</v>
      </c>
      <c r="L48" s="16">
        <v>50002</v>
      </c>
      <c r="M48" s="16" t="e">
        <f>SUBSTITUTE(SUBSTITUTE(SUBSTITUTE(E51,""&amp;#REF!,""),"}]",""),",","")</f>
        <v>#REF!</v>
      </c>
      <c r="N48" s="535">
        <v>5303000</v>
      </c>
      <c r="O48" s="535" t="s">
        <v>272</v>
      </c>
      <c r="P48" s="537">
        <v>256</v>
      </c>
      <c r="Q48" s="537">
        <v>25.6</v>
      </c>
      <c r="R48" s="537" t="s">
        <v>539</v>
      </c>
      <c r="S48" s="537"/>
      <c r="T48" s="537" t="s">
        <v>43</v>
      </c>
      <c r="U48" s="537"/>
      <c r="V48" s="537"/>
      <c r="W48" s="537"/>
    </row>
    <row r="49" s="16" customFormat="1" ht="17.25" spans="1:23">
      <c r="A49" s="469">
        <v>31124</v>
      </c>
      <c r="B49" s="197" t="s">
        <v>706</v>
      </c>
      <c r="C49" s="468">
        <v>311</v>
      </c>
      <c r="D49" s="548">
        <f t="shared" si="7"/>
        <v>68</v>
      </c>
      <c r="E49" s="197" t="s">
        <v>673</v>
      </c>
      <c r="F49" s="469"/>
      <c r="G49" s="16" t="str">
        <f t="shared" si="8"/>
        <v/>
      </c>
      <c r="H49" s="197"/>
      <c r="I49" s="549" t="s">
        <v>707</v>
      </c>
      <c r="J49" s="527" t="s">
        <v>242</v>
      </c>
      <c r="K49" s="16">
        <f>K44</f>
        <v>40</v>
      </c>
      <c r="L49" s="16">
        <v>50002</v>
      </c>
      <c r="M49" s="16" t="e">
        <f>SUBSTITUTE(SUBSTITUTE(SUBSTITUTE(E52,""&amp;#REF!,""),"}]",""),",","")</f>
        <v>#REF!</v>
      </c>
      <c r="N49" s="535">
        <v>5304000</v>
      </c>
      <c r="O49" s="535" t="s">
        <v>274</v>
      </c>
      <c r="P49" s="537">
        <v>1024</v>
      </c>
      <c r="Q49" s="537">
        <v>102.4</v>
      </c>
      <c r="R49" s="537" t="s">
        <v>543</v>
      </c>
      <c r="S49" s="537"/>
      <c r="T49" s="537" t="s">
        <v>43</v>
      </c>
      <c r="U49" s="537"/>
      <c r="V49" s="537"/>
      <c r="W49" s="537" t="s">
        <v>708</v>
      </c>
    </row>
    <row r="50" s="16" customFormat="1" ht="17.25" spans="1:23">
      <c r="A50" s="469">
        <v>31125</v>
      </c>
      <c r="B50" s="197" t="s">
        <v>702</v>
      </c>
      <c r="C50" s="468">
        <v>311</v>
      </c>
      <c r="D50" s="548">
        <f t="shared" si="7"/>
        <v>68</v>
      </c>
      <c r="E50" s="197" t="s">
        <v>699</v>
      </c>
      <c r="F50" s="469"/>
      <c r="G50" s="16" t="str">
        <f t="shared" si="8"/>
        <v/>
      </c>
      <c r="H50" s="197"/>
      <c r="I50" s="549" t="s">
        <v>703</v>
      </c>
      <c r="J50" s="527" t="s">
        <v>242</v>
      </c>
      <c r="K50" s="16">
        <f>K46</f>
        <v>10</v>
      </c>
      <c r="L50" s="16">
        <v>50002</v>
      </c>
      <c r="M50" s="16" t="e">
        <f>SUBSTITUTE(SUBSTITUTE(SUBSTITUTE(E53,""&amp;#REF!,""),"}]",""),",","")</f>
        <v>#REF!</v>
      </c>
      <c r="N50" s="535">
        <v>5305000</v>
      </c>
      <c r="O50" s="535" t="s">
        <v>276</v>
      </c>
      <c r="P50" s="537">
        <v>4096</v>
      </c>
      <c r="Q50" s="537">
        <v>409.6</v>
      </c>
      <c r="R50" s="550" t="s">
        <v>551</v>
      </c>
      <c r="S50" s="550"/>
      <c r="T50" s="537" t="s">
        <v>43</v>
      </c>
      <c r="U50" s="537"/>
      <c r="V50" s="537"/>
      <c r="W50" s="537">
        <v>1638.4</v>
      </c>
    </row>
    <row r="51" s="16" customFormat="1" ht="17.25" spans="1:23">
      <c r="A51" s="469">
        <v>31126</v>
      </c>
      <c r="B51" s="197" t="s">
        <v>704</v>
      </c>
      <c r="C51" s="468">
        <v>311</v>
      </c>
      <c r="D51" s="548">
        <f t="shared" si="7"/>
        <v>68</v>
      </c>
      <c r="E51" s="197" t="s">
        <v>700</v>
      </c>
      <c r="F51" s="469"/>
      <c r="G51" s="16" t="str">
        <f t="shared" si="8"/>
        <v/>
      </c>
      <c r="H51" s="197"/>
      <c r="I51" s="549" t="s">
        <v>705</v>
      </c>
      <c r="J51" s="527" t="s">
        <v>242</v>
      </c>
      <c r="K51" s="16">
        <f t="shared" ref="K51:K59" si="9">K48</f>
        <v>20</v>
      </c>
      <c r="L51" s="16">
        <v>50002</v>
      </c>
      <c r="M51" s="16" t="e">
        <f>SUBSTITUTE(SUBSTITUTE(SUBSTITUTE(E54,""&amp;#REF!,""),"}]",""),",","")</f>
        <v>#REF!</v>
      </c>
      <c r="N51" s="535">
        <v>5306000</v>
      </c>
      <c r="O51" s="535" t="s">
        <v>278</v>
      </c>
      <c r="P51" s="537">
        <v>16384</v>
      </c>
      <c r="Q51" s="537">
        <v>1638.4</v>
      </c>
      <c r="R51" s="550" t="s">
        <v>551</v>
      </c>
      <c r="S51" s="550"/>
      <c r="T51" s="537" t="s">
        <v>43</v>
      </c>
      <c r="U51" s="537"/>
      <c r="V51" s="537"/>
      <c r="W51" s="537">
        <v>6553.6</v>
      </c>
    </row>
    <row r="52" s="16" customFormat="1" ht="17.25" spans="1:23">
      <c r="A52" s="469">
        <v>31127</v>
      </c>
      <c r="B52" s="197" t="s">
        <v>706</v>
      </c>
      <c r="C52" s="468">
        <v>311</v>
      </c>
      <c r="D52" s="548">
        <f t="shared" si="7"/>
        <v>68</v>
      </c>
      <c r="E52" s="197" t="s">
        <v>701</v>
      </c>
      <c r="F52" s="469"/>
      <c r="G52" s="16" t="str">
        <f t="shared" si="8"/>
        <v/>
      </c>
      <c r="H52" s="197"/>
      <c r="I52" s="549" t="s">
        <v>707</v>
      </c>
      <c r="J52" s="527" t="s">
        <v>242</v>
      </c>
      <c r="K52" s="16">
        <f t="shared" si="9"/>
        <v>40</v>
      </c>
      <c r="L52" s="16">
        <v>50002</v>
      </c>
      <c r="M52" s="16" t="e">
        <f>SUBSTITUTE(SUBSTITUTE(SUBSTITUTE(E55,""&amp;#REF!,""),"}]",""),",","")</f>
        <v>#REF!</v>
      </c>
      <c r="N52" s="535">
        <v>5307000</v>
      </c>
      <c r="O52" s="535" t="s">
        <v>281</v>
      </c>
      <c r="P52" s="537">
        <v>65536</v>
      </c>
      <c r="Q52" s="537">
        <v>6553.6</v>
      </c>
      <c r="R52" s="550" t="s">
        <v>551</v>
      </c>
      <c r="S52" s="550"/>
      <c r="T52" s="537" t="s">
        <v>43</v>
      </c>
      <c r="U52" s="537"/>
      <c r="V52" s="537"/>
      <c r="W52" s="537">
        <v>26214.4</v>
      </c>
    </row>
    <row r="53" s="16" customFormat="1" ht="17.25" spans="1:23">
      <c r="A53" s="469">
        <v>31128</v>
      </c>
      <c r="B53" s="197" t="s">
        <v>709</v>
      </c>
      <c r="C53" s="468">
        <v>311</v>
      </c>
      <c r="D53" s="548">
        <f t="shared" si="7"/>
        <v>68</v>
      </c>
      <c r="E53" s="197" t="s">
        <v>691</v>
      </c>
      <c r="F53" s="469"/>
      <c r="G53" s="16" t="str">
        <f t="shared" si="8"/>
        <v/>
      </c>
      <c r="H53" s="197"/>
      <c r="I53" s="549" t="s">
        <v>710</v>
      </c>
      <c r="J53" s="527" t="s">
        <v>242</v>
      </c>
      <c r="K53" s="16">
        <f t="shared" si="9"/>
        <v>10</v>
      </c>
      <c r="L53" s="16">
        <v>50002</v>
      </c>
      <c r="M53" s="16" t="e">
        <f>SUBSTITUTE(SUBSTITUTE(SUBSTITUTE(E56,""&amp;#REF!,""),"}]",""),",","")</f>
        <v>#REF!</v>
      </c>
      <c r="N53" s="535"/>
      <c r="O53" s="535" t="s">
        <v>711</v>
      </c>
      <c r="P53" s="537">
        <v>16</v>
      </c>
      <c r="Q53" s="537">
        <v>1.6</v>
      </c>
      <c r="R53" s="537" t="s">
        <v>543</v>
      </c>
      <c r="S53" s="537"/>
      <c r="T53" s="537" t="s">
        <v>43</v>
      </c>
      <c r="U53" s="537"/>
      <c r="V53" s="537"/>
      <c r="W53" s="537"/>
    </row>
    <row r="54" s="16" customFormat="1" ht="17.25" spans="1:23">
      <c r="A54" s="469">
        <v>31129</v>
      </c>
      <c r="B54" s="197" t="s">
        <v>712</v>
      </c>
      <c r="C54" s="468">
        <v>311</v>
      </c>
      <c r="D54" s="548">
        <f t="shared" si="7"/>
        <v>68</v>
      </c>
      <c r="E54" s="197" t="s">
        <v>668</v>
      </c>
      <c r="F54" s="469"/>
      <c r="G54" s="16" t="str">
        <f t="shared" si="8"/>
        <v/>
      </c>
      <c r="H54" s="197"/>
      <c r="I54" s="549" t="s">
        <v>713</v>
      </c>
      <c r="J54" s="527" t="s">
        <v>242</v>
      </c>
      <c r="K54" s="16">
        <f t="shared" si="9"/>
        <v>20</v>
      </c>
      <c r="L54" s="16">
        <v>50002</v>
      </c>
      <c r="M54" s="16" t="e">
        <f>SUBSTITUTE(SUBSTITUTE(SUBSTITUTE(E57,""&amp;#REF!,""),"}]",""),",","")</f>
        <v>#REF!</v>
      </c>
      <c r="N54" s="535"/>
      <c r="O54" s="535" t="s">
        <v>714</v>
      </c>
      <c r="P54" s="537">
        <v>64</v>
      </c>
      <c r="Q54" s="537">
        <v>6.4</v>
      </c>
      <c r="R54" s="537" t="s">
        <v>543</v>
      </c>
      <c r="S54" s="537"/>
      <c r="T54" s="537" t="s">
        <v>43</v>
      </c>
      <c r="U54" s="537"/>
      <c r="V54" s="537"/>
      <c r="W54" s="537"/>
    </row>
    <row r="55" s="16" customFormat="1" ht="17.25" spans="1:23">
      <c r="A55" s="469">
        <v>31130</v>
      </c>
      <c r="B55" s="197" t="s">
        <v>715</v>
      </c>
      <c r="C55" s="468">
        <v>311</v>
      </c>
      <c r="D55" s="548">
        <f t="shared" si="7"/>
        <v>68</v>
      </c>
      <c r="E55" s="197" t="s">
        <v>673</v>
      </c>
      <c r="F55" s="469"/>
      <c r="G55" s="16" t="str">
        <f t="shared" si="8"/>
        <v/>
      </c>
      <c r="H55" s="197"/>
      <c r="I55" s="549" t="s">
        <v>716</v>
      </c>
      <c r="J55" s="527" t="s">
        <v>242</v>
      </c>
      <c r="K55" s="16">
        <f t="shared" si="9"/>
        <v>40</v>
      </c>
      <c r="L55" s="16">
        <v>50002</v>
      </c>
      <c r="M55" s="16" t="e">
        <f>SUBSTITUTE(SUBSTITUTE(SUBSTITUTE(E58,""&amp;#REF!,""),"}]",""),",","")</f>
        <v>#REF!</v>
      </c>
      <c r="N55" s="535"/>
      <c r="O55" s="535" t="s">
        <v>717</v>
      </c>
      <c r="P55" s="537">
        <v>256</v>
      </c>
      <c r="Q55" s="537">
        <v>25.6</v>
      </c>
      <c r="R55" s="537" t="s">
        <v>543</v>
      </c>
      <c r="S55" s="537"/>
      <c r="T55" s="537" t="s">
        <v>43</v>
      </c>
      <c r="U55" s="537"/>
      <c r="V55" s="537"/>
      <c r="W55" s="537"/>
    </row>
    <row r="56" s="16" customFormat="1" ht="17.25" spans="1:23">
      <c r="A56" s="469">
        <v>31131</v>
      </c>
      <c r="B56" s="197" t="s">
        <v>709</v>
      </c>
      <c r="C56" s="468">
        <v>311</v>
      </c>
      <c r="D56" s="548">
        <f t="shared" si="7"/>
        <v>68</v>
      </c>
      <c r="E56" s="197" t="s">
        <v>699</v>
      </c>
      <c r="F56" s="469"/>
      <c r="G56" s="16" t="str">
        <f t="shared" si="8"/>
        <v/>
      </c>
      <c r="H56" s="197"/>
      <c r="I56" s="549" t="s">
        <v>710</v>
      </c>
      <c r="J56" s="527" t="s">
        <v>242</v>
      </c>
      <c r="K56" s="16">
        <f t="shared" si="9"/>
        <v>10</v>
      </c>
      <c r="L56" s="16">
        <v>50002</v>
      </c>
      <c r="M56" s="16" t="e">
        <f>SUBSTITUTE(SUBSTITUTE(SUBSTITUTE(E59,""&amp;#REF!,""),"}]",""),",","")</f>
        <v>#REF!</v>
      </c>
      <c r="N56" s="535"/>
      <c r="O56" s="535" t="s">
        <v>718</v>
      </c>
      <c r="P56" s="537">
        <v>1024</v>
      </c>
      <c r="Q56" s="537">
        <v>102.4</v>
      </c>
      <c r="R56" s="537" t="s">
        <v>543</v>
      </c>
      <c r="S56" s="537"/>
      <c r="T56" s="537" t="s">
        <v>43</v>
      </c>
      <c r="U56" s="537"/>
      <c r="V56" s="537"/>
      <c r="W56" s="537"/>
    </row>
    <row r="57" s="16" customFormat="1" ht="17.25" spans="1:23">
      <c r="A57" s="469">
        <v>31132</v>
      </c>
      <c r="B57" s="197" t="s">
        <v>712</v>
      </c>
      <c r="C57" s="468">
        <v>311</v>
      </c>
      <c r="D57" s="548">
        <f t="shared" si="7"/>
        <v>68</v>
      </c>
      <c r="E57" s="197" t="s">
        <v>700</v>
      </c>
      <c r="F57" s="469"/>
      <c r="G57" s="16" t="str">
        <f t="shared" si="8"/>
        <v/>
      </c>
      <c r="H57" s="197"/>
      <c r="I57" s="549" t="s">
        <v>713</v>
      </c>
      <c r="J57" s="527" t="s">
        <v>242</v>
      </c>
      <c r="K57" s="16">
        <f t="shared" si="9"/>
        <v>20</v>
      </c>
      <c r="L57" s="16">
        <v>50002</v>
      </c>
      <c r="M57" s="16" t="e">
        <f>SUBSTITUTE(SUBSTITUTE(SUBSTITUTE(#REF!,""&amp;#REF!,""),"}]",""),",","")</f>
        <v>#REF!</v>
      </c>
      <c r="N57" s="535"/>
      <c r="O57" s="535" t="s">
        <v>719</v>
      </c>
      <c r="P57" s="537">
        <v>4096</v>
      </c>
      <c r="Q57" s="537">
        <v>409.6</v>
      </c>
      <c r="R57" s="537" t="s">
        <v>551</v>
      </c>
      <c r="S57" s="537"/>
      <c r="T57" s="537" t="s">
        <v>43</v>
      </c>
      <c r="U57" s="537"/>
      <c r="V57" s="537"/>
      <c r="W57" s="537"/>
    </row>
    <row r="58" s="16" customFormat="1" ht="17.25" spans="1:23">
      <c r="A58" s="469">
        <v>31133</v>
      </c>
      <c r="B58" s="197" t="s">
        <v>715</v>
      </c>
      <c r="C58" s="468">
        <v>311</v>
      </c>
      <c r="D58" s="548">
        <f t="shared" si="7"/>
        <v>68</v>
      </c>
      <c r="E58" s="197" t="s">
        <v>701</v>
      </c>
      <c r="F58" s="469"/>
      <c r="G58" s="16" t="str">
        <f t="shared" si="8"/>
        <v/>
      </c>
      <c r="H58" s="197"/>
      <c r="I58" s="549" t="s">
        <v>716</v>
      </c>
      <c r="J58" s="527" t="s">
        <v>242</v>
      </c>
      <c r="K58" s="16">
        <f t="shared" si="9"/>
        <v>40</v>
      </c>
      <c r="L58" s="16">
        <v>50002</v>
      </c>
      <c r="M58" s="16" t="e">
        <f>SUBSTITUTE(SUBSTITUTE(SUBSTITUTE(E60,""&amp;#REF!,""),"}]",""),",","")</f>
        <v>#REF!</v>
      </c>
      <c r="N58" s="535"/>
      <c r="O58" s="535" t="s">
        <v>720</v>
      </c>
      <c r="P58" s="537">
        <v>16384</v>
      </c>
      <c r="Q58" s="537">
        <v>1638.4</v>
      </c>
      <c r="R58" s="537" t="s">
        <v>551</v>
      </c>
      <c r="S58" s="537"/>
      <c r="T58" s="537" t="s">
        <v>43</v>
      </c>
      <c r="U58" s="537"/>
      <c r="V58" s="537"/>
      <c r="W58" s="537"/>
    </row>
    <row r="59" s="16" customFormat="1" ht="17.25" spans="1:23">
      <c r="A59" s="469">
        <v>31134</v>
      </c>
      <c r="B59" s="197" t="s">
        <v>721</v>
      </c>
      <c r="C59" s="468">
        <v>311</v>
      </c>
      <c r="D59" s="548">
        <f t="shared" si="7"/>
        <v>68</v>
      </c>
      <c r="E59" s="197" t="s">
        <v>691</v>
      </c>
      <c r="F59" s="469"/>
      <c r="G59" s="16" t="str">
        <f t="shared" si="8"/>
        <v/>
      </c>
      <c r="H59" s="197"/>
      <c r="I59" s="549" t="s">
        <v>722</v>
      </c>
      <c r="J59" s="527" t="s">
        <v>242</v>
      </c>
      <c r="K59" s="16">
        <f t="shared" si="9"/>
        <v>10</v>
      </c>
      <c r="L59" s="16">
        <v>50002</v>
      </c>
      <c r="M59" s="16" t="e">
        <f>SUBSTITUTE(SUBSTITUTE(SUBSTITUTE(E61,""&amp;#REF!,""),"}]",""),",","")</f>
        <v>#REF!</v>
      </c>
      <c r="N59" s="535"/>
      <c r="O59" s="535" t="s">
        <v>723</v>
      </c>
      <c r="P59" s="537">
        <v>65536</v>
      </c>
      <c r="Q59" s="537">
        <v>6553.6</v>
      </c>
      <c r="R59" s="537" t="s">
        <v>551</v>
      </c>
      <c r="S59" s="537"/>
      <c r="T59" s="537" t="s">
        <v>43</v>
      </c>
      <c r="U59" s="537"/>
      <c r="V59" s="537"/>
      <c r="W59" s="537">
        <v>0.3</v>
      </c>
    </row>
    <row r="60" s="16" customFormat="1" ht="17.25" spans="1:23">
      <c r="A60" s="469">
        <v>31135</v>
      </c>
      <c r="B60" s="197" t="s">
        <v>724</v>
      </c>
      <c r="C60" s="468">
        <v>311</v>
      </c>
      <c r="D60" s="548">
        <f t="shared" si="7"/>
        <v>68</v>
      </c>
      <c r="E60" s="197" t="s">
        <v>673</v>
      </c>
      <c r="F60" s="469"/>
      <c r="G60" s="16" t="str">
        <f t="shared" si="8"/>
        <v/>
      </c>
      <c r="H60" s="197"/>
      <c r="I60" s="549" t="s">
        <v>725</v>
      </c>
      <c r="J60" s="527" t="s">
        <v>242</v>
      </c>
      <c r="K60" s="16">
        <f>K58</f>
        <v>40</v>
      </c>
      <c r="L60" s="16">
        <v>50002</v>
      </c>
      <c r="M60" s="16" t="e">
        <f>SUBSTITUTE(SUBSTITUTE(SUBSTITUTE(E62,""&amp;#REF!,""),"}]",""),",","")</f>
        <v>#REF!</v>
      </c>
      <c r="N60" s="535"/>
      <c r="O60" s="535" t="s">
        <v>726</v>
      </c>
      <c r="P60" s="537">
        <v>319</v>
      </c>
      <c r="Q60" s="537"/>
      <c r="R60" s="537" t="s">
        <v>539</v>
      </c>
      <c r="S60" s="537"/>
      <c r="T60" s="537" t="s">
        <v>43</v>
      </c>
      <c r="U60" s="551" t="s">
        <v>343</v>
      </c>
      <c r="V60" s="537"/>
      <c r="W60" s="537">
        <v>1</v>
      </c>
    </row>
    <row r="61" s="16" customFormat="1" ht="17.25" spans="1:23">
      <c r="A61" s="469">
        <v>31136</v>
      </c>
      <c r="B61" s="197" t="s">
        <v>721</v>
      </c>
      <c r="C61" s="468">
        <v>311</v>
      </c>
      <c r="D61" s="548">
        <f t="shared" si="7"/>
        <v>68</v>
      </c>
      <c r="E61" s="197" t="s">
        <v>699</v>
      </c>
      <c r="F61" s="469"/>
      <c r="G61" s="16" t="str">
        <f t="shared" si="8"/>
        <v/>
      </c>
      <c r="H61" s="197"/>
      <c r="I61" s="549" t="s">
        <v>722</v>
      </c>
      <c r="J61" s="527" t="s">
        <v>242</v>
      </c>
      <c r="K61" s="16">
        <f>K59</f>
        <v>10</v>
      </c>
      <c r="L61" s="16">
        <v>50002</v>
      </c>
      <c r="M61" s="16" t="e">
        <f>SUBSTITUTE(SUBSTITUTE(SUBSTITUTE(E63,""&amp;#REF!,""),"}]",""),",","")</f>
        <v>#REF!</v>
      </c>
      <c r="N61" s="535"/>
      <c r="O61" s="535" t="s">
        <v>727</v>
      </c>
      <c r="P61" s="537">
        <v>319</v>
      </c>
      <c r="Q61" s="537"/>
      <c r="R61" s="537" t="s">
        <v>539</v>
      </c>
      <c r="S61" s="537"/>
      <c r="T61" s="537" t="s">
        <v>43</v>
      </c>
      <c r="U61" s="551" t="s">
        <v>343</v>
      </c>
      <c r="V61" s="537"/>
      <c r="W61" s="537">
        <v>10</v>
      </c>
    </row>
    <row r="62" s="16" customFormat="1" ht="17.25" spans="1:23">
      <c r="A62" s="469">
        <v>31137</v>
      </c>
      <c r="B62" s="197" t="s">
        <v>728</v>
      </c>
      <c r="C62" s="468">
        <v>311</v>
      </c>
      <c r="D62" s="548">
        <f t="shared" si="7"/>
        <v>68</v>
      </c>
      <c r="E62" s="197" t="s">
        <v>700</v>
      </c>
      <c r="F62" s="469"/>
      <c r="G62" s="16" t="str">
        <f t="shared" si="8"/>
        <v/>
      </c>
      <c r="H62" s="197"/>
      <c r="I62" s="549" t="s">
        <v>729</v>
      </c>
      <c r="J62" s="527" t="s">
        <v>242</v>
      </c>
      <c r="K62" s="16" t="e">
        <f>#REF!</f>
        <v>#REF!</v>
      </c>
      <c r="L62" s="16">
        <v>50002</v>
      </c>
      <c r="M62" s="16" t="e">
        <f>SUBSTITUTE(SUBSTITUTE(SUBSTITUTE(E68,""&amp;#REF!,""),"}]",""),",","")</f>
        <v>#REF!</v>
      </c>
      <c r="N62" s="535"/>
      <c r="O62" s="535" t="s">
        <v>730</v>
      </c>
      <c r="P62" s="537">
        <v>325</v>
      </c>
      <c r="Q62" s="537"/>
      <c r="R62" s="537" t="s">
        <v>539</v>
      </c>
      <c r="S62" s="537"/>
      <c r="T62" s="537" t="s">
        <v>43</v>
      </c>
      <c r="U62" s="551" t="s">
        <v>343</v>
      </c>
      <c r="V62" s="537"/>
      <c r="W62" s="537"/>
    </row>
    <row r="63" s="16" customFormat="1" ht="17.25" spans="1:23">
      <c r="A63" s="469">
        <v>31138</v>
      </c>
      <c r="B63" s="197" t="s">
        <v>724</v>
      </c>
      <c r="C63" s="468">
        <v>311</v>
      </c>
      <c r="D63" s="548">
        <f t="shared" si="7"/>
        <v>68</v>
      </c>
      <c r="E63" s="197" t="s">
        <v>701</v>
      </c>
      <c r="F63" s="469"/>
      <c r="G63" s="16" t="str">
        <f t="shared" si="8"/>
        <v/>
      </c>
      <c r="H63" s="197"/>
      <c r="I63" s="549" t="s">
        <v>725</v>
      </c>
      <c r="J63" s="527" t="s">
        <v>242</v>
      </c>
      <c r="K63" s="16">
        <f>K60</f>
        <v>40</v>
      </c>
      <c r="L63" s="16">
        <v>50002</v>
      </c>
      <c r="M63" s="16" t="e">
        <f>SUBSTITUTE(SUBSTITUTE(SUBSTITUTE(E69,""&amp;#REF!,""),"}]",""),",","")</f>
        <v>#REF!</v>
      </c>
      <c r="N63" s="535"/>
      <c r="O63" s="535" t="s">
        <v>731</v>
      </c>
      <c r="P63" s="537">
        <v>1736</v>
      </c>
      <c r="Q63" s="537"/>
      <c r="R63" s="537" t="s">
        <v>543</v>
      </c>
      <c r="S63" s="537"/>
      <c r="T63" s="537" t="s">
        <v>43</v>
      </c>
      <c r="U63" s="551" t="s">
        <v>343</v>
      </c>
      <c r="V63" s="537"/>
      <c r="W63" s="537"/>
    </row>
    <row r="64" s="16" customFormat="1" ht="16.5" spans="1:23">
      <c r="A64" s="469">
        <v>31139</v>
      </c>
      <c r="D64" s="16" t="s">
        <v>239</v>
      </c>
      <c r="F64" s="16">
        <v>1500</v>
      </c>
      <c r="G64" s="16">
        <v>150</v>
      </c>
      <c r="L64" s="16" t="s">
        <v>340</v>
      </c>
      <c r="M64" s="16" t="e">
        <f>SUBSTITUTE(SUBSTITUTE(SUBSTITUTE(E70,""&amp;#REF!,""),"}]",""),",","")</f>
        <v>#REF!</v>
      </c>
      <c r="N64" s="535"/>
      <c r="O64" s="535" t="s">
        <v>732</v>
      </c>
      <c r="P64" s="537"/>
      <c r="Q64" s="537"/>
      <c r="R64" s="537" t="s">
        <v>551</v>
      </c>
      <c r="S64" s="537"/>
      <c r="T64" s="537" t="s">
        <v>43</v>
      </c>
      <c r="U64" s="551" t="s">
        <v>343</v>
      </c>
      <c r="V64" s="537"/>
      <c r="W64" s="537"/>
    </row>
    <row r="65" s="16" customFormat="1" ht="16.5" spans="1:23">
      <c r="A65" s="469">
        <v>31140</v>
      </c>
      <c r="D65" s="16" t="s">
        <v>240</v>
      </c>
      <c r="F65" s="16">
        <v>5000</v>
      </c>
      <c r="G65" s="16">
        <v>500</v>
      </c>
      <c r="L65" s="16" t="s">
        <v>347</v>
      </c>
      <c r="M65" s="16" t="e">
        <f>SUBSTITUTE(SUBSTITUTE(SUBSTITUTE(E71,""&amp;#REF!,""),"}]",""),",","")</f>
        <v>#REF!</v>
      </c>
      <c r="N65" s="552"/>
      <c r="O65" s="552" t="s">
        <v>733</v>
      </c>
      <c r="P65" s="553">
        <v>29577</v>
      </c>
      <c r="Q65" s="553"/>
      <c r="R65" s="553" t="s">
        <v>551</v>
      </c>
      <c r="S65" s="553"/>
      <c r="T65" s="553" t="s">
        <v>43</v>
      </c>
      <c r="U65" s="551" t="s">
        <v>343</v>
      </c>
      <c r="V65" s="537"/>
      <c r="W65" s="537" t="s">
        <v>734</v>
      </c>
    </row>
    <row r="66" s="16" customFormat="1" ht="16.5" spans="1:23">
      <c r="A66" s="469">
        <v>31141</v>
      </c>
      <c r="D66" s="16" t="s">
        <v>241</v>
      </c>
      <c r="F66" s="16">
        <v>16000</v>
      </c>
      <c r="G66" s="16">
        <v>1600</v>
      </c>
      <c r="L66" s="16" t="s">
        <v>349</v>
      </c>
      <c r="M66" s="16" t="e">
        <f>SUBSTITUTE(SUBSTITUTE(SUBSTITUTE(E72,""&amp;#REF!,""),"}]",""),",","")</f>
        <v>#REF!</v>
      </c>
      <c r="N66" s="535"/>
      <c r="O66" s="535" t="s">
        <v>735</v>
      </c>
      <c r="P66" s="537"/>
      <c r="Q66" s="537"/>
      <c r="R66" s="537" t="s">
        <v>543</v>
      </c>
      <c r="S66" s="537"/>
      <c r="T66" s="537" t="s">
        <v>43</v>
      </c>
      <c r="U66" s="551" t="s">
        <v>343</v>
      </c>
      <c r="V66" s="537"/>
      <c r="W66" s="537"/>
    </row>
    <row r="67" s="16" customFormat="1" ht="16.5" spans="1:23">
      <c r="A67" s="469">
        <v>31142</v>
      </c>
      <c r="M67" s="16" t="e">
        <f>SUBSTITUTE(SUBSTITUTE(SUBSTITUTE(E73,""&amp;#REF!,""),"}]",""),",","")</f>
        <v>#REF!</v>
      </c>
      <c r="N67" s="535"/>
      <c r="O67" s="535" t="s">
        <v>726</v>
      </c>
      <c r="P67" s="537">
        <v>305</v>
      </c>
      <c r="Q67" s="537"/>
      <c r="R67" s="537" t="s">
        <v>543</v>
      </c>
      <c r="S67" s="537"/>
      <c r="T67" s="537" t="s">
        <v>43</v>
      </c>
      <c r="U67" s="554" t="s">
        <v>340</v>
      </c>
      <c r="V67" s="537"/>
      <c r="W67" s="537"/>
    </row>
    <row r="68" s="16" customFormat="1" ht="17.25" spans="1:23">
      <c r="A68" s="469">
        <v>31143</v>
      </c>
      <c r="B68" s="197" t="s">
        <v>736</v>
      </c>
      <c r="C68" s="468">
        <v>311</v>
      </c>
      <c r="D68" s="548">
        <f t="shared" ref="D68:D96" si="10">INT(VLOOKUP(J68,$A$7:$D$12,2,0)/COUNTIF($J$21:$J$194,J68))</f>
        <v>68</v>
      </c>
      <c r="E68" s="197" t="s">
        <v>691</v>
      </c>
      <c r="F68" s="469"/>
      <c r="G68" s="16" t="str">
        <f t="shared" ref="G68:G92" si="11">IFERROR(VLOOKUP(D68,O:Q,3,0),"")</f>
        <v/>
      </c>
      <c r="H68" s="197"/>
      <c r="I68" s="549" t="s">
        <v>737</v>
      </c>
      <c r="J68" s="527" t="s">
        <v>242</v>
      </c>
      <c r="K68" s="16">
        <f>K61</f>
        <v>10</v>
      </c>
      <c r="L68" s="16">
        <v>50002</v>
      </c>
      <c r="M68" s="16" t="e">
        <f>SUBSTITUTE(SUBSTITUTE(SUBSTITUTE(E74,""&amp;#REF!,""),"}]",""),",","")</f>
        <v>#REF!</v>
      </c>
      <c r="N68" s="535"/>
      <c r="O68" s="535" t="s">
        <v>727</v>
      </c>
      <c r="P68" s="537">
        <v>305</v>
      </c>
      <c r="Q68" s="537"/>
      <c r="R68" s="537" t="s">
        <v>543</v>
      </c>
      <c r="S68" s="537"/>
      <c r="T68" s="537" t="s">
        <v>43</v>
      </c>
      <c r="U68" s="554" t="s">
        <v>340</v>
      </c>
      <c r="V68" s="537"/>
      <c r="W68" s="537"/>
    </row>
    <row r="69" s="16" customFormat="1" ht="17.25" spans="1:23">
      <c r="A69" s="469">
        <v>31144</v>
      </c>
      <c r="B69" s="197" t="s">
        <v>738</v>
      </c>
      <c r="C69" s="468">
        <v>311</v>
      </c>
      <c r="D69" s="548">
        <f t="shared" si="10"/>
        <v>68</v>
      </c>
      <c r="E69" s="197" t="s">
        <v>668</v>
      </c>
      <c r="F69" s="469"/>
      <c r="G69" s="16" t="str">
        <f t="shared" si="11"/>
        <v/>
      </c>
      <c r="H69" s="197"/>
      <c r="I69" s="549" t="s">
        <v>739</v>
      </c>
      <c r="J69" s="527" t="s">
        <v>242</v>
      </c>
      <c r="K69" s="16" t="e">
        <f>K62</f>
        <v>#REF!</v>
      </c>
      <c r="L69" s="16">
        <v>50002</v>
      </c>
      <c r="M69" s="16" t="e">
        <f>SUBSTITUTE(SUBSTITUTE(SUBSTITUTE(E76,""&amp;#REF!,""),"}]",""),",","")</f>
        <v>#REF!</v>
      </c>
      <c r="N69" s="535"/>
      <c r="O69" s="535" t="s">
        <v>730</v>
      </c>
      <c r="P69" s="537">
        <v>268</v>
      </c>
      <c r="Q69" s="537"/>
      <c r="R69" s="537" t="s">
        <v>543</v>
      </c>
      <c r="S69" s="537"/>
      <c r="T69" s="537" t="s">
        <v>43</v>
      </c>
      <c r="U69" s="554" t="s">
        <v>340</v>
      </c>
      <c r="V69" s="537"/>
      <c r="W69" s="537"/>
    </row>
    <row r="70" s="16" customFormat="1" ht="17.25" spans="1:23">
      <c r="A70" s="469">
        <v>31145</v>
      </c>
      <c r="B70" s="197" t="s">
        <v>740</v>
      </c>
      <c r="C70" s="468">
        <v>311</v>
      </c>
      <c r="D70" s="548">
        <f t="shared" si="10"/>
        <v>68</v>
      </c>
      <c r="E70" s="197" t="s">
        <v>673</v>
      </c>
      <c r="F70" s="469"/>
      <c r="G70" s="16" t="str">
        <f t="shared" si="11"/>
        <v/>
      </c>
      <c r="H70" s="197"/>
      <c r="I70" s="549" t="s">
        <v>741</v>
      </c>
      <c r="J70" s="527" t="s">
        <v>242</v>
      </c>
      <c r="K70" s="16">
        <f>K63</f>
        <v>40</v>
      </c>
      <c r="L70" s="16">
        <v>50002</v>
      </c>
      <c r="M70" s="16" t="e">
        <f>SUBSTITUTE(SUBSTITUTE(SUBSTITUTE(E77,""&amp;#REF!,""),"}]",""),",","")</f>
        <v>#REF!</v>
      </c>
      <c r="N70" s="535"/>
      <c r="O70" s="535" t="s">
        <v>731</v>
      </c>
      <c r="P70" s="537">
        <v>2600</v>
      </c>
      <c r="Q70" s="537"/>
      <c r="R70" s="537" t="s">
        <v>551</v>
      </c>
      <c r="S70" s="537"/>
      <c r="T70" s="537" t="s">
        <v>43</v>
      </c>
      <c r="U70" s="554" t="s">
        <v>340</v>
      </c>
      <c r="V70" s="537"/>
      <c r="W70" s="537"/>
    </row>
    <row r="71" s="16" customFormat="1" ht="17.25" spans="1:23">
      <c r="A71" s="469">
        <v>31146</v>
      </c>
      <c r="B71" s="197" t="s">
        <v>736</v>
      </c>
      <c r="C71" s="468">
        <v>311</v>
      </c>
      <c r="D71" s="548">
        <f t="shared" si="10"/>
        <v>68</v>
      </c>
      <c r="E71" s="197" t="s">
        <v>699</v>
      </c>
      <c r="F71" s="469"/>
      <c r="G71" s="16" t="str">
        <f t="shared" si="11"/>
        <v/>
      </c>
      <c r="H71" s="197"/>
      <c r="I71" s="549" t="s">
        <v>737</v>
      </c>
      <c r="J71" s="527" t="s">
        <v>242</v>
      </c>
      <c r="K71" s="16">
        <f>K68</f>
        <v>10</v>
      </c>
      <c r="L71" s="16">
        <v>50002</v>
      </c>
      <c r="M71" s="16" t="e">
        <f>SUBSTITUTE(SUBSTITUTE(SUBSTITUTE(E78,""&amp;#REF!,""),"}]",""),",","")</f>
        <v>#REF!</v>
      </c>
      <c r="N71" s="535"/>
      <c r="O71" s="535" t="s">
        <v>732</v>
      </c>
      <c r="P71" s="537">
        <v>4000</v>
      </c>
      <c r="Q71" s="537"/>
      <c r="R71" s="537" t="s">
        <v>551</v>
      </c>
      <c r="S71" s="537"/>
      <c r="T71" s="537" t="s">
        <v>43</v>
      </c>
      <c r="U71" s="554" t="s">
        <v>340</v>
      </c>
      <c r="V71" s="537"/>
      <c r="W71" s="537"/>
    </row>
    <row r="72" s="16" customFormat="1" ht="17.25" spans="1:23">
      <c r="A72" s="469">
        <v>31147</v>
      </c>
      <c r="B72" s="197" t="s">
        <v>738</v>
      </c>
      <c r="C72" s="468">
        <v>311</v>
      </c>
      <c r="D72" s="548">
        <f t="shared" si="10"/>
        <v>68</v>
      </c>
      <c r="E72" s="197" t="s">
        <v>700</v>
      </c>
      <c r="F72" s="469"/>
      <c r="G72" s="16" t="str">
        <f t="shared" si="11"/>
        <v/>
      </c>
      <c r="H72" s="197"/>
      <c r="I72" s="549" t="s">
        <v>739</v>
      </c>
      <c r="J72" s="527" t="s">
        <v>242</v>
      </c>
      <c r="K72" s="16" t="e">
        <f>K69</f>
        <v>#REF!</v>
      </c>
      <c r="L72" s="16">
        <v>50002</v>
      </c>
      <c r="M72" s="16" t="e">
        <f>SUBSTITUTE(SUBSTITUTE(SUBSTITUTE(E79,""&amp;#REF!,""),"}]",""),",","")</f>
        <v>#REF!</v>
      </c>
      <c r="N72" s="535"/>
      <c r="O72" s="535" t="s">
        <v>733</v>
      </c>
      <c r="P72" s="537">
        <v>12857</v>
      </c>
      <c r="Q72" s="537"/>
      <c r="R72" s="537" t="s">
        <v>551</v>
      </c>
      <c r="S72" s="537"/>
      <c r="T72" s="537" t="s">
        <v>43</v>
      </c>
      <c r="U72" s="554" t="s">
        <v>340</v>
      </c>
      <c r="V72" s="537"/>
      <c r="W72" s="537" t="s">
        <v>742</v>
      </c>
    </row>
    <row r="73" s="16" customFormat="1" ht="17.25" spans="1:23">
      <c r="A73" s="469">
        <v>31148</v>
      </c>
      <c r="B73" s="197" t="s">
        <v>740</v>
      </c>
      <c r="C73" s="468">
        <v>311</v>
      </c>
      <c r="D73" s="548">
        <f t="shared" si="10"/>
        <v>68</v>
      </c>
      <c r="E73" s="197" t="s">
        <v>701</v>
      </c>
      <c r="F73" s="469"/>
      <c r="G73" s="16" t="str">
        <f t="shared" si="11"/>
        <v/>
      </c>
      <c r="H73" s="197"/>
      <c r="I73" s="549" t="s">
        <v>741</v>
      </c>
      <c r="J73" s="527" t="s">
        <v>242</v>
      </c>
      <c r="K73" s="16">
        <f>K70</f>
        <v>40</v>
      </c>
      <c r="L73" s="16">
        <v>50002</v>
      </c>
      <c r="M73" s="16" t="e">
        <f>SUBSTITUTE(SUBSTITUTE(SUBSTITUTE(#REF!,""&amp;#REF!,""),"}]",""),",","")</f>
        <v>#REF!</v>
      </c>
      <c r="N73" s="535"/>
      <c r="O73" s="535" t="s">
        <v>735</v>
      </c>
      <c r="P73" s="537">
        <v>8571</v>
      </c>
      <c r="Q73" s="537"/>
      <c r="R73" s="537" t="s">
        <v>551</v>
      </c>
      <c r="S73" s="537"/>
      <c r="T73" s="537" t="s">
        <v>43</v>
      </c>
      <c r="U73" s="554" t="s">
        <v>340</v>
      </c>
      <c r="V73" s="537"/>
      <c r="W73" s="537"/>
    </row>
    <row r="74" s="16" customFormat="1" ht="17.25" spans="1:23">
      <c r="A74" s="469">
        <v>31149</v>
      </c>
      <c r="B74" s="197" t="s">
        <v>743</v>
      </c>
      <c r="C74" s="468">
        <v>311</v>
      </c>
      <c r="D74" s="548">
        <f t="shared" si="10"/>
        <v>68</v>
      </c>
      <c r="E74" s="197" t="s">
        <v>691</v>
      </c>
      <c r="F74" s="469"/>
      <c r="G74" s="16" t="str">
        <f t="shared" si="11"/>
        <v/>
      </c>
      <c r="H74" s="197"/>
      <c r="I74" s="549" t="s">
        <v>744</v>
      </c>
      <c r="J74" s="527" t="s">
        <v>242</v>
      </c>
      <c r="K74" s="16">
        <f>K71</f>
        <v>10</v>
      </c>
      <c r="L74" s="16">
        <v>50002</v>
      </c>
      <c r="M74" s="16" t="e">
        <f>SUBSTITUTE(SUBSTITUTE(SUBSTITUTE(E80,""&amp;#REF!,""),"}]",""),",","")</f>
        <v>#REF!</v>
      </c>
      <c r="N74" s="535"/>
      <c r="O74" s="535" t="s">
        <v>726</v>
      </c>
      <c r="P74" s="537">
        <v>610</v>
      </c>
      <c r="Q74" s="537"/>
      <c r="R74" s="537" t="s">
        <v>543</v>
      </c>
      <c r="S74" s="537"/>
      <c r="T74" s="537" t="s">
        <v>43</v>
      </c>
      <c r="U74" s="555" t="s">
        <v>347</v>
      </c>
      <c r="V74" s="537"/>
      <c r="W74" s="537"/>
    </row>
    <row r="75" s="16" customFormat="1" ht="16.5" spans="1:23">
      <c r="A75" s="469">
        <v>31150</v>
      </c>
      <c r="M75" s="16" t="e">
        <f>SUBSTITUTE(SUBSTITUTE(SUBSTITUTE(E81,""&amp;#REF!,""),"}]",""),",","")</f>
        <v>#REF!</v>
      </c>
      <c r="N75" s="535"/>
      <c r="O75" s="535" t="s">
        <v>727</v>
      </c>
      <c r="P75" s="537">
        <v>610</v>
      </c>
      <c r="Q75" s="537"/>
      <c r="R75" s="537" t="s">
        <v>543</v>
      </c>
      <c r="S75" s="537"/>
      <c r="T75" s="537" t="s">
        <v>43</v>
      </c>
      <c r="U75" s="555" t="s">
        <v>347</v>
      </c>
      <c r="V75" s="537"/>
      <c r="W75" s="537"/>
    </row>
    <row r="76" s="16" customFormat="1" ht="17.25" spans="1:23">
      <c r="A76" s="469">
        <v>31151</v>
      </c>
      <c r="B76" s="197" t="s">
        <v>745</v>
      </c>
      <c r="C76" s="468">
        <v>311</v>
      </c>
      <c r="D76" s="548">
        <f>INT(VLOOKUP(J76,$A$7:$D$12,2,0)/COUNTIF($J$21:$J$194,J76))</f>
        <v>68</v>
      </c>
      <c r="E76" s="197" t="s">
        <v>668</v>
      </c>
      <c r="F76" s="469"/>
      <c r="G76" s="16" t="str">
        <f>IFERROR(VLOOKUP(D76,O:Q,3,0),"")</f>
        <v/>
      </c>
      <c r="H76" s="197"/>
      <c r="I76" s="549" t="s">
        <v>746</v>
      </c>
      <c r="J76" s="527" t="s">
        <v>242</v>
      </c>
      <c r="K76" s="16" t="e">
        <f>K72</f>
        <v>#REF!</v>
      </c>
      <c r="L76" s="16">
        <v>50002</v>
      </c>
      <c r="M76" s="16" t="e">
        <f>SUBSTITUTE(SUBSTITUTE(SUBSTITUTE(E82,""&amp;#REF!,""),"}]",""),",","")</f>
        <v>#REF!</v>
      </c>
      <c r="N76" s="535"/>
      <c r="O76" s="535" t="s">
        <v>730</v>
      </c>
      <c r="P76" s="537">
        <v>537</v>
      </c>
      <c r="Q76" s="537"/>
      <c r="R76" s="537" t="s">
        <v>543</v>
      </c>
      <c r="S76" s="537"/>
      <c r="T76" s="537" t="s">
        <v>43</v>
      </c>
      <c r="U76" s="555" t="s">
        <v>347</v>
      </c>
      <c r="V76" s="537"/>
      <c r="W76" s="537"/>
    </row>
    <row r="77" s="16" customFormat="1" ht="17.25" spans="1:23">
      <c r="A77" s="469">
        <v>31152</v>
      </c>
      <c r="B77" s="197" t="s">
        <v>747</v>
      </c>
      <c r="C77" s="468">
        <v>311</v>
      </c>
      <c r="D77" s="548">
        <f>INT(VLOOKUP(J77,$A$7:$D$12,2,0)/COUNTIF($J$21:$J$194,J77))</f>
        <v>68</v>
      </c>
      <c r="E77" s="197" t="s">
        <v>673</v>
      </c>
      <c r="F77" s="469"/>
      <c r="G77" s="16" t="str">
        <f>IFERROR(VLOOKUP(D77,O:Q,3,0),"")</f>
        <v/>
      </c>
      <c r="H77" s="197"/>
      <c r="I77" s="549" t="s">
        <v>748</v>
      </c>
      <c r="J77" s="527" t="s">
        <v>242</v>
      </c>
      <c r="K77" s="16">
        <f>K73</f>
        <v>40</v>
      </c>
      <c r="L77" s="16">
        <v>50002</v>
      </c>
      <c r="M77" s="16" t="e">
        <f>SUBSTITUTE(SUBSTITUTE(SUBSTITUTE(E83,""&amp;#REF!,""),"}]",""),",","")</f>
        <v>#REF!</v>
      </c>
      <c r="N77" s="535"/>
      <c r="O77" s="535" t="s">
        <v>731</v>
      </c>
      <c r="P77" s="537">
        <v>5200</v>
      </c>
      <c r="Q77" s="537"/>
      <c r="R77" s="537" t="s">
        <v>551</v>
      </c>
      <c r="S77" s="537"/>
      <c r="T77" s="537" t="s">
        <v>43</v>
      </c>
      <c r="U77" s="555" t="s">
        <v>347</v>
      </c>
      <c r="V77" s="537"/>
      <c r="W77" s="537"/>
    </row>
    <row r="78" s="16" customFormat="1" ht="17.25" spans="1:23">
      <c r="A78" s="469">
        <v>31153</v>
      </c>
      <c r="B78" s="197" t="s">
        <v>743</v>
      </c>
      <c r="C78" s="468">
        <v>311</v>
      </c>
      <c r="D78" s="548">
        <f>INT(VLOOKUP(J78,$A$7:$D$12,2,0)/COUNTIF($J$21:$J$194,J78))</f>
        <v>68</v>
      </c>
      <c r="E78" s="197" t="s">
        <v>699</v>
      </c>
      <c r="F78" s="469"/>
      <c r="G78" s="16" t="str">
        <f>IFERROR(VLOOKUP(D78,O:Q,3,0),"")</f>
        <v/>
      </c>
      <c r="H78" s="197"/>
      <c r="I78" s="549" t="s">
        <v>744</v>
      </c>
      <c r="J78" s="527" t="s">
        <v>242</v>
      </c>
      <c r="K78" s="16">
        <f>K74</f>
        <v>10</v>
      </c>
      <c r="L78" s="16">
        <v>50002</v>
      </c>
      <c r="M78" s="16" t="e">
        <f>SUBSTITUTE(SUBSTITUTE(SUBSTITUTE(E84,""&amp;#REF!,""),"}]",""),",","")</f>
        <v>#REF!</v>
      </c>
      <c r="N78" s="535"/>
      <c r="O78" s="535" t="s">
        <v>732</v>
      </c>
      <c r="P78" s="537">
        <v>8000</v>
      </c>
      <c r="Q78" s="537"/>
      <c r="R78" s="537" t="s">
        <v>551</v>
      </c>
      <c r="S78" s="537"/>
      <c r="T78" s="537" t="s">
        <v>43</v>
      </c>
      <c r="U78" s="555" t="s">
        <v>347</v>
      </c>
      <c r="V78" s="537"/>
      <c r="W78" s="537"/>
    </row>
    <row r="79" s="16" customFormat="1" ht="17.25" spans="1:23">
      <c r="A79" s="469">
        <v>31154</v>
      </c>
      <c r="B79" s="197" t="s">
        <v>745</v>
      </c>
      <c r="C79" s="468">
        <v>311</v>
      </c>
      <c r="D79" s="548">
        <f>INT(VLOOKUP(J79,$A$7:$D$12,2,0)/COUNTIF($J$21:$J$194,J79))</f>
        <v>68</v>
      </c>
      <c r="E79" s="197" t="s">
        <v>700</v>
      </c>
      <c r="F79" s="469"/>
      <c r="G79" s="16" t="str">
        <f>IFERROR(VLOOKUP(D79,O:Q,3,0),"")</f>
        <v/>
      </c>
      <c r="H79" s="197"/>
      <c r="I79" s="549" t="s">
        <v>746</v>
      </c>
      <c r="J79" s="527" t="s">
        <v>242</v>
      </c>
      <c r="K79" s="16" t="e">
        <f>K76</f>
        <v>#REF!</v>
      </c>
      <c r="L79" s="16">
        <v>50002</v>
      </c>
      <c r="M79" s="16" t="e">
        <f>SUBSTITUTE(SUBSTITUTE(SUBSTITUTE(E85,""&amp;#REF!,""),"}]",""),",","")</f>
        <v>#REF!</v>
      </c>
      <c r="N79" s="535"/>
      <c r="O79" s="535" t="s">
        <v>733</v>
      </c>
      <c r="P79" s="537">
        <v>25714</v>
      </c>
      <c r="Q79" s="537"/>
      <c r="R79" s="537" t="s">
        <v>551</v>
      </c>
      <c r="S79" s="537"/>
      <c r="T79" s="537" t="s">
        <v>43</v>
      </c>
      <c r="U79" s="555" t="s">
        <v>347</v>
      </c>
      <c r="V79" s="537"/>
      <c r="W79" s="537" t="s">
        <v>742</v>
      </c>
    </row>
    <row r="80" s="16" customFormat="1" ht="17.25" spans="1:23">
      <c r="A80" s="469">
        <v>31155</v>
      </c>
      <c r="B80" s="197" t="s">
        <v>749</v>
      </c>
      <c r="C80" s="468">
        <v>311</v>
      </c>
      <c r="D80" s="548">
        <f t="shared" si="10"/>
        <v>400</v>
      </c>
      <c r="E80" s="197" t="s">
        <v>750</v>
      </c>
      <c r="F80" s="469"/>
      <c r="G80" s="16" t="str">
        <f t="shared" si="11"/>
        <v/>
      </c>
      <c r="H80" s="197"/>
      <c r="I80" s="517" t="s">
        <v>627</v>
      </c>
      <c r="J80" s="527" t="s">
        <v>627</v>
      </c>
      <c r="K80" s="16">
        <v>1</v>
      </c>
      <c r="L80" s="16">
        <v>5305001</v>
      </c>
      <c r="M80" s="16" t="e">
        <f>SUBSTITUTE(SUBSTITUTE(SUBSTITUTE(E86,""&amp;#REF!,""),"}]",""),",","")</f>
        <v>#REF!</v>
      </c>
      <c r="N80" s="535"/>
      <c r="O80" s="535" t="s">
        <v>735</v>
      </c>
      <c r="P80" s="537">
        <v>17143</v>
      </c>
      <c r="Q80" s="537"/>
      <c r="R80" s="537" t="s">
        <v>551</v>
      </c>
      <c r="S80" s="537"/>
      <c r="T80" s="537" t="s">
        <v>43</v>
      </c>
      <c r="U80" s="555" t="s">
        <v>347</v>
      </c>
      <c r="V80" s="537"/>
      <c r="W80" s="537"/>
    </row>
    <row r="81" s="16" customFormat="1" ht="17.25" spans="1:23">
      <c r="A81" s="469">
        <v>31156</v>
      </c>
      <c r="B81" s="197" t="s">
        <v>751</v>
      </c>
      <c r="C81" s="468">
        <v>311</v>
      </c>
      <c r="D81" s="548">
        <f t="shared" si="10"/>
        <v>21</v>
      </c>
      <c r="E81" s="197" t="s">
        <v>752</v>
      </c>
      <c r="F81" s="469"/>
      <c r="G81" s="16" t="str">
        <f t="shared" si="11"/>
        <v/>
      </c>
      <c r="H81" s="197"/>
      <c r="I81" s="556" t="s">
        <v>753</v>
      </c>
      <c r="J81" s="527" t="s">
        <v>632</v>
      </c>
      <c r="K81" s="16">
        <v>1</v>
      </c>
      <c r="L81" s="16">
        <v>1310100</v>
      </c>
      <c r="M81" s="16" t="e">
        <f>SUBSTITUTE(SUBSTITUTE(SUBSTITUTE(E87,""&amp;#REF!,""),"}]",""),",","")</f>
        <v>#REF!</v>
      </c>
      <c r="N81" s="535"/>
      <c r="O81" s="535" t="s">
        <v>726</v>
      </c>
      <c r="P81" s="537">
        <v>1017</v>
      </c>
      <c r="Q81" s="537"/>
      <c r="R81" s="537" t="s">
        <v>551</v>
      </c>
      <c r="S81" s="537"/>
      <c r="T81" s="537" t="s">
        <v>43</v>
      </c>
      <c r="U81" s="557" t="s">
        <v>349</v>
      </c>
      <c r="V81" s="537"/>
      <c r="W81" s="537"/>
    </row>
    <row r="82" s="16" customFormat="1" ht="17.25" spans="1:23">
      <c r="A82" s="469">
        <v>31157</v>
      </c>
      <c r="B82" s="197" t="s">
        <v>754</v>
      </c>
      <c r="C82" s="468">
        <v>311</v>
      </c>
      <c r="D82" s="548">
        <f t="shared" si="10"/>
        <v>21</v>
      </c>
      <c r="E82" s="197" t="s">
        <v>752</v>
      </c>
      <c r="F82" s="469"/>
      <c r="G82" s="16" t="str">
        <f t="shared" si="11"/>
        <v/>
      </c>
      <c r="H82" s="197"/>
      <c r="I82" s="556" t="s">
        <v>755</v>
      </c>
      <c r="J82" s="527" t="s">
        <v>632</v>
      </c>
      <c r="K82" s="16">
        <v>1</v>
      </c>
      <c r="L82" s="16">
        <v>1310100</v>
      </c>
      <c r="M82" s="16" t="e">
        <f>SUBSTITUTE(SUBSTITUTE(SUBSTITUTE(E88,""&amp;#REF!,""),"}]",""),",","")</f>
        <v>#REF!</v>
      </c>
      <c r="N82" s="535"/>
      <c r="O82" s="535" t="s">
        <v>727</v>
      </c>
      <c r="P82" s="537">
        <v>1017</v>
      </c>
      <c r="Q82" s="537"/>
      <c r="R82" s="537" t="s">
        <v>551</v>
      </c>
      <c r="S82" s="537"/>
      <c r="T82" s="537" t="s">
        <v>43</v>
      </c>
      <c r="U82" s="557" t="s">
        <v>349</v>
      </c>
      <c r="V82" s="537"/>
      <c r="W82" s="537"/>
    </row>
    <row r="83" s="16" customFormat="1" ht="17.25" spans="1:23">
      <c r="A83" s="469">
        <v>31158</v>
      </c>
      <c r="B83" s="197" t="s">
        <v>756</v>
      </c>
      <c r="C83" s="468">
        <v>311</v>
      </c>
      <c r="D83" s="548">
        <f t="shared" si="10"/>
        <v>21</v>
      </c>
      <c r="E83" s="197" t="s">
        <v>752</v>
      </c>
      <c r="F83" s="469"/>
      <c r="G83" s="16" t="str">
        <f t="shared" si="11"/>
        <v/>
      </c>
      <c r="H83" s="197"/>
      <c r="I83" s="556" t="s">
        <v>757</v>
      </c>
      <c r="J83" s="527" t="s">
        <v>632</v>
      </c>
      <c r="K83" s="16">
        <v>1</v>
      </c>
      <c r="L83" s="16">
        <v>1310100</v>
      </c>
      <c r="M83" s="16" t="e">
        <f>SUBSTITUTE(SUBSTITUTE(SUBSTITUTE(E89,""&amp;#REF!,""),"}]",""),",","")</f>
        <v>#REF!</v>
      </c>
      <c r="N83" s="535"/>
      <c r="O83" s="535" t="s">
        <v>730</v>
      </c>
      <c r="P83" s="537">
        <v>894</v>
      </c>
      <c r="Q83" s="537"/>
      <c r="R83" s="537" t="s">
        <v>551</v>
      </c>
      <c r="S83" s="537"/>
      <c r="T83" s="537" t="s">
        <v>43</v>
      </c>
      <c r="U83" s="557" t="s">
        <v>349</v>
      </c>
      <c r="V83" s="537"/>
      <c r="W83" s="537"/>
    </row>
    <row r="84" s="16" customFormat="1" ht="17.25" spans="1:23">
      <c r="A84" s="469">
        <v>31159</v>
      </c>
      <c r="B84" s="197" t="s">
        <v>758</v>
      </c>
      <c r="C84" s="468">
        <v>311</v>
      </c>
      <c r="D84" s="548">
        <f t="shared" si="10"/>
        <v>21</v>
      </c>
      <c r="E84" s="197" t="s">
        <v>759</v>
      </c>
      <c r="F84" s="469"/>
      <c r="G84" s="16" t="str">
        <f t="shared" si="11"/>
        <v/>
      </c>
      <c r="H84" s="197"/>
      <c r="I84" s="558" t="s">
        <v>760</v>
      </c>
      <c r="J84" s="527" t="s">
        <v>632</v>
      </c>
      <c r="K84" s="16">
        <v>1</v>
      </c>
      <c r="L84" s="16">
        <v>1420200</v>
      </c>
      <c r="M84" s="16" t="e">
        <f>SUBSTITUTE(SUBSTITUTE(SUBSTITUTE(E90,""&amp;#REF!,""),"}]",""),",","")</f>
        <v>#REF!</v>
      </c>
      <c r="N84" s="535"/>
      <c r="O84" s="535" t="s">
        <v>731</v>
      </c>
      <c r="P84" s="537">
        <v>8667</v>
      </c>
      <c r="Q84" s="537"/>
      <c r="R84" s="537" t="s">
        <v>551</v>
      </c>
      <c r="S84" s="537"/>
      <c r="T84" s="537" t="s">
        <v>43</v>
      </c>
      <c r="U84" s="557" t="s">
        <v>349</v>
      </c>
      <c r="V84" s="537"/>
      <c r="W84" s="537"/>
    </row>
    <row r="85" s="16" customFormat="1" ht="17.25" spans="1:23">
      <c r="A85" s="469">
        <v>31160</v>
      </c>
      <c r="B85" s="197" t="s">
        <v>761</v>
      </c>
      <c r="C85" s="468">
        <v>311</v>
      </c>
      <c r="D85" s="548">
        <f t="shared" si="10"/>
        <v>21</v>
      </c>
      <c r="E85" s="197" t="s">
        <v>759</v>
      </c>
      <c r="F85" s="469"/>
      <c r="G85" s="16" t="str">
        <f t="shared" si="11"/>
        <v/>
      </c>
      <c r="H85" s="197"/>
      <c r="I85" s="558" t="s">
        <v>762</v>
      </c>
      <c r="J85" s="527" t="s">
        <v>632</v>
      </c>
      <c r="K85" s="16">
        <v>1</v>
      </c>
      <c r="L85" s="16">
        <v>1420200</v>
      </c>
      <c r="M85" s="16" t="e">
        <f>SUBSTITUTE(SUBSTITUTE(SUBSTITUTE(E91,""&amp;#REF!,""),"}]",""),",","")</f>
        <v>#REF!</v>
      </c>
      <c r="N85" s="535"/>
      <c r="O85" s="535" t="s">
        <v>732</v>
      </c>
      <c r="P85" s="537">
        <v>13333</v>
      </c>
      <c r="Q85" s="537"/>
      <c r="R85" s="537" t="s">
        <v>551</v>
      </c>
      <c r="S85" s="537"/>
      <c r="T85" s="537" t="s">
        <v>43</v>
      </c>
      <c r="U85" s="557" t="s">
        <v>349</v>
      </c>
      <c r="V85" s="537"/>
      <c r="W85" s="537"/>
    </row>
    <row r="86" s="16" customFormat="1" ht="17.25" spans="1:23">
      <c r="A86" s="469">
        <v>31161</v>
      </c>
      <c r="B86" s="197" t="s">
        <v>763</v>
      </c>
      <c r="C86" s="468">
        <v>311</v>
      </c>
      <c r="D86" s="548">
        <f t="shared" si="10"/>
        <v>21</v>
      </c>
      <c r="E86" s="197" t="s">
        <v>759</v>
      </c>
      <c r="F86" s="469"/>
      <c r="G86" s="16" t="str">
        <f t="shared" si="11"/>
        <v/>
      </c>
      <c r="H86" s="197"/>
      <c r="I86" s="558" t="s">
        <v>764</v>
      </c>
      <c r="J86" s="527" t="s">
        <v>632</v>
      </c>
      <c r="K86" s="16">
        <v>1</v>
      </c>
      <c r="L86" s="16">
        <v>1420200</v>
      </c>
      <c r="M86" s="16" t="e">
        <f>SUBSTITUTE(SUBSTITUTE(SUBSTITUTE(E92,""&amp;#REF!,""),"}]",""),",","")</f>
        <v>#REF!</v>
      </c>
      <c r="N86" s="535"/>
      <c r="O86" s="535" t="s">
        <v>733</v>
      </c>
      <c r="P86" s="537">
        <v>42857</v>
      </c>
      <c r="Q86" s="537"/>
      <c r="R86" s="537" t="s">
        <v>551</v>
      </c>
      <c r="S86" s="537"/>
      <c r="T86" s="537" t="s">
        <v>43</v>
      </c>
      <c r="U86" s="557" t="s">
        <v>349</v>
      </c>
      <c r="V86" s="537"/>
      <c r="W86" s="537" t="s">
        <v>742</v>
      </c>
    </row>
    <row r="87" s="16" customFormat="1" ht="17.25" spans="1:23">
      <c r="A87" s="469">
        <v>31162</v>
      </c>
      <c r="B87" s="197" t="s">
        <v>765</v>
      </c>
      <c r="C87" s="468">
        <v>311</v>
      </c>
      <c r="D87" s="548">
        <f t="shared" si="10"/>
        <v>21</v>
      </c>
      <c r="E87" s="197" t="s">
        <v>759</v>
      </c>
      <c r="F87" s="469"/>
      <c r="G87" s="16" t="str">
        <f t="shared" si="11"/>
        <v/>
      </c>
      <c r="H87" s="197"/>
      <c r="I87" s="558" t="s">
        <v>766</v>
      </c>
      <c r="J87" s="527" t="s">
        <v>632</v>
      </c>
      <c r="K87" s="16">
        <v>1</v>
      </c>
      <c r="L87" s="16">
        <v>1420200</v>
      </c>
      <c r="M87" s="16" t="e">
        <f>SUBSTITUTE(SUBSTITUTE(SUBSTITUTE(E93,""&amp;#REF!,""),"}]",""),",","")</f>
        <v>#REF!</v>
      </c>
      <c r="N87" s="535"/>
      <c r="O87" s="535" t="s">
        <v>735</v>
      </c>
      <c r="P87" s="537">
        <v>28571</v>
      </c>
      <c r="Q87" s="537"/>
      <c r="R87" s="537" t="s">
        <v>551</v>
      </c>
      <c r="S87" s="537"/>
      <c r="T87" s="537" t="s">
        <v>43</v>
      </c>
      <c r="U87" s="557" t="s">
        <v>349</v>
      </c>
      <c r="V87" s="537"/>
      <c r="W87" s="537"/>
    </row>
    <row r="88" s="16" customFormat="1" ht="17.25" spans="1:23">
      <c r="A88" s="469">
        <v>31163</v>
      </c>
      <c r="B88" s="197" t="s">
        <v>767</v>
      </c>
      <c r="C88" s="468">
        <v>311</v>
      </c>
      <c r="D88" s="548">
        <f t="shared" si="10"/>
        <v>21</v>
      </c>
      <c r="E88" s="197" t="s">
        <v>759</v>
      </c>
      <c r="F88" s="469"/>
      <c r="G88" s="16" t="str">
        <f t="shared" si="11"/>
        <v/>
      </c>
      <c r="H88" s="197"/>
      <c r="I88" s="558" t="s">
        <v>768</v>
      </c>
      <c r="J88" s="527" t="s">
        <v>632</v>
      </c>
      <c r="K88" s="16">
        <v>1</v>
      </c>
      <c r="L88" s="16">
        <v>1420200</v>
      </c>
      <c r="M88" s="16" t="e">
        <f>SUBSTITUTE(SUBSTITUTE(SUBSTITUTE(E94,""&amp;#REF!,""),"}]",""),",","")</f>
        <v>#REF!</v>
      </c>
      <c r="N88" s="535"/>
      <c r="O88" s="535" t="s">
        <v>284</v>
      </c>
      <c r="P88" s="537">
        <v>700</v>
      </c>
      <c r="Q88" s="537">
        <v>70</v>
      </c>
      <c r="R88" s="537" t="s">
        <v>551</v>
      </c>
      <c r="S88" s="537"/>
      <c r="T88" s="537" t="s">
        <v>43</v>
      </c>
      <c r="U88" s="537"/>
      <c r="V88" s="537"/>
      <c r="W88" s="537" t="s">
        <v>285</v>
      </c>
    </row>
    <row r="89" s="16" customFormat="1" ht="17.25" spans="1:23">
      <c r="A89" s="469">
        <v>31164</v>
      </c>
      <c r="B89" s="197" t="s">
        <v>769</v>
      </c>
      <c r="C89" s="468">
        <v>311</v>
      </c>
      <c r="D89" s="548">
        <f t="shared" si="10"/>
        <v>21</v>
      </c>
      <c r="E89" s="197" t="s">
        <v>759</v>
      </c>
      <c r="F89" s="469"/>
      <c r="G89" s="16" t="str">
        <f t="shared" si="11"/>
        <v/>
      </c>
      <c r="H89" s="197"/>
      <c r="I89" s="558" t="s">
        <v>770</v>
      </c>
      <c r="J89" s="527" t="s">
        <v>632</v>
      </c>
      <c r="K89" s="16">
        <v>1</v>
      </c>
      <c r="L89" s="16">
        <v>1420200</v>
      </c>
      <c r="M89" s="16" t="e">
        <f>SUBSTITUTE(SUBSTITUTE(SUBSTITUTE(E95,""&amp;#REF!,""),"}]",""),",","")</f>
        <v>#REF!</v>
      </c>
      <c r="N89" s="535"/>
      <c r="O89" s="535" t="s">
        <v>286</v>
      </c>
      <c r="P89" s="537">
        <v>2500</v>
      </c>
      <c r="Q89" s="537">
        <v>250</v>
      </c>
      <c r="R89" s="537" t="s">
        <v>551</v>
      </c>
      <c r="S89" s="537"/>
      <c r="T89" s="537" t="s">
        <v>43</v>
      </c>
      <c r="U89" s="537"/>
      <c r="V89" s="537"/>
      <c r="W89" s="537" t="s">
        <v>287</v>
      </c>
    </row>
    <row r="90" s="16" customFormat="1" ht="17.25" spans="1:23">
      <c r="A90" s="469">
        <v>31165</v>
      </c>
      <c r="B90" s="197" t="s">
        <v>771</v>
      </c>
      <c r="C90" s="468">
        <v>311</v>
      </c>
      <c r="D90" s="548">
        <f t="shared" si="10"/>
        <v>21</v>
      </c>
      <c r="E90" s="197" t="s">
        <v>772</v>
      </c>
      <c r="F90" s="469"/>
      <c r="G90" s="16" t="str">
        <f t="shared" si="11"/>
        <v/>
      </c>
      <c r="H90" s="197"/>
      <c r="I90" s="559" t="s">
        <v>773</v>
      </c>
      <c r="J90" s="527" t="s">
        <v>632</v>
      </c>
      <c r="K90" s="16">
        <v>1</v>
      </c>
      <c r="L90" s="16">
        <v>1130100</v>
      </c>
      <c r="M90" s="16" t="e">
        <f>SUBSTITUTE(SUBSTITUTE(SUBSTITUTE(E96,""&amp;#REF!,""),"}]",""),",","")</f>
        <v>#REF!</v>
      </c>
      <c r="N90" s="560"/>
      <c r="O90" s="560" t="s">
        <v>288</v>
      </c>
      <c r="P90" s="537">
        <v>3000</v>
      </c>
      <c r="Q90" s="537">
        <v>300</v>
      </c>
      <c r="R90" s="537" t="s">
        <v>551</v>
      </c>
      <c r="S90" s="537"/>
      <c r="T90" s="537" t="s">
        <v>43</v>
      </c>
      <c r="U90" s="537"/>
      <c r="V90" s="537"/>
      <c r="W90" s="537"/>
    </row>
    <row r="91" s="16" customFormat="1" ht="17.25" spans="1:23">
      <c r="A91" s="469">
        <v>31166</v>
      </c>
      <c r="B91" s="197" t="s">
        <v>774</v>
      </c>
      <c r="C91" s="468">
        <v>311</v>
      </c>
      <c r="D91" s="548">
        <f t="shared" si="10"/>
        <v>21</v>
      </c>
      <c r="E91" s="197" t="s">
        <v>772</v>
      </c>
      <c r="F91" s="469"/>
      <c r="G91" s="16" t="str">
        <f t="shared" si="11"/>
        <v/>
      </c>
      <c r="H91" s="197"/>
      <c r="I91" s="559" t="s">
        <v>775</v>
      </c>
      <c r="J91" s="527" t="s">
        <v>632</v>
      </c>
      <c r="K91" s="16">
        <v>1</v>
      </c>
      <c r="L91" s="16">
        <v>1130100</v>
      </c>
      <c r="M91" s="16" t="e">
        <f>SUBSTITUTE(SUBSTITUTE(SUBSTITUTE(E99,""&amp;#REF!,""),"}]",""),",","")</f>
        <v>#REF!</v>
      </c>
      <c r="N91" s="560"/>
      <c r="O91" s="560" t="s">
        <v>289</v>
      </c>
      <c r="P91" s="537">
        <v>6000</v>
      </c>
      <c r="Q91" s="537">
        <v>600</v>
      </c>
      <c r="R91" s="537" t="s">
        <v>551</v>
      </c>
      <c r="S91" s="537"/>
      <c r="T91" s="537" t="s">
        <v>43</v>
      </c>
      <c r="U91" s="537"/>
      <c r="V91" s="537"/>
      <c r="W91" s="537"/>
    </row>
    <row r="92" s="16" customFormat="1" ht="17.25" spans="1:23">
      <c r="A92" s="469">
        <v>31167</v>
      </c>
      <c r="B92" s="197" t="s">
        <v>776</v>
      </c>
      <c r="C92" s="468">
        <v>311</v>
      </c>
      <c r="D92" s="548">
        <f t="shared" si="10"/>
        <v>21</v>
      </c>
      <c r="E92" s="197" t="s">
        <v>772</v>
      </c>
      <c r="F92" s="469"/>
      <c r="G92" s="16" t="str">
        <f t="shared" si="11"/>
        <v/>
      </c>
      <c r="H92" s="197"/>
      <c r="I92" s="559" t="s">
        <v>777</v>
      </c>
      <c r="J92" s="527" t="s">
        <v>632</v>
      </c>
      <c r="K92" s="16">
        <v>1</v>
      </c>
      <c r="L92" s="16">
        <v>1130100</v>
      </c>
      <c r="M92" s="16" t="e">
        <f>SUBSTITUTE(SUBSTITUTE(SUBSTITUTE(E100,""&amp;#REF!,""),"}]",""),",","")</f>
        <v>#REF!</v>
      </c>
      <c r="N92" s="535">
        <v>5304000</v>
      </c>
      <c r="O92" s="535" t="s">
        <v>274</v>
      </c>
      <c r="P92" s="537">
        <v>1024</v>
      </c>
      <c r="Q92" s="537">
        <v>102.4</v>
      </c>
      <c r="R92" s="537" t="s">
        <v>543</v>
      </c>
      <c r="S92" s="537"/>
      <c r="T92" s="537" t="s">
        <v>43</v>
      </c>
      <c r="U92" s="537" t="s">
        <v>343</v>
      </c>
      <c r="V92" s="537"/>
      <c r="W92" s="537" t="s">
        <v>778</v>
      </c>
    </row>
    <row r="93" s="16" customFormat="1" ht="17.25" spans="1:23">
      <c r="A93" s="469">
        <v>31168</v>
      </c>
      <c r="B93" s="197" t="s">
        <v>779</v>
      </c>
      <c r="C93" s="468">
        <v>311</v>
      </c>
      <c r="D93" s="548">
        <f t="shared" si="10"/>
        <v>21</v>
      </c>
      <c r="E93" s="197" t="s">
        <v>772</v>
      </c>
      <c r="F93" s="469"/>
      <c r="G93" s="16" t="str">
        <f>IFERROR(VLOOKUP(D93,O:Q,2,0),"")</f>
        <v/>
      </c>
      <c r="H93" s="197" t="s">
        <v>780</v>
      </c>
      <c r="I93" s="559" t="s">
        <v>781</v>
      </c>
      <c r="J93" s="527" t="s">
        <v>632</v>
      </c>
      <c r="K93" s="16">
        <v>1</v>
      </c>
      <c r="L93" s="16">
        <v>1130100</v>
      </c>
      <c r="M93" s="16" t="e">
        <f>SUBSTITUTE(SUBSTITUTE(SUBSTITUTE(E101,""&amp;#REF!,""),"}]",""),",","")</f>
        <v>#REF!</v>
      </c>
      <c r="N93" s="561">
        <v>62</v>
      </c>
      <c r="O93" s="561" t="s">
        <v>338</v>
      </c>
      <c r="P93" s="562">
        <v>150</v>
      </c>
      <c r="Q93" s="562">
        <v>15</v>
      </c>
      <c r="R93" s="562" t="s">
        <v>543</v>
      </c>
      <c r="S93" s="562"/>
      <c r="T93" s="562" t="s">
        <v>339</v>
      </c>
      <c r="U93" s="562" t="s">
        <v>340</v>
      </c>
      <c r="V93" s="562"/>
      <c r="W93" s="562"/>
    </row>
    <row r="94" s="16" customFormat="1" ht="17.25" spans="1:23">
      <c r="A94" s="469">
        <v>31169</v>
      </c>
      <c r="B94" s="197" t="s">
        <v>782</v>
      </c>
      <c r="C94" s="468">
        <v>311</v>
      </c>
      <c r="D94" s="548">
        <f t="shared" si="10"/>
        <v>21</v>
      </c>
      <c r="E94" s="197" t="s">
        <v>772</v>
      </c>
      <c r="F94" s="469"/>
      <c r="H94" s="563" t="s">
        <v>783</v>
      </c>
      <c r="I94" s="197"/>
      <c r="J94" s="527" t="s">
        <v>632</v>
      </c>
      <c r="K94" s="16" t="s">
        <v>784</v>
      </c>
      <c r="L94" s="16" t="s">
        <v>785</v>
      </c>
      <c r="M94" s="16" t="e">
        <f>SUBSTITUTE(SUBSTITUTE(SUBSTITUTE(#REF!,""&amp;#REF!,""),"}]",""),",","")</f>
        <v>#REF!</v>
      </c>
      <c r="N94" s="561">
        <v>63</v>
      </c>
      <c r="O94" s="561" t="s">
        <v>341</v>
      </c>
      <c r="P94" s="562">
        <v>1</v>
      </c>
      <c r="Q94" s="562">
        <v>0.1</v>
      </c>
      <c r="R94" s="562" t="s">
        <v>543</v>
      </c>
      <c r="S94" s="562"/>
      <c r="T94" s="562" t="s">
        <v>342</v>
      </c>
      <c r="U94" s="562" t="s">
        <v>343</v>
      </c>
      <c r="V94" s="562"/>
      <c r="W94" s="562"/>
    </row>
    <row r="95" s="16" customFormat="1" ht="17.25" spans="1:23">
      <c r="A95" s="469">
        <v>31170</v>
      </c>
      <c r="B95" s="197" t="s">
        <v>786</v>
      </c>
      <c r="C95" s="468">
        <v>311</v>
      </c>
      <c r="D95" s="548">
        <f t="shared" si="10"/>
        <v>21</v>
      </c>
      <c r="E95" s="197" t="s">
        <v>772</v>
      </c>
      <c r="F95" s="469"/>
      <c r="H95" s="563" t="s">
        <v>783</v>
      </c>
      <c r="I95" s="197"/>
      <c r="J95" s="527" t="s">
        <v>632</v>
      </c>
      <c r="K95" s="16" t="s">
        <v>787</v>
      </c>
      <c r="L95" s="16" t="s">
        <v>785</v>
      </c>
      <c r="M95" s="16" t="e">
        <f>SUBSTITUTE(SUBSTITUTE(SUBSTITUTE(E102,""&amp;#REF!,""),"}]",""),",","")</f>
        <v>#REF!</v>
      </c>
      <c r="N95" s="561">
        <v>6030001</v>
      </c>
      <c r="O95" s="561" t="s">
        <v>344</v>
      </c>
      <c r="P95" s="562">
        <v>200</v>
      </c>
      <c r="Q95" s="562">
        <v>20</v>
      </c>
      <c r="R95" s="562" t="s">
        <v>543</v>
      </c>
      <c r="S95" s="562"/>
      <c r="T95" s="562" t="s">
        <v>342</v>
      </c>
      <c r="U95" s="562" t="s">
        <v>343</v>
      </c>
      <c r="V95" s="562"/>
      <c r="W95" s="562"/>
    </row>
    <row r="96" s="16" customFormat="1" ht="17.25" spans="1:23">
      <c r="A96" s="469">
        <v>31171</v>
      </c>
      <c r="B96" s="197" t="s">
        <v>788</v>
      </c>
      <c r="C96" s="468">
        <v>311</v>
      </c>
      <c r="D96" s="548">
        <f t="shared" si="10"/>
        <v>21</v>
      </c>
      <c r="E96" s="197" t="s">
        <v>789</v>
      </c>
      <c r="F96" s="469"/>
      <c r="H96" s="564"/>
      <c r="I96" s="197"/>
      <c r="J96" s="527" t="s">
        <v>632</v>
      </c>
      <c r="K96" s="16" t="s">
        <v>790</v>
      </c>
      <c r="L96" s="16" t="s">
        <v>785</v>
      </c>
      <c r="M96" s="16" t="e">
        <f>SUBSTITUTE(SUBSTITUTE(SUBSTITUTE(E103,""&amp;#REF!,""),"}]",""),",","")</f>
        <v>#REF!</v>
      </c>
      <c r="N96" s="561">
        <v>6030002</v>
      </c>
      <c r="O96" s="561" t="s">
        <v>345</v>
      </c>
      <c r="P96" s="562">
        <v>400</v>
      </c>
      <c r="Q96" s="562">
        <v>40</v>
      </c>
      <c r="R96" s="562" t="s">
        <v>551</v>
      </c>
      <c r="S96" s="562"/>
      <c r="T96" s="562" t="s">
        <v>342</v>
      </c>
      <c r="U96" s="562" t="s">
        <v>340</v>
      </c>
      <c r="V96" s="562"/>
      <c r="W96" s="562"/>
    </row>
    <row r="97" s="16" customFormat="1" ht="16.5" spans="1:23">
      <c r="A97" s="469">
        <v>31172</v>
      </c>
      <c r="D97" s="548" t="s">
        <v>791</v>
      </c>
      <c r="F97" s="16">
        <v>16000</v>
      </c>
      <c r="G97" s="16">
        <v>1600</v>
      </c>
      <c r="K97" s="16" t="s">
        <v>792</v>
      </c>
      <c r="L97" s="16">
        <v>1310100</v>
      </c>
      <c r="M97" s="16" t="e">
        <f>SUBSTITUTE(SUBSTITUTE(SUBSTITUTE(E104,""&amp;#REF!,""),"}]",""),",","")</f>
        <v>#REF!</v>
      </c>
      <c r="N97" s="561">
        <v>6030003</v>
      </c>
      <c r="O97" s="561" t="s">
        <v>346</v>
      </c>
      <c r="P97" s="562">
        <v>800</v>
      </c>
      <c r="Q97" s="562">
        <v>80</v>
      </c>
      <c r="R97" s="562" t="s">
        <v>551</v>
      </c>
      <c r="S97" s="562"/>
      <c r="T97" s="562" t="s">
        <v>342</v>
      </c>
      <c r="U97" s="562" t="s">
        <v>347</v>
      </c>
      <c r="V97" s="562"/>
      <c r="W97" s="562"/>
    </row>
    <row r="98" s="16" customFormat="1" ht="16.5" spans="1:23">
      <c r="A98" s="469">
        <v>31173</v>
      </c>
      <c r="M98" s="16" t="e">
        <f>SUBSTITUTE(SUBSTITUTE(SUBSTITUTE(E106,""&amp;#REF!,""),"}]",""),",","")</f>
        <v>#REF!</v>
      </c>
      <c r="N98" s="561">
        <v>6030004</v>
      </c>
      <c r="O98" s="561" t="s">
        <v>348</v>
      </c>
      <c r="P98" s="562">
        <v>1600</v>
      </c>
      <c r="Q98" s="562">
        <v>160</v>
      </c>
      <c r="R98" s="562" t="s">
        <v>551</v>
      </c>
      <c r="S98" s="562"/>
      <c r="T98" s="562" t="s">
        <v>342</v>
      </c>
      <c r="U98" s="562" t="s">
        <v>349</v>
      </c>
      <c r="V98" s="562"/>
      <c r="W98" s="562"/>
    </row>
    <row r="99" s="16" customFormat="1" ht="17.25" spans="1:23">
      <c r="A99" s="469">
        <v>31174</v>
      </c>
      <c r="B99" s="197" t="s">
        <v>793</v>
      </c>
      <c r="C99" s="468">
        <v>311</v>
      </c>
      <c r="D99" s="548">
        <f t="shared" ref="D99:D104" si="12">INT(VLOOKUP(J99,$A$7:$D$12,2,0)/COUNTIF($J$21:$J$194,J99))</f>
        <v>21</v>
      </c>
      <c r="E99" s="197" t="s">
        <v>789</v>
      </c>
      <c r="F99" s="469"/>
      <c r="G99" s="564"/>
      <c r="H99" s="197"/>
      <c r="I99" s="556" t="s">
        <v>794</v>
      </c>
      <c r="J99" s="527" t="s">
        <v>632</v>
      </c>
      <c r="K99" s="16" t="s">
        <v>784</v>
      </c>
      <c r="L99" s="16">
        <v>1310100</v>
      </c>
      <c r="M99" s="16" t="e">
        <f>SUBSTITUTE(SUBSTITUTE(SUBSTITUTE(E107,""&amp;#REF!,""),"}]",""),",","")</f>
        <v>#REF!</v>
      </c>
      <c r="N99" s="565">
        <v>6040001</v>
      </c>
      <c r="O99" s="561" t="s">
        <v>350</v>
      </c>
      <c r="P99" s="562">
        <v>2000</v>
      </c>
      <c r="Q99" s="562">
        <v>200</v>
      </c>
      <c r="R99" s="562" t="s">
        <v>543</v>
      </c>
      <c r="S99" s="562"/>
      <c r="T99" s="562" t="s">
        <v>342</v>
      </c>
      <c r="U99" s="562"/>
      <c r="V99" s="562"/>
      <c r="W99" s="562"/>
    </row>
    <row r="100" s="16" customFormat="1" ht="17.25" spans="1:23">
      <c r="A100" s="469">
        <v>31175</v>
      </c>
      <c r="B100" s="197" t="s">
        <v>795</v>
      </c>
      <c r="C100" s="468">
        <v>311</v>
      </c>
      <c r="D100" s="548">
        <f t="shared" si="12"/>
        <v>21</v>
      </c>
      <c r="E100" s="197" t="s">
        <v>789</v>
      </c>
      <c r="F100" s="469"/>
      <c r="G100" s="197"/>
      <c r="H100" s="564"/>
      <c r="J100" s="527" t="s">
        <v>632</v>
      </c>
      <c r="K100" s="16" t="s">
        <v>787</v>
      </c>
      <c r="L100" s="16">
        <v>1420200</v>
      </c>
      <c r="M100" s="16" t="e">
        <f>SUBSTITUTE(SUBSTITUTE(SUBSTITUTE(E108,""&amp;#REF!,""),"}]",""),",","")</f>
        <v>#REF!</v>
      </c>
      <c r="N100" s="565">
        <v>6040002</v>
      </c>
      <c r="O100" s="561" t="s">
        <v>351</v>
      </c>
      <c r="P100" s="562">
        <v>4000</v>
      </c>
      <c r="Q100" s="562">
        <v>400</v>
      </c>
      <c r="R100" s="562" t="s">
        <v>551</v>
      </c>
      <c r="S100" s="562"/>
      <c r="T100" s="562" t="s">
        <v>342</v>
      </c>
      <c r="U100" s="562"/>
      <c r="V100" s="562"/>
      <c r="W100" s="562"/>
    </row>
    <row r="101" s="16" customFormat="1" ht="17.25" spans="1:23">
      <c r="A101" s="469">
        <v>31176</v>
      </c>
      <c r="B101" s="197" t="s">
        <v>796</v>
      </c>
      <c r="C101" s="468">
        <v>311</v>
      </c>
      <c r="D101" s="548">
        <f t="shared" si="12"/>
        <v>21</v>
      </c>
      <c r="E101" s="197" t="s">
        <v>797</v>
      </c>
      <c r="F101" s="469"/>
      <c r="G101" s="197"/>
      <c r="H101" s="564"/>
      <c r="J101" s="527" t="s">
        <v>632</v>
      </c>
      <c r="K101" s="16" t="s">
        <v>790</v>
      </c>
      <c r="L101" s="16">
        <v>1420200</v>
      </c>
      <c r="M101" s="16" t="e">
        <f>SUBSTITUTE(SUBSTITUTE(SUBSTITUTE(E109,""&amp;#REF!,""),"}]",""),",","")</f>
        <v>#REF!</v>
      </c>
      <c r="N101" s="565">
        <v>6040003</v>
      </c>
      <c r="O101" s="561" t="s">
        <v>352</v>
      </c>
      <c r="P101" s="562">
        <v>8000</v>
      </c>
      <c r="Q101" s="562">
        <v>800</v>
      </c>
      <c r="R101" s="562" t="s">
        <v>551</v>
      </c>
      <c r="S101" s="562"/>
      <c r="T101" s="562" t="s">
        <v>342</v>
      </c>
      <c r="U101" s="562"/>
      <c r="V101" s="562"/>
      <c r="W101" s="562"/>
    </row>
    <row r="102" s="16" customFormat="1" ht="17.25" spans="1:23">
      <c r="A102" s="469">
        <v>31177</v>
      </c>
      <c r="B102" s="197" t="s">
        <v>798</v>
      </c>
      <c r="C102" s="468">
        <v>311</v>
      </c>
      <c r="D102" s="548">
        <f t="shared" si="12"/>
        <v>21</v>
      </c>
      <c r="E102" s="197" t="s">
        <v>797</v>
      </c>
      <c r="F102" s="469"/>
      <c r="G102" s="197">
        <v>250</v>
      </c>
      <c r="H102" s="564"/>
      <c r="J102" s="527" t="s">
        <v>632</v>
      </c>
      <c r="K102" s="16" t="s">
        <v>784</v>
      </c>
      <c r="L102" s="16">
        <v>1420200</v>
      </c>
      <c r="M102" s="16" t="e">
        <f>SUBSTITUTE(SUBSTITUTE(SUBSTITUTE(E110,""&amp;#REF!,""),"}]",""),",","")</f>
        <v>#REF!</v>
      </c>
      <c r="N102" s="565">
        <v>6040004</v>
      </c>
      <c r="O102" s="561" t="s">
        <v>353</v>
      </c>
      <c r="P102" s="562">
        <v>16000</v>
      </c>
      <c r="Q102" s="562">
        <v>1600</v>
      </c>
      <c r="R102" s="562" t="s">
        <v>551</v>
      </c>
      <c r="S102" s="562"/>
      <c r="T102" s="562" t="s">
        <v>342</v>
      </c>
      <c r="U102" s="562"/>
      <c r="V102" s="562"/>
      <c r="W102" s="562"/>
    </row>
    <row r="103" s="16" customFormat="1" ht="17.25" spans="1:23">
      <c r="A103" s="469">
        <v>31178</v>
      </c>
      <c r="B103" s="197" t="s">
        <v>799</v>
      </c>
      <c r="C103" s="468">
        <v>311</v>
      </c>
      <c r="D103" s="548">
        <f t="shared" si="12"/>
        <v>21</v>
      </c>
      <c r="E103" s="197" t="s">
        <v>797</v>
      </c>
      <c r="F103" s="469"/>
      <c r="G103" s="197">
        <v>700</v>
      </c>
      <c r="H103" s="564"/>
      <c r="J103" s="527" t="s">
        <v>632</v>
      </c>
      <c r="K103" s="16" t="s">
        <v>787</v>
      </c>
      <c r="L103" s="16">
        <v>1420200</v>
      </c>
      <c r="M103" s="16" t="e">
        <f>SUBSTITUTE(SUBSTITUTE(SUBSTITUTE(E111,""&amp;#REF!,""),"}]",""),",","")</f>
        <v>#REF!</v>
      </c>
      <c r="N103" s="561">
        <v>6110030</v>
      </c>
      <c r="O103" s="561" t="s">
        <v>354</v>
      </c>
      <c r="P103" s="562">
        <v>12000</v>
      </c>
      <c r="Q103" s="562">
        <v>1200</v>
      </c>
      <c r="R103" s="562" t="s">
        <v>551</v>
      </c>
      <c r="S103" s="562"/>
      <c r="T103" s="562" t="s">
        <v>342</v>
      </c>
      <c r="U103" s="562" t="s">
        <v>347</v>
      </c>
      <c r="V103" s="562"/>
      <c r="W103" s="562"/>
    </row>
    <row r="104" s="16" customFormat="1" ht="17.25" spans="1:23">
      <c r="A104" s="469">
        <v>31179</v>
      </c>
      <c r="B104" s="197" t="s">
        <v>800</v>
      </c>
      <c r="C104" s="468">
        <v>311</v>
      </c>
      <c r="D104" s="548">
        <f t="shared" si="12"/>
        <v>21</v>
      </c>
      <c r="E104" s="197" t="s">
        <v>797</v>
      </c>
      <c r="F104" s="469"/>
      <c r="G104" s="197">
        <v>1200</v>
      </c>
      <c r="H104" s="564"/>
      <c r="J104" s="527" t="s">
        <v>632</v>
      </c>
      <c r="K104" s="16" t="s">
        <v>790</v>
      </c>
      <c r="L104" s="16">
        <v>1420200</v>
      </c>
      <c r="M104" s="16" t="e">
        <f>SUBSTITUTE(SUBSTITUTE(SUBSTITUTE(E112,""&amp;#REF!,""),"}]",""),",","")</f>
        <v>#REF!</v>
      </c>
      <c r="N104" s="566">
        <v>5523002</v>
      </c>
      <c r="O104" s="566" t="s">
        <v>237</v>
      </c>
      <c r="P104" s="567">
        <v>0.33</v>
      </c>
      <c r="Q104" s="567">
        <v>0.033</v>
      </c>
      <c r="R104" s="567" t="s">
        <v>539</v>
      </c>
      <c r="S104" s="567"/>
      <c r="T104" s="567" t="s">
        <v>53</v>
      </c>
      <c r="U104" s="567" t="s">
        <v>343</v>
      </c>
      <c r="V104" s="567"/>
      <c r="W104" s="567" t="s">
        <v>621</v>
      </c>
    </row>
    <row r="105" s="16" customFormat="1" ht="16.5" spans="1:23">
      <c r="A105" s="469">
        <v>31180</v>
      </c>
      <c r="M105" s="16" t="e">
        <f>SUBSTITUTE(SUBSTITUTE(SUBSTITUTE(#REF!,""&amp;#REF!,""),"}]",""),",","")</f>
        <v>#REF!</v>
      </c>
      <c r="N105" s="566">
        <v>100086</v>
      </c>
      <c r="O105" s="566" t="s">
        <v>801</v>
      </c>
      <c r="P105" s="567">
        <v>6000</v>
      </c>
      <c r="Q105" s="567">
        <v>600</v>
      </c>
      <c r="R105" s="567" t="s">
        <v>551</v>
      </c>
      <c r="S105" s="567"/>
      <c r="T105" s="567" t="s">
        <v>53</v>
      </c>
      <c r="U105" s="567"/>
      <c r="V105" s="567"/>
      <c r="W105" s="567"/>
    </row>
    <row r="106" s="16" customFormat="1" ht="17.25" spans="1:23">
      <c r="A106" s="469">
        <v>31181</v>
      </c>
      <c r="B106" s="197" t="s">
        <v>802</v>
      </c>
      <c r="C106" s="468">
        <v>311</v>
      </c>
      <c r="D106" s="548">
        <f t="shared" ref="D106:D112" si="13">INT(VLOOKUP(J106,$A$7:$D$12,2,0)/COUNTIF($J$21:$J$194,J106))</f>
        <v>21</v>
      </c>
      <c r="E106" s="197" t="s">
        <v>797</v>
      </c>
      <c r="F106" s="469"/>
      <c r="G106" s="564"/>
      <c r="H106" s="197"/>
      <c r="I106" s="558" t="s">
        <v>803</v>
      </c>
      <c r="J106" s="527" t="s">
        <v>632</v>
      </c>
      <c r="K106" s="16">
        <v>2</v>
      </c>
      <c r="L106" s="16">
        <v>1420200</v>
      </c>
      <c r="M106" s="16" t="e">
        <f>SUBSTITUTE(SUBSTITUTE(SUBSTITUTE(#REF!,""&amp;#REF!,""),"}]",""),",","")</f>
        <v>#REF!</v>
      </c>
      <c r="N106" s="566"/>
      <c r="O106" s="566" t="s">
        <v>804</v>
      </c>
      <c r="P106" s="567">
        <v>12000</v>
      </c>
      <c r="Q106" s="567">
        <v>1200</v>
      </c>
      <c r="R106" s="567" t="s">
        <v>551</v>
      </c>
      <c r="S106" s="567"/>
      <c r="T106" s="567" t="s">
        <v>53</v>
      </c>
      <c r="U106" s="567"/>
      <c r="V106" s="567"/>
      <c r="W106" s="567"/>
    </row>
    <row r="107" s="16" customFormat="1" ht="17.25" spans="1:23">
      <c r="A107" s="469">
        <v>31182</v>
      </c>
      <c r="B107" s="197" t="s">
        <v>805</v>
      </c>
      <c r="C107" s="468">
        <v>311</v>
      </c>
      <c r="D107" s="548">
        <f t="shared" si="13"/>
        <v>21</v>
      </c>
      <c r="E107" s="197" t="s">
        <v>806</v>
      </c>
      <c r="F107" s="469"/>
      <c r="G107" s="564" t="s">
        <v>783</v>
      </c>
      <c r="H107" s="197"/>
      <c r="I107" s="559" t="s">
        <v>807</v>
      </c>
      <c r="J107" s="527" t="s">
        <v>632</v>
      </c>
      <c r="K107" s="16">
        <v>2</v>
      </c>
      <c r="L107" s="16">
        <v>1130100</v>
      </c>
      <c r="M107" s="16" t="e">
        <f>SUBSTITUTE(SUBSTITUTE(SUBSTITUTE(#REF!,""&amp;#REF!,""),"}]",""),",","")</f>
        <v>#REF!</v>
      </c>
      <c r="N107" s="568">
        <v>11</v>
      </c>
      <c r="O107" s="568" t="s">
        <v>213</v>
      </c>
      <c r="P107" s="569">
        <v>30</v>
      </c>
      <c r="Q107" s="569">
        <v>3</v>
      </c>
      <c r="R107" s="569" t="s">
        <v>539</v>
      </c>
      <c r="S107" s="569"/>
      <c r="T107" s="569" t="s">
        <v>339</v>
      </c>
      <c r="U107" s="569" t="s">
        <v>343</v>
      </c>
      <c r="V107" s="569"/>
      <c r="W107" s="569" t="s">
        <v>621</v>
      </c>
    </row>
    <row r="108" s="16" customFormat="1" ht="17.25" spans="1:23">
      <c r="A108" s="469">
        <v>31183</v>
      </c>
      <c r="B108" s="197" t="s">
        <v>808</v>
      </c>
      <c r="C108" s="468">
        <v>311</v>
      </c>
      <c r="D108" s="548">
        <f t="shared" si="13"/>
        <v>21</v>
      </c>
      <c r="E108" s="197" t="s">
        <v>806</v>
      </c>
      <c r="F108" s="469"/>
      <c r="G108" s="564" t="s">
        <v>783</v>
      </c>
      <c r="H108" s="197"/>
      <c r="I108" s="559" t="s">
        <v>809</v>
      </c>
      <c r="J108" s="527" t="s">
        <v>632</v>
      </c>
      <c r="K108" s="16">
        <v>2</v>
      </c>
      <c r="L108" s="16">
        <v>1130100</v>
      </c>
      <c r="M108" s="16" t="e">
        <f>SUBSTITUTE(SUBSTITUTE(SUBSTITUTE(#REF!,""&amp;#REF!,""),"}]",""),",","")</f>
        <v>#REF!</v>
      </c>
      <c r="N108" s="568">
        <v>35</v>
      </c>
      <c r="O108" s="568" t="s">
        <v>217</v>
      </c>
      <c r="P108" s="569">
        <v>600</v>
      </c>
      <c r="Q108" s="569">
        <v>60</v>
      </c>
      <c r="R108" s="569" t="s">
        <v>543</v>
      </c>
      <c r="S108" s="569"/>
      <c r="T108" s="569" t="s">
        <v>339</v>
      </c>
      <c r="U108" s="569" t="s">
        <v>340</v>
      </c>
      <c r="V108" s="569"/>
      <c r="W108" s="569" t="s">
        <v>621</v>
      </c>
    </row>
    <row r="109" s="16" customFormat="1" ht="17.25" spans="1:23">
      <c r="A109" s="469">
        <v>31184</v>
      </c>
      <c r="B109" s="197" t="s">
        <v>810</v>
      </c>
      <c r="C109" s="468">
        <v>311</v>
      </c>
      <c r="D109" s="548">
        <f t="shared" si="13"/>
        <v>21</v>
      </c>
      <c r="E109" s="197" t="s">
        <v>806</v>
      </c>
      <c r="F109" s="469"/>
      <c r="G109" s="564" t="s">
        <v>783</v>
      </c>
      <c r="H109" s="197"/>
      <c r="I109" s="559" t="s">
        <v>811</v>
      </c>
      <c r="J109" s="527" t="s">
        <v>632</v>
      </c>
      <c r="K109" s="16">
        <v>2</v>
      </c>
      <c r="L109" s="16">
        <v>1130100</v>
      </c>
      <c r="M109" s="16" t="e">
        <f>SUBSTITUTE(SUBSTITUTE(SUBSTITUTE(#REF!,""&amp;#REF!,""),"}]",""),",","")</f>
        <v>#REF!</v>
      </c>
      <c r="N109" s="568">
        <v>9</v>
      </c>
      <c r="O109" s="568" t="s">
        <v>258</v>
      </c>
      <c r="P109" s="569">
        <v>50</v>
      </c>
      <c r="Q109" s="569">
        <v>5</v>
      </c>
      <c r="R109" s="569" t="s">
        <v>539</v>
      </c>
      <c r="S109" s="569"/>
      <c r="T109" s="569" t="s">
        <v>339</v>
      </c>
      <c r="U109" s="569" t="s">
        <v>343</v>
      </c>
      <c r="V109" s="569"/>
      <c r="W109" s="569" t="s">
        <v>621</v>
      </c>
    </row>
    <row r="110" s="16" customFormat="1" ht="17.25" spans="1:23">
      <c r="A110" s="469">
        <v>31185</v>
      </c>
      <c r="B110" s="197" t="s">
        <v>812</v>
      </c>
      <c r="C110" s="468">
        <v>311</v>
      </c>
      <c r="D110" s="548">
        <f t="shared" si="13"/>
        <v>21</v>
      </c>
      <c r="E110" s="197" t="s">
        <v>806</v>
      </c>
      <c r="F110" s="469"/>
      <c r="G110" s="564" t="s">
        <v>783</v>
      </c>
      <c r="H110" s="197"/>
      <c r="I110" s="559" t="s">
        <v>813</v>
      </c>
      <c r="J110" s="527" t="s">
        <v>632</v>
      </c>
      <c r="K110" s="16">
        <v>2</v>
      </c>
      <c r="L110" s="16">
        <v>1130100</v>
      </c>
      <c r="M110" s="16" t="e">
        <f>SUBSTITUTE(SUBSTITUTE(SUBSTITUTE(#REF!,""&amp;#REF!,""),"}]",""),",","")</f>
        <v>#REF!</v>
      </c>
      <c r="N110" s="568">
        <v>30</v>
      </c>
      <c r="O110" s="568" t="s">
        <v>261</v>
      </c>
      <c r="P110" s="569">
        <v>280</v>
      </c>
      <c r="Q110" s="569">
        <v>28</v>
      </c>
      <c r="R110" s="569" t="s">
        <v>543</v>
      </c>
      <c r="S110" s="569"/>
      <c r="T110" s="569" t="s">
        <v>339</v>
      </c>
      <c r="U110" s="569" t="s">
        <v>340</v>
      </c>
      <c r="V110" s="569"/>
      <c r="W110" s="569" t="s">
        <v>621</v>
      </c>
    </row>
    <row r="111" s="16" customFormat="1" ht="17.25" spans="1:23">
      <c r="A111" s="469">
        <v>31186</v>
      </c>
      <c r="B111" s="197" t="s">
        <v>814</v>
      </c>
      <c r="C111" s="468">
        <v>311</v>
      </c>
      <c r="D111" s="548">
        <f t="shared" si="13"/>
        <v>21</v>
      </c>
      <c r="E111" s="197" t="s">
        <v>806</v>
      </c>
      <c r="F111" s="469"/>
      <c r="G111" s="564" t="s">
        <v>783</v>
      </c>
      <c r="H111" s="197"/>
      <c r="I111" s="559" t="s">
        <v>815</v>
      </c>
      <c r="J111" s="527" t="s">
        <v>632</v>
      </c>
      <c r="K111" s="16">
        <v>2</v>
      </c>
      <c r="L111" s="16">
        <v>1130100</v>
      </c>
      <c r="M111" s="16" t="e">
        <f>SUBSTITUTE(SUBSTITUTE(SUBSTITUTE(E113,""&amp;#REF!,""),"}]",""),",","")</f>
        <v>#REF!</v>
      </c>
      <c r="N111" s="568"/>
      <c r="O111" s="568" t="s">
        <v>816</v>
      </c>
      <c r="P111" s="569">
        <v>100</v>
      </c>
      <c r="Q111" s="569">
        <v>10</v>
      </c>
      <c r="R111" s="569" t="s">
        <v>563</v>
      </c>
      <c r="S111" s="569"/>
      <c r="T111" s="569" t="s">
        <v>339</v>
      </c>
      <c r="U111" s="569"/>
      <c r="V111" s="569"/>
      <c r="W111" s="569"/>
    </row>
    <row r="112" s="16" customFormat="1" ht="17.25" spans="1:23">
      <c r="A112" s="469">
        <v>31187</v>
      </c>
      <c r="B112" s="197" t="s">
        <v>817</v>
      </c>
      <c r="C112" s="468">
        <v>311</v>
      </c>
      <c r="D112" s="548">
        <f t="shared" si="13"/>
        <v>21</v>
      </c>
      <c r="E112" s="197" t="s">
        <v>806</v>
      </c>
      <c r="F112" s="469"/>
      <c r="G112" s="564" t="s">
        <v>783</v>
      </c>
      <c r="H112" s="197"/>
      <c r="I112" s="559" t="s">
        <v>818</v>
      </c>
      <c r="J112" s="527" t="s">
        <v>632</v>
      </c>
      <c r="K112" s="16">
        <v>2</v>
      </c>
      <c r="L112" s="16">
        <v>1130100</v>
      </c>
      <c r="M112" s="16" t="e">
        <f>SUBSTITUTE(SUBSTITUTE(SUBSTITUTE(E114,""&amp;#REF!,""),"}]",""),",","")</f>
        <v>#REF!</v>
      </c>
      <c r="N112" s="570"/>
      <c r="O112" s="570" t="s">
        <v>819</v>
      </c>
      <c r="P112" s="571">
        <v>1500</v>
      </c>
      <c r="Q112" s="571">
        <v>150</v>
      </c>
      <c r="R112" s="571" t="s">
        <v>551</v>
      </c>
      <c r="S112" s="571"/>
      <c r="T112" s="571" t="s">
        <v>820</v>
      </c>
      <c r="U112" s="571"/>
      <c r="V112" s="571"/>
      <c r="W112" s="571"/>
    </row>
    <row r="113" s="16" customFormat="1" ht="17.25" spans="1:23">
      <c r="A113" s="469">
        <v>31188</v>
      </c>
      <c r="B113" s="197" t="s">
        <v>821</v>
      </c>
      <c r="C113" s="468">
        <v>311</v>
      </c>
      <c r="D113" s="566" t="s">
        <v>801</v>
      </c>
      <c r="E113" s="197" t="s">
        <v>822</v>
      </c>
      <c r="F113" s="567">
        <v>6000</v>
      </c>
      <c r="G113" s="567">
        <v>600</v>
      </c>
      <c r="H113" s="197"/>
      <c r="I113" s="558" t="s">
        <v>823</v>
      </c>
      <c r="J113" s="527" t="s">
        <v>632</v>
      </c>
      <c r="K113" s="16">
        <v>3</v>
      </c>
      <c r="L113" s="16">
        <v>1420200</v>
      </c>
      <c r="M113" s="16" t="e">
        <f>SUBSTITUTE(SUBSTITUTE(SUBSTITUTE(E115,""&amp;#REF!,""),"}]",""),",","")</f>
        <v>#REF!</v>
      </c>
      <c r="N113" s="570"/>
      <c r="O113" s="570" t="s">
        <v>824</v>
      </c>
      <c r="P113" s="571">
        <v>4000</v>
      </c>
      <c r="Q113" s="571">
        <v>400</v>
      </c>
      <c r="R113" s="571" t="s">
        <v>551</v>
      </c>
      <c r="S113" s="571"/>
      <c r="T113" s="571" t="s">
        <v>820</v>
      </c>
      <c r="U113" s="571"/>
      <c r="V113" s="571"/>
      <c r="W113" s="571"/>
    </row>
    <row r="114" s="16" customFormat="1" ht="17.25" spans="1:23">
      <c r="A114" s="469">
        <v>31189</v>
      </c>
      <c r="B114" s="197" t="s">
        <v>825</v>
      </c>
      <c r="C114" s="468">
        <v>311</v>
      </c>
      <c r="D114" s="566" t="s">
        <v>804</v>
      </c>
      <c r="E114" s="197" t="s">
        <v>822</v>
      </c>
      <c r="F114" s="567">
        <v>12000</v>
      </c>
      <c r="G114" s="567">
        <v>1200</v>
      </c>
      <c r="H114" s="197"/>
      <c r="I114" s="558" t="s">
        <v>826</v>
      </c>
      <c r="J114" s="527" t="s">
        <v>632</v>
      </c>
      <c r="K114" s="16">
        <v>3</v>
      </c>
      <c r="L114" s="16">
        <v>1420200</v>
      </c>
      <c r="M114" s="16" t="e">
        <f>SUBSTITUTE(SUBSTITUTE(SUBSTITUTE(E116,""&amp;#REF!,""),"}]",""),",","")</f>
        <v>#REF!</v>
      </c>
      <c r="N114" s="570"/>
      <c r="O114" s="570" t="s">
        <v>827</v>
      </c>
      <c r="P114" s="571">
        <v>8000</v>
      </c>
      <c r="Q114" s="571">
        <v>800</v>
      </c>
      <c r="R114" s="571" t="s">
        <v>551</v>
      </c>
      <c r="S114" s="571"/>
      <c r="T114" s="571" t="s">
        <v>820</v>
      </c>
      <c r="U114" s="571"/>
      <c r="V114" s="571"/>
      <c r="W114" s="571"/>
    </row>
    <row r="115" s="16" customFormat="1" ht="17.25" spans="1:23">
      <c r="A115" s="469">
        <v>31190</v>
      </c>
      <c r="B115" s="197" t="s">
        <v>828</v>
      </c>
      <c r="C115" s="561">
        <v>62</v>
      </c>
      <c r="D115" s="561" t="s">
        <v>338</v>
      </c>
      <c r="E115" s="562">
        <v>150</v>
      </c>
      <c r="F115" s="562">
        <v>15</v>
      </c>
      <c r="G115" s="564" t="s">
        <v>234</v>
      </c>
      <c r="H115" s="197"/>
      <c r="I115" s="558" t="s">
        <v>829</v>
      </c>
      <c r="J115" s="527" t="s">
        <v>632</v>
      </c>
      <c r="K115" s="562" t="s">
        <v>339</v>
      </c>
      <c r="L115" s="562" t="s">
        <v>340</v>
      </c>
      <c r="M115" s="16" t="e">
        <f>SUBSTITUTE(SUBSTITUTE(SUBSTITUTE(E117,""&amp;#REF!,""),"}]",""),",","")</f>
        <v>#REF!</v>
      </c>
      <c r="N115" s="570"/>
      <c r="O115" s="570" t="s">
        <v>830</v>
      </c>
      <c r="P115" s="571">
        <v>16000</v>
      </c>
      <c r="Q115" s="571">
        <v>1600</v>
      </c>
      <c r="R115" s="571" t="s">
        <v>551</v>
      </c>
      <c r="S115" s="571"/>
      <c r="T115" s="571" t="s">
        <v>820</v>
      </c>
      <c r="U115" s="571"/>
      <c r="V115" s="571"/>
      <c r="W115" s="571"/>
    </row>
    <row r="116" s="16" customFormat="1" ht="17.25" spans="1:23">
      <c r="A116" s="469">
        <v>31191</v>
      </c>
      <c r="B116" s="197" t="s">
        <v>831</v>
      </c>
      <c r="C116" s="561">
        <v>63</v>
      </c>
      <c r="D116" s="561" t="s">
        <v>341</v>
      </c>
      <c r="E116" s="562">
        <v>1</v>
      </c>
      <c r="F116" s="562">
        <v>0.1</v>
      </c>
      <c r="G116" s="564" t="s">
        <v>783</v>
      </c>
      <c r="H116" s="197"/>
      <c r="I116" s="559" t="s">
        <v>832</v>
      </c>
      <c r="J116" s="527" t="s">
        <v>632</v>
      </c>
      <c r="K116" s="562" t="s">
        <v>342</v>
      </c>
      <c r="L116" s="562" t="s">
        <v>343</v>
      </c>
      <c r="M116" s="16" t="e">
        <f>SUBSTITUTE(SUBSTITUTE(SUBSTITUTE(E118,""&amp;#REF!,""),"}]",""),",","")</f>
        <v>#REF!</v>
      </c>
      <c r="N116" s="570"/>
      <c r="O116" s="570" t="s">
        <v>833</v>
      </c>
      <c r="P116" s="571">
        <v>1500</v>
      </c>
      <c r="Q116" s="571">
        <v>150</v>
      </c>
      <c r="R116" s="571" t="s">
        <v>551</v>
      </c>
      <c r="S116" s="571"/>
      <c r="T116" s="571" t="s">
        <v>820</v>
      </c>
      <c r="U116" s="571"/>
      <c r="V116" s="571"/>
      <c r="W116" s="571"/>
    </row>
    <row r="117" s="16" customFormat="1" ht="17.25" spans="1:23">
      <c r="A117" s="469">
        <v>31192</v>
      </c>
      <c r="B117" s="197" t="s">
        <v>834</v>
      </c>
      <c r="C117" s="561">
        <v>6030001</v>
      </c>
      <c r="D117" s="561" t="s">
        <v>344</v>
      </c>
      <c r="E117" s="562">
        <v>200</v>
      </c>
      <c r="F117" s="562">
        <v>20</v>
      </c>
      <c r="G117" s="564" t="s">
        <v>783</v>
      </c>
      <c r="H117" s="197"/>
      <c r="I117" s="559" t="s">
        <v>835</v>
      </c>
      <c r="J117" s="527" t="s">
        <v>632</v>
      </c>
      <c r="K117" s="562" t="s">
        <v>342</v>
      </c>
      <c r="L117" s="562" t="s">
        <v>343</v>
      </c>
      <c r="M117" s="16" t="e">
        <f>SUBSTITUTE(SUBSTITUTE(SUBSTITUTE(E119,""&amp;#REF!,""),"}]",""),",","")</f>
        <v>#REF!</v>
      </c>
      <c r="N117" s="570"/>
      <c r="O117" s="570" t="s">
        <v>836</v>
      </c>
      <c r="P117" s="571">
        <v>4000</v>
      </c>
      <c r="Q117" s="571">
        <v>400</v>
      </c>
      <c r="R117" s="571" t="s">
        <v>551</v>
      </c>
      <c r="S117" s="571"/>
      <c r="T117" s="571" t="s">
        <v>820</v>
      </c>
      <c r="U117" s="571"/>
      <c r="V117" s="571"/>
      <c r="W117" s="571"/>
    </row>
    <row r="118" s="16" customFormat="1" ht="17.25" spans="1:23">
      <c r="A118" s="469">
        <v>31193</v>
      </c>
      <c r="B118" s="197" t="s">
        <v>837</v>
      </c>
      <c r="C118" s="561">
        <v>6030002</v>
      </c>
      <c r="D118" s="561" t="s">
        <v>345</v>
      </c>
      <c r="E118" s="562">
        <v>400</v>
      </c>
      <c r="F118" s="562">
        <v>40</v>
      </c>
      <c r="G118" s="564" t="s">
        <v>783</v>
      </c>
      <c r="H118" s="197"/>
      <c r="I118" s="559" t="s">
        <v>838</v>
      </c>
      <c r="J118" s="527" t="s">
        <v>632</v>
      </c>
      <c r="K118" s="562" t="s">
        <v>342</v>
      </c>
      <c r="L118" s="562" t="s">
        <v>340</v>
      </c>
      <c r="M118" s="16" t="e">
        <f>SUBSTITUTE(SUBSTITUTE(SUBSTITUTE(E120,""&amp;#REF!,""),"}]",""),",","")</f>
        <v>#REF!</v>
      </c>
      <c r="N118" s="570"/>
      <c r="O118" s="570" t="s">
        <v>839</v>
      </c>
      <c r="P118" s="571">
        <v>8000</v>
      </c>
      <c r="Q118" s="571">
        <v>800</v>
      </c>
      <c r="R118" s="571" t="s">
        <v>551</v>
      </c>
      <c r="S118" s="571"/>
      <c r="T118" s="571" t="s">
        <v>820</v>
      </c>
      <c r="U118" s="571"/>
      <c r="V118" s="571"/>
      <c r="W118" s="571"/>
    </row>
    <row r="119" s="16" customFormat="1" ht="17.25" spans="1:23">
      <c r="A119" s="469">
        <v>31194</v>
      </c>
      <c r="B119" s="197" t="s">
        <v>840</v>
      </c>
      <c r="C119" s="561">
        <v>6030003</v>
      </c>
      <c r="D119" s="561" t="s">
        <v>346</v>
      </c>
      <c r="E119" s="562">
        <v>800</v>
      </c>
      <c r="F119" s="562">
        <v>80</v>
      </c>
      <c r="G119" s="564" t="s">
        <v>783</v>
      </c>
      <c r="H119" s="197"/>
      <c r="I119" s="559" t="s">
        <v>841</v>
      </c>
      <c r="J119" s="527" t="s">
        <v>632</v>
      </c>
      <c r="K119" s="562" t="s">
        <v>342</v>
      </c>
      <c r="L119" s="562" t="s">
        <v>347</v>
      </c>
      <c r="M119" s="16" t="e">
        <f>SUBSTITUTE(SUBSTITUTE(SUBSTITUTE(E121,""&amp;#REF!,""),"}]",""),",","")</f>
        <v>#REF!</v>
      </c>
      <c r="N119" s="570"/>
      <c r="O119" s="570" t="s">
        <v>842</v>
      </c>
      <c r="P119" s="571">
        <v>16000</v>
      </c>
      <c r="Q119" s="571">
        <v>1600</v>
      </c>
      <c r="R119" s="571" t="s">
        <v>551</v>
      </c>
      <c r="S119" s="571"/>
      <c r="T119" s="571" t="s">
        <v>820</v>
      </c>
      <c r="U119" s="571"/>
      <c r="V119" s="571"/>
      <c r="W119" s="571"/>
    </row>
    <row r="120" s="16" customFormat="1" ht="17.25" spans="1:23">
      <c r="A120" s="469">
        <v>31195</v>
      </c>
      <c r="B120" s="197" t="s">
        <v>843</v>
      </c>
      <c r="C120" s="561">
        <v>6030004</v>
      </c>
      <c r="D120" s="561" t="s">
        <v>348</v>
      </c>
      <c r="E120" s="562">
        <v>1600</v>
      </c>
      <c r="F120" s="562">
        <v>160</v>
      </c>
      <c r="G120" s="564" t="s">
        <v>783</v>
      </c>
      <c r="H120" s="197"/>
      <c r="I120" s="559" t="s">
        <v>844</v>
      </c>
      <c r="J120" s="527" t="s">
        <v>632</v>
      </c>
      <c r="K120" s="562" t="s">
        <v>342</v>
      </c>
      <c r="L120" s="562" t="s">
        <v>349</v>
      </c>
      <c r="M120" s="16" t="e">
        <f>SUBSTITUTE(SUBSTITUTE(SUBSTITUTE(E122,""&amp;#REF!,""),"}]",""),",","")</f>
        <v>#REF!</v>
      </c>
      <c r="N120" s="570"/>
      <c r="O120" s="570" t="s">
        <v>845</v>
      </c>
      <c r="P120" s="571">
        <v>4000</v>
      </c>
      <c r="Q120" s="571">
        <v>400</v>
      </c>
      <c r="R120" s="571" t="s">
        <v>551</v>
      </c>
      <c r="S120" s="571"/>
      <c r="T120" s="571" t="s">
        <v>820</v>
      </c>
      <c r="U120" s="571"/>
      <c r="V120" s="571"/>
      <c r="W120" s="571"/>
    </row>
    <row r="121" s="16" customFormat="1" ht="17.25" spans="1:23">
      <c r="A121" s="469">
        <v>31196</v>
      </c>
      <c r="B121" s="197" t="s">
        <v>846</v>
      </c>
      <c r="C121" s="565">
        <v>6040001</v>
      </c>
      <c r="D121" s="561" t="s">
        <v>350</v>
      </c>
      <c r="E121" s="562">
        <v>2000</v>
      </c>
      <c r="F121" s="562">
        <v>200</v>
      </c>
      <c r="G121" s="564" t="s">
        <v>783</v>
      </c>
      <c r="H121" s="197"/>
      <c r="I121" s="559" t="s">
        <v>847</v>
      </c>
      <c r="J121" s="527" t="s">
        <v>632</v>
      </c>
      <c r="K121" s="562" t="s">
        <v>342</v>
      </c>
      <c r="L121" s="562"/>
      <c r="M121" s="16" t="e">
        <f>SUBSTITUTE(SUBSTITUTE(SUBSTITUTE(E123,""&amp;#REF!,""),"}]",""),",","")</f>
        <v>#REF!</v>
      </c>
      <c r="N121" s="570"/>
      <c r="O121" s="570" t="s">
        <v>848</v>
      </c>
      <c r="P121" s="571">
        <v>8000</v>
      </c>
      <c r="Q121" s="571">
        <v>800</v>
      </c>
      <c r="R121" s="571" t="s">
        <v>551</v>
      </c>
      <c r="S121" s="571"/>
      <c r="T121" s="571" t="s">
        <v>820</v>
      </c>
      <c r="U121" s="571"/>
      <c r="V121" s="571"/>
      <c r="W121" s="571"/>
    </row>
    <row r="122" s="16" customFormat="1" ht="17.25" spans="1:23">
      <c r="A122" s="469">
        <v>31197</v>
      </c>
      <c r="B122" s="197">
        <v>1310100</v>
      </c>
      <c r="C122" s="565">
        <v>6040002</v>
      </c>
      <c r="D122" s="561" t="s">
        <v>351</v>
      </c>
      <c r="E122" s="562">
        <v>4000</v>
      </c>
      <c r="F122" s="562">
        <v>400</v>
      </c>
      <c r="G122" s="564" t="s">
        <v>234</v>
      </c>
      <c r="H122" s="197"/>
      <c r="I122" s="556" t="s">
        <v>849</v>
      </c>
      <c r="J122" s="527" t="s">
        <v>632</v>
      </c>
      <c r="K122" s="562" t="s">
        <v>342</v>
      </c>
      <c r="L122" s="562"/>
      <c r="M122" s="16" t="e">
        <f>SUBSTITUTE(SUBSTITUTE(SUBSTITUTE(E124,""&amp;#REF!,""),"}]",""),",","")</f>
        <v>#REF!</v>
      </c>
      <c r="N122" s="570"/>
      <c r="O122" s="570" t="s">
        <v>850</v>
      </c>
      <c r="P122" s="571">
        <v>2500</v>
      </c>
      <c r="Q122" s="571">
        <v>250</v>
      </c>
      <c r="R122" s="571" t="s">
        <v>551</v>
      </c>
      <c r="S122" s="571"/>
      <c r="T122" s="571" t="s">
        <v>820</v>
      </c>
      <c r="U122" s="571"/>
      <c r="V122" s="571"/>
      <c r="W122" s="571"/>
    </row>
    <row r="123" s="16" customFormat="1" ht="17.25" spans="1:23">
      <c r="A123" s="469">
        <v>31198</v>
      </c>
      <c r="B123" s="197">
        <v>1210400</v>
      </c>
      <c r="C123" s="565">
        <v>6040003</v>
      </c>
      <c r="D123" s="561" t="s">
        <v>352</v>
      </c>
      <c r="E123" s="562">
        <v>8000</v>
      </c>
      <c r="F123" s="562">
        <v>800</v>
      </c>
      <c r="G123" s="564" t="s">
        <v>234</v>
      </c>
      <c r="H123" s="197"/>
      <c r="I123" s="556" t="s">
        <v>851</v>
      </c>
      <c r="J123" s="527" t="s">
        <v>632</v>
      </c>
      <c r="K123" s="562" t="s">
        <v>342</v>
      </c>
      <c r="L123" s="562"/>
      <c r="M123" s="16" t="e">
        <f>SUBSTITUTE(SUBSTITUTE(SUBSTITUTE(E125,""&amp;#REF!,""),"}]",""),",","")</f>
        <v>#REF!</v>
      </c>
      <c r="N123" s="570"/>
      <c r="O123" s="570" t="s">
        <v>852</v>
      </c>
      <c r="P123" s="571">
        <v>8000</v>
      </c>
      <c r="Q123" s="571">
        <v>700</v>
      </c>
      <c r="R123" s="571" t="s">
        <v>551</v>
      </c>
      <c r="S123" s="571"/>
      <c r="T123" s="571"/>
      <c r="U123" s="571"/>
      <c r="V123" s="571"/>
      <c r="W123" s="571"/>
    </row>
    <row r="124" s="16" customFormat="1" ht="17.25" spans="1:23">
      <c r="A124" s="469">
        <v>31199</v>
      </c>
      <c r="B124" s="197">
        <v>1230100</v>
      </c>
      <c r="C124" s="565">
        <v>6040004</v>
      </c>
      <c r="D124" s="561" t="s">
        <v>353</v>
      </c>
      <c r="E124" s="562">
        <v>16000</v>
      </c>
      <c r="F124" s="562">
        <v>1600</v>
      </c>
      <c r="G124" s="564" t="s">
        <v>234</v>
      </c>
      <c r="H124" s="197"/>
      <c r="I124" s="556" t="s">
        <v>853</v>
      </c>
      <c r="J124" s="527" t="s">
        <v>632</v>
      </c>
      <c r="K124" s="562" t="s">
        <v>342</v>
      </c>
      <c r="L124" s="562"/>
      <c r="M124" s="16" t="e">
        <f>SUBSTITUTE(SUBSTITUTE(SUBSTITUTE(#REF!,""&amp;#REF!,""),"}]",""),",","")</f>
        <v>#REF!</v>
      </c>
      <c r="N124" s="570"/>
      <c r="O124" s="570" t="s">
        <v>854</v>
      </c>
      <c r="P124" s="571">
        <v>12000</v>
      </c>
      <c r="Q124" s="571">
        <v>1200</v>
      </c>
      <c r="R124" s="571" t="s">
        <v>551</v>
      </c>
      <c r="S124" s="571"/>
      <c r="T124" s="571" t="s">
        <v>820</v>
      </c>
      <c r="U124" s="571"/>
      <c r="V124" s="571"/>
      <c r="W124" s="571"/>
    </row>
    <row r="125" s="16" customFormat="1" ht="17.25" spans="1:23">
      <c r="A125" s="469">
        <v>31200</v>
      </c>
      <c r="B125" s="197">
        <v>1420200</v>
      </c>
      <c r="C125" s="561">
        <v>6110030</v>
      </c>
      <c r="D125" s="561" t="s">
        <v>354</v>
      </c>
      <c r="E125" s="562">
        <v>12000</v>
      </c>
      <c r="F125" s="562">
        <v>1200</v>
      </c>
      <c r="G125" s="564" t="s">
        <v>234</v>
      </c>
      <c r="H125" s="197"/>
      <c r="I125" s="558" t="s">
        <v>855</v>
      </c>
      <c r="J125" s="527" t="s">
        <v>632</v>
      </c>
      <c r="K125" s="562" t="s">
        <v>342</v>
      </c>
      <c r="L125" s="562" t="s">
        <v>347</v>
      </c>
      <c r="M125" s="16" t="e">
        <f>SUBSTITUTE(SUBSTITUTE(SUBSTITUTE(E126,""&amp;#REF!,""),"}]",""),",","")</f>
        <v>#REF!</v>
      </c>
      <c r="N125" s="561"/>
      <c r="O125" s="561" t="s">
        <v>856</v>
      </c>
      <c r="P125" s="562"/>
      <c r="Q125" s="562"/>
      <c r="R125" s="562" t="s">
        <v>551</v>
      </c>
      <c r="S125" s="562"/>
      <c r="T125" s="562" t="s">
        <v>820</v>
      </c>
      <c r="U125" s="562"/>
      <c r="V125" s="562"/>
      <c r="W125" s="562" t="s">
        <v>857</v>
      </c>
    </row>
    <row r="126" s="16" customFormat="1" ht="17.25" spans="1:23">
      <c r="A126" s="469">
        <v>31201</v>
      </c>
      <c r="B126" s="197">
        <v>1210600</v>
      </c>
      <c r="C126" s="468">
        <v>311</v>
      </c>
      <c r="D126" s="548">
        <f t="shared" ref="D126:D153" si="14">INT(VLOOKUP(J126,$A$7:$D$12,2,0)/COUNTIF($J$21:$J$194,J126))</f>
        <v>21</v>
      </c>
      <c r="E126" s="197" t="s">
        <v>858</v>
      </c>
      <c r="F126" s="469"/>
      <c r="G126" s="564" t="s">
        <v>234</v>
      </c>
      <c r="H126" s="197"/>
      <c r="I126" s="558" t="s">
        <v>859</v>
      </c>
      <c r="J126" s="527" t="s">
        <v>632</v>
      </c>
      <c r="K126" s="16">
        <v>5</v>
      </c>
      <c r="L126" s="16">
        <v>1420200</v>
      </c>
      <c r="M126" s="16" t="e">
        <f>SUBSTITUTE(SUBSTITUTE(SUBSTITUTE(E127,""&amp;#REF!,""),"}]",""),",","")</f>
        <v>#REF!</v>
      </c>
      <c r="N126" s="561"/>
      <c r="O126" s="561" t="s">
        <v>860</v>
      </c>
      <c r="P126" s="562"/>
      <c r="Q126" s="562"/>
      <c r="R126" s="562" t="s">
        <v>551</v>
      </c>
      <c r="S126" s="562"/>
      <c r="T126" s="562" t="s">
        <v>820</v>
      </c>
      <c r="U126" s="562"/>
      <c r="V126" s="562"/>
      <c r="W126" s="562" t="s">
        <v>857</v>
      </c>
    </row>
    <row r="127" s="16" customFormat="1" ht="17.25" spans="1:23">
      <c r="A127" s="469">
        <v>31202</v>
      </c>
      <c r="B127" s="197">
        <v>1230400</v>
      </c>
      <c r="C127" s="468">
        <v>311</v>
      </c>
      <c r="D127" s="548">
        <f t="shared" si="14"/>
        <v>21</v>
      </c>
      <c r="E127" s="197" t="s">
        <v>858</v>
      </c>
      <c r="F127" s="469"/>
      <c r="G127" s="564" t="s">
        <v>234</v>
      </c>
      <c r="H127" s="197"/>
      <c r="I127" s="558" t="s">
        <v>861</v>
      </c>
      <c r="J127" s="527" t="s">
        <v>632</v>
      </c>
      <c r="K127" s="16">
        <v>5</v>
      </c>
      <c r="L127" s="16">
        <v>1420200</v>
      </c>
      <c r="M127" s="16" t="e">
        <f>SUBSTITUTE(SUBSTITUTE(SUBSTITUTE(E128,""&amp;#REF!,""),"}]",""),",","")</f>
        <v>#REF!</v>
      </c>
      <c r="N127" s="561"/>
      <c r="O127" s="561" t="s">
        <v>862</v>
      </c>
      <c r="P127" s="562"/>
      <c r="Q127" s="562"/>
      <c r="R127" s="562" t="s">
        <v>551</v>
      </c>
      <c r="S127" s="562"/>
      <c r="T127" s="562" t="s">
        <v>820</v>
      </c>
      <c r="U127" s="562" t="s">
        <v>623</v>
      </c>
      <c r="V127" s="562"/>
      <c r="W127" s="562" t="s">
        <v>857</v>
      </c>
    </row>
    <row r="128" s="16" customFormat="1" ht="17.25" spans="1:23">
      <c r="A128" s="469">
        <v>31203</v>
      </c>
      <c r="B128" s="197">
        <v>1310300</v>
      </c>
      <c r="C128" s="468">
        <v>311</v>
      </c>
      <c r="D128" s="548">
        <f t="shared" si="14"/>
        <v>21</v>
      </c>
      <c r="E128" s="197" t="s">
        <v>858</v>
      </c>
      <c r="F128" s="469"/>
      <c r="G128" s="564" t="s">
        <v>234</v>
      </c>
      <c r="H128" s="197"/>
      <c r="I128" s="558" t="s">
        <v>863</v>
      </c>
      <c r="J128" s="527" t="s">
        <v>632</v>
      </c>
      <c r="K128" s="16">
        <v>5</v>
      </c>
      <c r="L128" s="16">
        <v>1420200</v>
      </c>
      <c r="M128" s="16" t="e">
        <f>SUBSTITUTE(SUBSTITUTE(SUBSTITUTE(#REF!,""&amp;#REF!,""),"}]",""),",","")</f>
        <v>#REF!</v>
      </c>
      <c r="N128" s="561"/>
      <c r="O128" s="561" t="s">
        <v>864</v>
      </c>
      <c r="P128" s="562"/>
      <c r="Q128" s="562"/>
      <c r="R128" s="562" t="s">
        <v>551</v>
      </c>
      <c r="S128" s="562"/>
      <c r="T128" s="562" t="s">
        <v>820</v>
      </c>
      <c r="U128" s="562"/>
      <c r="V128" s="562"/>
      <c r="W128" s="562" t="s">
        <v>857</v>
      </c>
    </row>
    <row r="129" s="16" customFormat="1" ht="17.25" spans="1:23">
      <c r="A129" s="469">
        <v>31204</v>
      </c>
      <c r="B129" s="197">
        <v>1130100</v>
      </c>
      <c r="C129" s="468">
        <v>311</v>
      </c>
      <c r="D129" s="548">
        <f t="shared" si="14"/>
        <v>21</v>
      </c>
      <c r="E129" s="197" t="s">
        <v>648</v>
      </c>
      <c r="F129" s="469"/>
      <c r="G129" s="564" t="s">
        <v>783</v>
      </c>
      <c r="H129" s="197"/>
      <c r="I129" s="559" t="s">
        <v>865</v>
      </c>
      <c r="J129" s="527" t="s">
        <v>632</v>
      </c>
      <c r="K129" s="16">
        <v>5</v>
      </c>
      <c r="L129" s="16">
        <v>1130100</v>
      </c>
      <c r="M129" s="16" t="e">
        <f>SUBSTITUTE(SUBSTITUTE(SUBSTITUTE(E129,""&amp;#REF!,""),"}]",""),",","")</f>
        <v>#REF!</v>
      </c>
      <c r="N129" s="561"/>
      <c r="O129" s="561" t="s">
        <v>866</v>
      </c>
      <c r="P129" s="562"/>
      <c r="Q129" s="562"/>
      <c r="R129" s="562" t="s">
        <v>551</v>
      </c>
      <c r="S129" s="562"/>
      <c r="T129" s="562" t="s">
        <v>820</v>
      </c>
      <c r="U129" s="562"/>
      <c r="V129" s="562"/>
      <c r="W129" s="562" t="s">
        <v>857</v>
      </c>
    </row>
    <row r="130" s="16" customFormat="1" ht="17.25" spans="1:23">
      <c r="A130" s="469">
        <v>31205</v>
      </c>
      <c r="B130" s="197">
        <v>1530100</v>
      </c>
      <c r="C130" s="468">
        <v>311</v>
      </c>
      <c r="D130" s="548">
        <f t="shared" si="14"/>
        <v>21</v>
      </c>
      <c r="E130" s="197" t="s">
        <v>648</v>
      </c>
      <c r="F130" s="469"/>
      <c r="G130" s="564" t="s">
        <v>783</v>
      </c>
      <c r="H130" s="197"/>
      <c r="I130" s="559" t="s">
        <v>867</v>
      </c>
      <c r="J130" s="527" t="s">
        <v>632</v>
      </c>
      <c r="K130" s="16">
        <v>5</v>
      </c>
      <c r="L130" s="16">
        <v>1130100</v>
      </c>
      <c r="M130" s="16" t="e">
        <f>SUBSTITUTE(SUBSTITUTE(SUBSTITUTE(E130,""&amp;#REF!,""),"}]",""),",","")</f>
        <v>#REF!</v>
      </c>
      <c r="N130" s="572">
        <v>5800004</v>
      </c>
      <c r="O130" s="572" t="s">
        <v>203</v>
      </c>
      <c r="P130" s="573">
        <v>30</v>
      </c>
      <c r="Q130" s="573">
        <v>3</v>
      </c>
      <c r="R130" s="574" t="s">
        <v>543</v>
      </c>
      <c r="S130" s="574"/>
      <c r="T130" s="574"/>
      <c r="U130" s="574" t="s">
        <v>340</v>
      </c>
      <c r="V130" s="574"/>
      <c r="W130" s="573" t="s">
        <v>355</v>
      </c>
    </row>
    <row r="131" s="16" customFormat="1" ht="17.25" spans="1:23">
      <c r="A131" s="469">
        <v>31206</v>
      </c>
      <c r="B131" s="197">
        <v>1210300</v>
      </c>
      <c r="C131" s="468">
        <v>311</v>
      </c>
      <c r="D131" s="548">
        <f t="shared" si="14"/>
        <v>21</v>
      </c>
      <c r="E131" s="197" t="s">
        <v>648</v>
      </c>
      <c r="F131" s="469"/>
      <c r="G131" s="564" t="s">
        <v>783</v>
      </c>
      <c r="H131" s="197"/>
      <c r="I131" s="559" t="s">
        <v>868</v>
      </c>
      <c r="J131" s="527" t="s">
        <v>632</v>
      </c>
      <c r="K131" s="16">
        <v>5</v>
      </c>
      <c r="L131" s="16">
        <v>1130100</v>
      </c>
      <c r="M131" s="16" t="e">
        <f>SUBSTITUTE(SUBSTITUTE(SUBSTITUTE(E131,""&amp;#REF!,""),"}]",""),",","")</f>
        <v>#REF!</v>
      </c>
      <c r="N131" s="572"/>
      <c r="O131" s="572" t="s">
        <v>302</v>
      </c>
      <c r="P131" s="573">
        <v>0.02</v>
      </c>
      <c r="Q131" s="573">
        <v>0.002</v>
      </c>
      <c r="R131" s="574" t="s">
        <v>539</v>
      </c>
      <c r="S131" s="574"/>
      <c r="T131" s="574"/>
      <c r="U131" s="574"/>
      <c r="V131" s="574"/>
      <c r="W131" s="574"/>
    </row>
    <row r="132" s="16" customFormat="1" ht="17.25" spans="1:23">
      <c r="A132" s="469">
        <v>31207</v>
      </c>
      <c r="B132" s="197">
        <v>1430700</v>
      </c>
      <c r="C132" s="468">
        <v>311</v>
      </c>
      <c r="D132" s="548">
        <f t="shared" si="14"/>
        <v>21</v>
      </c>
      <c r="E132" s="197" t="s">
        <v>648</v>
      </c>
      <c r="F132" s="469"/>
      <c r="G132" s="564" t="s">
        <v>783</v>
      </c>
      <c r="H132" s="197"/>
      <c r="I132" s="559" t="s">
        <v>869</v>
      </c>
      <c r="J132" s="527" t="s">
        <v>632</v>
      </c>
      <c r="K132" s="16">
        <v>5</v>
      </c>
      <c r="L132" s="16">
        <v>1130100</v>
      </c>
      <c r="M132" s="16" t="e">
        <f>SUBSTITUTE(SUBSTITUTE(SUBSTITUTE(E132,""&amp;#REF!,""),"}]",""),",","")</f>
        <v>#REF!</v>
      </c>
      <c r="N132" s="572"/>
      <c r="O132" s="572" t="s">
        <v>304</v>
      </c>
      <c r="P132" s="573" t="inlineStr">
        <is>
          <t>暂不定价</t>
        </is>
      </c>
      <c r="Q132" s="573" t="inlineStr">
        <is>
          <t>暂不定价</t>
        </is>
      </c>
      <c r="R132" s="574" t="s">
        <v>539</v>
      </c>
      <c r="S132" s="574"/>
      <c r="T132" s="574"/>
      <c r="U132" s="574"/>
      <c r="V132" s="574"/>
      <c r="W132" s="574"/>
    </row>
    <row r="133" s="16" customFormat="1" ht="17.25" spans="1:23">
      <c r="A133" s="469">
        <v>31208</v>
      </c>
      <c r="B133" s="197">
        <v>1140100</v>
      </c>
      <c r="C133" s="468">
        <v>311</v>
      </c>
      <c r="D133" s="548">
        <f t="shared" si="14"/>
        <v>21</v>
      </c>
      <c r="E133" s="197" t="s">
        <v>648</v>
      </c>
      <c r="F133" s="469"/>
      <c r="G133" s="564" t="s">
        <v>783</v>
      </c>
      <c r="H133" s="197"/>
      <c r="I133" s="559" t="s">
        <v>870</v>
      </c>
      <c r="J133" s="527" t="s">
        <v>632</v>
      </c>
      <c r="K133" s="16">
        <v>5</v>
      </c>
      <c r="L133" s="16">
        <v>1130100</v>
      </c>
      <c r="M133" s="16" t="e">
        <f>SUBSTITUTE(SUBSTITUTE(SUBSTITUTE(E133,""&amp;#REF!,""),"}]",""),",","")</f>
        <v>#REF!</v>
      </c>
      <c r="N133" s="572">
        <v>5205001</v>
      </c>
      <c r="O133" s="572" t="s">
        <v>294</v>
      </c>
      <c r="P133" s="573">
        <v>500</v>
      </c>
      <c r="Q133" s="573">
        <v>50</v>
      </c>
      <c r="R133" s="574" t="s">
        <v>551</v>
      </c>
      <c r="S133" s="574"/>
      <c r="T133" s="574"/>
      <c r="U133" s="574" t="s">
        <v>340</v>
      </c>
      <c r="V133" s="574"/>
      <c r="W133" s="573" t="s">
        <v>356</v>
      </c>
    </row>
    <row r="134" s="16" customFormat="1" ht="17.25" spans="1:23">
      <c r="A134" s="469">
        <v>31209</v>
      </c>
      <c r="B134" s="197">
        <v>1140200</v>
      </c>
      <c r="C134" s="468">
        <v>311</v>
      </c>
      <c r="D134" s="548">
        <f t="shared" si="14"/>
        <v>21</v>
      </c>
      <c r="E134" s="197" t="s">
        <v>648</v>
      </c>
      <c r="F134" s="469"/>
      <c r="G134" s="564" t="s">
        <v>783</v>
      </c>
      <c r="H134" s="197"/>
      <c r="I134" s="559" t="s">
        <v>871</v>
      </c>
      <c r="J134" s="527" t="s">
        <v>632</v>
      </c>
      <c r="K134" s="16">
        <v>5</v>
      </c>
      <c r="L134" s="16">
        <v>1130100</v>
      </c>
      <c r="M134" s="16" t="e">
        <f>SUBSTITUTE(SUBSTITUTE(SUBSTITUTE(E134,""&amp;#REF!,""),"}]",""),",","")</f>
        <v>#REF!</v>
      </c>
      <c r="N134" s="572"/>
      <c r="O134" s="572" t="s">
        <v>297</v>
      </c>
      <c r="P134" s="573">
        <v>5</v>
      </c>
      <c r="Q134" s="573">
        <v>0.5</v>
      </c>
      <c r="R134" s="574" t="s">
        <v>543</v>
      </c>
      <c r="S134" s="574"/>
      <c r="T134" s="574"/>
      <c r="U134" s="574" t="s">
        <v>343</v>
      </c>
      <c r="V134" s="574"/>
      <c r="W134" s="573" t="s">
        <v>872</v>
      </c>
    </row>
    <row r="135" s="16" customFormat="1" ht="17.25" spans="1:23">
      <c r="A135" s="469">
        <v>31210</v>
      </c>
      <c r="B135" s="197" t="s">
        <v>751</v>
      </c>
      <c r="C135" s="468">
        <v>311</v>
      </c>
      <c r="D135" s="548">
        <f t="shared" si="14"/>
        <v>21</v>
      </c>
      <c r="E135" s="197" t="s">
        <v>873</v>
      </c>
      <c r="F135" s="469"/>
      <c r="G135" s="564" t="s">
        <v>234</v>
      </c>
      <c r="H135" s="197"/>
      <c r="I135" s="556" t="s">
        <v>753</v>
      </c>
      <c r="J135" s="527" t="s">
        <v>632</v>
      </c>
      <c r="K135" s="16">
        <f t="shared" ref="K135:K194" si="15">K81</f>
        <v>1</v>
      </c>
      <c r="L135" s="16">
        <v>1310100</v>
      </c>
      <c r="M135" s="16" t="e">
        <f>SUBSTITUTE(SUBSTITUTE(SUBSTITUTE(E135,""&amp;#REF!,""),"}]",""),",","")</f>
        <v>#REF!</v>
      </c>
      <c r="N135" s="572">
        <v>50</v>
      </c>
      <c r="O135" s="572" t="s">
        <v>236</v>
      </c>
      <c r="P135" s="573">
        <v>0.1</v>
      </c>
      <c r="Q135" s="573">
        <v>0.01</v>
      </c>
      <c r="R135" s="574" t="s">
        <v>539</v>
      </c>
      <c r="S135" s="574"/>
      <c r="T135" s="574"/>
      <c r="U135" s="574" t="s">
        <v>343</v>
      </c>
      <c r="V135" s="574"/>
      <c r="W135" s="573" t="s">
        <v>357</v>
      </c>
    </row>
    <row r="136" s="16" customFormat="1" ht="17.25" spans="1:23">
      <c r="A136" s="469">
        <v>31211</v>
      </c>
      <c r="B136" s="197" t="s">
        <v>754</v>
      </c>
      <c r="C136" s="468">
        <v>311</v>
      </c>
      <c r="D136" s="548">
        <f t="shared" si="14"/>
        <v>21</v>
      </c>
      <c r="E136" s="197" t="s">
        <v>873</v>
      </c>
      <c r="F136" s="469"/>
      <c r="G136" s="564" t="s">
        <v>234</v>
      </c>
      <c r="H136" s="197"/>
      <c r="I136" s="556" t="s">
        <v>755</v>
      </c>
      <c r="J136" s="527" t="s">
        <v>632</v>
      </c>
      <c r="K136" s="16">
        <f t="shared" si="15"/>
        <v>1</v>
      </c>
      <c r="L136" s="16">
        <v>1310100</v>
      </c>
      <c r="M136" s="16" t="e">
        <f>SUBSTITUTE(SUBSTITUTE(SUBSTITUTE(E136,""&amp;#REF!,""),"}]",""),",","")</f>
        <v>#REF!</v>
      </c>
      <c r="N136" s="572"/>
      <c r="O136" s="572" t="s">
        <v>238</v>
      </c>
      <c r="P136" s="573" t="inlineStr">
        <is>
          <t>暂不定价</t>
        </is>
      </c>
      <c r="Q136" s="573" t="inlineStr">
        <is>
          <t>暂不定价</t>
        </is>
      </c>
      <c r="R136" s="574" t="s">
        <v>539</v>
      </c>
      <c r="S136" s="574"/>
      <c r="T136" s="574"/>
      <c r="U136" s="574"/>
      <c r="V136" s="574"/>
      <c r="W136" s="574"/>
    </row>
    <row r="137" s="16" customFormat="1" ht="17.25" spans="1:23">
      <c r="A137" s="469">
        <v>31212</v>
      </c>
      <c r="B137" s="197" t="s">
        <v>756</v>
      </c>
      <c r="C137" s="468">
        <v>311</v>
      </c>
      <c r="D137" s="548">
        <f t="shared" si="14"/>
        <v>21</v>
      </c>
      <c r="E137" s="197" t="s">
        <v>873</v>
      </c>
      <c r="F137" s="469"/>
      <c r="G137" s="564" t="s">
        <v>234</v>
      </c>
      <c r="H137" s="197"/>
      <c r="I137" s="556" t="s">
        <v>757</v>
      </c>
      <c r="J137" s="527" t="s">
        <v>632</v>
      </c>
      <c r="K137" s="16">
        <f t="shared" si="15"/>
        <v>1</v>
      </c>
      <c r="L137" s="16">
        <v>1310100</v>
      </c>
      <c r="M137" s="16" t="e">
        <f>SUBSTITUTE(SUBSTITUTE(SUBSTITUTE(E137,""&amp;#REF!,""),"}]",""),",","")</f>
        <v>#REF!</v>
      </c>
      <c r="N137" s="572">
        <v>28</v>
      </c>
      <c r="O137" s="572" t="s">
        <v>207</v>
      </c>
      <c r="P137" s="573">
        <v>200</v>
      </c>
      <c r="Q137" s="573">
        <v>20</v>
      </c>
      <c r="R137" s="574" t="s">
        <v>543</v>
      </c>
      <c r="S137" s="574"/>
      <c r="T137" s="574"/>
      <c r="U137" s="574" t="s">
        <v>343</v>
      </c>
      <c r="V137" s="574"/>
      <c r="W137" s="573" t="s">
        <v>358</v>
      </c>
    </row>
    <row r="138" s="16" customFormat="1" ht="17.25" spans="1:23">
      <c r="A138" s="469">
        <v>31213</v>
      </c>
      <c r="B138" s="197" t="s">
        <v>758</v>
      </c>
      <c r="C138" s="468">
        <v>311</v>
      </c>
      <c r="D138" s="548">
        <f t="shared" si="14"/>
        <v>21</v>
      </c>
      <c r="E138" s="197" t="s">
        <v>874</v>
      </c>
      <c r="F138" s="469"/>
      <c r="G138" s="564" t="s">
        <v>234</v>
      </c>
      <c r="H138" s="469"/>
      <c r="I138" s="558" t="s">
        <v>760</v>
      </c>
      <c r="J138" s="527" t="s">
        <v>632</v>
      </c>
      <c r="K138" s="16">
        <f t="shared" si="15"/>
        <v>1</v>
      </c>
      <c r="L138" s="16">
        <v>1420200</v>
      </c>
      <c r="M138" s="16" t="e">
        <f>SUBSTITUTE(SUBSTITUTE(SUBSTITUTE(E138,""&amp;#REF!,""),"}]",""),",","")</f>
        <v>#REF!</v>
      </c>
      <c r="N138" s="572">
        <v>5523004</v>
      </c>
      <c r="O138" s="572" t="s">
        <v>359</v>
      </c>
      <c r="P138" s="573">
        <v>300</v>
      </c>
      <c r="Q138" s="573">
        <v>30</v>
      </c>
      <c r="R138" s="574" t="s">
        <v>563</v>
      </c>
      <c r="S138" s="574"/>
      <c r="T138" s="574"/>
      <c r="U138" s="574" t="s">
        <v>340</v>
      </c>
      <c r="V138" s="574"/>
      <c r="W138" s="573" t="s">
        <v>360</v>
      </c>
    </row>
    <row r="139" s="16" customFormat="1" ht="17.25" spans="1:23">
      <c r="A139" s="469">
        <v>31214</v>
      </c>
      <c r="B139" s="197" t="s">
        <v>761</v>
      </c>
      <c r="C139" s="468">
        <v>311</v>
      </c>
      <c r="D139" s="548">
        <f t="shared" si="14"/>
        <v>21</v>
      </c>
      <c r="E139" s="197" t="s">
        <v>874</v>
      </c>
      <c r="F139" s="469"/>
      <c r="G139" s="564" t="s">
        <v>234</v>
      </c>
      <c r="H139" s="469"/>
      <c r="I139" s="558" t="s">
        <v>762</v>
      </c>
      <c r="J139" s="527" t="s">
        <v>632</v>
      </c>
      <c r="K139" s="16">
        <f t="shared" si="15"/>
        <v>1</v>
      </c>
      <c r="L139" s="16">
        <v>1420200</v>
      </c>
      <c r="M139" s="16" t="e">
        <f>SUBSTITUTE(SUBSTITUTE(SUBSTITUTE(E139,""&amp;#REF!,""),"}]",""),",","")</f>
        <v>#REF!</v>
      </c>
      <c r="N139" s="572">
        <v>5523003</v>
      </c>
      <c r="O139" s="572" t="s">
        <v>361</v>
      </c>
      <c r="P139" s="573">
        <v>90</v>
      </c>
      <c r="Q139" s="573">
        <v>9</v>
      </c>
      <c r="R139" s="574" t="s">
        <v>563</v>
      </c>
      <c r="S139" s="574"/>
      <c r="T139" s="574"/>
      <c r="U139" s="574" t="s">
        <v>343</v>
      </c>
      <c r="V139" s="574"/>
      <c r="W139" s="573" t="s">
        <v>360</v>
      </c>
    </row>
    <row r="140" s="16" customFormat="1" ht="17.25" spans="1:23">
      <c r="A140" s="469">
        <v>31215</v>
      </c>
      <c r="B140" s="197" t="s">
        <v>763</v>
      </c>
      <c r="C140" s="468">
        <v>311</v>
      </c>
      <c r="D140" s="548">
        <f t="shared" si="14"/>
        <v>21</v>
      </c>
      <c r="E140" s="197" t="s">
        <v>874</v>
      </c>
      <c r="F140" s="469"/>
      <c r="G140" s="564" t="s">
        <v>234</v>
      </c>
      <c r="H140" s="469"/>
      <c r="I140" s="558" t="s">
        <v>764</v>
      </c>
      <c r="J140" s="527" t="s">
        <v>632</v>
      </c>
      <c r="K140" s="16">
        <f t="shared" si="15"/>
        <v>1</v>
      </c>
      <c r="L140" s="16">
        <v>1420200</v>
      </c>
      <c r="M140" s="16" t="e">
        <f>SUBSTITUTE(SUBSTITUTE(SUBSTITUTE(E140,""&amp;#REF!,""),"}]",""),",","")</f>
        <v>#REF!</v>
      </c>
      <c r="N140" s="575"/>
      <c r="O140" s="575" t="s">
        <v>362</v>
      </c>
      <c r="P140" s="574">
        <v>2400</v>
      </c>
      <c r="Q140" s="574">
        <v>240</v>
      </c>
      <c r="R140" s="574"/>
      <c r="S140" s="574"/>
      <c r="T140" s="574"/>
      <c r="U140" s="574"/>
      <c r="V140" s="574"/>
      <c r="W140" s="574"/>
    </row>
    <row r="141" s="16" customFormat="1" ht="17.25" spans="1:23">
      <c r="A141" s="469">
        <v>31216</v>
      </c>
      <c r="B141" s="197" t="s">
        <v>765</v>
      </c>
      <c r="C141" s="468">
        <v>311</v>
      </c>
      <c r="D141" s="548">
        <f t="shared" si="14"/>
        <v>21</v>
      </c>
      <c r="E141" s="197" t="s">
        <v>874</v>
      </c>
      <c r="F141" s="469"/>
      <c r="G141" s="564" t="s">
        <v>234</v>
      </c>
      <c r="H141" s="469"/>
      <c r="I141" s="558" t="s">
        <v>766</v>
      </c>
      <c r="J141" s="527" t="s">
        <v>632</v>
      </c>
      <c r="K141" s="16">
        <f t="shared" si="15"/>
        <v>1</v>
      </c>
      <c r="L141" s="16">
        <v>1420200</v>
      </c>
      <c r="M141" s="16" t="e">
        <f>SUBSTITUTE(SUBSTITUTE(SUBSTITUTE(E141,""&amp;#REF!,""),"}]",""),",","")</f>
        <v>#REF!</v>
      </c>
      <c r="N141" s="575"/>
      <c r="O141" s="575" t="s">
        <v>363</v>
      </c>
      <c r="P141" s="574">
        <v>4800</v>
      </c>
      <c r="Q141" s="574">
        <v>480</v>
      </c>
      <c r="R141" s="574"/>
      <c r="S141" s="574"/>
      <c r="T141" s="574"/>
      <c r="U141" s="574"/>
      <c r="V141" s="574"/>
      <c r="W141" s="574"/>
    </row>
    <row r="142" s="16" customFormat="1" ht="17.25" spans="1:23">
      <c r="A142" s="469">
        <v>31217</v>
      </c>
      <c r="B142" s="197" t="s">
        <v>767</v>
      </c>
      <c r="C142" s="468">
        <v>311</v>
      </c>
      <c r="D142" s="548">
        <f t="shared" si="14"/>
        <v>21</v>
      </c>
      <c r="E142" s="197" t="s">
        <v>874</v>
      </c>
      <c r="F142" s="469"/>
      <c r="G142" s="564" t="s">
        <v>234</v>
      </c>
      <c r="H142" s="469"/>
      <c r="I142" s="558" t="s">
        <v>768</v>
      </c>
      <c r="J142" s="527" t="s">
        <v>632</v>
      </c>
      <c r="K142" s="16">
        <f t="shared" si="15"/>
        <v>1</v>
      </c>
      <c r="L142" s="16">
        <v>1420200</v>
      </c>
      <c r="M142" s="16" t="e">
        <f>SUBSTITUTE(SUBSTITUTE(SUBSTITUTE(E142,""&amp;#REF!,""),"}]",""),",","")</f>
        <v>#REF!</v>
      </c>
      <c r="N142" s="575"/>
      <c r="O142" s="575" t="s">
        <v>364</v>
      </c>
      <c r="P142" s="574">
        <v>9600</v>
      </c>
      <c r="Q142" s="574">
        <v>960</v>
      </c>
      <c r="R142" s="574"/>
      <c r="S142" s="574"/>
      <c r="T142" s="574"/>
      <c r="U142" s="574"/>
      <c r="V142" s="574"/>
      <c r="W142" s="574"/>
    </row>
    <row r="143" s="16" customFormat="1" ht="17.25" spans="1:23">
      <c r="A143" s="469">
        <v>31218</v>
      </c>
      <c r="B143" s="197" t="s">
        <v>769</v>
      </c>
      <c r="C143" s="468">
        <v>311</v>
      </c>
      <c r="D143" s="548">
        <f t="shared" si="14"/>
        <v>21</v>
      </c>
      <c r="E143" s="197" t="s">
        <v>874</v>
      </c>
      <c r="F143" s="469"/>
      <c r="G143" s="564" t="s">
        <v>234</v>
      </c>
      <c r="H143" s="469"/>
      <c r="I143" s="558" t="s">
        <v>770</v>
      </c>
      <c r="J143" s="527" t="s">
        <v>632</v>
      </c>
      <c r="K143" s="16">
        <f t="shared" si="15"/>
        <v>1</v>
      </c>
      <c r="L143" s="16">
        <v>1420200</v>
      </c>
      <c r="M143" s="16" t="e">
        <f>SUBSTITUTE(SUBSTITUTE(SUBSTITUTE(E143,""&amp;#REF!,""),"}]",""),",","")</f>
        <v>#REF!</v>
      </c>
      <c r="N143" s="575">
        <v>6200001</v>
      </c>
      <c r="O143" s="575" t="s">
        <v>365</v>
      </c>
      <c r="P143" s="574">
        <v>2400</v>
      </c>
      <c r="Q143" s="574">
        <v>240</v>
      </c>
      <c r="R143" s="574"/>
      <c r="S143" s="574"/>
      <c r="T143" s="574"/>
      <c r="U143" s="574" t="s">
        <v>343</v>
      </c>
      <c r="V143" s="574"/>
      <c r="W143" s="574"/>
    </row>
    <row r="144" s="16" customFormat="1" ht="17.25" spans="1:23">
      <c r="A144" s="469">
        <v>31219</v>
      </c>
      <c r="B144" s="197" t="s">
        <v>771</v>
      </c>
      <c r="C144" s="468">
        <v>311</v>
      </c>
      <c r="D144" s="548">
        <f t="shared" si="14"/>
        <v>21</v>
      </c>
      <c r="E144" s="197" t="s">
        <v>875</v>
      </c>
      <c r="F144" s="469"/>
      <c r="G144" s="564" t="s">
        <v>783</v>
      </c>
      <c r="H144" s="469"/>
      <c r="I144" s="559" t="s">
        <v>773</v>
      </c>
      <c r="J144" s="527" t="s">
        <v>632</v>
      </c>
      <c r="K144" s="16">
        <f t="shared" si="15"/>
        <v>1</v>
      </c>
      <c r="L144" s="16">
        <v>1130100</v>
      </c>
      <c r="M144" s="16" t="e">
        <f>SUBSTITUTE(SUBSTITUTE(SUBSTITUTE(E144,""&amp;#REF!,""),"}]",""),",","")</f>
        <v>#REF!</v>
      </c>
      <c r="N144" s="575">
        <v>6200002</v>
      </c>
      <c r="O144" s="575" t="s">
        <v>366</v>
      </c>
      <c r="P144" s="574">
        <v>2400</v>
      </c>
      <c r="Q144" s="574">
        <v>240</v>
      </c>
      <c r="R144" s="574"/>
      <c r="S144" s="574"/>
      <c r="T144" s="574"/>
      <c r="U144" s="574" t="s">
        <v>343</v>
      </c>
      <c r="V144" s="574"/>
      <c r="W144" s="574"/>
    </row>
    <row r="145" s="16" customFormat="1" ht="17.25" spans="1:23">
      <c r="A145" s="469">
        <v>31220</v>
      </c>
      <c r="B145" s="197" t="s">
        <v>774</v>
      </c>
      <c r="C145" s="468">
        <v>311</v>
      </c>
      <c r="D145" s="548">
        <f t="shared" si="14"/>
        <v>21</v>
      </c>
      <c r="E145" s="197" t="s">
        <v>875</v>
      </c>
      <c r="F145" s="469"/>
      <c r="G145" s="564" t="s">
        <v>783</v>
      </c>
      <c r="H145" s="469"/>
      <c r="I145" s="559" t="s">
        <v>775</v>
      </c>
      <c r="J145" s="527" t="s">
        <v>632</v>
      </c>
      <c r="K145" s="16">
        <f t="shared" si="15"/>
        <v>1</v>
      </c>
      <c r="L145" s="16">
        <v>1130100</v>
      </c>
      <c r="M145" s="16" t="e">
        <f>SUBSTITUTE(SUBSTITUTE(SUBSTITUTE(E145,""&amp;#REF!,""),"}]",""),",","")</f>
        <v>#REF!</v>
      </c>
      <c r="N145" s="575">
        <v>6200003</v>
      </c>
      <c r="O145" s="575" t="s">
        <v>367</v>
      </c>
      <c r="P145" s="574">
        <v>2400</v>
      </c>
      <c r="Q145" s="574">
        <v>240</v>
      </c>
      <c r="R145" s="574"/>
      <c r="S145" s="574"/>
      <c r="T145" s="574"/>
      <c r="U145" s="574" t="s">
        <v>343</v>
      </c>
      <c r="V145" s="574"/>
      <c r="W145" s="574"/>
    </row>
    <row r="146" s="16" customFormat="1" ht="17.25" spans="1:23">
      <c r="A146" s="469">
        <v>31221</v>
      </c>
      <c r="B146" s="197" t="s">
        <v>776</v>
      </c>
      <c r="C146" s="468">
        <v>311</v>
      </c>
      <c r="D146" s="548">
        <f t="shared" si="14"/>
        <v>21</v>
      </c>
      <c r="E146" s="197" t="s">
        <v>875</v>
      </c>
      <c r="F146" s="469"/>
      <c r="G146" s="564" t="s">
        <v>783</v>
      </c>
      <c r="H146" s="469"/>
      <c r="I146" s="559" t="s">
        <v>777</v>
      </c>
      <c r="J146" s="527" t="s">
        <v>632</v>
      </c>
      <c r="K146" s="16">
        <f t="shared" si="15"/>
        <v>1</v>
      </c>
      <c r="L146" s="16">
        <v>1130100</v>
      </c>
      <c r="M146" s="16" t="e">
        <f>SUBSTITUTE(SUBSTITUTE(SUBSTITUTE(E146,""&amp;#REF!,""),"}]",""),",","")</f>
        <v>#REF!</v>
      </c>
      <c r="N146" s="575">
        <v>6200004</v>
      </c>
      <c r="O146" s="575" t="s">
        <v>368</v>
      </c>
      <c r="P146" s="574">
        <v>2400</v>
      </c>
      <c r="Q146" s="574">
        <v>240</v>
      </c>
      <c r="R146" s="574"/>
      <c r="S146" s="574"/>
      <c r="T146" s="574"/>
      <c r="U146" s="574" t="s">
        <v>343</v>
      </c>
      <c r="V146" s="574"/>
      <c r="W146" s="574"/>
    </row>
    <row r="147" s="16" customFormat="1" ht="17.25" spans="1:23">
      <c r="A147" s="469">
        <v>31222</v>
      </c>
      <c r="B147" s="197" t="s">
        <v>779</v>
      </c>
      <c r="C147" s="468">
        <v>311</v>
      </c>
      <c r="D147" s="548">
        <f t="shared" si="14"/>
        <v>21</v>
      </c>
      <c r="E147" s="197" t="s">
        <v>875</v>
      </c>
      <c r="F147" s="469"/>
      <c r="G147" s="564" t="s">
        <v>783</v>
      </c>
      <c r="H147" s="469"/>
      <c r="I147" s="559" t="s">
        <v>781</v>
      </c>
      <c r="J147" s="527" t="s">
        <v>632</v>
      </c>
      <c r="K147" s="16">
        <f t="shared" si="15"/>
        <v>1</v>
      </c>
      <c r="L147" s="16">
        <v>1130100</v>
      </c>
      <c r="M147" s="16" t="e">
        <f>SUBSTITUTE(SUBSTITUTE(SUBSTITUTE(E147,""&amp;#REF!,""),"}]",""),",","")</f>
        <v>#REF!</v>
      </c>
      <c r="N147" s="575">
        <v>6200005</v>
      </c>
      <c r="O147" s="575" t="s">
        <v>369</v>
      </c>
      <c r="P147" s="574">
        <v>2400</v>
      </c>
      <c r="Q147" s="574">
        <v>240</v>
      </c>
      <c r="R147" s="574"/>
      <c r="S147" s="574"/>
      <c r="T147" s="574"/>
      <c r="U147" s="574" t="s">
        <v>343</v>
      </c>
      <c r="V147" s="574"/>
      <c r="W147" s="574"/>
    </row>
    <row r="148" s="16" customFormat="1" ht="17.25" spans="1:23">
      <c r="A148" s="469">
        <v>31223</v>
      </c>
      <c r="B148" s="197" t="s">
        <v>782</v>
      </c>
      <c r="C148" s="468">
        <v>311</v>
      </c>
      <c r="D148" s="548">
        <f t="shared" si="14"/>
        <v>21</v>
      </c>
      <c r="E148" s="197" t="s">
        <v>875</v>
      </c>
      <c r="F148" s="469"/>
      <c r="G148" s="564" t="s">
        <v>783</v>
      </c>
      <c r="H148" s="469"/>
      <c r="I148" s="559" t="s">
        <v>876</v>
      </c>
      <c r="J148" s="527" t="s">
        <v>632</v>
      </c>
      <c r="K148" s="16" t="str">
        <f t="shared" si="15"/>
        <v>紫色</v>
      </c>
      <c r="L148" s="16">
        <v>1130100</v>
      </c>
      <c r="M148" s="16" t="e">
        <f>SUBSTITUTE(SUBSTITUTE(SUBSTITUTE(E148,""&amp;#REF!,""),"}]",""),",","")</f>
        <v>#REF!</v>
      </c>
      <c r="N148" s="575">
        <v>6200006</v>
      </c>
      <c r="O148" s="575" t="s">
        <v>370</v>
      </c>
      <c r="P148" s="574">
        <v>4800</v>
      </c>
      <c r="Q148" s="574">
        <v>480</v>
      </c>
      <c r="R148" s="574"/>
      <c r="S148" s="574"/>
      <c r="T148" s="574"/>
      <c r="U148" s="574" t="s">
        <v>340</v>
      </c>
      <c r="V148" s="574"/>
      <c r="W148" s="574"/>
    </row>
    <row r="149" s="16" customFormat="1" ht="17.25" spans="1:23">
      <c r="A149" s="469">
        <v>31224</v>
      </c>
      <c r="B149" s="197" t="s">
        <v>786</v>
      </c>
      <c r="C149" s="468">
        <v>311</v>
      </c>
      <c r="D149" s="548">
        <f t="shared" si="14"/>
        <v>21</v>
      </c>
      <c r="E149" s="197" t="s">
        <v>875</v>
      </c>
      <c r="F149" s="469"/>
      <c r="G149" s="564" t="s">
        <v>783</v>
      </c>
      <c r="H149" s="469"/>
      <c r="I149" s="559" t="s">
        <v>877</v>
      </c>
      <c r="J149" s="527" t="s">
        <v>632</v>
      </c>
      <c r="K149" s="16" t="str">
        <f t="shared" si="15"/>
        <v>橙色</v>
      </c>
      <c r="L149" s="16">
        <v>1130100</v>
      </c>
      <c r="M149" s="16" t="e">
        <f>SUBSTITUTE(SUBSTITUTE(SUBSTITUTE(E149,""&amp;#REF!,""),"}]",""),",","")</f>
        <v>#REF!</v>
      </c>
      <c r="N149" s="575">
        <v>6200007</v>
      </c>
      <c r="O149" s="575" t="s">
        <v>371</v>
      </c>
      <c r="P149" s="574">
        <v>4800</v>
      </c>
      <c r="Q149" s="574">
        <v>480</v>
      </c>
      <c r="R149" s="574"/>
      <c r="S149" s="574"/>
      <c r="T149" s="574"/>
      <c r="U149" s="574" t="s">
        <v>340</v>
      </c>
      <c r="V149" s="574"/>
      <c r="W149" s="574"/>
    </row>
    <row r="150" s="16" customFormat="1" ht="17.25" spans="1:23">
      <c r="A150" s="469">
        <v>31225</v>
      </c>
      <c r="B150" s="197" t="s">
        <v>788</v>
      </c>
      <c r="C150" s="468">
        <v>311</v>
      </c>
      <c r="D150" s="548">
        <f t="shared" si="14"/>
        <v>21</v>
      </c>
      <c r="E150" s="197" t="s">
        <v>878</v>
      </c>
      <c r="F150" s="469"/>
      <c r="G150" s="564" t="s">
        <v>234</v>
      </c>
      <c r="H150" s="469"/>
      <c r="I150" s="556" t="s">
        <v>879</v>
      </c>
      <c r="J150" s="527" t="s">
        <v>632</v>
      </c>
      <c r="K150" s="16" t="str">
        <f t="shared" si="15"/>
        <v>红色</v>
      </c>
      <c r="L150" s="16">
        <v>1310100</v>
      </c>
      <c r="M150" s="16" t="e">
        <f>SUBSTITUTE(SUBSTITUTE(SUBSTITUTE(E150,""&amp;#REF!,""),"}]",""),",","")</f>
        <v>#REF!</v>
      </c>
      <c r="N150" s="575">
        <v>6200008</v>
      </c>
      <c r="O150" s="575" t="s">
        <v>372</v>
      </c>
      <c r="P150" s="574">
        <v>4800</v>
      </c>
      <c r="Q150" s="574">
        <v>480</v>
      </c>
      <c r="R150" s="574"/>
      <c r="S150" s="574"/>
      <c r="T150" s="574"/>
      <c r="U150" s="574" t="s">
        <v>340</v>
      </c>
      <c r="V150" s="574"/>
      <c r="W150" s="574"/>
    </row>
    <row r="151" s="16" customFormat="1" ht="17.25" spans="1:23">
      <c r="A151" s="469">
        <v>31226</v>
      </c>
      <c r="B151" s="197" t="s">
        <v>793</v>
      </c>
      <c r="C151" s="468">
        <v>311</v>
      </c>
      <c r="D151" s="548">
        <f t="shared" si="14"/>
        <v>21</v>
      </c>
      <c r="E151" s="197" t="s">
        <v>878</v>
      </c>
      <c r="F151" s="469"/>
      <c r="G151" s="564" t="s">
        <v>234</v>
      </c>
      <c r="H151" s="469"/>
      <c r="I151" s="556" t="s">
        <v>794</v>
      </c>
      <c r="J151" s="527" t="s">
        <v>632</v>
      </c>
      <c r="K151" s="16" t="str">
        <f t="shared" si="15"/>
        <v>粉色</v>
      </c>
      <c r="L151" s="16">
        <v>1310100</v>
      </c>
      <c r="M151" s="16" t="e">
        <f>SUBSTITUTE(SUBSTITUTE(SUBSTITUTE(E151,""&amp;#REF!,""),"}]",""),",","")</f>
        <v>#REF!</v>
      </c>
      <c r="N151" s="575">
        <v>6200009</v>
      </c>
      <c r="O151" s="575" t="s">
        <v>373</v>
      </c>
      <c r="P151" s="574">
        <v>4800</v>
      </c>
      <c r="Q151" s="574">
        <v>480</v>
      </c>
      <c r="R151" s="574"/>
      <c r="S151" s="574"/>
      <c r="T151" s="574"/>
      <c r="U151" s="574" t="s">
        <v>340</v>
      </c>
      <c r="V151" s="574"/>
      <c r="W151" s="574"/>
    </row>
    <row r="152" s="16" customFormat="1" ht="17.25" spans="1:23">
      <c r="A152" s="469">
        <v>31227</v>
      </c>
      <c r="B152" s="197" t="s">
        <v>795</v>
      </c>
      <c r="C152" s="468">
        <v>311</v>
      </c>
      <c r="D152" s="548">
        <f t="shared" si="14"/>
        <v>21</v>
      </c>
      <c r="E152" s="197" t="s">
        <v>878</v>
      </c>
      <c r="F152" s="469"/>
      <c r="G152" s="564" t="s">
        <v>234</v>
      </c>
      <c r="H152" s="469"/>
      <c r="I152" s="556" t="s">
        <v>880</v>
      </c>
      <c r="J152" s="527" t="s">
        <v>632</v>
      </c>
      <c r="K152" s="16" t="str">
        <f t="shared" ref="K152:K157" si="16">K99</f>
        <v>紫色</v>
      </c>
      <c r="L152" s="16">
        <v>1310100</v>
      </c>
      <c r="M152" s="16" t="e">
        <f>SUBSTITUTE(SUBSTITUTE(SUBSTITUTE(E152,""&amp;#REF!,""),"}]",""),",","")</f>
        <v>#REF!</v>
      </c>
      <c r="N152" s="575">
        <v>6200010</v>
      </c>
      <c r="O152" s="575" t="s">
        <v>374</v>
      </c>
      <c r="P152" s="574">
        <v>4800</v>
      </c>
      <c r="Q152" s="574">
        <v>480</v>
      </c>
      <c r="R152" s="574"/>
      <c r="S152" s="574"/>
      <c r="T152" s="574"/>
      <c r="U152" s="574" t="s">
        <v>340</v>
      </c>
      <c r="V152" s="574"/>
      <c r="W152" s="574"/>
    </row>
    <row r="153" s="16" customFormat="1" ht="17.25" spans="1:23">
      <c r="A153" s="469">
        <v>31228</v>
      </c>
      <c r="B153" s="197" t="s">
        <v>796</v>
      </c>
      <c r="C153" s="468">
        <v>311</v>
      </c>
      <c r="D153" s="548">
        <f t="shared" si="14"/>
        <v>21</v>
      </c>
      <c r="E153" s="197" t="s">
        <v>881</v>
      </c>
      <c r="F153" s="469"/>
      <c r="G153" s="564" t="s">
        <v>234</v>
      </c>
      <c r="H153" s="469"/>
      <c r="I153" s="558" t="s">
        <v>882</v>
      </c>
      <c r="J153" s="527" t="s">
        <v>632</v>
      </c>
      <c r="K153" s="16" t="str">
        <f t="shared" si="16"/>
        <v>橙色</v>
      </c>
      <c r="L153" s="16">
        <v>1420200</v>
      </c>
      <c r="M153" s="16" t="e">
        <f>SUBSTITUTE(SUBSTITUTE(SUBSTITUTE(E153,""&amp;#REF!,""),"}]",""),",","")</f>
        <v>#REF!</v>
      </c>
      <c r="N153" s="575">
        <v>6200011</v>
      </c>
      <c r="O153" s="575" t="s">
        <v>375</v>
      </c>
      <c r="P153" s="574">
        <v>4800</v>
      </c>
      <c r="Q153" s="574">
        <v>480</v>
      </c>
      <c r="R153" s="574"/>
      <c r="S153" s="574"/>
      <c r="T153" s="574"/>
      <c r="U153" s="574" t="s">
        <v>340</v>
      </c>
      <c r="V153" s="574"/>
      <c r="W153" s="574"/>
    </row>
    <row r="154" s="16" customFormat="1" ht="17.25" spans="1:23">
      <c r="A154" s="469">
        <v>31229</v>
      </c>
      <c r="B154" s="197" t="s">
        <v>883</v>
      </c>
      <c r="C154" s="468">
        <v>311</v>
      </c>
      <c r="D154" s="548">
        <f t="shared" ref="D154:D194" si="17">INT(VLOOKUP(J154,$A$7:$D$12,2,0)/COUNTIF($J$21:$J$194,J154))</f>
        <v>21</v>
      </c>
      <c r="E154" s="197" t="s">
        <v>881</v>
      </c>
      <c r="F154" s="469"/>
      <c r="G154" s="564" t="s">
        <v>234</v>
      </c>
      <c r="H154" s="469"/>
      <c r="I154" s="558" t="s">
        <v>884</v>
      </c>
      <c r="J154" s="527" t="s">
        <v>632</v>
      </c>
      <c r="K154" s="16" t="str">
        <f t="shared" si="16"/>
        <v>红色</v>
      </c>
      <c r="L154" s="16">
        <v>1420200</v>
      </c>
      <c r="M154" s="16" t="e">
        <f>SUBSTITUTE(SUBSTITUTE(SUBSTITUTE(E154,""&amp;#REF!,""),"}]",""),",","")</f>
        <v>#REF!</v>
      </c>
      <c r="N154" s="575">
        <v>6200012</v>
      </c>
      <c r="O154" s="575" t="s">
        <v>376</v>
      </c>
      <c r="P154" s="574">
        <v>4800</v>
      </c>
      <c r="Q154" s="574">
        <v>480</v>
      </c>
      <c r="R154" s="574"/>
      <c r="S154" s="574"/>
      <c r="T154" s="574"/>
      <c r="U154" s="574" t="s">
        <v>340</v>
      </c>
      <c r="V154" s="574"/>
      <c r="W154" s="574"/>
    </row>
    <row r="155" s="16" customFormat="1" ht="17.25" spans="1:23">
      <c r="A155" s="469">
        <v>31230</v>
      </c>
      <c r="B155" s="197" t="s">
        <v>798</v>
      </c>
      <c r="C155" s="468">
        <v>311</v>
      </c>
      <c r="D155" s="548">
        <f t="shared" si="17"/>
        <v>21</v>
      </c>
      <c r="E155" s="197" t="s">
        <v>881</v>
      </c>
      <c r="F155" s="469"/>
      <c r="G155" s="564" t="s">
        <v>234</v>
      </c>
      <c r="H155" s="469"/>
      <c r="I155" s="558" t="s">
        <v>885</v>
      </c>
      <c r="J155" s="527" t="s">
        <v>632</v>
      </c>
      <c r="K155" s="16" t="str">
        <f t="shared" si="16"/>
        <v>紫色</v>
      </c>
      <c r="L155" s="16">
        <v>1420200</v>
      </c>
      <c r="M155" s="16" t="e">
        <f>SUBSTITUTE(SUBSTITUTE(SUBSTITUTE(E155,""&amp;#REF!,""),"}]",""),",","")</f>
        <v>#REF!</v>
      </c>
      <c r="N155" s="575">
        <v>6200013</v>
      </c>
      <c r="O155" s="575" t="s">
        <v>377</v>
      </c>
      <c r="P155" s="574">
        <v>4800</v>
      </c>
      <c r="Q155" s="574">
        <v>480</v>
      </c>
      <c r="R155" s="574"/>
      <c r="S155" s="574"/>
      <c r="T155" s="574"/>
      <c r="U155" s="574" t="s">
        <v>340</v>
      </c>
      <c r="V155" s="574"/>
      <c r="W155" s="574"/>
    </row>
    <row r="156" s="16" customFormat="1" ht="17.25" spans="1:23">
      <c r="A156" s="469">
        <v>31231</v>
      </c>
      <c r="B156" s="197" t="s">
        <v>799</v>
      </c>
      <c r="C156" s="468">
        <v>311</v>
      </c>
      <c r="D156" s="548">
        <f t="shared" si="17"/>
        <v>21</v>
      </c>
      <c r="E156" s="197" t="s">
        <v>881</v>
      </c>
      <c r="F156" s="469"/>
      <c r="G156" s="564" t="s">
        <v>234</v>
      </c>
      <c r="H156" s="469"/>
      <c r="I156" s="558" t="s">
        <v>886</v>
      </c>
      <c r="J156" s="527" t="s">
        <v>632</v>
      </c>
      <c r="K156" s="16" t="str">
        <f t="shared" si="16"/>
        <v>橙色</v>
      </c>
      <c r="L156" s="16">
        <v>1420200</v>
      </c>
      <c r="M156" s="16" t="e">
        <f>SUBSTITUTE(SUBSTITUTE(SUBSTITUTE(E156,""&amp;#REF!,""),"}]",""),",","")</f>
        <v>#REF!</v>
      </c>
      <c r="N156" s="575">
        <v>6200014</v>
      </c>
      <c r="O156" s="575" t="s">
        <v>378</v>
      </c>
      <c r="P156" s="574">
        <v>4800</v>
      </c>
      <c r="Q156" s="574">
        <v>480</v>
      </c>
      <c r="R156" s="574"/>
      <c r="S156" s="574"/>
      <c r="T156" s="574"/>
      <c r="U156" s="574" t="s">
        <v>340</v>
      </c>
      <c r="V156" s="574"/>
      <c r="W156" s="574"/>
    </row>
    <row r="157" s="16" customFormat="1" ht="17.25" spans="1:23">
      <c r="A157" s="469">
        <v>31232</v>
      </c>
      <c r="B157" s="197" t="s">
        <v>800</v>
      </c>
      <c r="C157" s="468">
        <v>311</v>
      </c>
      <c r="D157" s="548">
        <f t="shared" si="17"/>
        <v>21</v>
      </c>
      <c r="E157" s="197" t="s">
        <v>881</v>
      </c>
      <c r="F157" s="469"/>
      <c r="G157" s="564" t="s">
        <v>234</v>
      </c>
      <c r="H157" s="469"/>
      <c r="I157" s="558" t="s">
        <v>887</v>
      </c>
      <c r="J157" s="527" t="s">
        <v>632</v>
      </c>
      <c r="K157" s="16" t="str">
        <f t="shared" si="16"/>
        <v>红色</v>
      </c>
      <c r="L157" s="16">
        <v>1420200</v>
      </c>
      <c r="M157" s="16" t="e">
        <f>SUBSTITUTE(SUBSTITUTE(SUBSTITUTE(E157,""&amp;#REF!,""),"}]",""),",","")</f>
        <v>#REF!</v>
      </c>
      <c r="N157" s="575">
        <v>6200015</v>
      </c>
      <c r="O157" s="575" t="s">
        <v>379</v>
      </c>
      <c r="P157" s="574">
        <v>4800</v>
      </c>
      <c r="Q157" s="574">
        <v>480</v>
      </c>
      <c r="R157" s="574"/>
      <c r="S157" s="574"/>
      <c r="T157" s="574"/>
      <c r="U157" s="574" t="s">
        <v>340</v>
      </c>
      <c r="V157" s="574"/>
      <c r="W157" s="574"/>
    </row>
    <row r="158" s="16" customFormat="1" ht="17.25" spans="1:23">
      <c r="A158" s="469">
        <v>31233</v>
      </c>
      <c r="B158" s="197" t="s">
        <v>802</v>
      </c>
      <c r="C158" s="468">
        <v>311</v>
      </c>
      <c r="D158" s="548">
        <f t="shared" si="17"/>
        <v>21</v>
      </c>
      <c r="E158" s="197" t="s">
        <v>881</v>
      </c>
      <c r="F158" s="469"/>
      <c r="G158" s="564" t="s">
        <v>234</v>
      </c>
      <c r="H158" s="469"/>
      <c r="I158" s="558" t="s">
        <v>803</v>
      </c>
      <c r="J158" s="527" t="s">
        <v>632</v>
      </c>
      <c r="K158" s="16">
        <f t="shared" ref="K158:K164" si="18">K106</f>
        <v>2</v>
      </c>
      <c r="L158" s="16">
        <v>1420200</v>
      </c>
      <c r="M158" s="16" t="e">
        <f>SUBSTITUTE(SUBSTITUTE(SUBSTITUTE(E158,""&amp;#REF!,""),"}]",""),",","")</f>
        <v>#REF!</v>
      </c>
      <c r="N158" s="576">
        <v>6200016</v>
      </c>
      <c r="O158" s="576" t="s">
        <v>380</v>
      </c>
      <c r="P158" s="577">
        <v>9600</v>
      </c>
      <c r="Q158" s="577">
        <v>960</v>
      </c>
      <c r="R158" s="577"/>
      <c r="S158" s="577"/>
      <c r="T158" s="577"/>
      <c r="U158" s="577" t="s">
        <v>347</v>
      </c>
      <c r="V158" s="574"/>
      <c r="W158" s="574"/>
    </row>
    <row r="159" s="16" customFormat="1" ht="17.25" spans="1:23">
      <c r="A159" s="469">
        <v>31234</v>
      </c>
      <c r="B159" s="197" t="s">
        <v>805</v>
      </c>
      <c r="C159" s="468">
        <v>311</v>
      </c>
      <c r="D159" s="548">
        <f t="shared" si="17"/>
        <v>21</v>
      </c>
      <c r="E159" s="197" t="s">
        <v>888</v>
      </c>
      <c r="F159" s="469"/>
      <c r="G159" s="564" t="s">
        <v>783</v>
      </c>
      <c r="H159" s="469"/>
      <c r="I159" s="559" t="s">
        <v>807</v>
      </c>
      <c r="J159" s="527" t="s">
        <v>632</v>
      </c>
      <c r="K159" s="16">
        <f t="shared" si="18"/>
        <v>2</v>
      </c>
      <c r="L159" s="16">
        <v>1130100</v>
      </c>
      <c r="M159" s="16" t="e">
        <f>SUBSTITUTE(SUBSTITUTE(SUBSTITUTE(E159,""&amp;#REF!,""),"}]",""),",","")</f>
        <v>#REF!</v>
      </c>
      <c r="N159" s="576">
        <v>6200017</v>
      </c>
      <c r="O159" s="576" t="s">
        <v>381</v>
      </c>
      <c r="P159" s="577">
        <v>9600</v>
      </c>
      <c r="Q159" s="577">
        <v>960</v>
      </c>
      <c r="R159" s="577"/>
      <c r="S159" s="577"/>
      <c r="T159" s="577"/>
      <c r="U159" s="577" t="s">
        <v>347</v>
      </c>
      <c r="V159" s="574"/>
      <c r="W159" s="574"/>
    </row>
    <row r="160" s="16" customFormat="1" ht="17.25" spans="1:23">
      <c r="A160" s="469">
        <v>31235</v>
      </c>
      <c r="B160" s="197" t="s">
        <v>808</v>
      </c>
      <c r="C160" s="468">
        <v>311</v>
      </c>
      <c r="D160" s="548">
        <f t="shared" si="17"/>
        <v>21</v>
      </c>
      <c r="E160" s="197" t="s">
        <v>888</v>
      </c>
      <c r="F160" s="469"/>
      <c r="G160" s="564" t="s">
        <v>783</v>
      </c>
      <c r="H160" s="469"/>
      <c r="I160" s="559" t="s">
        <v>809</v>
      </c>
      <c r="J160" s="527" t="s">
        <v>632</v>
      </c>
      <c r="K160" s="16">
        <f t="shared" si="18"/>
        <v>2</v>
      </c>
      <c r="L160" s="16">
        <v>1130100</v>
      </c>
      <c r="M160" s="16" t="e">
        <f>SUBSTITUTE(SUBSTITUTE(SUBSTITUTE(E160,""&amp;#REF!,""),"}]",""),",","")</f>
        <v>#REF!</v>
      </c>
      <c r="N160" s="576">
        <v>6200018</v>
      </c>
      <c r="O160" s="576" t="s">
        <v>382</v>
      </c>
      <c r="P160" s="577">
        <v>9600</v>
      </c>
      <c r="Q160" s="577">
        <v>960</v>
      </c>
      <c r="R160" s="577"/>
      <c r="S160" s="577"/>
      <c r="T160" s="577"/>
      <c r="U160" s="577" t="s">
        <v>347</v>
      </c>
      <c r="V160" s="574"/>
      <c r="W160" s="574"/>
    </row>
    <row r="161" s="16" customFormat="1" ht="17.25" spans="1:23">
      <c r="A161" s="469">
        <v>31236</v>
      </c>
      <c r="B161" s="197" t="s">
        <v>810</v>
      </c>
      <c r="C161" s="468">
        <v>311</v>
      </c>
      <c r="D161" s="548">
        <f t="shared" si="17"/>
        <v>21</v>
      </c>
      <c r="E161" s="197" t="s">
        <v>888</v>
      </c>
      <c r="F161" s="469"/>
      <c r="G161" s="564" t="s">
        <v>783</v>
      </c>
      <c r="H161" s="469"/>
      <c r="I161" s="559" t="s">
        <v>811</v>
      </c>
      <c r="J161" s="527" t="s">
        <v>632</v>
      </c>
      <c r="K161" s="16">
        <f t="shared" si="18"/>
        <v>2</v>
      </c>
      <c r="L161" s="16">
        <v>1130100</v>
      </c>
      <c r="M161" s="16" t="e">
        <f>SUBSTITUTE(SUBSTITUTE(SUBSTITUTE(E161,""&amp;#REF!,""),"}]",""),",","")</f>
        <v>#REF!</v>
      </c>
      <c r="N161" s="575"/>
      <c r="O161" s="575"/>
      <c r="P161" s="574"/>
      <c r="Q161" s="574"/>
      <c r="R161" s="574"/>
      <c r="S161" s="574"/>
      <c r="T161" s="574"/>
      <c r="U161" s="574"/>
      <c r="V161" s="574"/>
      <c r="W161" s="574"/>
    </row>
    <row r="162" s="16" customFormat="1" ht="17.25" spans="1:23">
      <c r="A162" s="469">
        <v>31237</v>
      </c>
      <c r="B162" s="197" t="s">
        <v>812</v>
      </c>
      <c r="C162" s="468">
        <v>311</v>
      </c>
      <c r="D162" s="548">
        <f t="shared" si="17"/>
        <v>21</v>
      </c>
      <c r="E162" s="197" t="s">
        <v>888</v>
      </c>
      <c r="F162" s="469"/>
      <c r="G162" s="564" t="s">
        <v>783</v>
      </c>
      <c r="H162" s="469"/>
      <c r="I162" s="559" t="s">
        <v>813</v>
      </c>
      <c r="J162" s="527" t="s">
        <v>632</v>
      </c>
      <c r="K162" s="16">
        <f t="shared" si="18"/>
        <v>2</v>
      </c>
      <c r="L162" s="16">
        <v>1130100</v>
      </c>
      <c r="M162" s="16" t="e">
        <f>SUBSTITUTE(SUBSTITUTE(SUBSTITUTE(E162,""&amp;#REF!,""),"}]",""),",","")</f>
        <v>#REF!</v>
      </c>
      <c r="N162" s="575">
        <v>6210001</v>
      </c>
      <c r="O162" s="575" t="s">
        <v>383</v>
      </c>
      <c r="P162" s="574">
        <v>240</v>
      </c>
      <c r="Q162" s="574">
        <v>24</v>
      </c>
      <c r="R162" s="574"/>
      <c r="S162" s="574"/>
      <c r="T162" s="574"/>
      <c r="U162" s="574" t="s">
        <v>343</v>
      </c>
      <c r="V162" s="574"/>
      <c r="W162" s="574"/>
    </row>
    <row r="163" s="16" customFormat="1" ht="17.25" spans="1:23">
      <c r="A163" s="469">
        <v>31238</v>
      </c>
      <c r="B163" s="197" t="s">
        <v>814</v>
      </c>
      <c r="C163" s="468">
        <v>311</v>
      </c>
      <c r="D163" s="548">
        <f t="shared" si="17"/>
        <v>21</v>
      </c>
      <c r="E163" s="197" t="s">
        <v>888</v>
      </c>
      <c r="F163" s="469"/>
      <c r="G163" s="564" t="s">
        <v>783</v>
      </c>
      <c r="H163" s="469"/>
      <c r="I163" s="559" t="s">
        <v>815</v>
      </c>
      <c r="J163" s="527" t="s">
        <v>632</v>
      </c>
      <c r="K163" s="16">
        <f t="shared" si="18"/>
        <v>2</v>
      </c>
      <c r="L163" s="16">
        <v>1130100</v>
      </c>
      <c r="M163" s="16" t="e">
        <f>SUBSTITUTE(SUBSTITUTE(SUBSTITUTE(E163,""&amp;#REF!,""),"}]",""),",","")</f>
        <v>#REF!</v>
      </c>
      <c r="N163" s="575">
        <v>6210002</v>
      </c>
      <c r="O163" s="575" t="s">
        <v>384</v>
      </c>
      <c r="P163" s="574">
        <v>240</v>
      </c>
      <c r="Q163" s="574">
        <v>24</v>
      </c>
      <c r="R163" s="574"/>
      <c r="S163" s="574"/>
      <c r="T163" s="574"/>
      <c r="U163" s="574" t="s">
        <v>343</v>
      </c>
      <c r="V163" s="574"/>
      <c r="W163" s="574"/>
    </row>
    <row r="164" s="16" customFormat="1" ht="17.25" spans="1:23">
      <c r="A164" s="469">
        <v>31239</v>
      </c>
      <c r="B164" s="197" t="s">
        <v>817</v>
      </c>
      <c r="C164" s="468">
        <v>311</v>
      </c>
      <c r="D164" s="548">
        <f t="shared" si="17"/>
        <v>21</v>
      </c>
      <c r="E164" s="197" t="s">
        <v>888</v>
      </c>
      <c r="F164" s="469"/>
      <c r="G164" s="564" t="s">
        <v>783</v>
      </c>
      <c r="H164" s="469"/>
      <c r="I164" s="559" t="s">
        <v>818</v>
      </c>
      <c r="J164" s="527" t="s">
        <v>632</v>
      </c>
      <c r="K164" s="16">
        <f t="shared" si="18"/>
        <v>2</v>
      </c>
      <c r="L164" s="16">
        <v>1130100</v>
      </c>
      <c r="M164" s="16" t="e">
        <f>SUBSTITUTE(SUBSTITUTE(SUBSTITUTE(E164,""&amp;#REF!,""),"}]",""),",","")</f>
        <v>#REF!</v>
      </c>
      <c r="N164" s="575">
        <v>6210003</v>
      </c>
      <c r="O164" s="575" t="s">
        <v>385</v>
      </c>
      <c r="P164" s="574">
        <v>240</v>
      </c>
      <c r="Q164" s="574">
        <v>24</v>
      </c>
      <c r="R164" s="574"/>
      <c r="S164" s="574"/>
      <c r="T164" s="574"/>
      <c r="U164" s="574" t="s">
        <v>343</v>
      </c>
      <c r="V164" s="574"/>
      <c r="W164" s="574"/>
    </row>
    <row r="165" s="16" customFormat="1" ht="17.25" spans="1:23">
      <c r="A165" s="469">
        <v>31240</v>
      </c>
      <c r="B165" s="197" t="s">
        <v>889</v>
      </c>
      <c r="C165" s="468">
        <v>311</v>
      </c>
      <c r="D165" s="548">
        <f t="shared" si="17"/>
        <v>21</v>
      </c>
      <c r="E165" s="197" t="s">
        <v>881</v>
      </c>
      <c r="F165" s="469"/>
      <c r="G165" s="564" t="s">
        <v>234</v>
      </c>
      <c r="H165" s="469"/>
      <c r="I165" s="556" t="s">
        <v>890</v>
      </c>
      <c r="J165" s="527" t="s">
        <v>632</v>
      </c>
      <c r="K165" s="16" t="e">
        <f>#REF!</f>
        <v>#REF!</v>
      </c>
      <c r="L165" s="16">
        <v>1310100</v>
      </c>
      <c r="M165" s="16" t="e">
        <f>SUBSTITUTE(SUBSTITUTE(SUBSTITUTE(E165,""&amp;#REF!,""),"}]",""),",","")</f>
        <v>#REF!</v>
      </c>
      <c r="N165" s="575">
        <v>6210004</v>
      </c>
      <c r="O165" s="575" t="s">
        <v>386</v>
      </c>
      <c r="P165" s="574">
        <v>240</v>
      </c>
      <c r="Q165" s="574">
        <v>24</v>
      </c>
      <c r="R165" s="574"/>
      <c r="S165" s="574"/>
      <c r="T165" s="574"/>
      <c r="U165" s="574" t="s">
        <v>343</v>
      </c>
      <c r="V165" s="574"/>
      <c r="W165" s="574"/>
    </row>
    <row r="166" s="16" customFormat="1" ht="17.25" spans="1:23">
      <c r="A166" s="469">
        <v>31241</v>
      </c>
      <c r="B166" s="197" t="s">
        <v>891</v>
      </c>
      <c r="C166" s="468">
        <v>311</v>
      </c>
      <c r="D166" s="548">
        <f t="shared" si="17"/>
        <v>21</v>
      </c>
      <c r="E166" s="197" t="s">
        <v>881</v>
      </c>
      <c r="F166" s="469"/>
      <c r="G166" s="564" t="s">
        <v>234</v>
      </c>
      <c r="H166" s="469"/>
      <c r="I166" s="556" t="s">
        <v>892</v>
      </c>
      <c r="J166" s="527" t="s">
        <v>632</v>
      </c>
      <c r="K166" s="16" t="e">
        <f>#REF!</f>
        <v>#REF!</v>
      </c>
      <c r="L166" s="16">
        <v>1310100</v>
      </c>
      <c r="M166" s="16" t="e">
        <f>SUBSTITUTE(SUBSTITUTE(SUBSTITUTE(E166,""&amp;#REF!,""),"}]",""),",","")</f>
        <v>#REF!</v>
      </c>
      <c r="N166" s="575">
        <v>6210005</v>
      </c>
      <c r="O166" s="575" t="s">
        <v>387</v>
      </c>
      <c r="P166" s="574">
        <v>240</v>
      </c>
      <c r="Q166" s="574">
        <v>24</v>
      </c>
      <c r="R166" s="574"/>
      <c r="S166" s="574"/>
      <c r="T166" s="574"/>
      <c r="U166" s="574" t="s">
        <v>343</v>
      </c>
      <c r="V166" s="574"/>
      <c r="W166" s="574"/>
    </row>
    <row r="167" s="16" customFormat="1" ht="17.25" spans="1:23">
      <c r="A167" s="469">
        <v>31242</v>
      </c>
      <c r="B167" s="197" t="s">
        <v>893</v>
      </c>
      <c r="C167" s="468">
        <v>311</v>
      </c>
      <c r="D167" s="548">
        <f t="shared" si="17"/>
        <v>21</v>
      </c>
      <c r="E167" s="197" t="s">
        <v>881</v>
      </c>
      <c r="F167" s="469"/>
      <c r="G167" s="564" t="s">
        <v>234</v>
      </c>
      <c r="H167" s="469"/>
      <c r="I167" s="556" t="s">
        <v>894</v>
      </c>
      <c r="J167" s="527" t="s">
        <v>632</v>
      </c>
      <c r="K167" s="16" t="e">
        <f>#REF!</f>
        <v>#REF!</v>
      </c>
      <c r="L167" s="16">
        <v>1310100</v>
      </c>
      <c r="M167" s="16" t="e">
        <f>SUBSTITUTE(SUBSTITUTE(SUBSTITUTE(E167,""&amp;#REF!,""),"}]",""),",","")</f>
        <v>#REF!</v>
      </c>
      <c r="N167" s="575">
        <v>6210006</v>
      </c>
      <c r="O167" s="575" t="s">
        <v>388</v>
      </c>
      <c r="P167" s="574">
        <v>480</v>
      </c>
      <c r="Q167" s="574">
        <v>48</v>
      </c>
      <c r="R167" s="574"/>
      <c r="S167" s="574"/>
      <c r="T167" s="574"/>
      <c r="U167" s="574" t="s">
        <v>340</v>
      </c>
      <c r="V167" s="574"/>
      <c r="W167" s="574"/>
    </row>
    <row r="168" s="16" customFormat="1" ht="17.25" spans="1:23">
      <c r="A168" s="469">
        <v>31243</v>
      </c>
      <c r="B168" s="197" t="s">
        <v>895</v>
      </c>
      <c r="C168" s="468">
        <v>311</v>
      </c>
      <c r="D168" s="548">
        <f t="shared" si="17"/>
        <v>21</v>
      </c>
      <c r="E168" s="197" t="s">
        <v>896</v>
      </c>
      <c r="F168" s="469"/>
      <c r="G168" s="564" t="s">
        <v>234</v>
      </c>
      <c r="H168" s="469"/>
      <c r="I168" s="558" t="s">
        <v>897</v>
      </c>
      <c r="J168" s="527" t="s">
        <v>632</v>
      </c>
      <c r="K168" s="16" t="e">
        <f>#REF!</f>
        <v>#REF!</v>
      </c>
      <c r="L168" s="16">
        <v>1420200</v>
      </c>
      <c r="M168" s="16" t="e">
        <f>SUBSTITUTE(SUBSTITUTE(SUBSTITUTE(E168,""&amp;#REF!,""),"}]",""),",","")</f>
        <v>#REF!</v>
      </c>
      <c r="N168" s="575">
        <v>6210007</v>
      </c>
      <c r="O168" s="575" t="s">
        <v>389</v>
      </c>
      <c r="P168" s="574">
        <v>480</v>
      </c>
      <c r="Q168" s="574">
        <v>48</v>
      </c>
      <c r="R168" s="574"/>
      <c r="S168" s="574"/>
      <c r="T168" s="574"/>
      <c r="U168" s="574" t="s">
        <v>340</v>
      </c>
      <c r="V168" s="574"/>
      <c r="W168" s="574"/>
    </row>
    <row r="169" s="16" customFormat="1" ht="17.25" spans="1:23">
      <c r="A169" s="469">
        <v>31244</v>
      </c>
      <c r="B169" s="197" t="s">
        <v>898</v>
      </c>
      <c r="C169" s="468">
        <v>311</v>
      </c>
      <c r="D169" s="548">
        <f t="shared" si="17"/>
        <v>21</v>
      </c>
      <c r="E169" s="197" t="s">
        <v>896</v>
      </c>
      <c r="F169" s="469"/>
      <c r="G169" s="564" t="s">
        <v>234</v>
      </c>
      <c r="H169" s="469"/>
      <c r="I169" s="558" t="s">
        <v>899</v>
      </c>
      <c r="J169" s="527" t="s">
        <v>632</v>
      </c>
      <c r="K169" s="16" t="e">
        <f>#REF!</f>
        <v>#REF!</v>
      </c>
      <c r="L169" s="16">
        <v>1420200</v>
      </c>
      <c r="M169" s="16" t="e">
        <f>SUBSTITUTE(SUBSTITUTE(SUBSTITUTE(E169,""&amp;#REF!,""),"}]",""),",","")</f>
        <v>#REF!</v>
      </c>
      <c r="N169" s="575">
        <v>6210008</v>
      </c>
      <c r="O169" s="575" t="s">
        <v>390</v>
      </c>
      <c r="P169" s="574">
        <v>480</v>
      </c>
      <c r="Q169" s="574">
        <v>48</v>
      </c>
      <c r="R169" s="574"/>
      <c r="S169" s="574"/>
      <c r="T169" s="574"/>
      <c r="U169" s="574" t="s">
        <v>340</v>
      </c>
      <c r="V169" s="574"/>
      <c r="W169" s="574"/>
    </row>
    <row r="170" s="16" customFormat="1" ht="17.25" spans="1:23">
      <c r="A170" s="469">
        <v>31245</v>
      </c>
      <c r="B170" s="197" t="s">
        <v>900</v>
      </c>
      <c r="C170" s="468">
        <v>311</v>
      </c>
      <c r="D170" s="548">
        <f t="shared" si="17"/>
        <v>21</v>
      </c>
      <c r="E170" s="197" t="s">
        <v>896</v>
      </c>
      <c r="F170" s="469"/>
      <c r="G170" s="564" t="s">
        <v>234</v>
      </c>
      <c r="H170" s="469"/>
      <c r="I170" s="558" t="s">
        <v>901</v>
      </c>
      <c r="J170" s="527" t="s">
        <v>632</v>
      </c>
      <c r="K170" s="16" t="e">
        <f>#REF!</f>
        <v>#REF!</v>
      </c>
      <c r="L170" s="16">
        <v>1420200</v>
      </c>
      <c r="M170" s="16" t="e">
        <f>SUBSTITUTE(SUBSTITUTE(SUBSTITUTE(E170,""&amp;#REF!,""),"}]",""),",","")</f>
        <v>#REF!</v>
      </c>
      <c r="N170" s="575">
        <v>6210009</v>
      </c>
      <c r="O170" s="575" t="s">
        <v>391</v>
      </c>
      <c r="P170" s="574">
        <v>480</v>
      </c>
      <c r="Q170" s="574">
        <v>48</v>
      </c>
      <c r="R170" s="574"/>
      <c r="S170" s="574"/>
      <c r="T170" s="574"/>
      <c r="U170" s="574" t="s">
        <v>340</v>
      </c>
      <c r="V170" s="574"/>
      <c r="W170" s="574"/>
    </row>
    <row r="171" s="16" customFormat="1" ht="17.25" spans="1:23">
      <c r="A171" s="469">
        <v>31246</v>
      </c>
      <c r="B171" s="197" t="s">
        <v>821</v>
      </c>
      <c r="C171" s="468">
        <v>311</v>
      </c>
      <c r="D171" s="548">
        <f t="shared" si="17"/>
        <v>21</v>
      </c>
      <c r="E171" s="197" t="s">
        <v>896</v>
      </c>
      <c r="F171" s="469"/>
      <c r="G171" s="564" t="s">
        <v>234</v>
      </c>
      <c r="H171" s="469"/>
      <c r="I171" s="558" t="s">
        <v>823</v>
      </c>
      <c r="J171" s="527" t="s">
        <v>632</v>
      </c>
      <c r="K171" s="16">
        <f t="shared" ref="K171:K183" si="19">K113</f>
        <v>3</v>
      </c>
      <c r="L171" s="16">
        <v>1420200</v>
      </c>
      <c r="M171" s="16" t="e">
        <f>SUBSTITUTE(SUBSTITUTE(SUBSTITUTE(E171,""&amp;#REF!,""),"}]",""),",","")</f>
        <v>#REF!</v>
      </c>
      <c r="N171" s="575">
        <v>6210010</v>
      </c>
      <c r="O171" s="575" t="s">
        <v>392</v>
      </c>
      <c r="P171" s="574">
        <v>480</v>
      </c>
      <c r="Q171" s="574">
        <v>48</v>
      </c>
      <c r="R171" s="574"/>
      <c r="S171" s="574"/>
      <c r="T171" s="574"/>
      <c r="U171" s="574" t="s">
        <v>340</v>
      </c>
      <c r="V171" s="574"/>
      <c r="W171" s="574"/>
    </row>
    <row r="172" s="16" customFormat="1" ht="17.25" spans="1:23">
      <c r="A172" s="469">
        <v>31247</v>
      </c>
      <c r="B172" s="197" t="s">
        <v>825</v>
      </c>
      <c r="C172" s="468">
        <v>311</v>
      </c>
      <c r="D172" s="548">
        <f t="shared" si="17"/>
        <v>21</v>
      </c>
      <c r="E172" s="197" t="s">
        <v>896</v>
      </c>
      <c r="F172" s="469"/>
      <c r="G172" s="564" t="s">
        <v>234</v>
      </c>
      <c r="H172" s="469"/>
      <c r="I172" s="558" t="s">
        <v>826</v>
      </c>
      <c r="J172" s="527" t="s">
        <v>632</v>
      </c>
      <c r="K172" s="16">
        <f t="shared" si="19"/>
        <v>3</v>
      </c>
      <c r="L172" s="16">
        <v>1420200</v>
      </c>
      <c r="M172" s="16" t="e">
        <f>SUBSTITUTE(SUBSTITUTE(SUBSTITUTE(E172,""&amp;#REF!,""),"}]",""),",","")</f>
        <v>#REF!</v>
      </c>
      <c r="N172" s="575">
        <v>6210011</v>
      </c>
      <c r="O172" s="575" t="s">
        <v>393</v>
      </c>
      <c r="P172" s="574">
        <v>480</v>
      </c>
      <c r="Q172" s="574">
        <v>48</v>
      </c>
      <c r="R172" s="574"/>
      <c r="S172" s="574"/>
      <c r="T172" s="574"/>
      <c r="U172" s="574" t="s">
        <v>340</v>
      </c>
      <c r="V172" s="574"/>
      <c r="W172" s="574"/>
    </row>
    <row r="173" s="16" customFormat="1" ht="17.25" spans="1:23">
      <c r="A173" s="469">
        <v>31248</v>
      </c>
      <c r="B173" s="197" t="s">
        <v>828</v>
      </c>
      <c r="C173" s="468">
        <v>311</v>
      </c>
      <c r="D173" s="548">
        <f t="shared" si="17"/>
        <v>21</v>
      </c>
      <c r="E173" s="197" t="s">
        <v>896</v>
      </c>
      <c r="F173" s="469"/>
      <c r="G173" s="564" t="s">
        <v>234</v>
      </c>
      <c r="H173" s="469"/>
      <c r="I173" s="558" t="s">
        <v>829</v>
      </c>
      <c r="J173" s="527" t="s">
        <v>632</v>
      </c>
      <c r="K173" s="16" t="str">
        <f t="shared" si="19"/>
        <v>抽奖道具</v>
      </c>
      <c r="L173" s="16">
        <v>1420200</v>
      </c>
      <c r="M173" s="16" t="e">
        <f>SUBSTITUTE(SUBSTITUTE(SUBSTITUTE(E173,""&amp;#REF!,""),"}]",""),",","")</f>
        <v>#REF!</v>
      </c>
      <c r="N173" s="575">
        <v>6210012</v>
      </c>
      <c r="O173" s="575" t="s">
        <v>394</v>
      </c>
      <c r="P173" s="574">
        <v>480</v>
      </c>
      <c r="Q173" s="574">
        <v>48</v>
      </c>
      <c r="R173" s="574"/>
      <c r="S173" s="574"/>
      <c r="T173" s="574"/>
      <c r="U173" s="574" t="s">
        <v>340</v>
      </c>
      <c r="V173" s="574"/>
      <c r="W173" s="574"/>
    </row>
    <row r="174" s="16" customFormat="1" ht="17.25" spans="1:23">
      <c r="A174" s="469">
        <v>31249</v>
      </c>
      <c r="B174" s="197" t="s">
        <v>831</v>
      </c>
      <c r="C174" s="468">
        <v>311</v>
      </c>
      <c r="D174" s="548">
        <f t="shared" si="17"/>
        <v>21</v>
      </c>
      <c r="E174" s="197" t="s">
        <v>902</v>
      </c>
      <c r="F174" s="469"/>
      <c r="G174" s="564" t="s">
        <v>783</v>
      </c>
      <c r="H174" s="469"/>
      <c r="I174" s="559" t="s">
        <v>832</v>
      </c>
      <c r="J174" s="527" t="s">
        <v>632</v>
      </c>
      <c r="K174" s="16" t="str">
        <f t="shared" si="19"/>
        <v>零件</v>
      </c>
      <c r="L174" s="16">
        <v>1130100</v>
      </c>
      <c r="M174" s="16" t="e">
        <f>SUBSTITUTE(SUBSTITUTE(SUBSTITUTE(E174,""&amp;#REF!,""),"}]",""),",","")</f>
        <v>#REF!</v>
      </c>
      <c r="N174" s="575">
        <v>6210013</v>
      </c>
      <c r="O174" s="575" t="s">
        <v>395</v>
      </c>
      <c r="P174" s="574">
        <v>480</v>
      </c>
      <c r="Q174" s="574">
        <v>48</v>
      </c>
      <c r="R174" s="574"/>
      <c r="S174" s="574"/>
      <c r="T174" s="574"/>
      <c r="U174" s="574" t="s">
        <v>340</v>
      </c>
      <c r="V174" s="574"/>
      <c r="W174" s="574"/>
    </row>
    <row r="175" s="16" customFormat="1" ht="17.25" spans="1:23">
      <c r="A175" s="469">
        <v>31250</v>
      </c>
      <c r="B175" s="197" t="s">
        <v>834</v>
      </c>
      <c r="C175" s="468">
        <v>311</v>
      </c>
      <c r="D175" s="548">
        <f t="shared" si="17"/>
        <v>21</v>
      </c>
      <c r="E175" s="197" t="s">
        <v>902</v>
      </c>
      <c r="F175" s="469"/>
      <c r="G175" s="564" t="s">
        <v>783</v>
      </c>
      <c r="H175" s="469"/>
      <c r="I175" s="559" t="s">
        <v>835</v>
      </c>
      <c r="J175" s="527" t="s">
        <v>632</v>
      </c>
      <c r="K175" s="16" t="str">
        <f t="shared" si="19"/>
        <v>零件</v>
      </c>
      <c r="L175" s="16">
        <v>1130100</v>
      </c>
      <c r="M175" s="16" t="e">
        <f>SUBSTITUTE(SUBSTITUTE(SUBSTITUTE(E175,""&amp;#REF!,""),"}]",""),",","")</f>
        <v>#REF!</v>
      </c>
      <c r="N175" s="575">
        <v>6210014</v>
      </c>
      <c r="O175" s="575" t="s">
        <v>396</v>
      </c>
      <c r="P175" s="574">
        <v>480</v>
      </c>
      <c r="Q175" s="574">
        <v>48</v>
      </c>
      <c r="R175" s="574"/>
      <c r="S175" s="574"/>
      <c r="T175" s="574"/>
      <c r="U175" s="574" t="s">
        <v>340</v>
      </c>
      <c r="V175" s="574"/>
      <c r="W175" s="574"/>
    </row>
    <row r="176" s="16" customFormat="1" ht="17.25" spans="1:23">
      <c r="A176" s="469">
        <v>31251</v>
      </c>
      <c r="B176" s="197" t="s">
        <v>837</v>
      </c>
      <c r="C176" s="468">
        <v>311</v>
      </c>
      <c r="D176" s="548">
        <f t="shared" si="17"/>
        <v>21</v>
      </c>
      <c r="E176" s="197" t="s">
        <v>902</v>
      </c>
      <c r="F176" s="469"/>
      <c r="G176" s="564" t="s">
        <v>783</v>
      </c>
      <c r="H176" s="469"/>
      <c r="I176" s="559" t="s">
        <v>838</v>
      </c>
      <c r="J176" s="527" t="s">
        <v>632</v>
      </c>
      <c r="K176" s="16" t="str">
        <f t="shared" si="19"/>
        <v>零件</v>
      </c>
      <c r="L176" s="16">
        <v>1130100</v>
      </c>
      <c r="M176" s="16" t="e">
        <f>SUBSTITUTE(SUBSTITUTE(SUBSTITUTE(E176,""&amp;#REF!,""),"}]",""),",","")</f>
        <v>#REF!</v>
      </c>
      <c r="N176" s="575">
        <v>6210015</v>
      </c>
      <c r="O176" s="575" t="s">
        <v>397</v>
      </c>
      <c r="P176" s="574">
        <v>480</v>
      </c>
      <c r="Q176" s="574">
        <v>48</v>
      </c>
      <c r="R176" s="574"/>
      <c r="S176" s="574"/>
      <c r="T176" s="574"/>
      <c r="U176" s="574" t="s">
        <v>340</v>
      </c>
      <c r="V176" s="574"/>
      <c r="W176" s="574"/>
    </row>
    <row r="177" s="16" customFormat="1" ht="17.25" spans="1:23">
      <c r="A177" s="469">
        <v>31252</v>
      </c>
      <c r="B177" s="197" t="s">
        <v>840</v>
      </c>
      <c r="C177" s="468">
        <v>311</v>
      </c>
      <c r="D177" s="548">
        <f t="shared" si="17"/>
        <v>21</v>
      </c>
      <c r="E177" s="197" t="s">
        <v>902</v>
      </c>
      <c r="F177" s="469"/>
      <c r="G177" s="564" t="s">
        <v>783</v>
      </c>
      <c r="H177" s="469"/>
      <c r="I177" s="559" t="s">
        <v>841</v>
      </c>
      <c r="J177" s="527" t="s">
        <v>632</v>
      </c>
      <c r="K177" s="16" t="str">
        <f t="shared" si="19"/>
        <v>零件</v>
      </c>
      <c r="L177" s="16">
        <v>1130100</v>
      </c>
      <c r="M177" s="16" t="e">
        <f>SUBSTITUTE(SUBSTITUTE(SUBSTITUTE(E177,""&amp;#REF!,""),"}]",""),",","")</f>
        <v>#REF!</v>
      </c>
      <c r="N177" s="575">
        <v>6210016</v>
      </c>
      <c r="O177" s="575" t="s">
        <v>398</v>
      </c>
      <c r="P177" s="574">
        <v>960</v>
      </c>
      <c r="Q177" s="574">
        <v>96</v>
      </c>
      <c r="R177" s="574"/>
      <c r="S177" s="574"/>
      <c r="T177" s="574"/>
      <c r="U177" s="574" t="s">
        <v>347</v>
      </c>
      <c r="V177" s="574"/>
      <c r="W177" s="574"/>
    </row>
    <row r="178" s="16" customFormat="1" ht="17.25" spans="1:23">
      <c r="A178" s="469">
        <v>31253</v>
      </c>
      <c r="B178" s="197" t="s">
        <v>843</v>
      </c>
      <c r="C178" s="468">
        <v>311</v>
      </c>
      <c r="D178" s="548">
        <f t="shared" si="17"/>
        <v>21</v>
      </c>
      <c r="E178" s="197" t="s">
        <v>902</v>
      </c>
      <c r="F178" s="469"/>
      <c r="G178" s="564" t="s">
        <v>783</v>
      </c>
      <c r="H178" s="469"/>
      <c r="I178" s="559" t="s">
        <v>844</v>
      </c>
      <c r="J178" s="527" t="s">
        <v>632</v>
      </c>
      <c r="K178" s="16" t="str">
        <f t="shared" si="19"/>
        <v>零件</v>
      </c>
      <c r="L178" s="16">
        <v>1130100</v>
      </c>
      <c r="M178" s="16" t="e">
        <f>SUBSTITUTE(SUBSTITUTE(SUBSTITUTE(E178,""&amp;#REF!,""),"}]",""),",","")</f>
        <v>#REF!</v>
      </c>
      <c r="N178" s="575">
        <v>6210017</v>
      </c>
      <c r="O178" s="575" t="s">
        <v>399</v>
      </c>
      <c r="P178" s="574">
        <v>960</v>
      </c>
      <c r="Q178" s="574">
        <v>96</v>
      </c>
      <c r="R178" s="574"/>
      <c r="S178" s="574"/>
      <c r="T178" s="574"/>
      <c r="U178" s="574" t="s">
        <v>347</v>
      </c>
      <c r="V178" s="574"/>
      <c r="W178" s="574"/>
    </row>
    <row r="179" s="16" customFormat="1" ht="17.25" spans="1:23">
      <c r="A179" s="469">
        <v>31254</v>
      </c>
      <c r="B179" s="197" t="s">
        <v>846</v>
      </c>
      <c r="C179" s="468">
        <v>311</v>
      </c>
      <c r="D179" s="548">
        <f t="shared" si="17"/>
        <v>21</v>
      </c>
      <c r="E179" s="197" t="s">
        <v>902</v>
      </c>
      <c r="F179" s="469"/>
      <c r="G179" s="564" t="s">
        <v>783</v>
      </c>
      <c r="H179" s="469"/>
      <c r="I179" s="559" t="s">
        <v>847</v>
      </c>
      <c r="J179" s="527" t="s">
        <v>632</v>
      </c>
      <c r="K179" s="16" t="str">
        <f t="shared" si="19"/>
        <v>零件</v>
      </c>
      <c r="L179" s="16">
        <v>1130100</v>
      </c>
      <c r="M179" s="16" t="e">
        <f>SUBSTITUTE(SUBSTITUTE(SUBSTITUTE(E179,""&amp;#REF!,""),"}]",""),",","")</f>
        <v>#REF!</v>
      </c>
      <c r="N179" s="575">
        <v>6210018</v>
      </c>
      <c r="O179" s="575" t="s">
        <v>400</v>
      </c>
      <c r="P179" s="574">
        <v>960</v>
      </c>
      <c r="Q179" s="574">
        <v>96</v>
      </c>
      <c r="R179" s="574"/>
      <c r="S179" s="574"/>
      <c r="T179" s="574"/>
      <c r="U179" s="574" t="s">
        <v>347</v>
      </c>
      <c r="V179" s="574"/>
      <c r="W179" s="574"/>
    </row>
    <row r="180" s="16" customFormat="1" ht="17.25" spans="1:23">
      <c r="A180" s="469">
        <v>31255</v>
      </c>
      <c r="B180" s="197">
        <v>1310100</v>
      </c>
      <c r="C180" s="468">
        <v>311</v>
      </c>
      <c r="D180" s="548">
        <f t="shared" si="17"/>
        <v>21</v>
      </c>
      <c r="E180" s="197" t="s">
        <v>875</v>
      </c>
      <c r="F180" s="469"/>
      <c r="G180" s="564" t="s">
        <v>234</v>
      </c>
      <c r="H180" s="469"/>
      <c r="I180" s="556" t="s">
        <v>849</v>
      </c>
      <c r="J180" s="527" t="s">
        <v>632</v>
      </c>
      <c r="K180" s="16" t="str">
        <f t="shared" si="19"/>
        <v>零件</v>
      </c>
      <c r="L180" s="16">
        <v>1310100</v>
      </c>
      <c r="M180" s="16" t="e">
        <f>SUBSTITUTE(SUBSTITUTE(SUBSTITUTE(E180,""&amp;#REF!,""),"}]",""),",","")</f>
        <v>#REF!</v>
      </c>
      <c r="N180" s="575">
        <v>6220001</v>
      </c>
      <c r="O180" s="575" t="s">
        <v>401</v>
      </c>
      <c r="P180" s="574">
        <v>2400</v>
      </c>
      <c r="Q180" s="574">
        <v>240</v>
      </c>
      <c r="R180" s="574"/>
      <c r="S180" s="574"/>
      <c r="T180" s="574"/>
      <c r="U180" s="574" t="s">
        <v>343</v>
      </c>
      <c r="V180" s="574"/>
      <c r="W180" s="574"/>
    </row>
    <row r="181" s="16" customFormat="1" ht="17.25" spans="1:23">
      <c r="A181" s="469">
        <v>31256</v>
      </c>
      <c r="B181" s="197">
        <v>1210400</v>
      </c>
      <c r="C181" s="468">
        <v>311</v>
      </c>
      <c r="D181" s="548">
        <f t="shared" si="17"/>
        <v>21</v>
      </c>
      <c r="E181" s="197" t="s">
        <v>875</v>
      </c>
      <c r="F181" s="469"/>
      <c r="G181" s="564" t="s">
        <v>234</v>
      </c>
      <c r="H181" s="469"/>
      <c r="I181" s="556" t="s">
        <v>851</v>
      </c>
      <c r="J181" s="527" t="s">
        <v>632</v>
      </c>
      <c r="K181" s="16" t="str">
        <f t="shared" si="19"/>
        <v>零件</v>
      </c>
      <c r="L181" s="16">
        <v>1310100</v>
      </c>
      <c r="M181" s="16" t="e">
        <f>SUBSTITUTE(SUBSTITUTE(SUBSTITUTE(E181,""&amp;#REF!,""),"}]",""),",","")</f>
        <v>#REF!</v>
      </c>
      <c r="N181" s="575">
        <v>6220002</v>
      </c>
      <c r="O181" s="575" t="s">
        <v>402</v>
      </c>
      <c r="P181" s="574">
        <v>4800</v>
      </c>
      <c r="Q181" s="574">
        <v>480</v>
      </c>
      <c r="R181" s="574"/>
      <c r="S181" s="574"/>
      <c r="T181" s="574"/>
      <c r="U181" s="574" t="s">
        <v>340</v>
      </c>
      <c r="V181" s="574"/>
      <c r="W181" s="574"/>
    </row>
    <row r="182" s="16" customFormat="1" ht="17.25" spans="1:23">
      <c r="A182" s="469">
        <v>31257</v>
      </c>
      <c r="B182" s="197">
        <v>1230100</v>
      </c>
      <c r="C182" s="468">
        <v>311</v>
      </c>
      <c r="D182" s="548">
        <f t="shared" si="17"/>
        <v>21</v>
      </c>
      <c r="E182" s="197" t="s">
        <v>875</v>
      </c>
      <c r="F182" s="469"/>
      <c r="G182" s="564" t="s">
        <v>234</v>
      </c>
      <c r="H182" s="469"/>
      <c r="I182" s="556" t="s">
        <v>853</v>
      </c>
      <c r="J182" s="527" t="s">
        <v>632</v>
      </c>
      <c r="K182" s="16" t="str">
        <f t="shared" si="19"/>
        <v>零件</v>
      </c>
      <c r="L182" s="16">
        <v>1310100</v>
      </c>
      <c r="M182" s="16" t="e">
        <f>SUBSTITUTE(SUBSTITUTE(SUBSTITUTE(E182,""&amp;#REF!,""),"}]",""),",","")</f>
        <v>#REF!</v>
      </c>
      <c r="N182" s="575">
        <v>6220003</v>
      </c>
      <c r="O182" s="575" t="s">
        <v>403</v>
      </c>
      <c r="P182" s="574">
        <v>9600</v>
      </c>
      <c r="Q182" s="574">
        <v>960</v>
      </c>
      <c r="R182" s="574"/>
      <c r="S182" s="574"/>
      <c r="T182" s="574"/>
      <c r="U182" s="574" t="s">
        <v>347</v>
      </c>
      <c r="V182" s="574"/>
      <c r="W182" s="574"/>
    </row>
    <row r="183" s="16" customFormat="1" ht="17.25" spans="1:23">
      <c r="A183" s="469">
        <v>31258</v>
      </c>
      <c r="B183" s="197">
        <v>1420200</v>
      </c>
      <c r="C183" s="468">
        <v>311</v>
      </c>
      <c r="D183" s="548">
        <f t="shared" si="17"/>
        <v>21</v>
      </c>
      <c r="E183" s="197" t="s">
        <v>903</v>
      </c>
      <c r="F183" s="469"/>
      <c r="G183" s="564" t="s">
        <v>234</v>
      </c>
      <c r="H183" s="469"/>
      <c r="I183" s="558" t="s">
        <v>855</v>
      </c>
      <c r="J183" s="527" t="s">
        <v>632</v>
      </c>
      <c r="K183" s="16" t="str">
        <f t="shared" si="19"/>
        <v>零件</v>
      </c>
      <c r="L183" s="16">
        <v>1420200</v>
      </c>
      <c r="M183" s="16" t="e">
        <f>SUBSTITUTE(SUBSTITUTE(SUBSTITUTE(E183,""&amp;#REF!,""),"}]",""),",","")</f>
        <v>#REF!</v>
      </c>
      <c r="N183" s="575">
        <v>6220011</v>
      </c>
      <c r="O183" s="575" t="s">
        <v>404</v>
      </c>
      <c r="P183" s="574">
        <v>2400</v>
      </c>
      <c r="Q183" s="574">
        <v>240</v>
      </c>
      <c r="R183" s="574"/>
      <c r="S183" s="574"/>
      <c r="T183" s="574"/>
      <c r="U183" s="574" t="s">
        <v>343</v>
      </c>
      <c r="V183" s="574"/>
      <c r="W183" s="574"/>
    </row>
    <row r="184" s="16" customFormat="1" ht="17.25" spans="1:23">
      <c r="A184" s="469">
        <v>31259</v>
      </c>
      <c r="B184" s="197">
        <v>1320100</v>
      </c>
      <c r="C184" s="468">
        <v>311</v>
      </c>
      <c r="D184" s="548">
        <f t="shared" si="17"/>
        <v>21</v>
      </c>
      <c r="E184" s="197" t="s">
        <v>903</v>
      </c>
      <c r="F184" s="469"/>
      <c r="G184" s="564" t="s">
        <v>234</v>
      </c>
      <c r="H184" s="469"/>
      <c r="I184" s="558" t="s">
        <v>904</v>
      </c>
      <c r="J184" s="527" t="s">
        <v>632</v>
      </c>
      <c r="K184" s="16" t="e">
        <f>#REF!</f>
        <v>#REF!</v>
      </c>
      <c r="L184" s="16">
        <v>1420200</v>
      </c>
      <c r="M184" s="16" t="e">
        <f>SUBSTITUTE(SUBSTITUTE(SUBSTITUTE(E184,""&amp;#REF!,""),"}]",""),",","")</f>
        <v>#REF!</v>
      </c>
      <c r="N184" s="575">
        <v>6220012</v>
      </c>
      <c r="O184" s="575" t="s">
        <v>405</v>
      </c>
      <c r="P184" s="574">
        <v>4800</v>
      </c>
      <c r="Q184" s="574">
        <v>480</v>
      </c>
      <c r="R184" s="574"/>
      <c r="S184" s="574"/>
      <c r="T184" s="574"/>
      <c r="U184" s="574" t="s">
        <v>340</v>
      </c>
      <c r="V184" s="574"/>
      <c r="W184" s="574"/>
    </row>
    <row r="185" s="16" customFormat="1" ht="17.25" spans="1:23">
      <c r="A185" s="469">
        <v>31260</v>
      </c>
      <c r="B185" s="197">
        <v>1210600</v>
      </c>
      <c r="C185" s="468">
        <v>311</v>
      </c>
      <c r="D185" s="548">
        <f t="shared" si="17"/>
        <v>21</v>
      </c>
      <c r="E185" s="197" t="s">
        <v>903</v>
      </c>
      <c r="F185" s="469"/>
      <c r="G185" s="564" t="s">
        <v>234</v>
      </c>
      <c r="H185" s="469"/>
      <c r="I185" s="558" t="s">
        <v>859</v>
      </c>
      <c r="J185" s="527" t="s">
        <v>632</v>
      </c>
      <c r="K185" s="16">
        <f>K126</f>
        <v>5</v>
      </c>
      <c r="L185" s="16">
        <v>1420200</v>
      </c>
      <c r="M185" s="16" t="e">
        <f>SUBSTITUTE(SUBSTITUTE(SUBSTITUTE(E185,""&amp;#REF!,""),"}]",""),",","")</f>
        <v>#REF!</v>
      </c>
      <c r="N185" s="575">
        <v>6220013</v>
      </c>
      <c r="O185" s="575" t="s">
        <v>406</v>
      </c>
      <c r="P185" s="574">
        <v>9600</v>
      </c>
      <c r="Q185" s="574">
        <v>960</v>
      </c>
      <c r="R185" s="574"/>
      <c r="S185" s="574"/>
      <c r="T185" s="574"/>
      <c r="U185" s="574" t="s">
        <v>347</v>
      </c>
      <c r="V185" s="574"/>
      <c r="W185" s="574"/>
    </row>
    <row r="186" s="16" customFormat="1" ht="17.25" spans="1:23">
      <c r="A186" s="469">
        <v>31261</v>
      </c>
      <c r="B186" s="197">
        <v>1230400</v>
      </c>
      <c r="C186" s="468">
        <v>311</v>
      </c>
      <c r="D186" s="548">
        <f t="shared" si="17"/>
        <v>21</v>
      </c>
      <c r="E186" s="197" t="s">
        <v>903</v>
      </c>
      <c r="F186" s="469"/>
      <c r="G186" s="564" t="s">
        <v>234</v>
      </c>
      <c r="H186" s="469"/>
      <c r="I186" s="558" t="s">
        <v>861</v>
      </c>
      <c r="J186" s="527" t="s">
        <v>632</v>
      </c>
      <c r="K186" s="16">
        <f>K127</f>
        <v>5</v>
      </c>
      <c r="L186" s="16">
        <v>1420200</v>
      </c>
      <c r="M186" s="16" t="e">
        <f>SUBSTITUTE(SUBSTITUTE(SUBSTITUTE(E186,""&amp;#REF!,""),"}]",""),",","")</f>
        <v>#REF!</v>
      </c>
      <c r="N186" s="575">
        <v>6220021</v>
      </c>
      <c r="O186" s="575" t="s">
        <v>401</v>
      </c>
      <c r="P186" s="574">
        <v>2400</v>
      </c>
      <c r="Q186" s="574">
        <v>240</v>
      </c>
      <c r="R186" s="574"/>
      <c r="S186" s="574"/>
      <c r="T186" s="574"/>
      <c r="U186" s="574" t="s">
        <v>343</v>
      </c>
      <c r="V186" s="574"/>
      <c r="W186" s="574"/>
    </row>
    <row r="187" s="16" customFormat="1" ht="17.25" spans="1:23">
      <c r="A187" s="469">
        <v>31262</v>
      </c>
      <c r="B187" s="197">
        <v>1310300</v>
      </c>
      <c r="C187" s="468">
        <v>311</v>
      </c>
      <c r="D187" s="548">
        <f t="shared" si="17"/>
        <v>21</v>
      </c>
      <c r="E187" s="197" t="s">
        <v>903</v>
      </c>
      <c r="F187" s="469"/>
      <c r="G187" s="564" t="s">
        <v>234</v>
      </c>
      <c r="H187" s="469"/>
      <c r="I187" s="558" t="s">
        <v>863</v>
      </c>
      <c r="J187" s="527" t="s">
        <v>632</v>
      </c>
      <c r="K187" s="16">
        <f>K128</f>
        <v>5</v>
      </c>
      <c r="L187" s="16">
        <v>1420200</v>
      </c>
      <c r="M187" s="16" t="e">
        <f>SUBSTITUTE(SUBSTITUTE(SUBSTITUTE(E187,""&amp;#REF!,""),"}]",""),",","")</f>
        <v>#REF!</v>
      </c>
      <c r="N187" s="575">
        <v>6220031</v>
      </c>
      <c r="O187" s="575" t="s">
        <v>407</v>
      </c>
      <c r="P187" s="574">
        <v>240</v>
      </c>
      <c r="Q187" s="574">
        <v>24</v>
      </c>
      <c r="R187" s="574"/>
      <c r="S187" s="574"/>
      <c r="T187" s="574"/>
      <c r="U187" s="574" t="s">
        <v>343</v>
      </c>
      <c r="V187" s="574"/>
      <c r="W187" s="574"/>
    </row>
    <row r="188" s="16" customFormat="1" ht="17.25" spans="1:23">
      <c r="A188" s="469">
        <v>31263</v>
      </c>
      <c r="B188" s="197">
        <v>1110100</v>
      </c>
      <c r="C188" s="468">
        <v>311</v>
      </c>
      <c r="D188" s="548">
        <f t="shared" si="17"/>
        <v>21</v>
      </c>
      <c r="E188" s="197" t="s">
        <v>903</v>
      </c>
      <c r="F188" s="469"/>
      <c r="G188" s="564" t="s">
        <v>234</v>
      </c>
      <c r="H188" s="469"/>
      <c r="I188" s="558" t="s">
        <v>905</v>
      </c>
      <c r="J188" s="527" t="s">
        <v>632</v>
      </c>
      <c r="K188" s="16" t="e">
        <f>#REF!</f>
        <v>#REF!</v>
      </c>
      <c r="L188" s="16">
        <v>1420200</v>
      </c>
      <c r="M188" s="16" t="e">
        <f>SUBSTITUTE(SUBSTITUTE(SUBSTITUTE(E188,""&amp;#REF!,""),"}]",""),",","")</f>
        <v>#REF!</v>
      </c>
      <c r="N188" s="575">
        <v>6220032</v>
      </c>
      <c r="O188" s="575" t="s">
        <v>408</v>
      </c>
      <c r="P188" s="574">
        <v>480</v>
      </c>
      <c r="Q188" s="574">
        <v>48</v>
      </c>
      <c r="R188" s="574"/>
      <c r="S188" s="574"/>
      <c r="T188" s="574"/>
      <c r="U188" s="574" t="s">
        <v>340</v>
      </c>
      <c r="V188" s="574"/>
      <c r="W188" s="574"/>
    </row>
    <row r="189" s="16" customFormat="1" ht="17.25" spans="1:23">
      <c r="A189" s="469">
        <v>31264</v>
      </c>
      <c r="B189" s="197">
        <v>1130100</v>
      </c>
      <c r="C189" s="468">
        <v>311</v>
      </c>
      <c r="D189" s="548">
        <f t="shared" si="17"/>
        <v>21</v>
      </c>
      <c r="E189" s="197" t="s">
        <v>906</v>
      </c>
      <c r="F189" s="469"/>
      <c r="G189" s="564" t="s">
        <v>783</v>
      </c>
      <c r="H189" s="469"/>
      <c r="I189" s="559" t="s">
        <v>865</v>
      </c>
      <c r="J189" s="527" t="s">
        <v>632</v>
      </c>
      <c r="K189" s="16">
        <f t="shared" ref="K189:K194" si="20">K129</f>
        <v>5</v>
      </c>
      <c r="L189" s="16">
        <v>1130100</v>
      </c>
      <c r="M189" s="16" t="e">
        <f>SUBSTITUTE(SUBSTITUTE(SUBSTITUTE(E189,""&amp;#REF!,""),"}]",""),",","")</f>
        <v>#REF!</v>
      </c>
      <c r="N189" s="575">
        <v>6220033</v>
      </c>
      <c r="O189" s="575" t="s">
        <v>409</v>
      </c>
      <c r="P189" s="574">
        <v>960</v>
      </c>
      <c r="Q189" s="574">
        <v>96</v>
      </c>
      <c r="R189" s="574"/>
      <c r="S189" s="574"/>
      <c r="T189" s="574"/>
      <c r="U189" s="574" t="s">
        <v>347</v>
      </c>
      <c r="V189" s="574"/>
      <c r="W189" s="574"/>
    </row>
    <row r="190" s="16" customFormat="1" ht="17.25" spans="1:23">
      <c r="A190" s="469">
        <v>31265</v>
      </c>
      <c r="B190" s="197">
        <v>1530100</v>
      </c>
      <c r="C190" s="468">
        <v>311</v>
      </c>
      <c r="D190" s="548">
        <f t="shared" si="17"/>
        <v>21</v>
      </c>
      <c r="E190" s="197" t="s">
        <v>906</v>
      </c>
      <c r="F190" s="469"/>
      <c r="G190" s="564" t="s">
        <v>783</v>
      </c>
      <c r="H190" s="469"/>
      <c r="I190" s="559" t="s">
        <v>867</v>
      </c>
      <c r="J190" s="527" t="s">
        <v>632</v>
      </c>
      <c r="K190" s="16">
        <f t="shared" si="20"/>
        <v>5</v>
      </c>
      <c r="L190" s="16">
        <v>1130100</v>
      </c>
      <c r="M190" s="16" t="e">
        <f>SUBSTITUTE(SUBSTITUTE(SUBSTITUTE(E190,""&amp;#REF!,""),"}]",""),",","")</f>
        <v>#REF!</v>
      </c>
      <c r="N190" s="575">
        <v>6220041</v>
      </c>
      <c r="O190" s="575" t="s">
        <v>410</v>
      </c>
      <c r="P190" s="574">
        <v>240</v>
      </c>
      <c r="Q190" s="574">
        <v>24</v>
      </c>
      <c r="R190" s="574"/>
      <c r="S190" s="574"/>
      <c r="T190" s="574"/>
      <c r="U190" s="574" t="s">
        <v>343</v>
      </c>
      <c r="V190" s="574"/>
      <c r="W190" s="574"/>
    </row>
    <row r="191" s="16" customFormat="1" ht="17.25" spans="1:23">
      <c r="A191" s="469">
        <v>31266</v>
      </c>
      <c r="B191" s="197">
        <v>1210300</v>
      </c>
      <c r="C191" s="468">
        <v>311</v>
      </c>
      <c r="D191" s="548">
        <f t="shared" si="17"/>
        <v>21</v>
      </c>
      <c r="E191" s="197" t="s">
        <v>906</v>
      </c>
      <c r="F191" s="469"/>
      <c r="G191" s="564" t="s">
        <v>783</v>
      </c>
      <c r="H191" s="469"/>
      <c r="I191" s="559" t="s">
        <v>868</v>
      </c>
      <c r="J191" s="527" t="s">
        <v>632</v>
      </c>
      <c r="K191" s="16">
        <f t="shared" si="20"/>
        <v>5</v>
      </c>
      <c r="L191" s="16">
        <v>1130100</v>
      </c>
      <c r="M191" s="16" t="e">
        <f>SUBSTITUTE(SUBSTITUTE(SUBSTITUTE(E191,""&amp;#REF!,""),"}]",""),",","")</f>
        <v>#REF!</v>
      </c>
      <c r="N191" s="575">
        <v>6220042</v>
      </c>
      <c r="O191" s="575" t="s">
        <v>411</v>
      </c>
      <c r="P191" s="574">
        <v>480</v>
      </c>
      <c r="Q191" s="574">
        <v>48</v>
      </c>
      <c r="R191" s="574"/>
      <c r="S191" s="574"/>
      <c r="T191" s="574"/>
      <c r="U191" s="574" t="s">
        <v>340</v>
      </c>
      <c r="V191" s="574"/>
      <c r="W191" s="574"/>
    </row>
    <row r="192" s="16" customFormat="1" ht="17.25" spans="1:23">
      <c r="A192" s="469">
        <v>31267</v>
      </c>
      <c r="B192" s="197">
        <v>1430700</v>
      </c>
      <c r="C192" s="468">
        <v>311</v>
      </c>
      <c r="D192" s="548">
        <f t="shared" si="17"/>
        <v>21</v>
      </c>
      <c r="E192" s="197" t="s">
        <v>906</v>
      </c>
      <c r="F192" s="469"/>
      <c r="G192" s="564" t="s">
        <v>783</v>
      </c>
      <c r="H192" s="469"/>
      <c r="I192" s="559" t="s">
        <v>869</v>
      </c>
      <c r="J192" s="527" t="s">
        <v>632</v>
      </c>
      <c r="K192" s="16">
        <f t="shared" si="20"/>
        <v>5</v>
      </c>
      <c r="L192" s="16">
        <v>1130100</v>
      </c>
      <c r="M192" s="16" t="e">
        <f>SUBSTITUTE(SUBSTITUTE(SUBSTITUTE(E192,""&amp;#REF!,""),"}]",""),",","")</f>
        <v>#REF!</v>
      </c>
      <c r="N192" s="575">
        <v>6220043</v>
      </c>
      <c r="O192" s="575" t="s">
        <v>412</v>
      </c>
      <c r="P192" s="574">
        <v>960</v>
      </c>
      <c r="Q192" s="574">
        <v>96</v>
      </c>
      <c r="R192" s="574"/>
      <c r="S192" s="574"/>
      <c r="T192" s="574"/>
      <c r="U192" s="574" t="s">
        <v>347</v>
      </c>
      <c r="V192" s="574"/>
      <c r="W192" s="574"/>
    </row>
    <row r="193" s="16" customFormat="1" ht="17.25" spans="1:23">
      <c r="A193" s="469">
        <v>31268</v>
      </c>
      <c r="B193" s="197">
        <v>1140100</v>
      </c>
      <c r="C193" s="468">
        <v>311</v>
      </c>
      <c r="D193" s="548">
        <f t="shared" si="17"/>
        <v>21</v>
      </c>
      <c r="E193" s="197" t="s">
        <v>906</v>
      </c>
      <c r="F193" s="469"/>
      <c r="G193" s="564" t="s">
        <v>783</v>
      </c>
      <c r="H193" s="469"/>
      <c r="I193" s="559" t="s">
        <v>870</v>
      </c>
      <c r="J193" s="527" t="s">
        <v>632</v>
      </c>
      <c r="K193" s="16">
        <f t="shared" si="20"/>
        <v>5</v>
      </c>
      <c r="L193" s="16">
        <v>1130100</v>
      </c>
      <c r="M193" s="16" t="e">
        <f>SUBSTITUTE(SUBSTITUTE(SUBSTITUTE(E193,""&amp;#REF!,""),"}]",""),",","")</f>
        <v>#REF!</v>
      </c>
      <c r="N193" s="575"/>
      <c r="O193" s="575"/>
      <c r="P193" s="574"/>
      <c r="Q193" s="574"/>
      <c r="R193" s="574"/>
      <c r="S193" s="574"/>
      <c r="T193" s="574"/>
      <c r="U193" s="574"/>
      <c r="V193" s="574"/>
      <c r="W193" s="574"/>
    </row>
    <row r="194" s="16" customFormat="1" ht="17.25" spans="1:23">
      <c r="A194" s="469">
        <v>31269</v>
      </c>
      <c r="B194" s="197">
        <v>1140200</v>
      </c>
      <c r="C194" s="468">
        <v>311</v>
      </c>
      <c r="D194" s="548">
        <f t="shared" si="17"/>
        <v>21</v>
      </c>
      <c r="E194" s="197" t="s">
        <v>906</v>
      </c>
      <c r="F194" s="469"/>
      <c r="G194" s="564" t="s">
        <v>783</v>
      </c>
      <c r="H194" s="469"/>
      <c r="I194" s="559" t="s">
        <v>871</v>
      </c>
      <c r="J194" s="527" t="s">
        <v>632</v>
      </c>
      <c r="K194" s="16">
        <f t="shared" si="20"/>
        <v>5</v>
      </c>
      <c r="L194" s="16">
        <v>1130100</v>
      </c>
      <c r="M194" s="16" t="e">
        <f>SUBSTITUTE(SUBSTITUTE(SUBSTITUTE(E194,""&amp;#REF!,""),"}]",""),",","")</f>
        <v>#REF!</v>
      </c>
      <c r="N194" s="499">
        <v>24</v>
      </c>
    </row>
  </sheetData>
  <conditionalFormatting sqref="I80">
    <cfRule type="duplicateValues" dxfId="0" priority="3"/>
    <cfRule type="duplicateValues" dxfId="1" priority="4"/>
  </conditionalFormatting>
  <conditionalFormatting sqref="I83">
    <cfRule type="duplicateValues" dxfId="1" priority="5"/>
  </conditionalFormatting>
  <conditionalFormatting sqref="I90">
    <cfRule type="duplicateValues" dxfId="1" priority="6"/>
  </conditionalFormatting>
  <conditionalFormatting sqref="I91">
    <cfRule type="duplicateValues" dxfId="1" priority="7"/>
  </conditionalFormatting>
  <conditionalFormatting sqref="I99">
    <cfRule type="duplicateValues" dxfId="0" priority="35"/>
    <cfRule type="duplicateValues" dxfId="1" priority="36"/>
  </conditionalFormatting>
  <conditionalFormatting sqref="I106">
    <cfRule type="duplicateValues" dxfId="0" priority="37"/>
    <cfRule type="duplicateValues" dxfId="1" priority="38"/>
  </conditionalFormatting>
  <conditionalFormatting sqref="I107">
    <cfRule type="duplicateValues" dxfId="1" priority="9"/>
  </conditionalFormatting>
  <conditionalFormatting sqref="I108">
    <cfRule type="duplicateValues" dxfId="1" priority="10"/>
  </conditionalFormatting>
  <conditionalFormatting sqref="I116">
    <cfRule type="duplicateValues" dxfId="1" priority="12"/>
  </conditionalFormatting>
  <conditionalFormatting sqref="I117">
    <cfRule type="duplicateValues" dxfId="1" priority="13"/>
  </conditionalFormatting>
  <conditionalFormatting sqref="I124">
    <cfRule type="duplicateValues" dxfId="1" priority="14"/>
  </conditionalFormatting>
  <conditionalFormatting sqref="I129">
    <cfRule type="duplicateValues" dxfId="1" priority="15"/>
  </conditionalFormatting>
  <conditionalFormatting sqref="I130">
    <cfRule type="duplicateValues" dxfId="1" priority="16"/>
  </conditionalFormatting>
  <conditionalFormatting sqref="I137">
    <cfRule type="duplicateValues" dxfId="1" priority="17"/>
  </conditionalFormatting>
  <conditionalFormatting sqref="I144">
    <cfRule type="duplicateValues" dxfId="1" priority="18"/>
  </conditionalFormatting>
  <conditionalFormatting sqref="I145">
    <cfRule type="duplicateValues" dxfId="1" priority="19"/>
  </conditionalFormatting>
  <conditionalFormatting sqref="I152">
    <cfRule type="duplicateValues" dxfId="1" priority="20"/>
  </conditionalFormatting>
  <conditionalFormatting sqref="I159">
    <cfRule type="duplicateValues" dxfId="1" priority="21"/>
  </conditionalFormatting>
  <conditionalFormatting sqref="I160">
    <cfRule type="duplicateValues" dxfId="1" priority="22"/>
  </conditionalFormatting>
  <conditionalFormatting sqref="I167">
    <cfRule type="duplicateValues" dxfId="1" priority="23"/>
  </conditionalFormatting>
  <conditionalFormatting sqref="I174">
    <cfRule type="duplicateValues" dxfId="1" priority="24"/>
  </conditionalFormatting>
  <conditionalFormatting sqref="I175">
    <cfRule type="duplicateValues" dxfId="1" priority="25"/>
  </conditionalFormatting>
  <conditionalFormatting sqref="I182">
    <cfRule type="duplicateValues" dxfId="1" priority="26"/>
  </conditionalFormatting>
  <conditionalFormatting sqref="I189">
    <cfRule type="duplicateValues" dxfId="1" priority="27"/>
  </conditionalFormatting>
  <conditionalFormatting sqref="I190">
    <cfRule type="duplicateValues" dxfId="1" priority="28"/>
  </conditionalFormatting>
  <conditionalFormatting sqref="I81:I82">
    <cfRule type="duplicateValues" dxfId="1" priority="30"/>
  </conditionalFormatting>
  <conditionalFormatting sqref="I81:I83">
    <cfRule type="duplicateValues" dxfId="0" priority="29"/>
  </conditionalFormatting>
  <conditionalFormatting sqref="I84:I89">
    <cfRule type="duplicateValues" dxfId="0" priority="31"/>
    <cfRule type="duplicateValues" dxfId="1" priority="32"/>
  </conditionalFormatting>
  <conditionalFormatting sqref="I90:I93">
    <cfRule type="duplicateValues" dxfId="0" priority="33"/>
  </conditionalFormatting>
  <conditionalFormatting sqref="I92:I93">
    <cfRule type="duplicateValues" dxfId="1" priority="34"/>
  </conditionalFormatting>
  <conditionalFormatting sqref="I107:I112">
    <cfRule type="duplicateValues" dxfId="0" priority="39"/>
  </conditionalFormatting>
  <conditionalFormatting sqref="I109:I112">
    <cfRule type="duplicateValues" dxfId="1" priority="40"/>
  </conditionalFormatting>
  <conditionalFormatting sqref="I113:I115">
    <cfRule type="duplicateValues" dxfId="0" priority="43"/>
    <cfRule type="duplicateValues" dxfId="1" priority="44"/>
  </conditionalFormatting>
  <conditionalFormatting sqref="I116:I121">
    <cfRule type="duplicateValues" dxfId="0" priority="45"/>
  </conditionalFormatting>
  <conditionalFormatting sqref="I118:I121">
    <cfRule type="duplicateValues" dxfId="1" priority="46"/>
  </conditionalFormatting>
  <conditionalFormatting sqref="I122:I123">
    <cfRule type="duplicateValues" dxfId="1" priority="48"/>
  </conditionalFormatting>
  <conditionalFormatting sqref="I122:I124">
    <cfRule type="duplicateValues" dxfId="0" priority="47"/>
  </conditionalFormatting>
  <conditionalFormatting sqref="I125:I128">
    <cfRule type="duplicateValues" dxfId="0" priority="49"/>
    <cfRule type="duplicateValues" dxfId="1" priority="50"/>
  </conditionalFormatting>
  <conditionalFormatting sqref="I129:I134">
    <cfRule type="duplicateValues" dxfId="0" priority="51"/>
  </conditionalFormatting>
  <conditionalFormatting sqref="I131:I134">
    <cfRule type="duplicateValues" dxfId="1" priority="52"/>
  </conditionalFormatting>
  <conditionalFormatting sqref="I135:I136">
    <cfRule type="duplicateValues" dxfId="1" priority="54"/>
  </conditionalFormatting>
  <conditionalFormatting sqref="I135:I137">
    <cfRule type="duplicateValues" dxfId="0" priority="53"/>
  </conditionalFormatting>
  <conditionalFormatting sqref="I138:I143">
    <cfRule type="duplicateValues" dxfId="0" priority="55"/>
    <cfRule type="duplicateValues" dxfId="1" priority="56"/>
  </conditionalFormatting>
  <conditionalFormatting sqref="I144:I149">
    <cfRule type="duplicateValues" dxfId="0" priority="57"/>
  </conditionalFormatting>
  <conditionalFormatting sqref="I146:I149">
    <cfRule type="duplicateValues" dxfId="1" priority="58"/>
  </conditionalFormatting>
  <conditionalFormatting sqref="I150:I151">
    <cfRule type="duplicateValues" dxfId="1" priority="60"/>
  </conditionalFormatting>
  <conditionalFormatting sqref="I150:I152">
    <cfRule type="duplicateValues" dxfId="0" priority="59"/>
  </conditionalFormatting>
  <conditionalFormatting sqref="I153:I158">
    <cfRule type="duplicateValues" dxfId="0" priority="61"/>
    <cfRule type="duplicateValues" dxfId="1" priority="62"/>
  </conditionalFormatting>
  <conditionalFormatting sqref="I159:I164">
    <cfRule type="duplicateValues" dxfId="0" priority="63"/>
  </conditionalFormatting>
  <conditionalFormatting sqref="I161:I164">
    <cfRule type="duplicateValues" dxfId="1" priority="64"/>
  </conditionalFormatting>
  <conditionalFormatting sqref="I165:I166">
    <cfRule type="duplicateValues" dxfId="1" priority="66"/>
  </conditionalFormatting>
  <conditionalFormatting sqref="I165:I167">
    <cfRule type="duplicateValues" dxfId="0" priority="65"/>
  </conditionalFormatting>
  <conditionalFormatting sqref="I168:I173">
    <cfRule type="duplicateValues" dxfId="0" priority="67"/>
    <cfRule type="duplicateValues" dxfId="1" priority="68"/>
  </conditionalFormatting>
  <conditionalFormatting sqref="I174:I179">
    <cfRule type="duplicateValues" dxfId="0" priority="69"/>
  </conditionalFormatting>
  <conditionalFormatting sqref="I176:I179">
    <cfRule type="duplicateValues" dxfId="1" priority="70"/>
  </conditionalFormatting>
  <conditionalFormatting sqref="I180:I181">
    <cfRule type="duplicateValues" dxfId="1" priority="72"/>
  </conditionalFormatting>
  <conditionalFormatting sqref="I180:I182">
    <cfRule type="duplicateValues" dxfId="0" priority="71"/>
  </conditionalFormatting>
  <conditionalFormatting sqref="I183:I188">
    <cfRule type="duplicateValues" dxfId="0" priority="73"/>
    <cfRule type="duplicateValues" dxfId="1" priority="74"/>
  </conditionalFormatting>
  <conditionalFormatting sqref="I189:I194">
    <cfRule type="duplicateValues" dxfId="0" priority="75"/>
  </conditionalFormatting>
  <conditionalFormatting sqref="I191:I194">
    <cfRule type="duplicateValues" dxfId="1" priority="76"/>
  </conditionalFormatting>
  <dataValidations count="4">
    <dataValidation type="textLength" operator="between" allowBlank="1" showInputMessage="1" showErrorMessage="1" errorTitle="输入有误" error="数值只能为(0 ~ 9999999999)" sqref="A18:B18 D18:F18 H18:I18">
      <formula1>0</formula1>
      <formula2>9999999999</formula2>
    </dataValidation>
    <dataValidation allowBlank="1" showInputMessage="1" showErrorMessage="1" errorTitle="输入有误" error="数值只能为(0 ~ 9999999999)" sqref="C18 C46 C21:C22 C24:C44 C48:C63 C68:C74 C76:C96 C99:C104 C106:C114 C126:C194"/>
    <dataValidation type="textLength" operator="between" allowBlank="1" showInputMessage="1" showErrorMessage="1" errorTitle="输入有误" error="文本内容大长(0 ~ 9999999999)" sqref="I46 I39:I44 I48:I63 I68:I74 I76:I79">
      <formula1>0</formula1>
      <formula2>65535</formula2>
    </dataValidation>
    <dataValidation type="whole" operator="between" allowBlank="1" showInputMessage="1" showErrorMessage="1" errorTitle="输入有误" error="数值只能为(0 ~ 9999999999)" sqref="A19:A194">
      <formula1>0</formula1>
      <formula2>9999999999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Y234"/>
  <sheetViews>
    <sheetView topLeftCell="A27" workbookViewId="0">
      <selection activeCell="B95" sqref="B95:L100"/>
    </sheetView>
  </sheetViews>
  <sheetFormatPr defaultColWidth="9" defaultRowHeight="13.5"/>
  <cols>
    <col min="1" max="3" width="9" style="16"/>
    <col min="4" max="4" width="10.25" style="16" customWidth="1"/>
    <col min="5" max="12" width="9" style="16"/>
    <col min="13" max="13" width="22.875" style="16" customWidth="1"/>
    <col min="14" max="15" width="12.625" style="16"/>
    <col min="16" max="23" width="9" style="16"/>
    <col min="24" max="25" width="12.625" style="16"/>
    <col min="26" max="16384" width="9" style="16"/>
  </cols>
  <sheetData>
    <row r="2" spans="2:12">
      <c r="B2" s="31" t="s">
        <v>907</v>
      </c>
    </row>
    <row r="3" spans="2:12">
      <c r="B3" s="526"/>
      <c r="C3" s="31" t="s">
        <v>908</v>
      </c>
    </row>
    <row r="5" spans="2:12">
      <c r="E5" s="16">
        <v>1001</v>
      </c>
      <c r="F5" s="16">
        <f>E5+1000</f>
        <v>2001</v>
      </c>
      <c r="G5" s="16">
        <f>F5+1000</f>
        <v>3001</v>
      </c>
      <c r="H5" s="16">
        <f>G5+1000</f>
        <v>4001</v>
      </c>
      <c r="I5" s="16">
        <f>H5+1000</f>
        <v>5001</v>
      </c>
      <c r="J5" s="16">
        <f>I5+1000</f>
        <v>6001</v>
      </c>
      <c r="K5" s="16">
        <v>7002</v>
      </c>
      <c r="L5" s="16">
        <v>8001</v>
      </c>
    </row>
    <row r="6" spans="2:12">
      <c r="B6" s="16" t="s">
        <v>136</v>
      </c>
      <c r="C6" s="16" t="s">
        <v>566</v>
      </c>
      <c r="D6" s="16" t="s">
        <v>586</v>
      </c>
      <c r="E6" s="16" t="e">
        <f ca="1" t="shared" ref="E6:L6" si="0">_xlfn.XLOOKUP(E5,$C$30:$C$85,$E$30:$E$85)</f>
        <v>#N/A</v>
      </c>
      <c r="F6" s="16">
        <f ca="1" t="shared" si="0"/>
        <v>90</v>
      </c>
      <c r="G6" s="16">
        <f ca="1" t="shared" si="0"/>
        <v>0</v>
      </c>
      <c r="H6" s="16" t="e">
        <f ca="1" t="shared" si="0"/>
        <v>#N/A</v>
      </c>
      <c r="I6" s="16" t="e">
        <f ca="1" t="shared" si="0"/>
        <v>#N/A</v>
      </c>
      <c r="J6" s="16" t="e">
        <f ca="1" t="shared" si="0"/>
        <v>#N/A</v>
      </c>
      <c r="K6" s="16" t="e">
        <f ca="1" t="shared" si="0"/>
        <v>#N/A</v>
      </c>
      <c r="L6" s="16" t="e">
        <f ca="1" t="shared" si="0"/>
        <v>#N/A</v>
      </c>
    </row>
    <row r="7" spans="2:12">
      <c r="B7" s="16">
        <v>1</v>
      </c>
      <c r="C7" s="16" t="e">
        <f ca="1">SUMIF($B$30:$B$86,$B7,N$30:N$86)</f>
        <v>#N/A</v>
      </c>
      <c r="D7" s="16" t="e">
        <f ca="1">SUMIF($B$30:$B$86,$B7,O$30:O$86)</f>
        <v>#N/A</v>
      </c>
      <c r="E7" s="16">
        <v>1001</v>
      </c>
      <c r="F7" s="16">
        <v>2001</v>
      </c>
      <c r="G7" s="16">
        <v>3001</v>
      </c>
      <c r="H7" s="16">
        <v>4001</v>
      </c>
      <c r="I7" s="16">
        <v>5001</v>
      </c>
      <c r="J7" s="16">
        <v>6001</v>
      </c>
      <c r="K7" s="441">
        <v>7002</v>
      </c>
      <c r="L7" s="16">
        <v>8001</v>
      </c>
    </row>
    <row r="8" spans="2:12">
      <c r="B8" s="16">
        <v>2</v>
      </c>
      <c r="C8" s="16" t="e">
        <f ca="1" t="shared" ref="C8:C13" si="1">SUMIF($B$30:$B$86,$B8,N$30:N$86)</f>
        <v>#N/A</v>
      </c>
      <c r="D8" s="16" t="e">
        <f ca="1" t="shared" ref="D8:D13" si="2">SUMIF($B$30:$B$86,$B8,O$30:O$86)</f>
        <v>#N/A</v>
      </c>
      <c r="E8" s="16">
        <v>1001</v>
      </c>
      <c r="F8" s="16">
        <v>2001</v>
      </c>
      <c r="G8" s="16">
        <v>3001</v>
      </c>
      <c r="H8" s="16">
        <v>4001</v>
      </c>
      <c r="I8" s="441">
        <v>5002</v>
      </c>
      <c r="J8" s="16">
        <v>6001</v>
      </c>
      <c r="K8" s="16">
        <v>7002</v>
      </c>
      <c r="L8" s="16">
        <v>8001</v>
      </c>
    </row>
    <row r="9" spans="2:12">
      <c r="B9" s="16">
        <v>3</v>
      </c>
      <c r="C9" s="16" t="e">
        <f ca="1" t="shared" si="1"/>
        <v>#N/A</v>
      </c>
      <c r="D9" s="16" t="e">
        <f ca="1" t="shared" si="2"/>
        <v>#N/A</v>
      </c>
      <c r="E9" s="16">
        <v>1001</v>
      </c>
      <c r="F9" s="16">
        <v>2001</v>
      </c>
      <c r="G9" s="16">
        <v>3001</v>
      </c>
      <c r="H9" s="16">
        <v>4001</v>
      </c>
      <c r="I9" s="16">
        <v>5002</v>
      </c>
      <c r="J9" s="441">
        <v>6002</v>
      </c>
      <c r="K9" s="16">
        <v>7002</v>
      </c>
      <c r="L9" s="16">
        <v>8001</v>
      </c>
    </row>
    <row r="10" spans="2:12">
      <c r="B10" s="16">
        <v>4</v>
      </c>
      <c r="C10" s="16" t="e">
        <f ca="1" t="shared" si="1"/>
        <v>#N/A</v>
      </c>
      <c r="D10" s="16" t="e">
        <f ca="1" t="shared" si="2"/>
        <v>#N/A</v>
      </c>
      <c r="E10" s="441">
        <v>1002</v>
      </c>
      <c r="F10" s="16">
        <v>2001</v>
      </c>
      <c r="G10" s="16">
        <v>3001</v>
      </c>
      <c r="H10" s="16">
        <v>4001</v>
      </c>
      <c r="I10" s="16">
        <v>5002</v>
      </c>
      <c r="J10" s="16">
        <v>6002</v>
      </c>
      <c r="K10" s="441">
        <v>7003</v>
      </c>
      <c r="L10" s="16">
        <v>8001</v>
      </c>
    </row>
    <row r="11" spans="2:12">
      <c r="B11" s="16">
        <v>5</v>
      </c>
      <c r="C11" s="16" t="e">
        <f ca="1" t="shared" si="1"/>
        <v>#N/A</v>
      </c>
      <c r="D11" s="16" t="e">
        <f ca="1" t="shared" si="2"/>
        <v>#N/A</v>
      </c>
      <c r="E11" s="16">
        <v>1002</v>
      </c>
      <c r="F11" s="16">
        <v>2001</v>
      </c>
      <c r="G11" s="16">
        <v>3001</v>
      </c>
      <c r="H11" s="16">
        <v>4001</v>
      </c>
      <c r="I11" s="16">
        <v>5002</v>
      </c>
      <c r="J11" s="441">
        <v>6003</v>
      </c>
      <c r="K11" s="16">
        <v>7003</v>
      </c>
      <c r="L11" s="16">
        <v>8001</v>
      </c>
    </row>
    <row r="12" spans="2:12">
      <c r="B12" s="16">
        <v>6</v>
      </c>
      <c r="C12" s="16" t="e">
        <f ca="1" t="shared" si="1"/>
        <v>#N/A</v>
      </c>
      <c r="D12" s="16" t="e">
        <f ca="1" t="shared" si="2"/>
        <v>#N/A</v>
      </c>
      <c r="E12" s="16">
        <v>1002</v>
      </c>
      <c r="F12" s="16">
        <v>2001</v>
      </c>
      <c r="G12" s="16">
        <v>3001</v>
      </c>
      <c r="H12" s="16">
        <v>4001</v>
      </c>
      <c r="I12" s="441">
        <v>5003</v>
      </c>
      <c r="J12" s="16">
        <v>6003</v>
      </c>
      <c r="K12" s="16">
        <v>7003</v>
      </c>
      <c r="L12" s="16">
        <v>8001</v>
      </c>
    </row>
    <row r="13" spans="2:12">
      <c r="B13" s="16">
        <v>7</v>
      </c>
      <c r="C13" s="16" t="e">
        <f ca="1" t="shared" si="1"/>
        <v>#N/A</v>
      </c>
      <c r="D13" s="16" t="e">
        <f ca="1" t="shared" si="2"/>
        <v>#N/A</v>
      </c>
      <c r="E13" s="441">
        <v>1003</v>
      </c>
      <c r="F13" s="16">
        <v>2001</v>
      </c>
      <c r="G13" s="16">
        <v>3001</v>
      </c>
      <c r="H13" s="16">
        <v>4001</v>
      </c>
      <c r="I13" s="16">
        <v>5003</v>
      </c>
      <c r="J13" s="16">
        <v>6003</v>
      </c>
      <c r="K13" s="16">
        <v>7003</v>
      </c>
      <c r="L13" s="16">
        <v>8001</v>
      </c>
    </row>
    <row r="14" spans="2:12">
      <c r="C14" s="16" t="e">
        <f ca="1">AVERAGE(C7:C12)</f>
        <v>#N/A</v>
      </c>
      <c r="D14" s="16" t="e">
        <f ca="1">AVERAGE(D7:D12)</f>
        <v>#N/A</v>
      </c>
    </row>
    <row r="15" spans="2:12">
      <c r="E15" s="16">
        <v>1001</v>
      </c>
      <c r="F15" s="16">
        <f t="shared" ref="F15:J15" si="3">E15+1000</f>
        <v>2001</v>
      </c>
      <c r="G15" s="16">
        <f t="shared" si="3"/>
        <v>3001</v>
      </c>
      <c r="H15" s="16">
        <f t="shared" si="3"/>
        <v>4001</v>
      </c>
      <c r="I15" s="16">
        <f t="shared" si="3"/>
        <v>5001</v>
      </c>
      <c r="J15" s="16">
        <f t="shared" si="3"/>
        <v>6001</v>
      </c>
      <c r="K15" s="16">
        <v>7002</v>
      </c>
      <c r="L15" s="16">
        <v>8001</v>
      </c>
    </row>
    <row r="16" spans="2:12">
      <c r="B16" s="16" t="s">
        <v>136</v>
      </c>
      <c r="C16" s="16" t="s">
        <v>566</v>
      </c>
      <c r="D16" s="16" t="s">
        <v>586</v>
      </c>
      <c r="E16" s="16" t="e">
        <f ca="1" t="shared" ref="E16:L16" si="4">_xlfn.XLOOKUP(E15,$C$30:$C$85,$E$30:$E$85)</f>
        <v>#N/A</v>
      </c>
      <c r="F16" s="16">
        <f ca="1" t="shared" si="4"/>
        <v>90</v>
      </c>
      <c r="G16" s="16">
        <f ca="1" t="shared" si="4"/>
        <v>0</v>
      </c>
      <c r="H16" s="16" t="e">
        <f ca="1" t="shared" si="4"/>
        <v>#N/A</v>
      </c>
      <c r="I16" s="16" t="e">
        <f ca="1" t="shared" si="4"/>
        <v>#N/A</v>
      </c>
      <c r="J16" s="16" t="e">
        <f ca="1" t="shared" si="4"/>
        <v>#N/A</v>
      </c>
      <c r="K16" s="16" t="e">
        <f ca="1" t="shared" si="4"/>
        <v>#N/A</v>
      </c>
      <c r="L16" s="16" t="e">
        <f ca="1" t="shared" si="4"/>
        <v>#N/A</v>
      </c>
    </row>
    <row r="17" spans="2:25">
      <c r="B17" s="16">
        <v>1</v>
      </c>
      <c r="E17" s="16">
        <v>1</v>
      </c>
      <c r="F17" s="16">
        <v>1</v>
      </c>
      <c r="G17" s="16">
        <v>0</v>
      </c>
      <c r="H17" s="16">
        <v>0</v>
      </c>
    </row>
    <row r="18" spans="2:25">
      <c r="B18" s="16">
        <v>2</v>
      </c>
      <c r="E18" s="16">
        <v>1</v>
      </c>
      <c r="F18" s="16">
        <v>0</v>
      </c>
      <c r="G18" s="16">
        <v>1</v>
      </c>
      <c r="H18" s="16">
        <v>0</v>
      </c>
    </row>
    <row r="19" spans="2:25">
      <c r="B19" s="16">
        <v>3</v>
      </c>
      <c r="E19" s="16">
        <v>0</v>
      </c>
      <c r="F19" s="16">
        <v>1</v>
      </c>
      <c r="G19" s="16">
        <v>0</v>
      </c>
      <c r="H19" s="16">
        <v>0</v>
      </c>
    </row>
    <row r="20" spans="2:25">
      <c r="B20" s="16">
        <v>4</v>
      </c>
      <c r="E20" s="16">
        <v>1</v>
      </c>
      <c r="F20" s="16">
        <v>0</v>
      </c>
      <c r="G20" s="16">
        <v>0</v>
      </c>
      <c r="H20" s="16">
        <v>0</v>
      </c>
    </row>
    <row r="21" spans="2:25">
      <c r="B21" s="16">
        <v>5</v>
      </c>
      <c r="E21" s="16">
        <v>0</v>
      </c>
      <c r="H21" s="16">
        <v>0</v>
      </c>
    </row>
    <row r="22" spans="2:25">
      <c r="B22" s="16">
        <v>6</v>
      </c>
      <c r="E22" s="16">
        <v>0</v>
      </c>
      <c r="H22" s="16">
        <v>0</v>
      </c>
    </row>
    <row r="23" spans="2:25">
      <c r="B23" s="16">
        <v>7</v>
      </c>
      <c r="E23" s="16">
        <v>1</v>
      </c>
      <c r="H23" s="16">
        <v>1</v>
      </c>
    </row>
    <row r="28" spans="2:25">
      <c r="H28" s="16">
        <v>5</v>
      </c>
      <c r="I28" s="16">
        <f>H28+3</f>
        <v>8</v>
      </c>
      <c r="N28" s="16">
        <v>1</v>
      </c>
      <c r="O28" s="16">
        <v>2</v>
      </c>
    </row>
    <row r="29" ht="16.5" spans="2:25">
      <c r="B29" s="442" t="s">
        <v>909</v>
      </c>
      <c r="C29" s="443" t="s">
        <v>641</v>
      </c>
      <c r="D29" s="443" t="s">
        <v>639</v>
      </c>
      <c r="E29" s="443" t="s">
        <v>910</v>
      </c>
      <c r="F29" s="442" t="s">
        <v>642</v>
      </c>
      <c r="G29" s="442" t="s">
        <v>911</v>
      </c>
      <c r="H29" s="442" t="s">
        <v>912</v>
      </c>
      <c r="I29" s="442" t="s">
        <v>913</v>
      </c>
      <c r="J29" s="442" t="s">
        <v>914</v>
      </c>
      <c r="K29" s="442" t="s">
        <v>915</v>
      </c>
      <c r="L29" s="442" t="s">
        <v>916</v>
      </c>
      <c r="M29" s="442" t="s">
        <v>917</v>
      </c>
      <c r="N29" s="442" t="s">
        <v>568</v>
      </c>
      <c r="O29" s="442" t="s">
        <v>586</v>
      </c>
      <c r="P29" s="16" t="s">
        <v>568</v>
      </c>
      <c r="Q29" s="16" t="s">
        <v>586</v>
      </c>
    </row>
    <row r="30" spans="2:25">
      <c r="B30" s="16">
        <v>1</v>
      </c>
      <c r="C30" s="16">
        <f ca="1">OFFSET($D$6,B30,COUNTIF($B$29:B30,B30))</f>
        <v>1001</v>
      </c>
      <c r="D30" s="16">
        <v>11</v>
      </c>
      <c r="E30" s="16">
        <f>_xlfn.XLOOKUP(D30,价值表!$D:$D,价值表!$C:$C)</f>
        <v/>
      </c>
      <c r="F30" s="16">
        <v>700</v>
      </c>
      <c r="G30" s="41">
        <v>0.5</v>
      </c>
      <c r="H30" s="16">
        <f>$F30/10000*6*H$28*(1-$G30)</f>
        <v>1.05</v>
      </c>
      <c r="I30" s="16">
        <f>$F30/10000*6*I$28*(1-$G30)</f>
        <v>1.68</v>
      </c>
      <c r="J30" s="16">
        <v>1</v>
      </c>
      <c r="K30" s="16">
        <v>2</v>
      </c>
      <c r="L30" s="16" t="e">
        <f ca="1">IF(OFFSET($D$16,B30,MATCH(E30,$E$16:$L$16,0))="","",OFFSET($D$16,B30,MATCH(E30,$E$16:$L$16,0)))</f>
        <v>#N/A</v>
      </c>
      <c r="M30" s="16" t="s">
        <v>566</v>
      </c>
      <c r="N30" s="16" t="e" cm="1">
        <f ca="1" t="array" ref="N30">IF(_xlfn.XLOOKUP($M30,$X$30:$X$34,$Y$30:$Y$34)&lt;=MATCH(N$29,$N$29:$O$29,0),SUMPRODUCT(--($C$91:$C$234=$C30),$G$91:$G$234,$J$91:$J$234)/SUMPRODUCT(--($J$91:$J$234&gt;0),$G$91:$G$234,--($C$91:$C$234=$C30))*MIN(H30,$L30),0)</f>
        <v>#N/A</v>
      </c>
      <c r="O30" s="16" t="e" cm="1">
        <f ca="1" t="array" ref="O30">IF(_xlfn.XLOOKUP($M30,$X$30:$X$34,$Y$30:$Y$34)&lt;=MATCH(O$29,$N$29:$O$29,0),SUMPRODUCT(--($C$91:$C$234=$C30),$G$91:$G$234,$J$91:$J$234)/SUMPRODUCT(--($J$91:$J$234&gt;0),$G$91:$G$234,--($C$91:$C$234=$C30))*MIN(I30,$L30),0)</f>
        <v>#N/A</v>
      </c>
      <c r="P30" s="16" t="e" cm="1">
        <f ca="1" t="array" ref="P30">IF(_xlfn.XLOOKUP($M30,$X$30:$X$34,$Y$30:$Y$34)&lt;=MATCH(N$29,$N$29:$O$29,0),SUMPRODUCT(--($C$91:$C$234=$C30),$G$91:$G$234,$F$91:$F$234,--($J$91:$J$234&gt;0))/SUMPRODUCT(--($J$91:$J$234&gt;0),$G$91:$G$234,--($C$91:$C$234=$C30))*MIN(H30,$L30),0)</f>
        <v>#N/A</v>
      </c>
      <c r="Q30" s="16" t="e" cm="1">
        <f ca="1" t="array" ref="Q30">IF(_xlfn.XLOOKUP($M30,$X$30:$X$34,$Y$30:$Y$34)&lt;=MATCH(O$29,$N$29:$O$29,0),SUMPRODUCT(--($C$91:$C$234=$C30),$G$91:$G$234,$F$91:$F$234,--($J$91:$J$234&gt;0))/SUMPRODUCT(--($J$91:$J$234&gt;0),$G$91:$G$234,--($C$91:$C$234=$C30))*MIN(I30,$L30),0)</f>
        <v>#N/A</v>
      </c>
      <c r="U30" s="441">
        <v>1001</v>
      </c>
      <c r="V30" s="16" t="e">
        <f ca="1">_xlfn.XLOOKUP(INT(U30/1000)*1000+1,$C$29:$C$85,$E$29:$E$85)</f>
        <v>#N/A</v>
      </c>
      <c r="X30" s="16" t="s">
        <v>566</v>
      </c>
      <c r="Y30" s="16">
        <v>1</v>
      </c>
    </row>
    <row r="31" spans="2:25">
      <c r="B31" s="16">
        <v>1</v>
      </c>
      <c r="C31" s="16">
        <f ca="1">OFFSET($D$6,B31,COUNTIF($B$29:B31,B31))</f>
        <v>2001</v>
      </c>
      <c r="D31" s="16">
        <v>9</v>
      </c>
      <c r="E31" s="16">
        <f>_xlfn.XLOOKUP(D31,价值表!$D:$D,价值表!$C:$C)</f>
        <v/>
      </c>
      <c r="F31" s="16">
        <v>600</v>
      </c>
      <c r="G31" s="41">
        <v>0.5</v>
      </c>
      <c r="H31" s="16">
        <f>$F31/10000*6*H$28*(1-$G31)</f>
        <v>0.9</v>
      </c>
      <c r="I31" s="16">
        <f>$F31/10000*6*I$28*(1-$G31)</f>
        <v>1.44</v>
      </c>
      <c r="J31" s="16">
        <v>1</v>
      </c>
      <c r="K31" s="16">
        <v>2</v>
      </c>
      <c r="L31" s="16">
        <f ca="1" t="shared" ref="L31:L41" si="5">IF(OFFSET($D$16,B31,MATCH(E31,$E$16:$L$16,0))="","",OFFSET($D$16,B31,MATCH(E31,$E$16:$L$16,0)))</f>
        <v>1</v>
      </c>
      <c r="M31" s="16" t="s">
        <v>566</v>
      </c>
      <c r="N31" s="16" cm="1">
        <f ca="1" t="array" ref="N31">IF(_xlfn.XLOOKUP($M31,$X$30:$X$34,$Y$30:$Y$34)&lt;=MATCH(N$29,$N$29:$O$29,0),SUMPRODUCT(--($C$91:$C$234=$C31),$G$91:$G$234,$J$91:$J$234)/SUMPRODUCT(--($J$91:$J$234&gt;0),$G$91:$G$234,--($C$91:$C$234=$C31))*MIN(H31,$L31),0)</f>
        <v>1800</v>
      </c>
      <c r="O31" s="16" cm="1">
        <f ca="1" t="array" ref="O31">IF(_xlfn.XLOOKUP($M31,$X$30:$X$34,$Y$30:$Y$34)&lt;=MATCH(O$29,$N$29:$O$29,0),SUMPRODUCT(--($C$91:$C$234=$C31),$G$91:$G$234,$J$91:$J$234)/SUMPRODUCT(--($J$91:$J$234&gt;0),$G$91:$G$234,--($C$91:$C$234=$C31))*MIN(I31,$L31),0)</f>
        <v>2000</v>
      </c>
      <c r="P31" s="16" cm="1">
        <f ca="1" t="array" ref="P31">IF(_xlfn.XLOOKUP($M31,$X$30:$X$34,$Y$30:$Y$34)&lt;=MATCH(N$29,$N$29:$O$29,0),SUMPRODUCT(--($C$91:$C$234=$C31),$G$91:$G$234,$F$91:$F$234,--($J$91:$J$234&gt;0))/SUMPRODUCT(--($J$91:$J$234&gt;0),$G$91:$G$234,--($C$91:$C$234=$C31))*MIN(H31,$L31),0)</f>
        <v>0.9</v>
      </c>
      <c r="Q31" s="16" cm="1">
        <f ca="1" t="array" ref="Q31">IF(_xlfn.XLOOKUP($M31,$X$30:$X$34,$Y$30:$Y$34)&lt;=MATCH(O$29,$N$29:$O$29,0),SUMPRODUCT(--($C$91:$C$234=$C31),$G$91:$G$234,$F$91:$F$234,--($J$91:$J$234&gt;0))/SUMPRODUCT(--($J$91:$J$234&gt;0),$G$91:$G$234,--($C$91:$C$234=$C31))*MIN(I31,$L31),0)</f>
        <v>1</v>
      </c>
      <c r="U31" s="441">
        <v>1002</v>
      </c>
      <c r="V31" s="16" t="e">
        <f ca="1" t="shared" ref="V31:V45" si="6">_xlfn.XLOOKUP(INT(U31/1000)*1000+1,$C$29:$C$85,$E$29:$E$85)</f>
        <v>#N/A</v>
      </c>
      <c r="X31" s="16" t="s">
        <v>568</v>
      </c>
      <c r="Y31" s="16">
        <v>1</v>
      </c>
    </row>
    <row r="32" spans="2:25">
      <c r="B32" s="16">
        <v>1</v>
      </c>
      <c r="C32" s="16">
        <f ca="1">OFFSET($D$6,B32,COUNTIF($B$29:B32,B32))</f>
        <v>3001</v>
      </c>
      <c r="D32" s="16">
        <v>30</v>
      </c>
      <c r="E32" s="16">
        <f>_xlfn.XLOOKUP(D32,价值表!$D:$D,价值表!$C:$C)</f>
        <v/>
      </c>
      <c r="F32" s="16">
        <v>200</v>
      </c>
      <c r="G32" s="41">
        <v>0.5</v>
      </c>
      <c r="H32" s="16">
        <f>$F32/10000*6*H$28*(1-$G32)</f>
        <v>0.3</v>
      </c>
      <c r="I32" s="16">
        <f>$F32/10000*6*I$28*(1-$G32)</f>
        <v>0.48</v>
      </c>
      <c r="J32" s="16">
        <v>1</v>
      </c>
      <c r="K32" s="16">
        <v>2</v>
      </c>
      <c r="L32" s="16">
        <f ca="1" t="shared" si="5"/>
        <v>0</v>
      </c>
      <c r="M32" s="16" t="s">
        <v>566</v>
      </c>
      <c r="N32" s="16" cm="1">
        <f ca="1" t="array" ref="N32">IF(_xlfn.XLOOKUP($M32,$X$30:$X$34,$Y$30:$Y$34)&lt;=MATCH(N$29,$N$29:$O$29,0),SUMPRODUCT(--($C$91:$C$234=$C32),$G$91:$G$234,$J$91:$J$234)/SUMPRODUCT(--($J$91:$J$234&gt;0),$G$91:$G$234,--($C$91:$C$234=$C32))*MIN(H32,$L32),0)</f>
        <v>0</v>
      </c>
      <c r="O32" s="16" cm="1">
        <f ca="1" t="array" ref="O32">IF(_xlfn.XLOOKUP($M32,$X$30:$X$34,$Y$30:$Y$34)&lt;=MATCH(O$29,$N$29:$O$29,0),SUMPRODUCT(--($C$91:$C$234=$C32),$G$91:$G$234,$J$91:$J$234)/SUMPRODUCT(--($J$91:$J$234&gt;0),$G$91:$G$234,--($C$91:$C$234=$C32))*MIN(I32,$L32),0)</f>
        <v>0</v>
      </c>
      <c r="P32" s="16" cm="1">
        <f ca="1" t="array" ref="P32">IF(_xlfn.XLOOKUP($M32,$X$30:$X$34,$Y$30:$Y$34)&lt;=MATCH(N$29,$N$29:$O$29,0),SUMPRODUCT(--($C$91:$C$234=$C32),$G$91:$G$234,$F$91:$F$234,--($J$91:$J$234&gt;0))/SUMPRODUCT(--($J$91:$J$234&gt;0),$G$91:$G$234,--($C$91:$C$234=$C32))*MIN(H32,$L32),0)</f>
        <v>0</v>
      </c>
      <c r="Q32" s="16" cm="1">
        <f ca="1" t="array" ref="Q32">IF(_xlfn.XLOOKUP($M32,$X$30:$X$34,$Y$30:$Y$34)&lt;=MATCH(O$29,$N$29:$O$29,0),SUMPRODUCT(--($C$91:$C$234=$C32),$G$91:$G$234,$F$91:$F$234,--($J$91:$J$234&gt;0))/SUMPRODUCT(--($J$91:$J$234&gt;0),$G$91:$G$234,--($C$91:$C$234=$C32))*MIN(I32,$L32),0)</f>
        <v>0</v>
      </c>
      <c r="U32" s="441">
        <v>1003</v>
      </c>
      <c r="V32" s="16" t="e">
        <f ca="1" t="shared" si="6"/>
        <v>#N/A</v>
      </c>
      <c r="X32" s="16" t="s">
        <v>577</v>
      </c>
      <c r="Y32" s="16">
        <v>1</v>
      </c>
    </row>
    <row r="33" spans="2:25">
      <c r="B33" s="16">
        <v>1</v>
      </c>
      <c r="C33" s="16">
        <f ca="1">OFFSET($D$6,B33,COUNTIF($B$29:B33,B33))</f>
        <v>4001</v>
      </c>
      <c r="D33" s="16">
        <v>5305001</v>
      </c>
      <c r="E33" s="16">
        <f>_xlfn.XLOOKUP(D33,价值表!$D:$D,价值表!$C:$C)</f>
        <v/>
      </c>
      <c r="F33" s="16">
        <v>300</v>
      </c>
      <c r="G33" s="41">
        <v>0.5</v>
      </c>
      <c r="H33" s="16">
        <f t="shared" ref="H33:H85" si="7">$F33/10000*6*H$28*(1-$G33)</f>
        <v>0.45</v>
      </c>
      <c r="I33" s="16">
        <f t="shared" ref="I33:I85" si="8">$F33/10000*6*I$28*(1-$G33)</f>
        <v>0.72</v>
      </c>
      <c r="J33" s="16">
        <v>1</v>
      </c>
      <c r="K33" s="16">
        <v>2</v>
      </c>
      <c r="L33" s="16" t="e">
        <f ca="1" t="shared" si="5"/>
        <v>#N/A</v>
      </c>
      <c r="M33" s="16" t="s">
        <v>566</v>
      </c>
      <c r="N33" s="16" t="e" cm="1">
        <f ca="1" t="array" ref="N33">IF(_xlfn.XLOOKUP($M33,$X$30:$X$34,$Y$30:$Y$34)&lt;=MATCH(N$29,$N$29:$O$29,0),SUMPRODUCT(--($C$91:$C$234=$C33),$G$91:$G$234,$J$91:$J$234)/SUMPRODUCT(--($J$91:$J$234&gt;0),$G$91:$G$234,--($C$91:$C$234=$C33))*MIN(H33,$L33),0)</f>
        <v>#N/A</v>
      </c>
      <c r="O33" s="16" t="e" cm="1">
        <f ca="1" t="array" ref="O33">IF(_xlfn.XLOOKUP($M33,$X$30:$X$34,$Y$30:$Y$34)&lt;=MATCH(O$29,$N$29:$O$29,0),SUMPRODUCT(--($C$91:$C$234=$C33),$G$91:$G$234,$J$91:$J$234)/SUMPRODUCT(--($J$91:$J$234&gt;0),$G$91:$G$234,--($C$91:$C$234=$C33))*MIN(I33,$L33),0)</f>
        <v>#N/A</v>
      </c>
      <c r="P33" s="16" t="e" cm="1">
        <f ca="1" t="array" ref="P33">IF(_xlfn.XLOOKUP($M33,$X$30:$X$34,$Y$30:$Y$34)&lt;=MATCH(N$29,$N$29:$O$29,0),SUMPRODUCT(--($C$91:$C$234=$C33),$G$91:$G$234,$F$91:$F$234,--($J$91:$J$234&gt;0))/SUMPRODUCT(--($J$91:$J$234&gt;0),$G$91:$G$234,--($C$91:$C$234=$C33))*MIN(H33,$L33),0)</f>
        <v>#N/A</v>
      </c>
      <c r="Q33" s="16" t="e" cm="1">
        <f ca="1" t="array" ref="Q33">IF(_xlfn.XLOOKUP($M33,$X$30:$X$34,$Y$30:$Y$34)&lt;=MATCH(O$29,$N$29:$O$29,0),SUMPRODUCT(--($C$91:$C$234=$C33),$G$91:$G$234,$F$91:$F$234,--($J$91:$J$234&gt;0))/SUMPRODUCT(--($J$91:$J$234&gt;0),$G$91:$G$234,--($C$91:$C$234=$C33))*MIN(I33,$L33),0)</f>
        <v>#N/A</v>
      </c>
      <c r="U33" s="16">
        <v>2001</v>
      </c>
      <c r="V33" s="16">
        <f ca="1" t="shared" si="6"/>
        <v>90</v>
      </c>
      <c r="X33" s="16" t="s">
        <v>586</v>
      </c>
      <c r="Y33" s="16">
        <v>2</v>
      </c>
    </row>
    <row r="34" spans="2:25">
      <c r="B34" s="16">
        <v>1</v>
      </c>
      <c r="C34" s="16">
        <f ca="1">OFFSET($D$6,B34,COUNTIF($B$29:B34,B34))</f>
        <v>5001</v>
      </c>
      <c r="D34" s="16">
        <v>50002</v>
      </c>
      <c r="E34" s="16">
        <f>_xlfn.XLOOKUP(D34,价值表!$D:$D,价值表!$C:$C)</f>
        <v/>
      </c>
      <c r="F34" s="16">
        <v>2400</v>
      </c>
      <c r="G34" s="41">
        <v>0.5</v>
      </c>
      <c r="H34" s="16">
        <f t="shared" si="7"/>
        <v>3.6</v>
      </c>
      <c r="I34" s="16">
        <f t="shared" si="8"/>
        <v>5.76</v>
      </c>
      <c r="J34" s="16">
        <v>1</v>
      </c>
      <c r="K34" s="16">
        <v>2</v>
      </c>
      <c r="L34" s="16" t="e">
        <f ca="1" t="shared" si="5"/>
        <v>#N/A</v>
      </c>
      <c r="M34" s="16" t="s">
        <v>566</v>
      </c>
      <c r="N34" s="16" t="e" cm="1">
        <f ca="1" t="array" ref="N34">IF(_xlfn.XLOOKUP($M34,$X$30:$X$34,$Y$30:$Y$34)&lt;=MATCH(N$29,$N$29:$O$29,0),SUMPRODUCT(--($C$91:$C$234=$C34),$G$91:$G$234,$J$91:$J$234)/SUMPRODUCT(--($J$91:$J$234&gt;0),$G$91:$G$234,--($C$91:$C$234=$C34))*MIN(H34,$L34),0)</f>
        <v>#N/A</v>
      </c>
      <c r="O34" s="16" t="e" cm="1">
        <f ca="1" t="array" ref="O34">IF(_xlfn.XLOOKUP($M34,$X$30:$X$34,$Y$30:$Y$34)&lt;=MATCH(O$29,$N$29:$O$29,0),SUMPRODUCT(--($C$91:$C$234=$C34),$G$91:$G$234,$J$91:$J$234)/SUMPRODUCT(--($J$91:$J$234&gt;0),$G$91:$G$234,--($C$91:$C$234=$C34))*MIN(I34,$L34),0)</f>
        <v>#N/A</v>
      </c>
      <c r="P34" s="16" t="e" cm="1">
        <f ca="1" t="array" ref="P34">IF(_xlfn.XLOOKUP($M34,$X$30:$X$34,$Y$30:$Y$34)&lt;=MATCH(N$29,$N$29:$O$29,0),SUMPRODUCT(--($C$91:$C$234=$C34),$G$91:$G$234,$F$91:$F$234,--($J$91:$J$234&gt;0))/SUMPRODUCT(--($J$91:$J$234&gt;0),$G$91:$G$234,--($C$91:$C$234=$C34))*MIN(H34,$L34),0)</f>
        <v>#N/A</v>
      </c>
      <c r="Q34" s="16" t="e" cm="1">
        <f ca="1" t="array" ref="Q34">IF(_xlfn.XLOOKUP($M34,$X$30:$X$34,$Y$30:$Y$34)&lt;=MATCH(O$29,$N$29:$O$29,0),SUMPRODUCT(--($C$91:$C$234=$C34),$G$91:$G$234,$F$91:$F$234,--($J$91:$J$234&gt;0))/SUMPRODUCT(--($J$91:$J$234&gt;0),$G$91:$G$234,--($C$91:$C$234=$C34))*MIN(I34,$L34),0)</f>
        <v>#N/A</v>
      </c>
      <c r="U34" s="16">
        <v>3001</v>
      </c>
      <c r="V34" s="16">
        <f ca="1" t="shared" si="6"/>
        <v>0</v>
      </c>
      <c r="X34" s="16" t="s">
        <v>591</v>
      </c>
      <c r="Y34" s="16">
        <v>3</v>
      </c>
    </row>
    <row r="35" spans="2:25">
      <c r="B35" s="16">
        <v>1</v>
      </c>
      <c r="C35" s="16">
        <f ca="1">OFFSET($D$6,B35,COUNTIF($B$29:B35,B35))</f>
        <v>6001</v>
      </c>
      <c r="D35" s="16">
        <v>5203001</v>
      </c>
      <c r="E35" s="16">
        <f>_xlfn.XLOOKUP(D35,价值表!$D:$D,价值表!$C:$C)</f>
        <v/>
      </c>
      <c r="F35" s="16">
        <v>600</v>
      </c>
      <c r="G35" s="41">
        <v>0.5</v>
      </c>
      <c r="H35" s="16">
        <f t="shared" si="7"/>
        <v>0.9</v>
      </c>
      <c r="I35" s="16">
        <f t="shared" si="8"/>
        <v>1.44</v>
      </c>
      <c r="J35" s="16">
        <v>1</v>
      </c>
      <c r="K35" s="16">
        <v>2</v>
      </c>
      <c r="L35" s="16" t="e">
        <f ca="1" t="shared" si="5"/>
        <v>#N/A</v>
      </c>
      <c r="M35" s="16" t="s">
        <v>586</v>
      </c>
      <c r="N35" s="16" cm="1">
        <f ca="1" t="array" ref="N35">IF(_xlfn.XLOOKUP($M35,$X$30:$X$34,$Y$30:$Y$34)&lt;=MATCH(N$29,$N$29:$O$29,0),SUMPRODUCT(--($C$91:$C$234=$C35),$G$91:$G$234,$J$91:$J$234)/SUMPRODUCT(--($J$91:$J$234&gt;0),$G$91:$G$234,--($C$91:$C$234=$C35))*MIN(H35,$L35),0)</f>
        <v>0</v>
      </c>
      <c r="O35" s="16" t="e" cm="1">
        <f ca="1" t="array" ref="O35">IF(_xlfn.XLOOKUP($M35,$X$30:$X$34,$Y$30:$Y$34)&lt;=MATCH(O$29,$N$29:$O$29,0),SUMPRODUCT(--($C$91:$C$234=$C35),$G$91:$G$234,$J$91:$J$234)/SUMPRODUCT(--($J$91:$J$234&gt;0),$G$91:$G$234,--($C$91:$C$234=$C35))*MIN(I35,$L35),0)</f>
        <v>#N/A</v>
      </c>
      <c r="P35" s="16" cm="1">
        <f ca="1" t="array" ref="P35">IF(_xlfn.XLOOKUP($M35,$X$30:$X$34,$Y$30:$Y$34)&lt;=MATCH(N$29,$N$29:$O$29,0),SUMPRODUCT(--($C$91:$C$234=$C35),$G$91:$G$234,$F$91:$F$234,--($J$91:$J$234&gt;0))/SUMPRODUCT(--($J$91:$J$234&gt;0),$G$91:$G$234,--($C$91:$C$234=$C35))*MIN(H35,$L35),0)</f>
        <v>0</v>
      </c>
      <c r="Q35" s="16" t="e" cm="1">
        <f ca="1" t="array" ref="Q35">IF(_xlfn.XLOOKUP($M35,$X$30:$X$34,$Y$30:$Y$34)&lt;=MATCH(O$29,$N$29:$O$29,0),SUMPRODUCT(--($C$91:$C$234=$C35),$G$91:$G$234,$F$91:$F$234,--($J$91:$J$234&gt;0))/SUMPRODUCT(--($J$91:$J$234&gt;0),$G$91:$G$234,--($C$91:$C$234=$C35))*MIN(I35,$L35),0)</f>
        <v>#N/A</v>
      </c>
      <c r="U35" s="16">
        <v>4001</v>
      </c>
      <c r="V35" s="16" t="e">
        <f ca="1" t="shared" si="6"/>
        <v>#N/A</v>
      </c>
    </row>
    <row r="36" spans="2:25">
      <c r="B36" s="16">
        <v>1</v>
      </c>
      <c r="C36" s="16">
        <f ca="1">OFFSET($D$6,B36,COUNTIF($B$29:B36,B36))</f>
        <v>7002</v>
      </c>
      <c r="D36" s="16">
        <v>5103001</v>
      </c>
      <c r="E36" s="16">
        <f>_xlfn.XLOOKUP(D36,价值表!$D:$D,价值表!$C:$C)</f>
        <v/>
      </c>
      <c r="F36" s="16">
        <v>2000</v>
      </c>
      <c r="G36" s="41">
        <v>0.5</v>
      </c>
      <c r="H36" s="16">
        <f t="shared" si="7"/>
        <v>3</v>
      </c>
      <c r="I36" s="16">
        <f t="shared" si="8"/>
        <v>4.8</v>
      </c>
      <c r="J36" s="16">
        <v>1</v>
      </c>
      <c r="K36" s="16">
        <v>2</v>
      </c>
      <c r="L36" s="16" t="e">
        <f ca="1" t="shared" si="5"/>
        <v>#N/A</v>
      </c>
      <c r="M36" s="16" t="s">
        <v>591</v>
      </c>
      <c r="N36" s="16" cm="1">
        <f ca="1" t="array" ref="N36">IF(_xlfn.XLOOKUP($M36,$X$30:$X$34,$Y$30:$Y$34)&lt;=MATCH(N$29,$N$29:$O$29,0),SUMPRODUCT(--($C$91:$C$234=$C36),$G$91:$G$234,$J$91:$J$234)/SUMPRODUCT(--($J$91:$J$234&gt;0),$G$91:$G$234,--($C$91:$C$234=$C36))*MIN(H36,$L36),0)</f>
        <v>0</v>
      </c>
      <c r="O36" s="16" cm="1">
        <f ca="1" t="array" ref="O36">IF(_xlfn.XLOOKUP($M36,$X$30:$X$34,$Y$30:$Y$34)&lt;=MATCH(O$29,$N$29:$O$29,0),SUMPRODUCT(--($C$91:$C$234=$C36),$G$91:$G$234,$J$91:$J$234)/SUMPRODUCT(--($J$91:$J$234&gt;0),$G$91:$G$234,--($C$91:$C$234=$C36))*MIN(I36,$L36),0)</f>
        <v>0</v>
      </c>
      <c r="P36" s="16" cm="1">
        <f ca="1" t="array" ref="P36">IF(_xlfn.XLOOKUP($M36,$X$30:$X$34,$Y$30:$Y$34)&lt;=MATCH(N$29,$N$29:$O$29,0),SUMPRODUCT(--($C$91:$C$234=$C36),$G$91:$G$234,$F$91:$F$234,--($J$91:$J$234&gt;0))/SUMPRODUCT(--($J$91:$J$234&gt;0),$G$91:$G$234,--($C$91:$C$234=$C36))*MIN(H36,$L36),0)</f>
        <v>0</v>
      </c>
      <c r="Q36" s="16" cm="1">
        <f ca="1" t="array" ref="Q36">IF(_xlfn.XLOOKUP($M36,$X$30:$X$34,$Y$30:$Y$34)&lt;=MATCH(O$29,$N$29:$O$29,0),SUMPRODUCT(--($C$91:$C$234=$C36),$G$91:$G$234,$F$91:$F$234,--($J$91:$J$234&gt;0))/SUMPRODUCT(--($J$91:$J$234&gt;0),$G$91:$G$234,--($C$91:$C$234=$C36))*MIN(I36,$L36),0)</f>
        <v>0</v>
      </c>
      <c r="U36" s="444">
        <v>5001</v>
      </c>
      <c r="V36" s="16" t="e">
        <f ca="1" t="shared" si="6"/>
        <v>#N/A</v>
      </c>
    </row>
    <row r="37" spans="2:25">
      <c r="B37" s="16">
        <v>1</v>
      </c>
      <c r="C37" s="16">
        <f ca="1">OFFSET($D$6,B37,COUNTIF($B$29:B37,B37))</f>
        <v>8001</v>
      </c>
      <c r="D37" s="16">
        <v>1310100</v>
      </c>
      <c r="E37" s="16">
        <f>_xlfn.XLOOKUP(D37,价值表!$D:$D,价值表!$C:$C)</f>
        <v/>
      </c>
      <c r="F37" s="16">
        <v>3200</v>
      </c>
      <c r="G37" s="41">
        <v>0.5</v>
      </c>
      <c r="H37" s="16">
        <f t="shared" si="7"/>
        <v>4.8</v>
      </c>
      <c r="I37" s="16">
        <f t="shared" si="8"/>
        <v>7.68</v>
      </c>
      <c r="J37" s="16">
        <v>1</v>
      </c>
      <c r="K37" s="16">
        <v>2</v>
      </c>
      <c r="L37" s="16" t="e">
        <f ca="1" t="shared" si="5"/>
        <v>#N/A</v>
      </c>
      <c r="M37" s="16" t="s">
        <v>591</v>
      </c>
      <c r="N37" s="16" cm="1">
        <f ca="1" t="array" ref="N37">IF(_xlfn.XLOOKUP($M37,$X$30:$X$34,$Y$30:$Y$34)&lt;=MATCH(N$29,$N$29:$O$29,0),SUMPRODUCT(--($C$91:$C$234=$C37),$G$91:$G$234,$J$91:$J$234)/SUMPRODUCT(--($J$91:$J$234&gt;0),$G$91:$G$234,--($C$91:$C$234=$C37))*MIN(H37,$L37),0)</f>
        <v>0</v>
      </c>
      <c r="O37" s="16" cm="1">
        <f ca="1" t="array" ref="O37">IF(_xlfn.XLOOKUP($M37,$X$30:$X$34,$Y$30:$Y$34)&lt;=MATCH(O$29,$N$29:$O$29,0),SUMPRODUCT(--($C$91:$C$234=$C37),$G$91:$G$234,$J$91:$J$234)/SUMPRODUCT(--($J$91:$J$234&gt;0),$G$91:$G$234,--($C$91:$C$234=$C37))*MIN(I37,$L37),0)</f>
        <v>0</v>
      </c>
      <c r="P37" s="16" cm="1">
        <f ca="1" t="array" ref="P37">IF(_xlfn.XLOOKUP($M37,$X$30:$X$34,$Y$30:$Y$34)&lt;=MATCH(N$29,$N$29:$O$29,0),SUMPRODUCT(--($C$91:$C$234=$C37),$G$91:$G$234,$F$91:$F$234,--($J$91:$J$234&gt;0))/SUMPRODUCT(--($J$91:$J$234&gt;0),$G$91:$G$234,--($C$91:$C$234=$C37))*MIN(H37,$L37),0)</f>
        <v>0</v>
      </c>
      <c r="Q37" s="16" cm="1">
        <f ca="1" t="array" ref="Q37">IF(_xlfn.XLOOKUP($M37,$X$30:$X$34,$Y$30:$Y$34)&lt;=MATCH(O$29,$N$29:$O$29,0),SUMPRODUCT(--($C$91:$C$234=$C37),$G$91:$G$234,$F$91:$F$234,--($J$91:$J$234&gt;0))/SUMPRODUCT(--($J$91:$J$234&gt;0),$G$91:$G$234,--($C$91:$C$234=$C37))*MIN(I37,$L37),0)</f>
        <v>0</v>
      </c>
      <c r="U37" s="445">
        <v>5002</v>
      </c>
      <c r="V37" s="16" t="e">
        <f ca="1" t="shared" si="6"/>
        <v>#N/A</v>
      </c>
    </row>
    <row r="38" spans="2:25">
      <c r="B38" s="16">
        <f>B30+1</f>
        <v>2</v>
      </c>
      <c r="C38" s="16">
        <f ca="1">OFFSET($D$6,B38,COUNTIF($B$29:B38,B38))</f>
        <v>1001</v>
      </c>
      <c r="D38" s="16">
        <v>11</v>
      </c>
      <c r="E38" s="16">
        <f>_xlfn.XLOOKUP(D38,价值表!$D:$D,价值表!$C:$C)</f>
        <v/>
      </c>
      <c r="F38" s="16">
        <v>700</v>
      </c>
      <c r="G38" s="41">
        <v>0.5</v>
      </c>
      <c r="H38" s="16">
        <f t="shared" si="7"/>
        <v>1.05</v>
      </c>
      <c r="I38" s="16">
        <f t="shared" si="8"/>
        <v>1.68</v>
      </c>
      <c r="J38" s="16">
        <v>1</v>
      </c>
      <c r="K38" s="16">
        <v>2</v>
      </c>
      <c r="L38" s="16" t="e">
        <f ca="1" t="shared" si="5"/>
        <v>#N/A</v>
      </c>
      <c r="M38" s="16" t="s">
        <v>566</v>
      </c>
      <c r="N38" s="16" t="e" cm="1">
        <f ca="1" t="array" ref="N38">IF(_xlfn.XLOOKUP($M38,$X$30:$X$34,$Y$30:$Y$34)&lt;=MATCH(N$29,$N$29:$O$29,0),SUMPRODUCT(--($C$91:$C$234=$C38),$G$91:$G$234,$J$91:$J$234)/SUMPRODUCT(--($J$91:$J$234&gt;0),$G$91:$G$234,--($C$91:$C$234=$C38))*MIN(H38,$L38),0)</f>
        <v>#N/A</v>
      </c>
      <c r="O38" s="16" t="e" cm="1">
        <f ca="1" t="array" ref="O38">IF(_xlfn.XLOOKUP($M38,$X$30:$X$34,$Y$30:$Y$34)&lt;=MATCH(O$29,$N$29:$O$29,0),SUMPRODUCT(--($C$91:$C$234=$C38),$G$91:$G$234,$J$91:$J$234)/SUMPRODUCT(--($J$91:$J$234&gt;0),$G$91:$G$234,--($C$91:$C$234=$C38))*MIN(I38,$L38),0)</f>
        <v>#N/A</v>
      </c>
      <c r="P38" s="16" t="e" cm="1">
        <f ca="1" t="array" ref="P38">IF(_xlfn.XLOOKUP($M38,$X$30:$X$34,$Y$30:$Y$34)&lt;=MATCH(N$29,$N$29:$O$29,0),SUMPRODUCT(--($C$91:$C$234=$C38),$G$91:$G$234,$F$91:$F$234,--($J$91:$J$234&gt;0))/SUMPRODUCT(--($J$91:$J$234&gt;0),$G$91:$G$234,--($C$91:$C$234=$C38))*MIN(H38,$L38),0)</f>
        <v>#N/A</v>
      </c>
      <c r="Q38" s="16" t="e" cm="1">
        <f ca="1" t="array" ref="Q38">IF(_xlfn.XLOOKUP($M38,$X$30:$X$34,$Y$30:$Y$34)&lt;=MATCH(O$29,$N$29:$O$29,0),SUMPRODUCT(--($C$91:$C$234=$C38),$G$91:$G$234,$F$91:$F$234,--($J$91:$J$234&gt;0))/SUMPRODUCT(--($J$91:$J$234&gt;0),$G$91:$G$234,--($C$91:$C$234=$C38))*MIN(I38,$L38),0)</f>
        <v>#N/A</v>
      </c>
      <c r="U38" s="441">
        <v>5003</v>
      </c>
      <c r="V38" s="16" t="e">
        <f ca="1" t="shared" si="6"/>
        <v>#N/A</v>
      </c>
    </row>
    <row r="39" spans="2:25">
      <c r="B39" s="16">
        <f t="shared" ref="B39:B85" si="9">B31+1</f>
        <v>2</v>
      </c>
      <c r="C39" s="16">
        <f ca="1">OFFSET($D$6,B39,COUNTIF($B$29:B39,B39))</f>
        <v>2001</v>
      </c>
      <c r="D39" s="16">
        <v>9</v>
      </c>
      <c r="E39" s="16">
        <f>_xlfn.XLOOKUP(D39,价值表!$D:$D,价值表!$C:$C)</f>
        <v/>
      </c>
      <c r="F39" s="16">
        <v>600</v>
      </c>
      <c r="G39" s="41">
        <v>0.5</v>
      </c>
      <c r="H39" s="16">
        <f t="shared" si="7"/>
        <v>0.9</v>
      </c>
      <c r="I39" s="16">
        <f t="shared" si="8"/>
        <v>1.44</v>
      </c>
      <c r="J39" s="16">
        <v>1</v>
      </c>
      <c r="K39" s="16">
        <v>2</v>
      </c>
      <c r="L39" s="16">
        <f ca="1" t="shared" si="5"/>
        <v>0</v>
      </c>
      <c r="M39" s="16" t="s">
        <v>566</v>
      </c>
      <c r="N39" s="16" cm="1">
        <f ca="1" t="array" ref="N39">IF(_xlfn.XLOOKUP($M39,$X$30:$X$34,$Y$30:$Y$34)&lt;=MATCH(N$29,$N$29:$O$29,0),SUMPRODUCT(--($C$91:$C$234=$C39),$G$91:$G$234,$J$91:$J$234)/SUMPRODUCT(--($J$91:$J$234&gt;0),$G$91:$G$234,--($C$91:$C$234=$C39))*MIN(H39,$L39),0)</f>
        <v>0</v>
      </c>
      <c r="O39" s="16" cm="1">
        <f ca="1" t="array" ref="O39">IF(_xlfn.XLOOKUP($M39,$X$30:$X$34,$Y$30:$Y$34)&lt;=MATCH(O$29,$N$29:$O$29,0),SUMPRODUCT(--($C$91:$C$234=$C39),$G$91:$G$234,$J$91:$J$234)/SUMPRODUCT(--($J$91:$J$234&gt;0),$G$91:$G$234,--($C$91:$C$234=$C39))*MIN(I39,$L39),0)</f>
        <v>0</v>
      </c>
      <c r="P39" s="16" cm="1">
        <f ca="1" t="array" ref="P39">IF(_xlfn.XLOOKUP($M39,$X$30:$X$34,$Y$30:$Y$34)&lt;=MATCH(N$29,$N$29:$O$29,0),SUMPRODUCT(--($C$91:$C$234=$C39),$G$91:$G$234,$F$91:$F$234,--($J$91:$J$234&gt;0))/SUMPRODUCT(--($J$91:$J$234&gt;0),$G$91:$G$234,--($C$91:$C$234=$C39))*MIN(H39,$L39),0)</f>
        <v>0</v>
      </c>
      <c r="Q39" s="16" cm="1">
        <f ca="1" t="array" ref="Q39">IF(_xlfn.XLOOKUP($M39,$X$30:$X$34,$Y$30:$Y$34)&lt;=MATCH(O$29,$N$29:$O$29,0),SUMPRODUCT(--($C$91:$C$234=$C39),$G$91:$G$234,$F$91:$F$234,--($J$91:$J$234&gt;0))/SUMPRODUCT(--($J$91:$J$234&gt;0),$G$91:$G$234,--($C$91:$C$234=$C39))*MIN(I39,$L39),0)</f>
        <v>0</v>
      </c>
      <c r="U39" s="441">
        <v>6001</v>
      </c>
      <c r="V39" s="16" t="e">
        <f ca="1" t="shared" si="6"/>
        <v>#N/A</v>
      </c>
    </row>
    <row r="40" spans="2:25">
      <c r="B40" s="16">
        <f t="shared" si="9"/>
        <v>2</v>
      </c>
      <c r="C40" s="16">
        <f ca="1">OFFSET($D$6,B40,COUNTIF($B$29:B40,B40))</f>
        <v>3001</v>
      </c>
      <c r="D40" s="16">
        <v>30</v>
      </c>
      <c r="E40" s="16">
        <f>_xlfn.XLOOKUP(D40,价值表!$D:$D,价值表!$C:$C)</f>
        <v/>
      </c>
      <c r="F40" s="16">
        <v>200</v>
      </c>
      <c r="G40" s="41">
        <v>0.5</v>
      </c>
      <c r="H40" s="16">
        <f t="shared" si="7"/>
        <v>0.3</v>
      </c>
      <c r="I40" s="16">
        <f t="shared" si="8"/>
        <v>0.48</v>
      </c>
      <c r="J40" s="16">
        <v>1</v>
      </c>
      <c r="K40" s="16">
        <v>2</v>
      </c>
      <c r="L40" s="16">
        <f ca="1" t="shared" si="5"/>
        <v>1</v>
      </c>
      <c r="M40" s="16" t="s">
        <v>566</v>
      </c>
      <c r="N40" s="16" cm="1">
        <f ca="1" t="array" ref="N40">IF(_xlfn.XLOOKUP($M40,$X$30:$X$34,$Y$30:$Y$34)&lt;=MATCH(N$29,$N$29:$O$29,0),SUMPRODUCT(--($C$91:$C$234=$C40),$G$91:$G$234,$J$91:$J$234)/SUMPRODUCT(--($J$91:$J$234&gt;0),$G$91:$G$234,--($C$91:$C$234=$C40))*MIN(H40,$L40),0)</f>
        <v>3360</v>
      </c>
      <c r="O40" s="16" cm="1">
        <f ca="1" t="array" ref="O40">IF(_xlfn.XLOOKUP($M40,$X$30:$X$34,$Y$30:$Y$34)&lt;=MATCH(O$29,$N$29:$O$29,0),SUMPRODUCT(--($C$91:$C$234=$C40),$G$91:$G$234,$J$91:$J$234)/SUMPRODUCT(--($J$91:$J$234&gt;0),$G$91:$G$234,--($C$91:$C$234=$C40))*MIN(I40,$L40),0)</f>
        <v>5376</v>
      </c>
      <c r="P40" s="16" cm="1">
        <f ca="1" t="array" ref="P40">IF(_xlfn.XLOOKUP($M40,$X$30:$X$34,$Y$30:$Y$34)&lt;=MATCH(N$29,$N$29:$O$29,0),SUMPRODUCT(--($C$91:$C$234=$C40),$G$91:$G$234,$F$91:$F$234,--($J$91:$J$234&gt;0))/SUMPRODUCT(--($J$91:$J$234&gt;0),$G$91:$G$234,--($C$91:$C$234=$C40))*MIN(H40,$L40),0)</f>
        <v>0.3</v>
      </c>
      <c r="Q40" s="16" cm="1">
        <f ca="1" t="array" ref="Q40">IF(_xlfn.XLOOKUP($M40,$X$30:$X$34,$Y$30:$Y$34)&lt;=MATCH(O$29,$N$29:$O$29,0),SUMPRODUCT(--($C$91:$C$234=$C40),$G$91:$G$234,$F$91:$F$234,--($J$91:$J$234&gt;0))/SUMPRODUCT(--($J$91:$J$234&gt;0),$G$91:$G$234,--($C$91:$C$234=$C40))*MIN(I40,$L40),0)</f>
        <v>0.48</v>
      </c>
      <c r="U40" s="441">
        <v>6002</v>
      </c>
      <c r="V40" s="16" t="e">
        <f ca="1" t="shared" si="6"/>
        <v>#N/A</v>
      </c>
    </row>
    <row r="41" spans="2:25">
      <c r="B41" s="16">
        <f t="shared" si="9"/>
        <v>2</v>
      </c>
      <c r="C41" s="16">
        <f ca="1">OFFSET($D$6,B41,COUNTIF($B$29:B41,B41))</f>
        <v>4001</v>
      </c>
      <c r="D41" s="16">
        <v>5305001</v>
      </c>
      <c r="E41" s="16">
        <f>_xlfn.XLOOKUP(D41,价值表!$D:$D,价值表!$C:$C)</f>
        <v/>
      </c>
      <c r="F41" s="16">
        <v>300</v>
      </c>
      <c r="G41" s="41">
        <v>0.5</v>
      </c>
      <c r="H41" s="16">
        <f t="shared" si="7"/>
        <v>0.45</v>
      </c>
      <c r="I41" s="16">
        <f t="shared" si="8"/>
        <v>0.72</v>
      </c>
      <c r="J41" s="16">
        <v>1</v>
      </c>
      <c r="K41" s="16">
        <v>2</v>
      </c>
      <c r="L41" s="16" t="e">
        <f ca="1" t="shared" si="5"/>
        <v>#N/A</v>
      </c>
      <c r="M41" s="16" t="s">
        <v>566</v>
      </c>
      <c r="N41" s="16" t="e" cm="1">
        <f ca="1" t="array" ref="N41">IF(_xlfn.XLOOKUP($M41,$X$30:$X$34,$Y$30:$Y$34)&lt;=MATCH(N$29,$N$29:$O$29,0),SUMPRODUCT(--($C$91:$C$234=$C41),$G$91:$G$234,$J$91:$J$234)/SUMPRODUCT(--($J$91:$J$234&gt;0),$G$91:$G$234,--($C$91:$C$234=$C41))*MIN(H41,$L41),0)</f>
        <v>#N/A</v>
      </c>
      <c r="O41" s="16" t="e" cm="1">
        <f ca="1" t="array" ref="O41">IF(_xlfn.XLOOKUP($M41,$X$30:$X$34,$Y$30:$Y$34)&lt;=MATCH(O$29,$N$29:$O$29,0),SUMPRODUCT(--($C$91:$C$234=$C41),$G$91:$G$234,$J$91:$J$234)/SUMPRODUCT(--($J$91:$J$234&gt;0),$G$91:$G$234,--($C$91:$C$234=$C41))*MIN(I41,$L41),0)</f>
        <v>#N/A</v>
      </c>
      <c r="P41" s="16" t="e" cm="1">
        <f ca="1" t="array" ref="P41">IF(_xlfn.XLOOKUP($M41,$X$30:$X$34,$Y$30:$Y$34)&lt;=MATCH(N$29,$N$29:$O$29,0),SUMPRODUCT(--($C$91:$C$234=$C41),$G$91:$G$234,$F$91:$F$234,--($J$91:$J$234&gt;0))/SUMPRODUCT(--($J$91:$J$234&gt;0),$G$91:$G$234,--($C$91:$C$234=$C41))*MIN(H41,$L41),0)</f>
        <v>#N/A</v>
      </c>
      <c r="Q41" s="16" t="e" cm="1">
        <f ca="1" t="array" ref="Q41">IF(_xlfn.XLOOKUP($M41,$X$30:$X$34,$Y$30:$Y$34)&lt;=MATCH(O$29,$N$29:$O$29,0),SUMPRODUCT(--($C$91:$C$234=$C41),$G$91:$G$234,$F$91:$F$234,--($J$91:$J$234&gt;0))/SUMPRODUCT(--($J$91:$J$234&gt;0),$G$91:$G$234,--($C$91:$C$234=$C41))*MIN(I41,$L41),0)</f>
        <v>#N/A</v>
      </c>
      <c r="U41" s="441">
        <v>6003</v>
      </c>
      <c r="V41" s="16" t="e">
        <f ca="1" t="shared" si="6"/>
        <v>#N/A</v>
      </c>
    </row>
    <row r="42" spans="2:25">
      <c r="B42" s="16">
        <f t="shared" si="9"/>
        <v>2</v>
      </c>
      <c r="C42" s="16">
        <f ca="1">OFFSET($D$6,B42,COUNTIF($B$29:B42,B42))</f>
        <v>5002</v>
      </c>
      <c r="D42" s="16">
        <v>50002</v>
      </c>
      <c r="E42" s="16">
        <f>_xlfn.XLOOKUP(D42,价值表!$D:$D,价值表!$C:$C)</f>
        <v/>
      </c>
      <c r="F42" s="16">
        <v>2400</v>
      </c>
      <c r="G42" s="41">
        <v>0.5</v>
      </c>
      <c r="H42" s="16">
        <f t="shared" si="7"/>
        <v>3.6</v>
      </c>
      <c r="I42" s="16">
        <f t="shared" si="8"/>
        <v>5.76</v>
      </c>
      <c r="J42" s="16">
        <v>1</v>
      </c>
      <c r="K42" s="16">
        <v>2</v>
      </c>
      <c r="L42" s="16" t="e">
        <f ca="1" t="shared" ref="L42:L85" si="10">IF(OFFSET($D$16,B42,MATCH(E42,$E$16:$L$16,0))="","",OFFSET($D$16,B42,MATCH(E42,$E$16:$L$16,0)))</f>
        <v>#N/A</v>
      </c>
      <c r="M42" s="16" t="s">
        <v>566</v>
      </c>
      <c r="N42" s="16" t="e" cm="1">
        <f ca="1" t="array" ref="N42">IF(_xlfn.XLOOKUP($M42,$X$30:$X$34,$Y$30:$Y$34)&lt;=MATCH(N$29,$N$29:$O$29,0),SUMPRODUCT(--($C$91:$C$234=$C42),$G$91:$G$234,$J$91:$J$234)/SUMPRODUCT(--($J$91:$J$234&gt;0),$G$91:$G$234,--($C$91:$C$234=$C42))*MIN(H42,$L42),0)</f>
        <v>#N/A</v>
      </c>
      <c r="O42" s="16" t="e" cm="1">
        <f ca="1" t="array" ref="O42">IF(_xlfn.XLOOKUP($M42,$X$30:$X$34,$Y$30:$Y$34)&lt;=MATCH(O$29,$N$29:$O$29,0),SUMPRODUCT(--($C$91:$C$234=$C42),$G$91:$G$234,$J$91:$J$234)/SUMPRODUCT(--($J$91:$J$234&gt;0),$G$91:$G$234,--($C$91:$C$234=$C42))*MIN(I42,$L42),0)</f>
        <v>#N/A</v>
      </c>
      <c r="P42" s="16" t="e" cm="1">
        <f ca="1" t="array" ref="P42">IF(_xlfn.XLOOKUP($M42,$X$30:$X$34,$Y$30:$Y$34)&lt;=MATCH(N$29,$N$29:$O$29,0),SUMPRODUCT(--($C$91:$C$234=$C42),$G$91:$G$234,$F$91:$F$234,--($J$91:$J$234&gt;0))/SUMPRODUCT(--($J$91:$J$234&gt;0),$G$91:$G$234,--($C$91:$C$234=$C42))*MIN(H42,$L42),0)</f>
        <v>#N/A</v>
      </c>
      <c r="Q42" s="16" t="e" cm="1">
        <f ca="1" t="array" ref="Q42">IF(_xlfn.XLOOKUP($M42,$X$30:$X$34,$Y$30:$Y$34)&lt;=MATCH(O$29,$N$29:$O$29,0),SUMPRODUCT(--($C$91:$C$234=$C42),$G$91:$G$234,$F$91:$F$234,--($J$91:$J$234&gt;0))/SUMPRODUCT(--($J$91:$J$234&gt;0),$G$91:$G$234,--($C$91:$C$234=$C42))*MIN(I42,$L42),0)</f>
        <v>#N/A</v>
      </c>
      <c r="U42" s="441">
        <v>7001</v>
      </c>
      <c r="V42" s="16" t="e">
        <f ca="1">_xlfn.XLOOKUP(INT(U42/1000)*1000+2,$C$29:$C$85,$E$29:$E$85)</f>
        <v>#N/A</v>
      </c>
    </row>
    <row r="43" spans="2:25">
      <c r="B43" s="16">
        <f t="shared" si="9"/>
        <v>2</v>
      </c>
      <c r="C43" s="16">
        <f ca="1">OFFSET($D$6,B43,COUNTIF($B$29:B43,B43))</f>
        <v>6001</v>
      </c>
      <c r="D43" s="16">
        <v>5203001</v>
      </c>
      <c r="E43" s="16">
        <f>_xlfn.XLOOKUP(D43,价值表!$D:$D,价值表!$C:$C)</f>
        <v/>
      </c>
      <c r="F43" s="16">
        <v>600</v>
      </c>
      <c r="G43" s="41">
        <v>0.5</v>
      </c>
      <c r="H43" s="16">
        <f t="shared" si="7"/>
        <v>0.9</v>
      </c>
      <c r="I43" s="16">
        <f t="shared" si="8"/>
        <v>1.44</v>
      </c>
      <c r="J43" s="16">
        <v>1</v>
      </c>
      <c r="K43" s="16">
        <v>2</v>
      </c>
      <c r="L43" s="16" t="e">
        <f ca="1" t="shared" si="10"/>
        <v>#N/A</v>
      </c>
      <c r="M43" s="16" t="s">
        <v>586</v>
      </c>
      <c r="N43" s="16" cm="1">
        <f ca="1" t="array" ref="N43">IF(_xlfn.XLOOKUP($M43,$X$30:$X$34,$Y$30:$Y$34)&lt;=MATCH(N$29,$N$29:$O$29,0),SUMPRODUCT(--($C$91:$C$234=$C43),$G$91:$G$234,$J$91:$J$234)/SUMPRODUCT(--($J$91:$J$234&gt;0),$G$91:$G$234,--($C$91:$C$234=$C43))*MIN(H43,$L43),0)</f>
        <v>0</v>
      </c>
      <c r="O43" s="16" t="e" cm="1">
        <f ca="1" t="array" ref="O43">IF(_xlfn.XLOOKUP($M43,$X$30:$X$34,$Y$30:$Y$34)&lt;=MATCH(O$29,$N$29:$O$29,0),SUMPRODUCT(--($C$91:$C$234=$C43),$G$91:$G$234,$J$91:$J$234)/SUMPRODUCT(--($J$91:$J$234&gt;0),$G$91:$G$234,--($C$91:$C$234=$C43))*MIN(I43,$L43),0)</f>
        <v>#N/A</v>
      </c>
      <c r="P43" s="16" cm="1">
        <f ca="1" t="array" ref="P43">IF(_xlfn.XLOOKUP($M43,$X$30:$X$34,$Y$30:$Y$34)&lt;=MATCH(N$29,$N$29:$O$29,0),SUMPRODUCT(--($C$91:$C$234=$C43),$G$91:$G$234,$F$91:$F$234,--($J$91:$J$234&gt;0))/SUMPRODUCT(--($J$91:$J$234&gt;0),$G$91:$G$234,--($C$91:$C$234=$C43))*MIN(H43,$L43),0)</f>
        <v>0</v>
      </c>
      <c r="Q43" s="16" t="e" cm="1">
        <f ca="1" t="array" ref="Q43">IF(_xlfn.XLOOKUP($M43,$X$30:$X$34,$Y$30:$Y$34)&lt;=MATCH(O$29,$N$29:$O$29,0),SUMPRODUCT(--($C$91:$C$234=$C43),$G$91:$G$234,$F$91:$F$234,--($J$91:$J$234&gt;0))/SUMPRODUCT(--($J$91:$J$234&gt;0),$G$91:$G$234,--($C$91:$C$234=$C43))*MIN(I43,$L43),0)</f>
        <v>#N/A</v>
      </c>
      <c r="U43" s="441">
        <v>7002</v>
      </c>
      <c r="V43" s="16" t="e">
        <f ca="1">_xlfn.XLOOKUP(INT(U43/1000)*1000+2,$C$29:$C$85,$E$29:$E$85)</f>
        <v>#N/A</v>
      </c>
    </row>
    <row r="44" spans="2:25">
      <c r="B44" s="16">
        <f t="shared" si="9"/>
        <v>2</v>
      </c>
      <c r="C44" s="16">
        <f ca="1">OFFSET($D$6,B44,COUNTIF($B$29:B44,B44))</f>
        <v>7002</v>
      </c>
      <c r="D44" s="16">
        <v>5103001</v>
      </c>
      <c r="E44" s="16">
        <f>_xlfn.XLOOKUP(D44,价值表!$D:$D,价值表!$C:$C)</f>
        <v/>
      </c>
      <c r="F44" s="16">
        <v>2000</v>
      </c>
      <c r="G44" s="41">
        <v>0.5</v>
      </c>
      <c r="H44" s="16">
        <f t="shared" si="7"/>
        <v>3</v>
      </c>
      <c r="I44" s="16">
        <f t="shared" si="8"/>
        <v>4.8</v>
      </c>
      <c r="J44" s="16">
        <v>1</v>
      </c>
      <c r="K44" s="16">
        <v>2</v>
      </c>
      <c r="L44" s="16" t="e">
        <f ca="1" t="shared" si="10"/>
        <v>#N/A</v>
      </c>
      <c r="M44" s="16" t="s">
        <v>591</v>
      </c>
      <c r="N44" s="16" cm="1">
        <f ca="1" t="array" ref="N44">IF(_xlfn.XLOOKUP($M44,$X$30:$X$34,$Y$30:$Y$34)&lt;=MATCH(N$29,$N$29:$O$29,0),SUMPRODUCT(--($C$91:$C$234=$C44),$G$91:$G$234,$J$91:$J$234)/SUMPRODUCT(--($J$91:$J$234&gt;0),$G$91:$G$234,--($C$91:$C$234=$C44))*MIN(H44,$L44),0)</f>
        <v>0</v>
      </c>
      <c r="O44" s="16" cm="1">
        <f ca="1" t="array" ref="O44">IF(_xlfn.XLOOKUP($M44,$X$30:$X$34,$Y$30:$Y$34)&lt;=MATCH(O$29,$N$29:$O$29,0),SUMPRODUCT(--($C$91:$C$234=$C44),$G$91:$G$234,$J$91:$J$234)/SUMPRODUCT(--($J$91:$J$234&gt;0),$G$91:$G$234,--($C$91:$C$234=$C44))*MIN(I44,$L44),0)</f>
        <v>0</v>
      </c>
      <c r="P44" s="16" cm="1">
        <f ca="1" t="array" ref="P44">IF(_xlfn.XLOOKUP($M44,$X$30:$X$34,$Y$30:$Y$34)&lt;=MATCH(N$29,$N$29:$O$29,0),SUMPRODUCT(--($C$91:$C$234=$C44),$G$91:$G$234,$F$91:$F$234,--($J$91:$J$234&gt;0))/SUMPRODUCT(--($J$91:$J$234&gt;0),$G$91:$G$234,--($C$91:$C$234=$C44))*MIN(H44,$L44),0)</f>
        <v>0</v>
      </c>
      <c r="Q44" s="16" cm="1">
        <f ca="1" t="array" ref="Q44">IF(_xlfn.XLOOKUP($M44,$X$30:$X$34,$Y$30:$Y$34)&lt;=MATCH(O$29,$N$29:$O$29,0),SUMPRODUCT(--($C$91:$C$234=$C44),$G$91:$G$234,$F$91:$F$234,--($J$91:$J$234&gt;0))/SUMPRODUCT(--($J$91:$J$234&gt;0),$G$91:$G$234,--($C$91:$C$234=$C44))*MIN(I44,$L44),0)</f>
        <v>0</v>
      </c>
      <c r="U44" s="441">
        <v>7003</v>
      </c>
      <c r="V44" s="16" t="e">
        <f ca="1">_xlfn.XLOOKUP(INT(U44/1000)*1000+2,$C$29:$C$85,$E$29:$E$85)</f>
        <v>#N/A</v>
      </c>
    </row>
    <row r="45" spans="2:25">
      <c r="B45" s="16">
        <f t="shared" si="9"/>
        <v>2</v>
      </c>
      <c r="C45" s="16">
        <f ca="1">OFFSET($D$6,B45,COUNTIF($B$29:B45,B45))</f>
        <v>8001</v>
      </c>
      <c r="D45" s="16">
        <v>1310100</v>
      </c>
      <c r="E45" s="16">
        <f>_xlfn.XLOOKUP(D45,价值表!$D:$D,价值表!$C:$C)</f>
        <v/>
      </c>
      <c r="F45" s="16">
        <v>3200</v>
      </c>
      <c r="G45" s="41">
        <v>0.5</v>
      </c>
      <c r="H45" s="16">
        <f t="shared" si="7"/>
        <v>4.8</v>
      </c>
      <c r="I45" s="16">
        <f t="shared" si="8"/>
        <v>7.68</v>
      </c>
      <c r="J45" s="16">
        <v>1</v>
      </c>
      <c r="K45" s="16">
        <v>2</v>
      </c>
      <c r="L45" s="16" t="e">
        <f ca="1" t="shared" si="10"/>
        <v>#N/A</v>
      </c>
      <c r="M45" s="16" t="s">
        <v>591</v>
      </c>
      <c r="N45" s="16" cm="1">
        <f ca="1" t="array" ref="N45">IF(_xlfn.XLOOKUP($M45,$X$30:$X$34,$Y$30:$Y$34)&lt;=MATCH(N$29,$N$29:$O$29,0),SUMPRODUCT(--($C$91:$C$234=$C45),$G$91:$G$234,$J$91:$J$234)/SUMPRODUCT(--($J$91:$J$234&gt;0),$G$91:$G$234,--($C$91:$C$234=$C45))*MIN(H45,$L45),0)</f>
        <v>0</v>
      </c>
      <c r="O45" s="16" cm="1">
        <f ca="1" t="array" ref="O45">IF(_xlfn.XLOOKUP($M45,$X$30:$X$34,$Y$30:$Y$34)&lt;=MATCH(O$29,$N$29:$O$29,0),SUMPRODUCT(--($C$91:$C$234=$C45),$G$91:$G$234,$J$91:$J$234)/SUMPRODUCT(--($J$91:$J$234&gt;0),$G$91:$G$234,--($C$91:$C$234=$C45))*MIN(I45,$L45),0)</f>
        <v>0</v>
      </c>
      <c r="P45" s="16" cm="1">
        <f ca="1" t="array" ref="P45">IF(_xlfn.XLOOKUP($M45,$X$30:$X$34,$Y$30:$Y$34)&lt;=MATCH(N$29,$N$29:$O$29,0),SUMPRODUCT(--($C$91:$C$234=$C45),$G$91:$G$234,$F$91:$F$234,--($J$91:$J$234&gt;0))/SUMPRODUCT(--($J$91:$J$234&gt;0),$G$91:$G$234,--($C$91:$C$234=$C45))*MIN(H45,$L45),0)</f>
        <v>0</v>
      </c>
      <c r="Q45" s="16" cm="1">
        <f ca="1" t="array" ref="Q45">IF(_xlfn.XLOOKUP($M45,$X$30:$X$34,$Y$30:$Y$34)&lt;=MATCH(O$29,$N$29:$O$29,0),SUMPRODUCT(--($C$91:$C$234=$C45),$G$91:$G$234,$F$91:$F$234,--($J$91:$J$234&gt;0))/SUMPRODUCT(--($J$91:$J$234&gt;0),$G$91:$G$234,--($C$91:$C$234=$C45))*MIN(I45,$L45),0)</f>
        <v>0</v>
      </c>
      <c r="U45" s="16">
        <v>8001</v>
      </c>
      <c r="V45" s="16" t="e">
        <f ca="1" t="shared" si="6"/>
        <v>#N/A</v>
      </c>
    </row>
    <row r="46" spans="2:25">
      <c r="B46" s="16">
        <f t="shared" si="9"/>
        <v>3</v>
      </c>
      <c r="C46" s="16">
        <f ca="1">OFFSET($D$6,B46,COUNTIF($B$29:B46,B46))</f>
        <v>1001</v>
      </c>
      <c r="D46" s="16">
        <v>11</v>
      </c>
      <c r="E46" s="16">
        <f>_xlfn.XLOOKUP(D46,价值表!$D:$D,价值表!$C:$C)</f>
        <v/>
      </c>
      <c r="F46" s="16">
        <v>700</v>
      </c>
      <c r="G46" s="41">
        <v>0.5</v>
      </c>
      <c r="H46" s="16">
        <f t="shared" si="7"/>
        <v>1.05</v>
      </c>
      <c r="I46" s="16">
        <f t="shared" si="8"/>
        <v>1.68</v>
      </c>
      <c r="J46" s="16">
        <v>1</v>
      </c>
      <c r="K46" s="16">
        <v>2</v>
      </c>
      <c r="L46" s="16" t="e">
        <f ca="1" t="shared" si="10"/>
        <v>#N/A</v>
      </c>
      <c r="M46" s="16" t="s">
        <v>566</v>
      </c>
      <c r="N46" s="16" t="e" cm="1">
        <f ca="1" t="array" ref="N46">IF(_xlfn.XLOOKUP($M46,$X$30:$X$34,$Y$30:$Y$34)&lt;=MATCH(N$29,$N$29:$O$29,0),SUMPRODUCT(--($C$91:$C$234=$C46),$G$91:$G$234,$J$91:$J$234)/SUMPRODUCT(--($J$91:$J$234&gt;0),$G$91:$G$234,--($C$91:$C$234=$C46))*MIN(H46,$L46),0)</f>
        <v>#N/A</v>
      </c>
      <c r="O46" s="16" t="e" cm="1">
        <f ca="1" t="array" ref="O46">IF(_xlfn.XLOOKUP($M46,$X$30:$X$34,$Y$30:$Y$34)&lt;=MATCH(O$29,$N$29:$O$29,0),SUMPRODUCT(--($C$91:$C$234=$C46),$G$91:$G$234,$J$91:$J$234)/SUMPRODUCT(--($J$91:$J$234&gt;0),$G$91:$G$234,--($C$91:$C$234=$C46))*MIN(I46,$L46),0)</f>
        <v>#N/A</v>
      </c>
      <c r="P46" s="16" t="e" cm="1">
        <f ca="1" t="array" ref="P46">IF(_xlfn.XLOOKUP($M46,$X$30:$X$34,$Y$30:$Y$34)&lt;=MATCH(N$29,$N$29:$O$29,0),SUMPRODUCT(--($C$91:$C$234=$C46),$G$91:$G$234,$F$91:$F$234,--($J$91:$J$234&gt;0))/SUMPRODUCT(--($J$91:$J$234&gt;0),$G$91:$G$234,--($C$91:$C$234=$C46))*MIN(H46,$L46),0)</f>
        <v>#N/A</v>
      </c>
      <c r="Q46" s="16" t="e" cm="1">
        <f ca="1" t="array" ref="Q46">IF(_xlfn.XLOOKUP($M46,$X$30:$X$34,$Y$30:$Y$34)&lt;=MATCH(O$29,$N$29:$O$29,0),SUMPRODUCT(--($C$91:$C$234=$C46),$G$91:$G$234,$F$91:$F$234,--($J$91:$J$234&gt;0))/SUMPRODUCT(--($J$91:$J$234&gt;0),$G$91:$G$234,--($C$91:$C$234=$C46))*MIN(I46,$L46),0)</f>
        <v>#N/A</v>
      </c>
      <c r="U46"/>
    </row>
    <row r="47" spans="2:25">
      <c r="B47" s="16">
        <f t="shared" si="9"/>
        <v>3</v>
      </c>
      <c r="C47" s="16">
        <f ca="1">OFFSET($D$6,B47,COUNTIF($B$29:B47,B47))</f>
        <v>2001</v>
      </c>
      <c r="D47" s="16">
        <v>9</v>
      </c>
      <c r="E47" s="16">
        <f>_xlfn.XLOOKUP(D47,价值表!$D:$D,价值表!$C:$C)</f>
        <v/>
      </c>
      <c r="F47" s="16">
        <v>600</v>
      </c>
      <c r="G47" s="41">
        <v>0.5</v>
      </c>
      <c r="H47" s="16">
        <f t="shared" si="7"/>
        <v>0.9</v>
      </c>
      <c r="I47" s="16">
        <f t="shared" si="8"/>
        <v>1.44</v>
      </c>
      <c r="J47" s="16">
        <v>1</v>
      </c>
      <c r="K47" s="16">
        <v>2</v>
      </c>
      <c r="L47" s="16">
        <f ca="1" t="shared" si="10"/>
        <v>1</v>
      </c>
      <c r="M47" s="16" t="s">
        <v>566</v>
      </c>
      <c r="N47" s="16" cm="1">
        <f ca="1" t="array" ref="N47">IF(_xlfn.XLOOKUP($M47,$X$30:$X$34,$Y$30:$Y$34)&lt;=MATCH(N$29,$N$29:$O$29,0),SUMPRODUCT(--($C$91:$C$234=$C47),$G$91:$G$234,$J$91:$J$234)/SUMPRODUCT(--($J$91:$J$234&gt;0),$G$91:$G$234,--($C$91:$C$234=$C47))*MIN(H47,$L47),0)</f>
        <v>1800</v>
      </c>
      <c r="O47" s="16" cm="1">
        <f ca="1" t="array" ref="O47">IF(_xlfn.XLOOKUP($M47,$X$30:$X$34,$Y$30:$Y$34)&lt;=MATCH(O$29,$N$29:$O$29,0),SUMPRODUCT(--($C$91:$C$234=$C47),$G$91:$G$234,$J$91:$J$234)/SUMPRODUCT(--($J$91:$J$234&gt;0),$G$91:$G$234,--($C$91:$C$234=$C47))*MIN(I47,$L47),0)</f>
        <v>2000</v>
      </c>
      <c r="P47" s="16" cm="1">
        <f ca="1" t="array" ref="P47">IF(_xlfn.XLOOKUP($M47,$X$30:$X$34,$Y$30:$Y$34)&lt;=MATCH(N$29,$N$29:$O$29,0),SUMPRODUCT(--($C$91:$C$234=$C47),$G$91:$G$234,$F$91:$F$234,--($J$91:$J$234&gt;0))/SUMPRODUCT(--($J$91:$J$234&gt;0),$G$91:$G$234,--($C$91:$C$234=$C47))*MIN(H47,$L47),0)</f>
        <v>0.9</v>
      </c>
      <c r="Q47" s="16" cm="1">
        <f ca="1" t="array" ref="Q47">IF(_xlfn.XLOOKUP($M47,$X$30:$X$34,$Y$30:$Y$34)&lt;=MATCH(O$29,$N$29:$O$29,0),SUMPRODUCT(--($C$91:$C$234=$C47),$G$91:$G$234,$F$91:$F$234,--($J$91:$J$234&gt;0))/SUMPRODUCT(--($J$91:$J$234&gt;0),$G$91:$G$234,--($C$91:$C$234=$C47))*MIN(I47,$L47),0)</f>
        <v>1</v>
      </c>
      <c r="U47"/>
    </row>
    <row r="48" spans="2:25">
      <c r="B48" s="16">
        <f t="shared" si="9"/>
        <v>3</v>
      </c>
      <c r="C48" s="16">
        <f ca="1">OFFSET($D$6,B48,COUNTIF($B$29:B48,B48))</f>
        <v>3001</v>
      </c>
      <c r="D48" s="16">
        <v>30</v>
      </c>
      <c r="E48" s="16">
        <f>_xlfn.XLOOKUP(D48,价值表!$D:$D,价值表!$C:$C)</f>
        <v/>
      </c>
      <c r="F48" s="16">
        <v>200</v>
      </c>
      <c r="G48" s="41">
        <v>0.5</v>
      </c>
      <c r="H48" s="16">
        <f t="shared" si="7"/>
        <v>0.3</v>
      </c>
      <c r="I48" s="16">
        <f t="shared" si="8"/>
        <v>0.48</v>
      </c>
      <c r="J48" s="16">
        <v>1</v>
      </c>
      <c r="K48" s="16">
        <v>2</v>
      </c>
      <c r="L48" s="16">
        <f ca="1" t="shared" si="10"/>
        <v>0</v>
      </c>
      <c r="M48" s="16" t="s">
        <v>566</v>
      </c>
      <c r="N48" s="16" cm="1">
        <f ca="1" t="array" ref="N48">IF(_xlfn.XLOOKUP($M48,$X$30:$X$34,$Y$30:$Y$34)&lt;=MATCH(N$29,$N$29:$O$29,0),SUMPRODUCT(--($C$91:$C$234=$C48),$G$91:$G$234,$J$91:$J$234)/SUMPRODUCT(--($J$91:$J$234&gt;0),$G$91:$G$234,--($C$91:$C$234=$C48))*MIN(H48,$L48),0)</f>
        <v>0</v>
      </c>
      <c r="O48" s="16" cm="1">
        <f ca="1" t="array" ref="O48">IF(_xlfn.XLOOKUP($M48,$X$30:$X$34,$Y$30:$Y$34)&lt;=MATCH(O$29,$N$29:$O$29,0),SUMPRODUCT(--($C$91:$C$234=$C48),$G$91:$G$234,$J$91:$J$234)/SUMPRODUCT(--($J$91:$J$234&gt;0),$G$91:$G$234,--($C$91:$C$234=$C48))*MIN(I48,$L48),0)</f>
        <v>0</v>
      </c>
      <c r="P48" s="16" cm="1">
        <f ca="1" t="array" ref="P48">IF(_xlfn.XLOOKUP($M48,$X$30:$X$34,$Y$30:$Y$34)&lt;=MATCH(N$29,$N$29:$O$29,0),SUMPRODUCT(--($C$91:$C$234=$C48),$G$91:$G$234,$F$91:$F$234,--($J$91:$J$234&gt;0))/SUMPRODUCT(--($J$91:$J$234&gt;0),$G$91:$G$234,--($C$91:$C$234=$C48))*MIN(H48,$L48),0)</f>
        <v>0</v>
      </c>
      <c r="Q48" s="16" cm="1">
        <f ca="1" t="array" ref="Q48">IF(_xlfn.XLOOKUP($M48,$X$30:$X$34,$Y$30:$Y$34)&lt;=MATCH(O$29,$N$29:$O$29,0),SUMPRODUCT(--($C$91:$C$234=$C48),$G$91:$G$234,$F$91:$F$234,--($J$91:$J$234&gt;0))/SUMPRODUCT(--($J$91:$J$234&gt;0),$G$91:$G$234,--($C$91:$C$234=$C48))*MIN(I48,$L48),0)</f>
        <v>0</v>
      </c>
    </row>
    <row r="49" spans="2:17">
      <c r="B49" s="16">
        <f t="shared" si="9"/>
        <v>3</v>
      </c>
      <c r="C49" s="16">
        <f ca="1">OFFSET($D$6,B49,COUNTIF($B$29:B49,B49))</f>
        <v>4001</v>
      </c>
      <c r="D49" s="16">
        <v>5305001</v>
      </c>
      <c r="E49" s="16">
        <f>_xlfn.XLOOKUP(D49,价值表!$D:$D,价值表!$C:$C)</f>
        <v/>
      </c>
      <c r="F49" s="16">
        <v>300</v>
      </c>
      <c r="G49" s="41">
        <v>0.5</v>
      </c>
      <c r="H49" s="16">
        <f t="shared" si="7"/>
        <v>0.45</v>
      </c>
      <c r="I49" s="16">
        <f t="shared" si="8"/>
        <v>0.72</v>
      </c>
      <c r="J49" s="16">
        <v>1</v>
      </c>
      <c r="K49" s="16">
        <v>2</v>
      </c>
      <c r="L49" s="16" t="e">
        <f ca="1" t="shared" si="10"/>
        <v>#N/A</v>
      </c>
      <c r="M49" s="16" t="s">
        <v>566</v>
      </c>
      <c r="N49" s="16" t="e" cm="1">
        <f ca="1" t="array" ref="N49">IF(_xlfn.XLOOKUP($M49,$X$30:$X$34,$Y$30:$Y$34)&lt;=MATCH(N$29,$N$29:$O$29,0),SUMPRODUCT(--($C$91:$C$234=$C49),$G$91:$G$234,$J$91:$J$234)/SUMPRODUCT(--($J$91:$J$234&gt;0),$G$91:$G$234,--($C$91:$C$234=$C49))*MIN(H49,$L49),0)</f>
        <v>#N/A</v>
      </c>
      <c r="O49" s="16" t="e" cm="1">
        <f ca="1" t="array" ref="O49">IF(_xlfn.XLOOKUP($M49,$X$30:$X$34,$Y$30:$Y$34)&lt;=MATCH(O$29,$N$29:$O$29,0),SUMPRODUCT(--($C$91:$C$234=$C49),$G$91:$G$234,$J$91:$J$234)/SUMPRODUCT(--($J$91:$J$234&gt;0),$G$91:$G$234,--($C$91:$C$234=$C49))*MIN(I49,$L49),0)</f>
        <v>#N/A</v>
      </c>
      <c r="P49" s="16" t="e" cm="1">
        <f ca="1" t="array" ref="P49">IF(_xlfn.XLOOKUP($M49,$X$30:$X$34,$Y$30:$Y$34)&lt;=MATCH(N$29,$N$29:$O$29,0),SUMPRODUCT(--($C$91:$C$234=$C49),$G$91:$G$234,$F$91:$F$234,--($J$91:$J$234&gt;0))/SUMPRODUCT(--($J$91:$J$234&gt;0),$G$91:$G$234,--($C$91:$C$234=$C49))*MIN(H49,$L49),0)</f>
        <v>#N/A</v>
      </c>
      <c r="Q49" s="16" t="e" cm="1">
        <f ca="1" t="array" ref="Q49">IF(_xlfn.XLOOKUP($M49,$X$30:$X$34,$Y$30:$Y$34)&lt;=MATCH(O$29,$N$29:$O$29,0),SUMPRODUCT(--($C$91:$C$234=$C49),$G$91:$G$234,$F$91:$F$234,--($J$91:$J$234&gt;0))/SUMPRODUCT(--($J$91:$J$234&gt;0),$G$91:$G$234,--($C$91:$C$234=$C49))*MIN(I49,$L49),0)</f>
        <v>#N/A</v>
      </c>
    </row>
    <row r="50" spans="2:17">
      <c r="B50" s="16">
        <f t="shared" si="9"/>
        <v>3</v>
      </c>
      <c r="C50" s="16">
        <f ca="1">OFFSET($D$6,B50,COUNTIF($B$29:B50,B50))</f>
        <v>5002</v>
      </c>
      <c r="D50" s="16">
        <v>50002</v>
      </c>
      <c r="E50" s="16">
        <f>_xlfn.XLOOKUP(D50,价值表!$D:$D,价值表!$C:$C)</f>
        <v/>
      </c>
      <c r="F50" s="16">
        <v>2400</v>
      </c>
      <c r="G50" s="41">
        <v>0.5</v>
      </c>
      <c r="H50" s="16">
        <f t="shared" si="7"/>
        <v>3.6</v>
      </c>
      <c r="I50" s="16">
        <f t="shared" si="8"/>
        <v>5.76</v>
      </c>
      <c r="J50" s="16">
        <v>1</v>
      </c>
      <c r="K50" s="16">
        <v>2</v>
      </c>
      <c r="L50" s="16" t="e">
        <f ca="1" t="shared" si="10"/>
        <v>#N/A</v>
      </c>
      <c r="M50" s="16" t="s">
        <v>566</v>
      </c>
      <c r="N50" s="16" t="e" cm="1">
        <f ca="1" t="array" ref="N50">IF(_xlfn.XLOOKUP($M50,$X$30:$X$34,$Y$30:$Y$34)&lt;=MATCH(N$29,$N$29:$O$29,0),SUMPRODUCT(--($C$91:$C$234=$C50),$G$91:$G$234,$J$91:$J$234)/SUMPRODUCT(--($J$91:$J$234&gt;0),$G$91:$G$234,--($C$91:$C$234=$C50))*MIN(H50,$L50),0)</f>
        <v>#N/A</v>
      </c>
      <c r="O50" s="16" t="e" cm="1">
        <f ca="1" t="array" ref="O50">IF(_xlfn.XLOOKUP($M50,$X$30:$X$34,$Y$30:$Y$34)&lt;=MATCH(O$29,$N$29:$O$29,0),SUMPRODUCT(--($C$91:$C$234=$C50),$G$91:$G$234,$J$91:$J$234)/SUMPRODUCT(--($J$91:$J$234&gt;0),$G$91:$G$234,--($C$91:$C$234=$C50))*MIN(I50,$L50),0)</f>
        <v>#N/A</v>
      </c>
      <c r="P50" s="16" t="e" cm="1">
        <f ca="1" t="array" ref="P50">IF(_xlfn.XLOOKUP($M50,$X$30:$X$34,$Y$30:$Y$34)&lt;=MATCH(N$29,$N$29:$O$29,0),SUMPRODUCT(--($C$91:$C$234=$C50),$G$91:$G$234,$F$91:$F$234,--($J$91:$J$234&gt;0))/SUMPRODUCT(--($J$91:$J$234&gt;0),$G$91:$G$234,--($C$91:$C$234=$C50))*MIN(H50,$L50),0)</f>
        <v>#N/A</v>
      </c>
      <c r="Q50" s="16" t="e" cm="1">
        <f ca="1" t="array" ref="Q50">IF(_xlfn.XLOOKUP($M50,$X$30:$X$34,$Y$30:$Y$34)&lt;=MATCH(O$29,$N$29:$O$29,0),SUMPRODUCT(--($C$91:$C$234=$C50),$G$91:$G$234,$F$91:$F$234,--($J$91:$J$234&gt;0))/SUMPRODUCT(--($J$91:$J$234&gt;0),$G$91:$G$234,--($C$91:$C$234=$C50))*MIN(I50,$L50),0)</f>
        <v>#N/A</v>
      </c>
    </row>
    <row r="51" spans="2:17">
      <c r="B51" s="16">
        <f t="shared" si="9"/>
        <v>3</v>
      </c>
      <c r="C51" s="16">
        <f ca="1">OFFSET($D$6,B51,COUNTIF($B$29:B51,B51))</f>
        <v>6002</v>
      </c>
      <c r="D51" s="16">
        <v>5203001</v>
      </c>
      <c r="E51" s="16">
        <f>_xlfn.XLOOKUP(D51,价值表!$D:$D,价值表!$C:$C)</f>
        <v/>
      </c>
      <c r="F51" s="16">
        <v>600</v>
      </c>
      <c r="G51" s="41">
        <v>0.5</v>
      </c>
      <c r="H51" s="16">
        <f t="shared" si="7"/>
        <v>0.9</v>
      </c>
      <c r="I51" s="16">
        <f t="shared" si="8"/>
        <v>1.44</v>
      </c>
      <c r="J51" s="16">
        <v>1</v>
      </c>
      <c r="K51" s="16">
        <v>2</v>
      </c>
      <c r="L51" s="16" t="e">
        <f ca="1" t="shared" si="10"/>
        <v>#N/A</v>
      </c>
      <c r="M51" s="16" t="s">
        <v>586</v>
      </c>
      <c r="N51" s="16" cm="1">
        <f ca="1" t="array" ref="N51">IF(_xlfn.XLOOKUP($M51,$X$30:$X$34,$Y$30:$Y$34)&lt;=MATCH(N$29,$N$29:$O$29,0),SUMPRODUCT(--($C$91:$C$234=$C51),$G$91:$G$234,$J$91:$J$234)/SUMPRODUCT(--($J$91:$J$234&gt;0),$G$91:$G$234,--($C$91:$C$234=$C51))*MIN(H51,$L51),0)</f>
        <v>0</v>
      </c>
      <c r="O51" s="16" t="e" cm="1">
        <f ca="1" t="array" ref="O51">IF(_xlfn.XLOOKUP($M51,$X$30:$X$34,$Y$30:$Y$34)&lt;=MATCH(O$29,$N$29:$O$29,0),SUMPRODUCT(--($C$91:$C$234=$C51),$G$91:$G$234,$J$91:$J$234)/SUMPRODUCT(--($J$91:$J$234&gt;0),$G$91:$G$234,--($C$91:$C$234=$C51))*MIN(I51,$L51),0)</f>
        <v>#N/A</v>
      </c>
      <c r="P51" s="16" cm="1">
        <f ca="1" t="array" ref="P51">IF(_xlfn.XLOOKUP($M51,$X$30:$X$34,$Y$30:$Y$34)&lt;=MATCH(N$29,$N$29:$O$29,0),SUMPRODUCT(--($C$91:$C$234=$C51),$G$91:$G$234,$F$91:$F$234,--($J$91:$J$234&gt;0))/SUMPRODUCT(--($J$91:$J$234&gt;0),$G$91:$G$234,--($C$91:$C$234=$C51))*MIN(H51,$L51),0)</f>
        <v>0</v>
      </c>
      <c r="Q51" s="16" t="e" cm="1">
        <f ca="1" t="array" ref="Q51">IF(_xlfn.XLOOKUP($M51,$X$30:$X$34,$Y$30:$Y$34)&lt;=MATCH(O$29,$N$29:$O$29,0),SUMPRODUCT(--($C$91:$C$234=$C51),$G$91:$G$234,$F$91:$F$234,--($J$91:$J$234&gt;0))/SUMPRODUCT(--($J$91:$J$234&gt;0),$G$91:$G$234,--($C$91:$C$234=$C51))*MIN(I51,$L51),0)</f>
        <v>#N/A</v>
      </c>
    </row>
    <row r="52" spans="2:17">
      <c r="B52" s="16">
        <f t="shared" si="9"/>
        <v>3</v>
      </c>
      <c r="C52" s="16">
        <f ca="1">OFFSET($D$6,B52,COUNTIF($B$29:B52,B52))</f>
        <v>7002</v>
      </c>
      <c r="D52" s="16">
        <v>5103001</v>
      </c>
      <c r="E52" s="16">
        <f>_xlfn.XLOOKUP(D52,价值表!$D:$D,价值表!$C:$C)</f>
        <v/>
      </c>
      <c r="F52" s="16">
        <v>2000</v>
      </c>
      <c r="G52" s="41">
        <v>0.5</v>
      </c>
      <c r="H52" s="16">
        <f t="shared" si="7"/>
        <v>3</v>
      </c>
      <c r="I52" s="16">
        <f t="shared" si="8"/>
        <v>4.8</v>
      </c>
      <c r="J52" s="16">
        <v>1</v>
      </c>
      <c r="K52" s="16">
        <v>2</v>
      </c>
      <c r="L52" s="16" t="e">
        <f ca="1" t="shared" si="10"/>
        <v>#N/A</v>
      </c>
      <c r="M52" s="16" t="s">
        <v>591</v>
      </c>
      <c r="N52" s="16" cm="1">
        <f ca="1" t="array" ref="N52">IF(_xlfn.XLOOKUP($M52,$X$30:$X$34,$Y$30:$Y$34)&lt;=MATCH(N$29,$N$29:$O$29,0),SUMPRODUCT(--($C$91:$C$234=$C52),$G$91:$G$234,$J$91:$J$234)/SUMPRODUCT(--($J$91:$J$234&gt;0),$G$91:$G$234,--($C$91:$C$234=$C52))*MIN(H52,$L52),0)</f>
        <v>0</v>
      </c>
      <c r="O52" s="16" cm="1">
        <f ca="1" t="array" ref="O52">IF(_xlfn.XLOOKUP($M52,$X$30:$X$34,$Y$30:$Y$34)&lt;=MATCH(O$29,$N$29:$O$29,0),SUMPRODUCT(--($C$91:$C$234=$C52),$G$91:$G$234,$J$91:$J$234)/SUMPRODUCT(--($J$91:$J$234&gt;0),$G$91:$G$234,--($C$91:$C$234=$C52))*MIN(I52,$L52),0)</f>
        <v>0</v>
      </c>
      <c r="P52" s="16" cm="1">
        <f ca="1" t="array" ref="P52">IF(_xlfn.XLOOKUP($M52,$X$30:$X$34,$Y$30:$Y$34)&lt;=MATCH(N$29,$N$29:$O$29,0),SUMPRODUCT(--($C$91:$C$234=$C52),$G$91:$G$234,$F$91:$F$234,--($J$91:$J$234&gt;0))/SUMPRODUCT(--($J$91:$J$234&gt;0),$G$91:$G$234,--($C$91:$C$234=$C52))*MIN(H52,$L52),0)</f>
        <v>0</v>
      </c>
      <c r="Q52" s="16" cm="1">
        <f ca="1" t="array" ref="Q52">IF(_xlfn.XLOOKUP($M52,$X$30:$X$34,$Y$30:$Y$34)&lt;=MATCH(O$29,$N$29:$O$29,0),SUMPRODUCT(--($C$91:$C$234=$C52),$G$91:$G$234,$F$91:$F$234,--($J$91:$J$234&gt;0))/SUMPRODUCT(--($J$91:$J$234&gt;0),$G$91:$G$234,--($C$91:$C$234=$C52))*MIN(I52,$L52),0)</f>
        <v>0</v>
      </c>
    </row>
    <row r="53" spans="2:17">
      <c r="B53" s="16">
        <f t="shared" si="9"/>
        <v>3</v>
      </c>
      <c r="C53" s="16">
        <f ca="1">OFFSET($D$6,B53,COUNTIF($B$29:B53,B53))</f>
        <v>8001</v>
      </c>
      <c r="D53" s="16">
        <v>1310100</v>
      </c>
      <c r="E53" s="16">
        <f>_xlfn.XLOOKUP(D53,价值表!$D:$D,价值表!$C:$C)</f>
        <v/>
      </c>
      <c r="F53" s="16">
        <v>3200</v>
      </c>
      <c r="G53" s="41">
        <v>0.5</v>
      </c>
      <c r="H53" s="16">
        <f t="shared" si="7"/>
        <v>4.8</v>
      </c>
      <c r="I53" s="16">
        <f t="shared" si="8"/>
        <v>7.68</v>
      </c>
      <c r="J53" s="16">
        <v>1</v>
      </c>
      <c r="K53" s="16">
        <v>2</v>
      </c>
      <c r="L53" s="16" t="e">
        <f ca="1" t="shared" si="10"/>
        <v>#N/A</v>
      </c>
      <c r="M53" s="16" t="s">
        <v>591</v>
      </c>
      <c r="N53" s="16" cm="1">
        <f ca="1" t="array" ref="N53">IF(_xlfn.XLOOKUP($M53,$X$30:$X$34,$Y$30:$Y$34)&lt;=MATCH(N$29,$N$29:$O$29,0),SUMPRODUCT(--($C$91:$C$234=$C53),$G$91:$G$234,$J$91:$J$234)/SUMPRODUCT(--($J$91:$J$234&gt;0),$G$91:$G$234,--($C$91:$C$234=$C53))*MIN(H53,$L53),0)</f>
        <v>0</v>
      </c>
      <c r="O53" s="16" cm="1">
        <f ca="1" t="array" ref="O53">IF(_xlfn.XLOOKUP($M53,$X$30:$X$34,$Y$30:$Y$34)&lt;=MATCH(O$29,$N$29:$O$29,0),SUMPRODUCT(--($C$91:$C$234=$C53),$G$91:$G$234,$J$91:$J$234)/SUMPRODUCT(--($J$91:$J$234&gt;0),$G$91:$G$234,--($C$91:$C$234=$C53))*MIN(I53,$L53),0)</f>
        <v>0</v>
      </c>
      <c r="P53" s="16" cm="1">
        <f ca="1" t="array" ref="P53">IF(_xlfn.XLOOKUP($M53,$X$30:$X$34,$Y$30:$Y$34)&lt;=MATCH(N$29,$N$29:$O$29,0),SUMPRODUCT(--($C$91:$C$234=$C53),$G$91:$G$234,$F$91:$F$234,--($J$91:$J$234&gt;0))/SUMPRODUCT(--($J$91:$J$234&gt;0),$G$91:$G$234,--($C$91:$C$234=$C53))*MIN(H53,$L53),0)</f>
        <v>0</v>
      </c>
      <c r="Q53" s="16" cm="1">
        <f ca="1" t="array" ref="Q53">IF(_xlfn.XLOOKUP($M53,$X$30:$X$34,$Y$30:$Y$34)&lt;=MATCH(O$29,$N$29:$O$29,0),SUMPRODUCT(--($C$91:$C$234=$C53),$G$91:$G$234,$F$91:$F$234,--($J$91:$J$234&gt;0))/SUMPRODUCT(--($J$91:$J$234&gt;0),$G$91:$G$234,--($C$91:$C$234=$C53))*MIN(I53,$L53),0)</f>
        <v>0</v>
      </c>
    </row>
    <row r="54" spans="2:17">
      <c r="B54" s="16">
        <f t="shared" si="9"/>
        <v>4</v>
      </c>
      <c r="C54" s="16">
        <f ca="1">OFFSET($D$6,B54,COUNTIF($B$29:B54,B54))</f>
        <v>1002</v>
      </c>
      <c r="D54" s="16">
        <v>11</v>
      </c>
      <c r="E54" s="16">
        <f>_xlfn.XLOOKUP(D54,价值表!$D:$D,价值表!$C:$C)</f>
        <v/>
      </c>
      <c r="F54" s="16">
        <v>700</v>
      </c>
      <c r="G54" s="41">
        <v>0.5</v>
      </c>
      <c r="H54" s="16">
        <f t="shared" si="7"/>
        <v>1.05</v>
      </c>
      <c r="I54" s="16">
        <f t="shared" si="8"/>
        <v>1.68</v>
      </c>
      <c r="J54" s="16">
        <v>1</v>
      </c>
      <c r="K54" s="16">
        <v>2</v>
      </c>
      <c r="L54" s="16" t="e">
        <f ca="1" t="shared" si="10"/>
        <v>#N/A</v>
      </c>
      <c r="M54" s="16" t="s">
        <v>566</v>
      </c>
      <c r="N54" s="16" t="e" cm="1">
        <f ca="1" t="array" ref="N54">IF(_xlfn.XLOOKUP($M54,$X$30:$X$34,$Y$30:$Y$34)&lt;=MATCH(N$29,$N$29:$O$29,0),SUMPRODUCT(--($C$91:$C$234=$C54),$G$91:$G$234,$J$91:$J$234)/SUMPRODUCT(--($J$91:$J$234&gt;0),$G$91:$G$234,--($C$91:$C$234=$C54))*MIN(H54,$L54),0)</f>
        <v>#N/A</v>
      </c>
      <c r="O54" s="16" t="e" cm="1">
        <f ca="1" t="array" ref="O54">IF(_xlfn.XLOOKUP($M54,$X$30:$X$34,$Y$30:$Y$34)&lt;=MATCH(O$29,$N$29:$O$29,0),SUMPRODUCT(--($C$91:$C$234=$C54),$G$91:$G$234,$J$91:$J$234)/SUMPRODUCT(--($J$91:$J$234&gt;0),$G$91:$G$234,--($C$91:$C$234=$C54))*MIN(I54,$L54),0)</f>
        <v>#N/A</v>
      </c>
      <c r="P54" s="16" t="e" cm="1">
        <f ca="1" t="array" ref="P54">IF(_xlfn.XLOOKUP($M54,$X$30:$X$34,$Y$30:$Y$34)&lt;=MATCH(N$29,$N$29:$O$29,0),SUMPRODUCT(--($C$91:$C$234=$C54),$G$91:$G$234,$F$91:$F$234,--($J$91:$J$234&gt;0))/SUMPRODUCT(--($J$91:$J$234&gt;0),$G$91:$G$234,--($C$91:$C$234=$C54))*MIN(H54,$L54),0)</f>
        <v>#N/A</v>
      </c>
      <c r="Q54" s="16" t="e" cm="1">
        <f ca="1" t="array" ref="Q54">IF(_xlfn.XLOOKUP($M54,$X$30:$X$34,$Y$30:$Y$34)&lt;=MATCH(O$29,$N$29:$O$29,0),SUMPRODUCT(--($C$91:$C$234=$C54),$G$91:$G$234,$F$91:$F$234,--($J$91:$J$234&gt;0))/SUMPRODUCT(--($J$91:$J$234&gt;0),$G$91:$G$234,--($C$91:$C$234=$C54))*MIN(I54,$L54),0)</f>
        <v>#N/A</v>
      </c>
    </row>
    <row r="55" spans="2:17">
      <c r="B55" s="16">
        <f t="shared" si="9"/>
        <v>4</v>
      </c>
      <c r="C55" s="16">
        <f ca="1">OFFSET($D$6,B55,COUNTIF($B$29:B55,B55))</f>
        <v>2001</v>
      </c>
      <c r="D55" s="16">
        <v>9</v>
      </c>
      <c r="E55" s="16">
        <f>_xlfn.XLOOKUP(D55,价值表!$D:$D,价值表!$C:$C)</f>
        <v/>
      </c>
      <c r="F55" s="16">
        <v>600</v>
      </c>
      <c r="G55" s="41">
        <v>0.5</v>
      </c>
      <c r="H55" s="16">
        <f t="shared" si="7"/>
        <v>0.9</v>
      </c>
      <c r="I55" s="16">
        <f t="shared" si="8"/>
        <v>1.44</v>
      </c>
      <c r="J55" s="16">
        <v>1</v>
      </c>
      <c r="K55" s="16">
        <v>2</v>
      </c>
      <c r="L55" s="16">
        <f ca="1" t="shared" si="10"/>
        <v>0</v>
      </c>
      <c r="M55" s="16" t="s">
        <v>566</v>
      </c>
      <c r="N55" s="16" cm="1">
        <f ca="1" t="array" ref="N55">IF(_xlfn.XLOOKUP($M55,$X$30:$X$34,$Y$30:$Y$34)&lt;=MATCH(N$29,$N$29:$O$29,0),SUMPRODUCT(--($C$91:$C$234=$C55),$G$91:$G$234,$J$91:$J$234)/SUMPRODUCT(--($J$91:$J$234&gt;0),$G$91:$G$234,--($C$91:$C$234=$C55))*MIN(H55,$L55),0)</f>
        <v>0</v>
      </c>
      <c r="O55" s="16" cm="1">
        <f ca="1" t="array" ref="O55">IF(_xlfn.XLOOKUP($M55,$X$30:$X$34,$Y$30:$Y$34)&lt;=MATCH(O$29,$N$29:$O$29,0),SUMPRODUCT(--($C$91:$C$234=$C55),$G$91:$G$234,$J$91:$J$234)/SUMPRODUCT(--($J$91:$J$234&gt;0),$G$91:$G$234,--($C$91:$C$234=$C55))*MIN(I55,$L55),0)</f>
        <v>0</v>
      </c>
      <c r="P55" s="16" cm="1">
        <f ca="1" t="array" ref="P55">IF(_xlfn.XLOOKUP($M55,$X$30:$X$34,$Y$30:$Y$34)&lt;=MATCH(N$29,$N$29:$O$29,0),SUMPRODUCT(--($C$91:$C$234=$C55),$G$91:$G$234,$F$91:$F$234,--($J$91:$J$234&gt;0))/SUMPRODUCT(--($J$91:$J$234&gt;0),$G$91:$G$234,--($C$91:$C$234=$C55))*MIN(H55,$L55),0)</f>
        <v>0</v>
      </c>
      <c r="Q55" s="16" cm="1">
        <f ca="1" t="array" ref="Q55">IF(_xlfn.XLOOKUP($M55,$X$30:$X$34,$Y$30:$Y$34)&lt;=MATCH(O$29,$N$29:$O$29,0),SUMPRODUCT(--($C$91:$C$234=$C55),$G$91:$G$234,$F$91:$F$234,--($J$91:$J$234&gt;0))/SUMPRODUCT(--($J$91:$J$234&gt;0),$G$91:$G$234,--($C$91:$C$234=$C55))*MIN(I55,$L55),0)</f>
        <v>0</v>
      </c>
    </row>
    <row r="56" spans="2:17">
      <c r="B56" s="16">
        <f t="shared" si="9"/>
        <v>4</v>
      </c>
      <c r="C56" s="16">
        <f ca="1">OFFSET($D$6,B56,COUNTIF($B$29:B56,B56))</f>
        <v>3001</v>
      </c>
      <c r="D56" s="16">
        <v>30</v>
      </c>
      <c r="E56" s="16">
        <f>_xlfn.XLOOKUP(D56,价值表!$D:$D,价值表!$C:$C)</f>
        <v/>
      </c>
      <c r="F56" s="16">
        <v>200</v>
      </c>
      <c r="G56" s="41">
        <v>0.5</v>
      </c>
      <c r="H56" s="16">
        <f t="shared" si="7"/>
        <v>0.3</v>
      </c>
      <c r="I56" s="16">
        <f t="shared" si="8"/>
        <v>0.48</v>
      </c>
      <c r="J56" s="16">
        <v>1</v>
      </c>
      <c r="K56" s="16">
        <v>2</v>
      </c>
      <c r="L56" s="16">
        <f ca="1" t="shared" si="10"/>
        <v>0</v>
      </c>
      <c r="M56" s="16" t="s">
        <v>566</v>
      </c>
      <c r="N56" s="16" cm="1">
        <f ca="1" t="array" ref="N56">IF(_xlfn.XLOOKUP($M56,$X$30:$X$34,$Y$30:$Y$34)&lt;=MATCH(N$29,$N$29:$O$29,0),SUMPRODUCT(--($C$91:$C$234=$C56),$G$91:$G$234,$J$91:$J$234)/SUMPRODUCT(--($J$91:$J$234&gt;0),$G$91:$G$234,--($C$91:$C$234=$C56))*MIN(H56,$L56),0)</f>
        <v>0</v>
      </c>
      <c r="O56" s="16" cm="1">
        <f ca="1" t="array" ref="O56">IF(_xlfn.XLOOKUP($M56,$X$30:$X$34,$Y$30:$Y$34)&lt;=MATCH(O$29,$N$29:$O$29,0),SUMPRODUCT(--($C$91:$C$234=$C56),$G$91:$G$234,$J$91:$J$234)/SUMPRODUCT(--($J$91:$J$234&gt;0),$G$91:$G$234,--($C$91:$C$234=$C56))*MIN(I56,$L56),0)</f>
        <v>0</v>
      </c>
      <c r="P56" s="16" cm="1">
        <f ca="1" t="array" ref="P56">IF(_xlfn.XLOOKUP($M56,$X$30:$X$34,$Y$30:$Y$34)&lt;=MATCH(N$29,$N$29:$O$29,0),SUMPRODUCT(--($C$91:$C$234=$C56),$G$91:$G$234,$F$91:$F$234,--($J$91:$J$234&gt;0))/SUMPRODUCT(--($J$91:$J$234&gt;0),$G$91:$G$234,--($C$91:$C$234=$C56))*MIN(H56,$L56),0)</f>
        <v>0</v>
      </c>
      <c r="Q56" s="16" cm="1">
        <f ca="1" t="array" ref="Q56">IF(_xlfn.XLOOKUP($M56,$X$30:$X$34,$Y$30:$Y$34)&lt;=MATCH(O$29,$N$29:$O$29,0),SUMPRODUCT(--($C$91:$C$234=$C56),$G$91:$G$234,$F$91:$F$234,--($J$91:$J$234&gt;0))/SUMPRODUCT(--($J$91:$J$234&gt;0),$G$91:$G$234,--($C$91:$C$234=$C56))*MIN(I56,$L56),0)</f>
        <v>0</v>
      </c>
    </row>
    <row r="57" spans="2:17">
      <c r="B57" s="16">
        <f t="shared" si="9"/>
        <v>4</v>
      </c>
      <c r="C57" s="16">
        <f ca="1">OFFSET($D$6,B57,COUNTIF($B$29:B57,B57))</f>
        <v>4001</v>
      </c>
      <c r="D57" s="16">
        <v>5305001</v>
      </c>
      <c r="E57" s="16">
        <f>_xlfn.XLOOKUP(D57,价值表!$D:$D,价值表!$C:$C)</f>
        <v/>
      </c>
      <c r="F57" s="16">
        <v>300</v>
      </c>
      <c r="G57" s="41">
        <v>0.5</v>
      </c>
      <c r="H57" s="16">
        <f t="shared" si="7"/>
        <v>0.45</v>
      </c>
      <c r="I57" s="16">
        <f t="shared" si="8"/>
        <v>0.72</v>
      </c>
      <c r="J57" s="16">
        <v>1</v>
      </c>
      <c r="K57" s="16">
        <v>2</v>
      </c>
      <c r="L57" s="16" t="e">
        <f ca="1" t="shared" si="10"/>
        <v>#N/A</v>
      </c>
      <c r="M57" s="16" t="s">
        <v>566</v>
      </c>
      <c r="N57" s="16" t="e" cm="1">
        <f ca="1" t="array" ref="N57">IF(_xlfn.XLOOKUP($M57,$X$30:$X$34,$Y$30:$Y$34)&lt;=MATCH(N$29,$N$29:$O$29,0),SUMPRODUCT(--($C$91:$C$234=$C57),$G$91:$G$234,$J$91:$J$234)/SUMPRODUCT(--($J$91:$J$234&gt;0),$G$91:$G$234,--($C$91:$C$234=$C57))*MIN(H57,$L57),0)</f>
        <v>#N/A</v>
      </c>
      <c r="O57" s="16" t="e" cm="1">
        <f ca="1" t="array" ref="O57">IF(_xlfn.XLOOKUP($M57,$X$30:$X$34,$Y$30:$Y$34)&lt;=MATCH(O$29,$N$29:$O$29,0),SUMPRODUCT(--($C$91:$C$234=$C57),$G$91:$G$234,$J$91:$J$234)/SUMPRODUCT(--($J$91:$J$234&gt;0),$G$91:$G$234,--($C$91:$C$234=$C57))*MIN(I57,$L57),0)</f>
        <v>#N/A</v>
      </c>
      <c r="P57" s="16" t="e" cm="1">
        <f ca="1" t="array" ref="P57">IF(_xlfn.XLOOKUP($M57,$X$30:$X$34,$Y$30:$Y$34)&lt;=MATCH(N$29,$N$29:$O$29,0),SUMPRODUCT(--($C$91:$C$234=$C57),$G$91:$G$234,$F$91:$F$234,--($J$91:$J$234&gt;0))/SUMPRODUCT(--($J$91:$J$234&gt;0),$G$91:$G$234,--($C$91:$C$234=$C57))*MIN(H57,$L57),0)</f>
        <v>#N/A</v>
      </c>
      <c r="Q57" s="16" t="e" cm="1">
        <f ca="1" t="array" ref="Q57">IF(_xlfn.XLOOKUP($M57,$X$30:$X$34,$Y$30:$Y$34)&lt;=MATCH(O$29,$N$29:$O$29,0),SUMPRODUCT(--($C$91:$C$234=$C57),$G$91:$G$234,$F$91:$F$234,--($J$91:$J$234&gt;0))/SUMPRODUCT(--($J$91:$J$234&gt;0),$G$91:$G$234,--($C$91:$C$234=$C57))*MIN(I57,$L57),0)</f>
        <v>#N/A</v>
      </c>
    </row>
    <row r="58" spans="2:17">
      <c r="B58" s="16">
        <f t="shared" si="9"/>
        <v>4</v>
      </c>
      <c r="C58" s="16">
        <f ca="1">OFFSET($D$6,B58,COUNTIF($B$29:B58,B58))</f>
        <v>5002</v>
      </c>
      <c r="D58" s="16">
        <v>50002</v>
      </c>
      <c r="E58" s="16">
        <f>_xlfn.XLOOKUP(D58,价值表!$D:$D,价值表!$C:$C)</f>
        <v/>
      </c>
      <c r="F58" s="16">
        <v>2400</v>
      </c>
      <c r="G58" s="41">
        <v>0.5</v>
      </c>
      <c r="H58" s="16">
        <f t="shared" si="7"/>
        <v>3.6</v>
      </c>
      <c r="I58" s="16">
        <f t="shared" si="8"/>
        <v>5.76</v>
      </c>
      <c r="J58" s="16">
        <v>1</v>
      </c>
      <c r="K58" s="16">
        <v>2</v>
      </c>
      <c r="L58" s="16" t="e">
        <f ca="1" t="shared" si="10"/>
        <v>#N/A</v>
      </c>
      <c r="M58" s="16" t="s">
        <v>566</v>
      </c>
      <c r="N58" s="16" t="e" cm="1">
        <f ca="1" t="array" ref="N58">IF(_xlfn.XLOOKUP($M58,$X$30:$X$34,$Y$30:$Y$34)&lt;=MATCH(N$29,$N$29:$O$29,0),SUMPRODUCT(--($C$91:$C$234=$C58),$G$91:$G$234,$J$91:$J$234)/SUMPRODUCT(--($J$91:$J$234&gt;0),$G$91:$G$234,--($C$91:$C$234=$C58))*MIN(H58,$L58),0)</f>
        <v>#N/A</v>
      </c>
      <c r="O58" s="16" t="e" cm="1">
        <f ca="1" t="array" ref="O58">IF(_xlfn.XLOOKUP($M58,$X$30:$X$34,$Y$30:$Y$34)&lt;=MATCH(O$29,$N$29:$O$29,0),SUMPRODUCT(--($C$91:$C$234=$C58),$G$91:$G$234,$J$91:$J$234)/SUMPRODUCT(--($J$91:$J$234&gt;0),$G$91:$G$234,--($C$91:$C$234=$C58))*MIN(I58,$L58),0)</f>
        <v>#N/A</v>
      </c>
      <c r="P58" s="16" t="e" cm="1">
        <f ca="1" t="array" ref="P58">IF(_xlfn.XLOOKUP($M58,$X$30:$X$34,$Y$30:$Y$34)&lt;=MATCH(N$29,$N$29:$O$29,0),SUMPRODUCT(--($C$91:$C$234=$C58),$G$91:$G$234,$F$91:$F$234,--($J$91:$J$234&gt;0))/SUMPRODUCT(--($J$91:$J$234&gt;0),$G$91:$G$234,--($C$91:$C$234=$C58))*MIN(H58,$L58),0)</f>
        <v>#N/A</v>
      </c>
      <c r="Q58" s="16" t="e" cm="1">
        <f ca="1" t="array" ref="Q58">IF(_xlfn.XLOOKUP($M58,$X$30:$X$34,$Y$30:$Y$34)&lt;=MATCH(O$29,$N$29:$O$29,0),SUMPRODUCT(--($C$91:$C$234=$C58),$G$91:$G$234,$F$91:$F$234,--($J$91:$J$234&gt;0))/SUMPRODUCT(--($J$91:$J$234&gt;0),$G$91:$G$234,--($C$91:$C$234=$C58))*MIN(I58,$L58),0)</f>
        <v>#N/A</v>
      </c>
    </row>
    <row r="59" spans="2:17">
      <c r="B59" s="16">
        <f t="shared" si="9"/>
        <v>4</v>
      </c>
      <c r="C59" s="16">
        <f ca="1">OFFSET($D$6,B59,COUNTIF($B$29:B59,B59))</f>
        <v>6002</v>
      </c>
      <c r="D59" s="16">
        <v>5203001</v>
      </c>
      <c r="E59" s="16">
        <f>_xlfn.XLOOKUP(D59,价值表!$D:$D,价值表!$C:$C)</f>
        <v/>
      </c>
      <c r="F59" s="16">
        <v>600</v>
      </c>
      <c r="G59" s="41">
        <v>0.5</v>
      </c>
      <c r="H59" s="16">
        <f t="shared" si="7"/>
        <v>0.9</v>
      </c>
      <c r="I59" s="16">
        <f t="shared" si="8"/>
        <v>1.44</v>
      </c>
      <c r="J59" s="16">
        <v>1</v>
      </c>
      <c r="K59" s="16">
        <v>2</v>
      </c>
      <c r="L59" s="16" t="e">
        <f ca="1" t="shared" si="10"/>
        <v>#N/A</v>
      </c>
      <c r="M59" s="16" t="s">
        <v>586</v>
      </c>
      <c r="N59" s="16" cm="1">
        <f ca="1" t="array" ref="N59">IF(_xlfn.XLOOKUP($M59,$X$30:$X$34,$Y$30:$Y$34)&lt;=MATCH(N$29,$N$29:$O$29,0),SUMPRODUCT(--($C$91:$C$234=$C59),$G$91:$G$234,$J$91:$J$234)/SUMPRODUCT(--($J$91:$J$234&gt;0),$G$91:$G$234,--($C$91:$C$234=$C59))*MIN(H59,$L59),0)</f>
        <v>0</v>
      </c>
      <c r="O59" s="16" t="e" cm="1">
        <f ca="1" t="array" ref="O59">IF(_xlfn.XLOOKUP($M59,$X$30:$X$34,$Y$30:$Y$34)&lt;=MATCH(O$29,$N$29:$O$29,0),SUMPRODUCT(--($C$91:$C$234=$C59),$G$91:$G$234,$J$91:$J$234)/SUMPRODUCT(--($J$91:$J$234&gt;0),$G$91:$G$234,--($C$91:$C$234=$C59))*MIN(I59,$L59),0)</f>
        <v>#N/A</v>
      </c>
      <c r="P59" s="16" cm="1">
        <f ca="1" t="array" ref="P59">IF(_xlfn.XLOOKUP($M59,$X$30:$X$34,$Y$30:$Y$34)&lt;=MATCH(N$29,$N$29:$O$29,0),SUMPRODUCT(--($C$91:$C$234=$C59),$G$91:$G$234,$F$91:$F$234,--($J$91:$J$234&gt;0))/SUMPRODUCT(--($J$91:$J$234&gt;0),$G$91:$G$234,--($C$91:$C$234=$C59))*MIN(H59,$L59),0)</f>
        <v>0</v>
      </c>
      <c r="Q59" s="16" t="e" cm="1">
        <f ca="1" t="array" ref="Q59">IF(_xlfn.XLOOKUP($M59,$X$30:$X$34,$Y$30:$Y$34)&lt;=MATCH(O$29,$N$29:$O$29,0),SUMPRODUCT(--($C$91:$C$234=$C59),$G$91:$G$234,$F$91:$F$234,--($J$91:$J$234&gt;0))/SUMPRODUCT(--($J$91:$J$234&gt;0),$G$91:$G$234,--($C$91:$C$234=$C59))*MIN(I59,$L59),0)</f>
        <v>#N/A</v>
      </c>
    </row>
    <row r="60" spans="2:17">
      <c r="B60" s="16">
        <f t="shared" si="9"/>
        <v>4</v>
      </c>
      <c r="C60" s="16">
        <f ca="1">OFFSET($D$6,B60,COUNTIF($B$29:B60,B60))</f>
        <v>7003</v>
      </c>
      <c r="D60" s="16">
        <v>5103001</v>
      </c>
      <c r="E60" s="16">
        <f>_xlfn.XLOOKUP(D60,价值表!$D:$D,价值表!$C:$C)</f>
        <v/>
      </c>
      <c r="F60" s="16">
        <v>2000</v>
      </c>
      <c r="G60" s="41">
        <v>0.5</v>
      </c>
      <c r="H60" s="16">
        <f t="shared" si="7"/>
        <v>3</v>
      </c>
      <c r="I60" s="16">
        <f t="shared" si="8"/>
        <v>4.8</v>
      </c>
      <c r="J60" s="16">
        <v>1</v>
      </c>
      <c r="K60" s="16">
        <v>2</v>
      </c>
      <c r="L60" s="16" t="e">
        <f ca="1" t="shared" si="10"/>
        <v>#N/A</v>
      </c>
      <c r="M60" s="16" t="s">
        <v>591</v>
      </c>
      <c r="N60" s="16" cm="1">
        <f ca="1" t="array" ref="N60">IF(_xlfn.XLOOKUP($M60,$X$30:$X$34,$Y$30:$Y$34)&lt;=MATCH(N$29,$N$29:$O$29,0),SUMPRODUCT(--($C$91:$C$234=$C60),$G$91:$G$234,$J$91:$J$234)/SUMPRODUCT(--($J$91:$J$234&gt;0),$G$91:$G$234,--($C$91:$C$234=$C60))*MIN(H60,$L60),0)</f>
        <v>0</v>
      </c>
      <c r="O60" s="16" cm="1">
        <f ca="1" t="array" ref="O60">IF(_xlfn.XLOOKUP($M60,$X$30:$X$34,$Y$30:$Y$34)&lt;=MATCH(O$29,$N$29:$O$29,0),SUMPRODUCT(--($C$91:$C$234=$C60),$G$91:$G$234,$J$91:$J$234)/SUMPRODUCT(--($J$91:$J$234&gt;0),$G$91:$G$234,--($C$91:$C$234=$C60))*MIN(I60,$L60),0)</f>
        <v>0</v>
      </c>
      <c r="P60" s="16" cm="1">
        <f ca="1" t="array" ref="P60">IF(_xlfn.XLOOKUP($M60,$X$30:$X$34,$Y$30:$Y$34)&lt;=MATCH(N$29,$N$29:$O$29,0),SUMPRODUCT(--($C$91:$C$234=$C60),$G$91:$G$234,$F$91:$F$234,--($J$91:$J$234&gt;0))/SUMPRODUCT(--($J$91:$J$234&gt;0),$G$91:$G$234,--($C$91:$C$234=$C60))*MIN(H60,$L60),0)</f>
        <v>0</v>
      </c>
      <c r="Q60" s="16" cm="1">
        <f ca="1" t="array" ref="Q60">IF(_xlfn.XLOOKUP($M60,$X$30:$X$34,$Y$30:$Y$34)&lt;=MATCH(O$29,$N$29:$O$29,0),SUMPRODUCT(--($C$91:$C$234=$C60),$G$91:$G$234,$F$91:$F$234,--($J$91:$J$234&gt;0))/SUMPRODUCT(--($J$91:$J$234&gt;0),$G$91:$G$234,--($C$91:$C$234=$C60))*MIN(I60,$L60),0)</f>
        <v>0</v>
      </c>
    </row>
    <row r="61" spans="2:17">
      <c r="B61" s="16">
        <f t="shared" si="9"/>
        <v>4</v>
      </c>
      <c r="C61" s="16">
        <f ca="1">OFFSET($D$6,B61,COUNTIF($B$29:B61,B61))</f>
        <v>8001</v>
      </c>
      <c r="D61" s="16">
        <v>1310100</v>
      </c>
      <c r="E61" s="16">
        <f>_xlfn.XLOOKUP(D61,价值表!$D:$D,价值表!$C:$C)</f>
        <v/>
      </c>
      <c r="F61" s="16">
        <v>3200</v>
      </c>
      <c r="G61" s="41">
        <v>0.5</v>
      </c>
      <c r="H61" s="16">
        <f t="shared" si="7"/>
        <v>4.8</v>
      </c>
      <c r="I61" s="16">
        <f t="shared" si="8"/>
        <v>7.68</v>
      </c>
      <c r="J61" s="16">
        <v>1</v>
      </c>
      <c r="K61" s="16">
        <v>2</v>
      </c>
      <c r="L61" s="16" t="e">
        <f ca="1" t="shared" si="10"/>
        <v>#N/A</v>
      </c>
      <c r="M61" s="16" t="s">
        <v>591</v>
      </c>
      <c r="N61" s="16" cm="1">
        <f ca="1" t="array" ref="N61">IF(_xlfn.XLOOKUP($M61,$X$30:$X$34,$Y$30:$Y$34)&lt;=MATCH(N$29,$N$29:$O$29,0),SUMPRODUCT(--($C$91:$C$234=$C61),$G$91:$G$234,$J$91:$J$234)/SUMPRODUCT(--($J$91:$J$234&gt;0),$G$91:$G$234,--($C$91:$C$234=$C61))*MIN(H61,$L61),0)</f>
        <v>0</v>
      </c>
      <c r="O61" s="16" cm="1">
        <f ca="1" t="array" ref="O61">IF(_xlfn.XLOOKUP($M61,$X$30:$X$34,$Y$30:$Y$34)&lt;=MATCH(O$29,$N$29:$O$29,0),SUMPRODUCT(--($C$91:$C$234=$C61),$G$91:$G$234,$J$91:$J$234)/SUMPRODUCT(--($J$91:$J$234&gt;0),$G$91:$G$234,--($C$91:$C$234=$C61))*MIN(I61,$L61),0)</f>
        <v>0</v>
      </c>
      <c r="P61" s="16" cm="1">
        <f ca="1" t="array" ref="P61">IF(_xlfn.XLOOKUP($M61,$X$30:$X$34,$Y$30:$Y$34)&lt;=MATCH(N$29,$N$29:$O$29,0),SUMPRODUCT(--($C$91:$C$234=$C61),$G$91:$G$234,$F$91:$F$234,--($J$91:$J$234&gt;0))/SUMPRODUCT(--($J$91:$J$234&gt;0),$G$91:$G$234,--($C$91:$C$234=$C61))*MIN(H61,$L61),0)</f>
        <v>0</v>
      </c>
      <c r="Q61" s="16" cm="1">
        <f ca="1" t="array" ref="Q61">IF(_xlfn.XLOOKUP($M61,$X$30:$X$34,$Y$30:$Y$34)&lt;=MATCH(O$29,$N$29:$O$29,0),SUMPRODUCT(--($C$91:$C$234=$C61),$G$91:$G$234,$F$91:$F$234,--($J$91:$J$234&gt;0))/SUMPRODUCT(--($J$91:$J$234&gt;0),$G$91:$G$234,--($C$91:$C$234=$C61))*MIN(I61,$L61),0)</f>
        <v>0</v>
      </c>
    </row>
    <row r="62" spans="2:17">
      <c r="B62" s="16">
        <f t="shared" si="9"/>
        <v>5</v>
      </c>
      <c r="C62" s="16">
        <f ca="1">OFFSET($D$6,B62,COUNTIF($B$29:B62,B62))</f>
        <v>1002</v>
      </c>
      <c r="D62" s="16">
        <v>11</v>
      </c>
      <c r="E62" s="16">
        <f>_xlfn.XLOOKUP(D62,价值表!$D:$D,价值表!$C:$C)</f>
        <v/>
      </c>
      <c r="F62" s="16">
        <v>700</v>
      </c>
      <c r="G62" s="41">
        <v>0.5</v>
      </c>
      <c r="H62" s="16">
        <f t="shared" si="7"/>
        <v>1.05</v>
      </c>
      <c r="I62" s="16">
        <f t="shared" si="8"/>
        <v>1.68</v>
      </c>
      <c r="J62" s="16">
        <v>1</v>
      </c>
      <c r="K62" s="16">
        <v>2</v>
      </c>
      <c r="L62" s="16" t="e">
        <f ca="1" t="shared" si="10"/>
        <v>#N/A</v>
      </c>
      <c r="M62" s="16" t="s">
        <v>566</v>
      </c>
      <c r="N62" s="16" t="e" cm="1">
        <f ca="1" t="array" ref="N62">IF(_xlfn.XLOOKUP($M62,$X$30:$X$34,$Y$30:$Y$34)&lt;=MATCH(N$29,$N$29:$O$29,0),SUMPRODUCT(--($C$91:$C$234=$C62),$G$91:$G$234,$J$91:$J$234)/SUMPRODUCT(--($J$91:$J$234&gt;0),$G$91:$G$234,--($C$91:$C$234=$C62))*MIN(H62,$L62),0)</f>
        <v>#N/A</v>
      </c>
      <c r="O62" s="16" t="e" cm="1">
        <f ca="1" t="array" ref="O62">IF(_xlfn.XLOOKUP($M62,$X$30:$X$34,$Y$30:$Y$34)&lt;=MATCH(O$29,$N$29:$O$29,0),SUMPRODUCT(--($C$91:$C$234=$C62),$G$91:$G$234,$J$91:$J$234)/SUMPRODUCT(--($J$91:$J$234&gt;0),$G$91:$G$234,--($C$91:$C$234=$C62))*MIN(I62,$L62),0)</f>
        <v>#N/A</v>
      </c>
      <c r="P62" s="16" t="e" cm="1">
        <f ca="1" t="array" ref="P62">IF(_xlfn.XLOOKUP($M62,$X$30:$X$34,$Y$30:$Y$34)&lt;=MATCH(N$29,$N$29:$O$29,0),SUMPRODUCT(--($C$91:$C$234=$C62),$G$91:$G$234,$F$91:$F$234,--($J$91:$J$234&gt;0))/SUMPRODUCT(--($J$91:$J$234&gt;0),$G$91:$G$234,--($C$91:$C$234=$C62))*MIN(H62,$L62),0)</f>
        <v>#N/A</v>
      </c>
      <c r="Q62" s="16" t="e" cm="1">
        <f ca="1" t="array" ref="Q62">IF(_xlfn.XLOOKUP($M62,$X$30:$X$34,$Y$30:$Y$34)&lt;=MATCH(O$29,$N$29:$O$29,0),SUMPRODUCT(--($C$91:$C$234=$C62),$G$91:$G$234,$F$91:$F$234,--($J$91:$J$234&gt;0))/SUMPRODUCT(--($J$91:$J$234&gt;0),$G$91:$G$234,--($C$91:$C$234=$C62))*MIN(I62,$L62),0)</f>
        <v>#N/A</v>
      </c>
    </row>
    <row r="63" spans="2:17">
      <c r="B63" s="16">
        <f t="shared" si="9"/>
        <v>5</v>
      </c>
      <c r="C63" s="16">
        <f ca="1">OFFSET($D$6,B63,COUNTIF($B$29:B63,B63))</f>
        <v>2001</v>
      </c>
      <c r="D63" s="16">
        <v>9</v>
      </c>
      <c r="E63" s="16">
        <f>_xlfn.XLOOKUP(D63,价值表!$D:$D,价值表!$C:$C)</f>
        <v/>
      </c>
      <c r="F63" s="16">
        <v>600</v>
      </c>
      <c r="G63" s="41">
        <v>0.5</v>
      </c>
      <c r="H63" s="16">
        <f t="shared" si="7"/>
        <v>0.9</v>
      </c>
      <c r="I63" s="16">
        <f t="shared" si="8"/>
        <v>1.44</v>
      </c>
      <c r="J63" s="16">
        <v>1</v>
      </c>
      <c r="K63" s="16">
        <v>2</v>
      </c>
      <c r="L63" s="16" t="str">
        <f ca="1" t="shared" si="10"/>
        <v/>
      </c>
      <c r="M63" s="16" t="s">
        <v>566</v>
      </c>
      <c r="N63" s="16" cm="1">
        <f ca="1" t="array" ref="N63">IF(_xlfn.XLOOKUP($M63,$X$30:$X$34,$Y$30:$Y$34)&lt;=MATCH(N$29,$N$29:$O$29,0),SUMPRODUCT(--($C$91:$C$234=$C63),$G$91:$G$234,$J$91:$J$234)/SUMPRODUCT(--($J$91:$J$234&gt;0),$G$91:$G$234,--($C$91:$C$234=$C63))*MIN(H63,$L63),0)</f>
        <v>1800</v>
      </c>
      <c r="O63" s="16" cm="1">
        <f ca="1" t="array" ref="O63">IF(_xlfn.XLOOKUP($M63,$X$30:$X$34,$Y$30:$Y$34)&lt;=MATCH(O$29,$N$29:$O$29,0),SUMPRODUCT(--($C$91:$C$234=$C63),$G$91:$G$234,$J$91:$J$234)/SUMPRODUCT(--($J$91:$J$234&gt;0),$G$91:$G$234,--($C$91:$C$234=$C63))*MIN(I63,$L63),0)</f>
        <v>2880</v>
      </c>
      <c r="P63" s="16" cm="1">
        <f ca="1" t="array" ref="P63">IF(_xlfn.XLOOKUP($M63,$X$30:$X$34,$Y$30:$Y$34)&lt;=MATCH(N$29,$N$29:$O$29,0),SUMPRODUCT(--($C$91:$C$234=$C63),$G$91:$G$234,$F$91:$F$234,--($J$91:$J$234&gt;0))/SUMPRODUCT(--($J$91:$J$234&gt;0),$G$91:$G$234,--($C$91:$C$234=$C63))*MIN(H63,$L63),0)</f>
        <v>0.9</v>
      </c>
      <c r="Q63" s="16" cm="1">
        <f ca="1" t="array" ref="Q63">IF(_xlfn.XLOOKUP($M63,$X$30:$X$34,$Y$30:$Y$34)&lt;=MATCH(O$29,$N$29:$O$29,0),SUMPRODUCT(--($C$91:$C$234=$C63),$G$91:$G$234,$F$91:$F$234,--($J$91:$J$234&gt;0))/SUMPRODUCT(--($J$91:$J$234&gt;0),$G$91:$G$234,--($C$91:$C$234=$C63))*MIN(I63,$L63),0)</f>
        <v>1.44</v>
      </c>
    </row>
    <row r="64" spans="2:17">
      <c r="B64" s="16">
        <f t="shared" si="9"/>
        <v>5</v>
      </c>
      <c r="C64" s="16">
        <f ca="1">OFFSET($D$6,B64,COUNTIF($B$29:B64,B64))</f>
        <v>3001</v>
      </c>
      <c r="D64" s="16">
        <v>30</v>
      </c>
      <c r="E64" s="16">
        <f>_xlfn.XLOOKUP(D64,价值表!$D:$D,价值表!$C:$C)</f>
        <v/>
      </c>
      <c r="F64" s="16">
        <v>200</v>
      </c>
      <c r="G64" s="41">
        <v>0.5</v>
      </c>
      <c r="H64" s="16">
        <f t="shared" si="7"/>
        <v>0.3</v>
      </c>
      <c r="I64" s="16">
        <f t="shared" si="8"/>
        <v>0.48</v>
      </c>
      <c r="J64" s="16">
        <v>1</v>
      </c>
      <c r="K64" s="16">
        <v>2</v>
      </c>
      <c r="L64" s="16" t="str">
        <f ca="1" t="shared" si="10"/>
        <v/>
      </c>
      <c r="M64" s="16" t="s">
        <v>566</v>
      </c>
      <c r="N64" s="16" cm="1">
        <f ca="1" t="array" ref="N64">IF(_xlfn.XLOOKUP($M64,$X$30:$X$34,$Y$30:$Y$34)&lt;=MATCH(N$29,$N$29:$O$29,0),SUMPRODUCT(--($C$91:$C$234=$C64),$G$91:$G$234,$J$91:$J$234)/SUMPRODUCT(--($J$91:$J$234&gt;0),$G$91:$G$234,--($C$91:$C$234=$C64))*MIN(H64,$L64),0)</f>
        <v>3360</v>
      </c>
      <c r="O64" s="16" cm="1">
        <f ca="1" t="array" ref="O64">IF(_xlfn.XLOOKUP($M64,$X$30:$X$34,$Y$30:$Y$34)&lt;=MATCH(O$29,$N$29:$O$29,0),SUMPRODUCT(--($C$91:$C$234=$C64),$G$91:$G$234,$J$91:$J$234)/SUMPRODUCT(--($J$91:$J$234&gt;0),$G$91:$G$234,--($C$91:$C$234=$C64))*MIN(I64,$L64),0)</f>
        <v>5376</v>
      </c>
      <c r="P64" s="16" cm="1">
        <f ca="1" t="array" ref="P64">IF(_xlfn.XLOOKUP($M64,$X$30:$X$34,$Y$30:$Y$34)&lt;=MATCH(N$29,$N$29:$O$29,0),SUMPRODUCT(--($C$91:$C$234=$C64),$G$91:$G$234,$F$91:$F$234,--($J$91:$J$234&gt;0))/SUMPRODUCT(--($J$91:$J$234&gt;0),$G$91:$G$234,--($C$91:$C$234=$C64))*MIN(H64,$L64),0)</f>
        <v>0.3</v>
      </c>
      <c r="Q64" s="16" cm="1">
        <f ca="1" t="array" ref="Q64">IF(_xlfn.XLOOKUP($M64,$X$30:$X$34,$Y$30:$Y$34)&lt;=MATCH(O$29,$N$29:$O$29,0),SUMPRODUCT(--($C$91:$C$234=$C64),$G$91:$G$234,$F$91:$F$234,--($J$91:$J$234&gt;0))/SUMPRODUCT(--($J$91:$J$234&gt;0),$G$91:$G$234,--($C$91:$C$234=$C64))*MIN(I64,$L64),0)</f>
        <v>0.48</v>
      </c>
    </row>
    <row r="65" spans="2:17">
      <c r="B65" s="16">
        <f t="shared" si="9"/>
        <v>5</v>
      </c>
      <c r="C65" s="16">
        <f ca="1">OFFSET($D$6,B65,COUNTIF($B$29:B65,B65))</f>
        <v>4001</v>
      </c>
      <c r="D65" s="16">
        <v>5305001</v>
      </c>
      <c r="E65" s="16">
        <f>_xlfn.XLOOKUP(D65,价值表!$D:$D,价值表!$C:$C)</f>
        <v/>
      </c>
      <c r="F65" s="16">
        <v>300</v>
      </c>
      <c r="G65" s="41">
        <v>0.5</v>
      </c>
      <c r="H65" s="16">
        <f t="shared" si="7"/>
        <v>0.45</v>
      </c>
      <c r="I65" s="16">
        <f t="shared" si="8"/>
        <v>0.72</v>
      </c>
      <c r="J65" s="16">
        <v>1</v>
      </c>
      <c r="K65" s="16">
        <v>2</v>
      </c>
      <c r="L65" s="16" t="e">
        <f ca="1" t="shared" si="10"/>
        <v>#N/A</v>
      </c>
      <c r="M65" s="16" t="s">
        <v>566</v>
      </c>
      <c r="N65" s="16" t="e" cm="1">
        <f ca="1" t="array" ref="N65">IF(_xlfn.XLOOKUP($M65,$X$30:$X$34,$Y$30:$Y$34)&lt;=MATCH(N$29,$N$29:$O$29,0),SUMPRODUCT(--($C$91:$C$234=$C65),$G$91:$G$234,$J$91:$J$234)/SUMPRODUCT(--($J$91:$J$234&gt;0),$G$91:$G$234,--($C$91:$C$234=$C65))*MIN(H65,$L65),0)</f>
        <v>#N/A</v>
      </c>
      <c r="O65" s="16" t="e" cm="1">
        <f ca="1" t="array" ref="O65">IF(_xlfn.XLOOKUP($M65,$X$30:$X$34,$Y$30:$Y$34)&lt;=MATCH(O$29,$N$29:$O$29,0),SUMPRODUCT(--($C$91:$C$234=$C65),$G$91:$G$234,$J$91:$J$234)/SUMPRODUCT(--($J$91:$J$234&gt;0),$G$91:$G$234,--($C$91:$C$234=$C65))*MIN(I65,$L65),0)</f>
        <v>#N/A</v>
      </c>
      <c r="P65" s="16" t="e" cm="1">
        <f ca="1" t="array" ref="P65">IF(_xlfn.XLOOKUP($M65,$X$30:$X$34,$Y$30:$Y$34)&lt;=MATCH(N$29,$N$29:$O$29,0),SUMPRODUCT(--($C$91:$C$234=$C65),$G$91:$G$234,$F$91:$F$234,--($J$91:$J$234&gt;0))/SUMPRODUCT(--($J$91:$J$234&gt;0),$G$91:$G$234,--($C$91:$C$234=$C65))*MIN(H65,$L65),0)</f>
        <v>#N/A</v>
      </c>
      <c r="Q65" s="16" t="e" cm="1">
        <f ca="1" t="array" ref="Q65">IF(_xlfn.XLOOKUP($M65,$X$30:$X$34,$Y$30:$Y$34)&lt;=MATCH(O$29,$N$29:$O$29,0),SUMPRODUCT(--($C$91:$C$234=$C65),$G$91:$G$234,$F$91:$F$234,--($J$91:$J$234&gt;0))/SUMPRODUCT(--($J$91:$J$234&gt;0),$G$91:$G$234,--($C$91:$C$234=$C65))*MIN(I65,$L65),0)</f>
        <v>#N/A</v>
      </c>
    </row>
    <row r="66" spans="2:17">
      <c r="B66" s="16">
        <f t="shared" si="9"/>
        <v>5</v>
      </c>
      <c r="C66" s="16">
        <f ca="1">OFFSET($D$6,B66,COUNTIF($B$29:B66,B66))</f>
        <v>5002</v>
      </c>
      <c r="D66" s="16">
        <v>50002</v>
      </c>
      <c r="E66" s="16">
        <f>_xlfn.XLOOKUP(D66,价值表!$D:$D,价值表!$C:$C)</f>
        <v/>
      </c>
      <c r="F66" s="16">
        <v>2400</v>
      </c>
      <c r="G66" s="41">
        <v>0.5</v>
      </c>
      <c r="H66" s="16">
        <f t="shared" si="7"/>
        <v>3.6</v>
      </c>
      <c r="I66" s="16">
        <f t="shared" si="8"/>
        <v>5.76</v>
      </c>
      <c r="J66" s="16">
        <v>1</v>
      </c>
      <c r="K66" s="16">
        <v>2</v>
      </c>
      <c r="L66" s="16" t="e">
        <f ca="1" t="shared" si="10"/>
        <v>#N/A</v>
      </c>
      <c r="M66" s="16" t="s">
        <v>566</v>
      </c>
      <c r="N66" s="16" t="e" cm="1">
        <f ca="1" t="array" ref="N66">IF(_xlfn.XLOOKUP($M66,$X$30:$X$34,$Y$30:$Y$34)&lt;=MATCH(N$29,$N$29:$O$29,0),SUMPRODUCT(--($C$91:$C$234=$C66),$G$91:$G$234,$J$91:$J$234)/SUMPRODUCT(--($J$91:$J$234&gt;0),$G$91:$G$234,--($C$91:$C$234=$C66))*MIN(H66,$L66),0)</f>
        <v>#N/A</v>
      </c>
      <c r="O66" s="16" t="e" cm="1">
        <f ca="1" t="array" ref="O66">IF(_xlfn.XLOOKUP($M66,$X$30:$X$34,$Y$30:$Y$34)&lt;=MATCH(O$29,$N$29:$O$29,0),SUMPRODUCT(--($C$91:$C$234=$C66),$G$91:$G$234,$J$91:$J$234)/SUMPRODUCT(--($J$91:$J$234&gt;0),$G$91:$G$234,--($C$91:$C$234=$C66))*MIN(I66,$L66),0)</f>
        <v>#N/A</v>
      </c>
      <c r="P66" s="16" t="e" cm="1">
        <f ca="1" t="array" ref="P66">IF(_xlfn.XLOOKUP($M66,$X$30:$X$34,$Y$30:$Y$34)&lt;=MATCH(N$29,$N$29:$O$29,0),SUMPRODUCT(--($C$91:$C$234=$C66),$G$91:$G$234,$F$91:$F$234,--($J$91:$J$234&gt;0))/SUMPRODUCT(--($J$91:$J$234&gt;0),$G$91:$G$234,--($C$91:$C$234=$C66))*MIN(H66,$L66),0)</f>
        <v>#N/A</v>
      </c>
      <c r="Q66" s="16" t="e" cm="1">
        <f ca="1" t="array" ref="Q66">IF(_xlfn.XLOOKUP($M66,$X$30:$X$34,$Y$30:$Y$34)&lt;=MATCH(O$29,$N$29:$O$29,0),SUMPRODUCT(--($C$91:$C$234=$C66),$G$91:$G$234,$F$91:$F$234,--($J$91:$J$234&gt;0))/SUMPRODUCT(--($J$91:$J$234&gt;0),$G$91:$G$234,--($C$91:$C$234=$C66))*MIN(I66,$L66),0)</f>
        <v>#N/A</v>
      </c>
    </row>
    <row r="67" spans="2:17">
      <c r="B67" s="16">
        <f t="shared" si="9"/>
        <v>5</v>
      </c>
      <c r="C67" s="16">
        <f ca="1">OFFSET($D$6,B67,COUNTIF($B$29:B67,B67))</f>
        <v>6003</v>
      </c>
      <c r="D67" s="16">
        <v>5203001</v>
      </c>
      <c r="E67" s="16">
        <f>_xlfn.XLOOKUP(D67,价值表!$D:$D,价值表!$C:$C)</f>
        <v/>
      </c>
      <c r="F67" s="16">
        <v>600</v>
      </c>
      <c r="G67" s="41">
        <v>0.5</v>
      </c>
      <c r="H67" s="16">
        <f t="shared" si="7"/>
        <v>0.9</v>
      </c>
      <c r="I67" s="16">
        <f t="shared" si="8"/>
        <v>1.44</v>
      </c>
      <c r="J67" s="16">
        <v>1</v>
      </c>
      <c r="K67" s="16">
        <v>2</v>
      </c>
      <c r="L67" s="16" t="e">
        <f ca="1" t="shared" si="10"/>
        <v>#N/A</v>
      </c>
      <c r="M67" s="16" t="s">
        <v>586</v>
      </c>
      <c r="N67" s="16" cm="1">
        <f ca="1" t="array" ref="N67">IF(_xlfn.XLOOKUP($M67,$X$30:$X$34,$Y$30:$Y$34)&lt;=MATCH(N$29,$N$29:$O$29,0),SUMPRODUCT(--($C$91:$C$234=$C67),$G$91:$G$234,$J$91:$J$234)/SUMPRODUCT(--($J$91:$J$234&gt;0),$G$91:$G$234,--($C$91:$C$234=$C67))*MIN(H67,$L67),0)</f>
        <v>0</v>
      </c>
      <c r="O67" s="16" t="e" cm="1">
        <f ca="1" t="array" ref="O67">IF(_xlfn.XLOOKUP($M67,$X$30:$X$34,$Y$30:$Y$34)&lt;=MATCH(O$29,$N$29:$O$29,0),SUMPRODUCT(--($C$91:$C$234=$C67),$G$91:$G$234,$J$91:$J$234)/SUMPRODUCT(--($J$91:$J$234&gt;0),$G$91:$G$234,--($C$91:$C$234=$C67))*MIN(I67,$L67),0)</f>
        <v>#N/A</v>
      </c>
      <c r="P67" s="16" cm="1">
        <f ca="1" t="array" ref="P67">IF(_xlfn.XLOOKUP($M67,$X$30:$X$34,$Y$30:$Y$34)&lt;=MATCH(N$29,$N$29:$O$29,0),SUMPRODUCT(--($C$91:$C$234=$C67),$G$91:$G$234,$F$91:$F$234,--($J$91:$J$234&gt;0))/SUMPRODUCT(--($J$91:$J$234&gt;0),$G$91:$G$234,--($C$91:$C$234=$C67))*MIN(H67,$L67),0)</f>
        <v>0</v>
      </c>
      <c r="Q67" s="16" t="e" cm="1">
        <f ca="1" t="array" ref="Q67">IF(_xlfn.XLOOKUP($M67,$X$30:$X$34,$Y$30:$Y$34)&lt;=MATCH(O$29,$N$29:$O$29,0),SUMPRODUCT(--($C$91:$C$234=$C67),$G$91:$G$234,$F$91:$F$234,--($J$91:$J$234&gt;0))/SUMPRODUCT(--($J$91:$J$234&gt;0),$G$91:$G$234,--($C$91:$C$234=$C67))*MIN(I67,$L67),0)</f>
        <v>#N/A</v>
      </c>
    </row>
    <row r="68" spans="2:17">
      <c r="B68" s="16">
        <f t="shared" si="9"/>
        <v>5</v>
      </c>
      <c r="C68" s="16">
        <f ca="1">OFFSET($D$6,B68,COUNTIF($B$29:B68,B68))</f>
        <v>7003</v>
      </c>
      <c r="D68" s="16">
        <v>5103001</v>
      </c>
      <c r="E68" s="16">
        <f>_xlfn.XLOOKUP(D68,价值表!$D:$D,价值表!$C:$C)</f>
        <v/>
      </c>
      <c r="F68" s="16">
        <v>2000</v>
      </c>
      <c r="G68" s="41">
        <v>0.5</v>
      </c>
      <c r="H68" s="16">
        <f t="shared" si="7"/>
        <v>3</v>
      </c>
      <c r="I68" s="16">
        <f t="shared" si="8"/>
        <v>4.8</v>
      </c>
      <c r="J68" s="16">
        <v>1</v>
      </c>
      <c r="K68" s="16">
        <v>2</v>
      </c>
      <c r="L68" s="16" t="e">
        <f ca="1" t="shared" si="10"/>
        <v>#N/A</v>
      </c>
      <c r="M68" s="16" t="s">
        <v>591</v>
      </c>
      <c r="N68" s="16" cm="1">
        <f ca="1" t="array" ref="N68">IF(_xlfn.XLOOKUP($M68,$X$30:$X$34,$Y$30:$Y$34)&lt;=MATCH(N$29,$N$29:$O$29,0),SUMPRODUCT(--($C$91:$C$234=$C68),$G$91:$G$234,$J$91:$J$234)/SUMPRODUCT(--($J$91:$J$234&gt;0),$G$91:$G$234,--($C$91:$C$234=$C68))*MIN(H68,$L68),0)</f>
        <v>0</v>
      </c>
      <c r="O68" s="16" cm="1">
        <f ca="1" t="array" ref="O68">IF(_xlfn.XLOOKUP($M68,$X$30:$X$34,$Y$30:$Y$34)&lt;=MATCH(O$29,$N$29:$O$29,0),SUMPRODUCT(--($C$91:$C$234=$C68),$G$91:$G$234,$J$91:$J$234)/SUMPRODUCT(--($J$91:$J$234&gt;0),$G$91:$G$234,--($C$91:$C$234=$C68))*MIN(I68,$L68),0)</f>
        <v>0</v>
      </c>
      <c r="P68" s="16" cm="1">
        <f ca="1" t="array" ref="P68">IF(_xlfn.XLOOKUP($M68,$X$30:$X$34,$Y$30:$Y$34)&lt;=MATCH(N$29,$N$29:$O$29,0),SUMPRODUCT(--($C$91:$C$234=$C68),$G$91:$G$234,$F$91:$F$234,--($J$91:$J$234&gt;0))/SUMPRODUCT(--($J$91:$J$234&gt;0),$G$91:$G$234,--($C$91:$C$234=$C68))*MIN(H68,$L68),0)</f>
        <v>0</v>
      </c>
      <c r="Q68" s="16" cm="1">
        <f ca="1" t="array" ref="Q68">IF(_xlfn.XLOOKUP($M68,$X$30:$X$34,$Y$30:$Y$34)&lt;=MATCH(O$29,$N$29:$O$29,0),SUMPRODUCT(--($C$91:$C$234=$C68),$G$91:$G$234,$F$91:$F$234,--($J$91:$J$234&gt;0))/SUMPRODUCT(--($J$91:$J$234&gt;0),$G$91:$G$234,--($C$91:$C$234=$C68))*MIN(I68,$L68),0)</f>
        <v>0</v>
      </c>
    </row>
    <row r="69" spans="2:17">
      <c r="B69" s="16">
        <f t="shared" si="9"/>
        <v>5</v>
      </c>
      <c r="C69" s="16">
        <f ca="1">OFFSET($D$6,B69,COUNTIF($B$29:B69,B69))</f>
        <v>8001</v>
      </c>
      <c r="D69" s="16">
        <v>1310100</v>
      </c>
      <c r="E69" s="16">
        <f>_xlfn.XLOOKUP(D69,价值表!$D:$D,价值表!$C:$C)</f>
        <v/>
      </c>
      <c r="F69" s="16">
        <v>3200</v>
      </c>
      <c r="G69" s="41">
        <v>0.5</v>
      </c>
      <c r="H69" s="16">
        <f t="shared" si="7"/>
        <v>4.8</v>
      </c>
      <c r="I69" s="16">
        <f t="shared" si="8"/>
        <v>7.68</v>
      </c>
      <c r="J69" s="16">
        <v>1</v>
      </c>
      <c r="K69" s="16">
        <v>2</v>
      </c>
      <c r="L69" s="16" t="e">
        <f ca="1" t="shared" si="10"/>
        <v>#N/A</v>
      </c>
      <c r="M69" s="16" t="s">
        <v>591</v>
      </c>
      <c r="N69" s="16" cm="1">
        <f ca="1" t="array" ref="N69">IF(_xlfn.XLOOKUP($M69,$X$30:$X$34,$Y$30:$Y$34)&lt;=MATCH(N$29,$N$29:$O$29,0),SUMPRODUCT(--($C$91:$C$234=$C69),$G$91:$G$234,$J$91:$J$234)/SUMPRODUCT(--($J$91:$J$234&gt;0),$G$91:$G$234,--($C$91:$C$234=$C69))*MIN(H69,$L69),0)</f>
        <v>0</v>
      </c>
      <c r="O69" s="16" cm="1">
        <f ca="1" t="array" ref="O69">IF(_xlfn.XLOOKUP($M69,$X$30:$X$34,$Y$30:$Y$34)&lt;=MATCH(O$29,$N$29:$O$29,0),SUMPRODUCT(--($C$91:$C$234=$C69),$G$91:$G$234,$J$91:$J$234)/SUMPRODUCT(--($J$91:$J$234&gt;0),$G$91:$G$234,--($C$91:$C$234=$C69))*MIN(I69,$L69),0)</f>
        <v>0</v>
      </c>
      <c r="P69" s="16" cm="1">
        <f ca="1" t="array" ref="P69">IF(_xlfn.XLOOKUP($M69,$X$30:$X$34,$Y$30:$Y$34)&lt;=MATCH(N$29,$N$29:$O$29,0),SUMPRODUCT(--($C$91:$C$234=$C69),$G$91:$G$234,$F$91:$F$234,--($J$91:$J$234&gt;0))/SUMPRODUCT(--($J$91:$J$234&gt;0),$G$91:$G$234,--($C$91:$C$234=$C69))*MIN(H69,$L69),0)</f>
        <v>0</v>
      </c>
      <c r="Q69" s="16" cm="1">
        <f ca="1" t="array" ref="Q69">IF(_xlfn.XLOOKUP($M69,$X$30:$X$34,$Y$30:$Y$34)&lt;=MATCH(O$29,$N$29:$O$29,0),SUMPRODUCT(--($C$91:$C$234=$C69),$G$91:$G$234,$F$91:$F$234,--($J$91:$J$234&gt;0))/SUMPRODUCT(--($J$91:$J$234&gt;0),$G$91:$G$234,--($C$91:$C$234=$C69))*MIN(I69,$L69),0)</f>
        <v>0</v>
      </c>
    </row>
    <row r="70" spans="2:17">
      <c r="B70" s="16">
        <f t="shared" si="9"/>
        <v>6</v>
      </c>
      <c r="C70" s="16">
        <f ca="1">OFFSET($D$6,B70,COUNTIF($B$29:B70,B70))</f>
        <v>1002</v>
      </c>
      <c r="D70" s="16">
        <v>11</v>
      </c>
      <c r="E70" s="16">
        <f>_xlfn.XLOOKUP(D70,价值表!$D:$D,价值表!$C:$C)</f>
        <v/>
      </c>
      <c r="F70" s="16">
        <v>700</v>
      </c>
      <c r="G70" s="41">
        <v>0.5</v>
      </c>
      <c r="H70" s="16">
        <f t="shared" si="7"/>
        <v>1.05</v>
      </c>
      <c r="I70" s="16">
        <f t="shared" si="8"/>
        <v>1.68</v>
      </c>
      <c r="J70" s="16">
        <v>1</v>
      </c>
      <c r="K70" s="16">
        <v>2</v>
      </c>
      <c r="L70" s="16" t="e">
        <f ca="1" t="shared" si="10"/>
        <v>#N/A</v>
      </c>
      <c r="M70" s="16" t="s">
        <v>566</v>
      </c>
      <c r="N70" s="16" t="e" cm="1">
        <f ca="1" t="array" ref="N70">IF(_xlfn.XLOOKUP($M70,$X$30:$X$34,$Y$30:$Y$34)&lt;=MATCH(N$29,$N$29:$O$29,0),SUMPRODUCT(--($C$91:$C$234=$C70),$G$91:$G$234,$J$91:$J$234)/SUMPRODUCT(--($J$91:$J$234&gt;0),$G$91:$G$234,--($C$91:$C$234=$C70))*MIN(H70,$L70),0)</f>
        <v>#N/A</v>
      </c>
      <c r="O70" s="16" t="e" cm="1">
        <f ca="1" t="array" ref="O70">IF(_xlfn.XLOOKUP($M70,$X$30:$X$34,$Y$30:$Y$34)&lt;=MATCH(O$29,$N$29:$O$29,0),SUMPRODUCT(--($C$91:$C$234=$C70),$G$91:$G$234,$J$91:$J$234)/SUMPRODUCT(--($J$91:$J$234&gt;0),$G$91:$G$234,--($C$91:$C$234=$C70))*MIN(I70,$L70),0)</f>
        <v>#N/A</v>
      </c>
      <c r="P70" s="16" t="e" cm="1">
        <f ca="1" t="array" ref="P70">IF(_xlfn.XLOOKUP($M70,$X$30:$X$34,$Y$30:$Y$34)&lt;=MATCH(N$29,$N$29:$O$29,0),SUMPRODUCT(--($C$91:$C$234=$C70),$G$91:$G$234,$F$91:$F$234,--($J$91:$J$234&gt;0))/SUMPRODUCT(--($J$91:$J$234&gt;0),$G$91:$G$234,--($C$91:$C$234=$C70))*MIN(H70,$L70),0)</f>
        <v>#N/A</v>
      </c>
      <c r="Q70" s="16" t="e" cm="1">
        <f ca="1" t="array" ref="Q70">IF(_xlfn.XLOOKUP($M70,$X$30:$X$34,$Y$30:$Y$34)&lt;=MATCH(O$29,$N$29:$O$29,0),SUMPRODUCT(--($C$91:$C$234=$C70),$G$91:$G$234,$F$91:$F$234,--($J$91:$J$234&gt;0))/SUMPRODUCT(--($J$91:$J$234&gt;0),$G$91:$G$234,--($C$91:$C$234=$C70))*MIN(I70,$L70),0)</f>
        <v>#N/A</v>
      </c>
    </row>
    <row r="71" spans="2:17">
      <c r="B71" s="16">
        <f t="shared" si="9"/>
        <v>6</v>
      </c>
      <c r="C71" s="16">
        <f ca="1">OFFSET($D$6,B71,COUNTIF($B$29:B71,B71))</f>
        <v>2001</v>
      </c>
      <c r="D71" s="16">
        <v>9</v>
      </c>
      <c r="E71" s="16">
        <f>_xlfn.XLOOKUP(D71,价值表!$D:$D,价值表!$C:$C)</f>
        <v/>
      </c>
      <c r="F71" s="16">
        <v>600</v>
      </c>
      <c r="G71" s="41">
        <v>0.5</v>
      </c>
      <c r="H71" s="16">
        <f t="shared" si="7"/>
        <v>0.9</v>
      </c>
      <c r="I71" s="16">
        <f t="shared" si="8"/>
        <v>1.44</v>
      </c>
      <c r="J71" s="16">
        <v>1</v>
      </c>
      <c r="K71" s="16">
        <v>2</v>
      </c>
      <c r="L71" s="16" t="str">
        <f ca="1" t="shared" si="10"/>
        <v/>
      </c>
      <c r="M71" s="16" t="s">
        <v>566</v>
      </c>
      <c r="N71" s="16" cm="1">
        <f ca="1" t="array" ref="N71">IF(_xlfn.XLOOKUP($M71,$X$30:$X$34,$Y$30:$Y$34)&lt;=MATCH(N$29,$N$29:$O$29,0),SUMPRODUCT(--($C$91:$C$234=$C71),$G$91:$G$234,$J$91:$J$234)/SUMPRODUCT(--($J$91:$J$234&gt;0),$G$91:$G$234,--($C$91:$C$234=$C71))*MIN(H71,$L71),0)</f>
        <v>1800</v>
      </c>
      <c r="O71" s="16" cm="1">
        <f ca="1" t="array" ref="O71">IF(_xlfn.XLOOKUP($M71,$X$30:$X$34,$Y$30:$Y$34)&lt;=MATCH(O$29,$N$29:$O$29,0),SUMPRODUCT(--($C$91:$C$234=$C71),$G$91:$G$234,$J$91:$J$234)/SUMPRODUCT(--($J$91:$J$234&gt;0),$G$91:$G$234,--($C$91:$C$234=$C71))*MIN(I71,$L71),0)</f>
        <v>2880</v>
      </c>
      <c r="P71" s="16" cm="1">
        <f ca="1" t="array" ref="P71">IF(_xlfn.XLOOKUP($M71,$X$30:$X$34,$Y$30:$Y$34)&lt;=MATCH(N$29,$N$29:$O$29,0),SUMPRODUCT(--($C$91:$C$234=$C71),$G$91:$G$234,$F$91:$F$234,--($J$91:$J$234&gt;0))/SUMPRODUCT(--($J$91:$J$234&gt;0),$G$91:$G$234,--($C$91:$C$234=$C71))*MIN(H71,$L71),0)</f>
        <v>0.9</v>
      </c>
      <c r="Q71" s="16" cm="1">
        <f ca="1" t="array" ref="Q71">IF(_xlfn.XLOOKUP($M71,$X$30:$X$34,$Y$30:$Y$34)&lt;=MATCH(O$29,$N$29:$O$29,0),SUMPRODUCT(--($C$91:$C$234=$C71),$G$91:$G$234,$F$91:$F$234,--($J$91:$J$234&gt;0))/SUMPRODUCT(--($J$91:$J$234&gt;0),$G$91:$G$234,--($C$91:$C$234=$C71))*MIN(I71,$L71),0)</f>
        <v>1.44</v>
      </c>
    </row>
    <row r="72" spans="2:17">
      <c r="B72" s="16">
        <f t="shared" si="9"/>
        <v>6</v>
      </c>
      <c r="C72" s="16">
        <f ca="1">OFFSET($D$6,B72,COUNTIF($B$29:B72,B72))</f>
        <v>3001</v>
      </c>
      <c r="D72" s="16">
        <v>30</v>
      </c>
      <c r="E72" s="16">
        <f>_xlfn.XLOOKUP(D72,价值表!$D:$D,价值表!$C:$C)</f>
        <v/>
      </c>
      <c r="F72" s="16">
        <v>200</v>
      </c>
      <c r="G72" s="41">
        <v>0.5</v>
      </c>
      <c r="H72" s="16">
        <f t="shared" si="7"/>
        <v>0.3</v>
      </c>
      <c r="I72" s="16">
        <f t="shared" si="8"/>
        <v>0.48</v>
      </c>
      <c r="J72" s="16">
        <v>1</v>
      </c>
      <c r="K72" s="16">
        <v>2</v>
      </c>
      <c r="L72" s="16" t="str">
        <f ca="1" t="shared" si="10"/>
        <v/>
      </c>
      <c r="M72" s="16" t="s">
        <v>566</v>
      </c>
      <c r="N72" s="16" cm="1">
        <f ca="1" t="array" ref="N72">IF(_xlfn.XLOOKUP($M72,$X$30:$X$34,$Y$30:$Y$34)&lt;=MATCH(N$29,$N$29:$O$29,0),SUMPRODUCT(--($C$91:$C$234=$C72),$G$91:$G$234,$J$91:$J$234)/SUMPRODUCT(--($J$91:$J$234&gt;0),$G$91:$G$234,--($C$91:$C$234=$C72))*MIN(H72,$L72),0)</f>
        <v>3360</v>
      </c>
      <c r="O72" s="16" cm="1">
        <f ca="1" t="array" ref="O72">IF(_xlfn.XLOOKUP($M72,$X$30:$X$34,$Y$30:$Y$34)&lt;=MATCH(O$29,$N$29:$O$29,0),SUMPRODUCT(--($C$91:$C$234=$C72),$G$91:$G$234,$J$91:$J$234)/SUMPRODUCT(--($J$91:$J$234&gt;0),$G$91:$G$234,--($C$91:$C$234=$C72))*MIN(I72,$L72),0)</f>
        <v>5376</v>
      </c>
      <c r="P72" s="16" cm="1">
        <f ca="1" t="array" ref="P72">IF(_xlfn.XLOOKUP($M72,$X$30:$X$34,$Y$30:$Y$34)&lt;=MATCH(N$29,$N$29:$O$29,0),SUMPRODUCT(--($C$91:$C$234=$C72),$G$91:$G$234,$F$91:$F$234,--($J$91:$J$234&gt;0))/SUMPRODUCT(--($J$91:$J$234&gt;0),$G$91:$G$234,--($C$91:$C$234=$C72))*MIN(H72,$L72),0)</f>
        <v>0.3</v>
      </c>
      <c r="Q72" s="16" cm="1">
        <f ca="1" t="array" ref="Q72">IF(_xlfn.XLOOKUP($M72,$X$30:$X$34,$Y$30:$Y$34)&lt;=MATCH(O$29,$N$29:$O$29,0),SUMPRODUCT(--($C$91:$C$234=$C72),$G$91:$G$234,$F$91:$F$234,--($J$91:$J$234&gt;0))/SUMPRODUCT(--($J$91:$J$234&gt;0),$G$91:$G$234,--($C$91:$C$234=$C72))*MIN(I72,$L72),0)</f>
        <v>0.48</v>
      </c>
    </row>
    <row r="73" spans="2:17">
      <c r="B73" s="16">
        <f t="shared" si="9"/>
        <v>6</v>
      </c>
      <c r="C73" s="16">
        <f ca="1">OFFSET($D$6,B73,COUNTIF($B$29:B73,B73))</f>
        <v>4001</v>
      </c>
      <c r="D73" s="16">
        <v>5305001</v>
      </c>
      <c r="E73" s="16">
        <f>_xlfn.XLOOKUP(D73,价值表!$D:$D,价值表!$C:$C)</f>
        <v/>
      </c>
      <c r="F73" s="16">
        <v>300</v>
      </c>
      <c r="G73" s="41">
        <v>0.5</v>
      </c>
      <c r="H73" s="16">
        <f t="shared" si="7"/>
        <v>0.45</v>
      </c>
      <c r="I73" s="16">
        <f t="shared" si="8"/>
        <v>0.72</v>
      </c>
      <c r="J73" s="16">
        <v>1</v>
      </c>
      <c r="K73" s="16">
        <v>2</v>
      </c>
      <c r="L73" s="16" t="e">
        <f ca="1" t="shared" si="10"/>
        <v>#N/A</v>
      </c>
      <c r="M73" s="16" t="s">
        <v>566</v>
      </c>
      <c r="N73" s="16" t="e" cm="1">
        <f ca="1" t="array" ref="N73">IF(_xlfn.XLOOKUP($M73,$X$30:$X$34,$Y$30:$Y$34)&lt;=MATCH(N$29,$N$29:$O$29,0),SUMPRODUCT(--($C$91:$C$234=$C73),$G$91:$G$234,$J$91:$J$234)/SUMPRODUCT(--($J$91:$J$234&gt;0),$G$91:$G$234,--($C$91:$C$234=$C73))*MIN(H73,$L73),0)</f>
        <v>#N/A</v>
      </c>
      <c r="O73" s="16" t="e" cm="1">
        <f ca="1" t="array" ref="O73">IF(_xlfn.XLOOKUP($M73,$X$30:$X$34,$Y$30:$Y$34)&lt;=MATCH(O$29,$N$29:$O$29,0),SUMPRODUCT(--($C$91:$C$234=$C73),$G$91:$G$234,$J$91:$J$234)/SUMPRODUCT(--($J$91:$J$234&gt;0),$G$91:$G$234,--($C$91:$C$234=$C73))*MIN(I73,$L73),0)</f>
        <v>#N/A</v>
      </c>
      <c r="P73" s="16" t="e" cm="1">
        <f ca="1" t="array" ref="P73">IF(_xlfn.XLOOKUP($M73,$X$30:$X$34,$Y$30:$Y$34)&lt;=MATCH(N$29,$N$29:$O$29,0),SUMPRODUCT(--($C$91:$C$234=$C73),$G$91:$G$234,$F$91:$F$234,--($J$91:$J$234&gt;0))/SUMPRODUCT(--($J$91:$J$234&gt;0),$G$91:$G$234,--($C$91:$C$234=$C73))*MIN(H73,$L73),0)</f>
        <v>#N/A</v>
      </c>
      <c r="Q73" s="16" t="e" cm="1">
        <f ca="1" t="array" ref="Q73">IF(_xlfn.XLOOKUP($M73,$X$30:$X$34,$Y$30:$Y$34)&lt;=MATCH(O$29,$N$29:$O$29,0),SUMPRODUCT(--($C$91:$C$234=$C73),$G$91:$G$234,$F$91:$F$234,--($J$91:$J$234&gt;0))/SUMPRODUCT(--($J$91:$J$234&gt;0),$G$91:$G$234,--($C$91:$C$234=$C73))*MIN(I73,$L73),0)</f>
        <v>#N/A</v>
      </c>
    </row>
    <row r="74" spans="2:17">
      <c r="B74" s="16">
        <f t="shared" si="9"/>
        <v>6</v>
      </c>
      <c r="C74" s="16">
        <f ca="1">OFFSET($D$6,B74,COUNTIF($B$29:B74,B74))</f>
        <v>5003</v>
      </c>
      <c r="D74" s="16">
        <v>50002</v>
      </c>
      <c r="E74" s="16">
        <f>_xlfn.XLOOKUP(D74,价值表!$D:$D,价值表!$C:$C)</f>
        <v/>
      </c>
      <c r="F74" s="16">
        <v>2400</v>
      </c>
      <c r="G74" s="41">
        <v>0.5</v>
      </c>
      <c r="H74" s="16">
        <f t="shared" si="7"/>
        <v>3.6</v>
      </c>
      <c r="I74" s="16">
        <f t="shared" si="8"/>
        <v>5.76</v>
      </c>
      <c r="J74" s="16">
        <v>1</v>
      </c>
      <c r="K74" s="16">
        <v>2</v>
      </c>
      <c r="L74" s="16" t="e">
        <f ca="1" t="shared" si="10"/>
        <v>#N/A</v>
      </c>
      <c r="M74" s="16" t="s">
        <v>566</v>
      </c>
      <c r="N74" s="16" t="e" cm="1">
        <f ca="1" t="array" ref="N74">IF(_xlfn.XLOOKUP($M74,$X$30:$X$34,$Y$30:$Y$34)&lt;=MATCH(N$29,$N$29:$O$29,0),SUMPRODUCT(--($C$91:$C$234=$C74),$G$91:$G$234,$J$91:$J$234)/SUMPRODUCT(--($J$91:$J$234&gt;0),$G$91:$G$234,--($C$91:$C$234=$C74))*MIN(H74,$L74),0)</f>
        <v>#N/A</v>
      </c>
      <c r="O74" s="16" t="e" cm="1">
        <f ca="1" t="array" ref="O74">IF(_xlfn.XLOOKUP($M74,$X$30:$X$34,$Y$30:$Y$34)&lt;=MATCH(O$29,$N$29:$O$29,0),SUMPRODUCT(--($C$91:$C$234=$C74),$G$91:$G$234,$J$91:$J$234)/SUMPRODUCT(--($J$91:$J$234&gt;0),$G$91:$G$234,--($C$91:$C$234=$C74))*MIN(I74,$L74),0)</f>
        <v>#N/A</v>
      </c>
      <c r="P74" s="16" t="e" cm="1">
        <f ca="1" t="array" ref="P74">IF(_xlfn.XLOOKUP($M74,$X$30:$X$34,$Y$30:$Y$34)&lt;=MATCH(N$29,$N$29:$O$29,0),SUMPRODUCT(--($C$91:$C$234=$C74),$G$91:$G$234,$F$91:$F$234,--($J$91:$J$234&gt;0))/SUMPRODUCT(--($J$91:$J$234&gt;0),$G$91:$G$234,--($C$91:$C$234=$C74))*MIN(H74,$L74),0)</f>
        <v>#N/A</v>
      </c>
      <c r="Q74" s="16" t="e" cm="1">
        <f ca="1" t="array" ref="Q74">IF(_xlfn.XLOOKUP($M74,$X$30:$X$34,$Y$30:$Y$34)&lt;=MATCH(O$29,$N$29:$O$29,0),SUMPRODUCT(--($C$91:$C$234=$C74),$G$91:$G$234,$F$91:$F$234,--($J$91:$J$234&gt;0))/SUMPRODUCT(--($J$91:$J$234&gt;0),$G$91:$G$234,--($C$91:$C$234=$C74))*MIN(I74,$L74),0)</f>
        <v>#N/A</v>
      </c>
    </row>
    <row r="75" spans="2:17">
      <c r="B75" s="16">
        <f t="shared" si="9"/>
        <v>6</v>
      </c>
      <c r="C75" s="16">
        <f ca="1">OFFSET($D$6,B75,COUNTIF($B$29:B75,B75))</f>
        <v>6003</v>
      </c>
      <c r="D75" s="16">
        <v>5203001</v>
      </c>
      <c r="E75" s="16">
        <f>_xlfn.XLOOKUP(D75,价值表!$D:$D,价值表!$C:$C)</f>
        <v/>
      </c>
      <c r="F75" s="16">
        <v>600</v>
      </c>
      <c r="G75" s="41">
        <v>0.5</v>
      </c>
      <c r="H75" s="16">
        <f t="shared" si="7"/>
        <v>0.9</v>
      </c>
      <c r="I75" s="16">
        <f t="shared" si="8"/>
        <v>1.44</v>
      </c>
      <c r="J75" s="16">
        <v>1</v>
      </c>
      <c r="K75" s="16">
        <v>2</v>
      </c>
      <c r="L75" s="16" t="e">
        <f ca="1" t="shared" si="10"/>
        <v>#N/A</v>
      </c>
      <c r="M75" s="16" t="s">
        <v>586</v>
      </c>
      <c r="N75" s="16" cm="1">
        <f ca="1" t="array" ref="N75">IF(_xlfn.XLOOKUP($M75,$X$30:$X$34,$Y$30:$Y$34)&lt;=MATCH(N$29,$N$29:$O$29,0),SUMPRODUCT(--($C$91:$C$234=$C75),$G$91:$G$234,$J$91:$J$234)/SUMPRODUCT(--($J$91:$J$234&gt;0),$G$91:$G$234,--($C$91:$C$234=$C75))*MIN(H75,$L75),0)</f>
        <v>0</v>
      </c>
      <c r="O75" s="16" t="e" cm="1">
        <f ca="1" t="array" ref="O75">IF(_xlfn.XLOOKUP($M75,$X$30:$X$34,$Y$30:$Y$34)&lt;=MATCH(O$29,$N$29:$O$29,0),SUMPRODUCT(--($C$91:$C$234=$C75),$G$91:$G$234,$J$91:$J$234)/SUMPRODUCT(--($J$91:$J$234&gt;0),$G$91:$G$234,--($C$91:$C$234=$C75))*MIN(I75,$L75),0)</f>
        <v>#N/A</v>
      </c>
      <c r="P75" s="16" cm="1">
        <f ca="1" t="array" ref="P75">IF(_xlfn.XLOOKUP($M75,$X$30:$X$34,$Y$30:$Y$34)&lt;=MATCH(N$29,$N$29:$O$29,0),SUMPRODUCT(--($C$91:$C$234=$C75),$G$91:$G$234,$F$91:$F$234,--($J$91:$J$234&gt;0))/SUMPRODUCT(--($J$91:$J$234&gt;0),$G$91:$G$234,--($C$91:$C$234=$C75))*MIN(H75,$L75),0)</f>
        <v>0</v>
      </c>
      <c r="Q75" s="16" t="e" cm="1">
        <f ca="1" t="array" ref="Q75">IF(_xlfn.XLOOKUP($M75,$X$30:$X$34,$Y$30:$Y$34)&lt;=MATCH(O$29,$N$29:$O$29,0),SUMPRODUCT(--($C$91:$C$234=$C75),$G$91:$G$234,$F$91:$F$234,--($J$91:$J$234&gt;0))/SUMPRODUCT(--($J$91:$J$234&gt;0),$G$91:$G$234,--($C$91:$C$234=$C75))*MIN(I75,$L75),0)</f>
        <v>#N/A</v>
      </c>
    </row>
    <row r="76" spans="2:17">
      <c r="B76" s="16">
        <f t="shared" si="9"/>
        <v>6</v>
      </c>
      <c r="C76" s="16">
        <f ca="1">OFFSET($D$6,B76,COUNTIF($B$29:B76,B76))</f>
        <v>7003</v>
      </c>
      <c r="D76" s="16">
        <v>5103001</v>
      </c>
      <c r="E76" s="16">
        <f>_xlfn.XLOOKUP(D76,价值表!$D:$D,价值表!$C:$C)</f>
        <v/>
      </c>
      <c r="F76" s="16">
        <v>2000</v>
      </c>
      <c r="G76" s="41">
        <v>0.5</v>
      </c>
      <c r="H76" s="16">
        <f t="shared" si="7"/>
        <v>3</v>
      </c>
      <c r="I76" s="16">
        <f t="shared" si="8"/>
        <v>4.8</v>
      </c>
      <c r="J76" s="16">
        <v>1</v>
      </c>
      <c r="K76" s="16">
        <v>2</v>
      </c>
      <c r="L76" s="16" t="e">
        <f ca="1" t="shared" si="10"/>
        <v>#N/A</v>
      </c>
      <c r="M76" s="16" t="s">
        <v>591</v>
      </c>
      <c r="N76" s="16" cm="1">
        <f ca="1" t="array" ref="N76">IF(_xlfn.XLOOKUP($M76,$X$30:$X$34,$Y$30:$Y$34)&lt;=MATCH(N$29,$N$29:$O$29,0),SUMPRODUCT(--($C$91:$C$234=$C76),$G$91:$G$234,$J$91:$J$234)/SUMPRODUCT(--($J$91:$J$234&gt;0),$G$91:$G$234,--($C$91:$C$234=$C76))*MIN(H76,$L76),0)</f>
        <v>0</v>
      </c>
      <c r="O76" s="16" cm="1">
        <f ca="1" t="array" ref="O76">IF(_xlfn.XLOOKUP($M76,$X$30:$X$34,$Y$30:$Y$34)&lt;=MATCH(O$29,$N$29:$O$29,0),SUMPRODUCT(--($C$91:$C$234=$C76),$G$91:$G$234,$J$91:$J$234)/SUMPRODUCT(--($J$91:$J$234&gt;0),$G$91:$G$234,--($C$91:$C$234=$C76))*MIN(I76,$L76),0)</f>
        <v>0</v>
      </c>
      <c r="P76" s="16" cm="1">
        <f ca="1" t="array" ref="P76">IF(_xlfn.XLOOKUP($M76,$X$30:$X$34,$Y$30:$Y$34)&lt;=MATCH(N$29,$N$29:$O$29,0),SUMPRODUCT(--($C$91:$C$234=$C76),$G$91:$G$234,$F$91:$F$234,--($J$91:$J$234&gt;0))/SUMPRODUCT(--($J$91:$J$234&gt;0),$G$91:$G$234,--($C$91:$C$234=$C76))*MIN(H76,$L76),0)</f>
        <v>0</v>
      </c>
      <c r="Q76" s="16" cm="1">
        <f ca="1" t="array" ref="Q76">IF(_xlfn.XLOOKUP($M76,$X$30:$X$34,$Y$30:$Y$34)&lt;=MATCH(O$29,$N$29:$O$29,0),SUMPRODUCT(--($C$91:$C$234=$C76),$G$91:$G$234,$F$91:$F$234,--($J$91:$J$234&gt;0))/SUMPRODUCT(--($J$91:$J$234&gt;0),$G$91:$G$234,--($C$91:$C$234=$C76))*MIN(I76,$L76),0)</f>
        <v>0</v>
      </c>
    </row>
    <row r="77" spans="2:17">
      <c r="B77" s="16">
        <f t="shared" si="9"/>
        <v>6</v>
      </c>
      <c r="C77" s="16">
        <f ca="1">OFFSET($D$6,B77,COUNTIF($B$29:B77,B77))</f>
        <v>8001</v>
      </c>
      <c r="D77" s="16">
        <v>1310100</v>
      </c>
      <c r="E77" s="16">
        <f>_xlfn.XLOOKUP(D77,价值表!$D:$D,价值表!$C:$C)</f>
        <v/>
      </c>
      <c r="F77" s="16">
        <v>3200</v>
      </c>
      <c r="G77" s="41">
        <v>0.5</v>
      </c>
      <c r="H77" s="16">
        <f t="shared" si="7"/>
        <v>4.8</v>
      </c>
      <c r="I77" s="16">
        <f t="shared" si="8"/>
        <v>7.68</v>
      </c>
      <c r="J77" s="16">
        <v>1</v>
      </c>
      <c r="K77" s="16">
        <v>2</v>
      </c>
      <c r="L77" s="16" t="e">
        <f ca="1" t="shared" si="10"/>
        <v>#N/A</v>
      </c>
      <c r="M77" s="16" t="s">
        <v>591</v>
      </c>
      <c r="N77" s="16" cm="1">
        <f ca="1" t="array" ref="N77">IF(_xlfn.XLOOKUP($M77,$X$30:$X$34,$Y$30:$Y$34)&lt;=MATCH(N$29,$N$29:$O$29,0),SUMPRODUCT(--($C$91:$C$234=$C77),$G$91:$G$234,$J$91:$J$234)/SUMPRODUCT(--($J$91:$J$234&gt;0),$G$91:$G$234,--($C$91:$C$234=$C77))*MIN(H77,$L77),0)</f>
        <v>0</v>
      </c>
      <c r="O77" s="16" cm="1">
        <f ca="1" t="array" ref="O77">IF(_xlfn.XLOOKUP($M77,$X$30:$X$34,$Y$30:$Y$34)&lt;=MATCH(O$29,$N$29:$O$29,0),SUMPRODUCT(--($C$91:$C$234=$C77),$G$91:$G$234,$J$91:$J$234)/SUMPRODUCT(--($J$91:$J$234&gt;0),$G$91:$G$234,--($C$91:$C$234=$C77))*MIN(I77,$L77),0)</f>
        <v>0</v>
      </c>
      <c r="P77" s="16" cm="1">
        <f ca="1" t="array" ref="P77">IF(_xlfn.XLOOKUP($M77,$X$30:$X$34,$Y$30:$Y$34)&lt;=MATCH(N$29,$N$29:$O$29,0),SUMPRODUCT(--($C$91:$C$234=$C77),$G$91:$G$234,$F$91:$F$234,--($J$91:$J$234&gt;0))/SUMPRODUCT(--($J$91:$J$234&gt;0),$G$91:$G$234,--($C$91:$C$234=$C77))*MIN(H77,$L77),0)</f>
        <v>0</v>
      </c>
      <c r="Q77" s="16" cm="1">
        <f ca="1" t="array" ref="Q77">IF(_xlfn.XLOOKUP($M77,$X$30:$X$34,$Y$30:$Y$34)&lt;=MATCH(O$29,$N$29:$O$29,0),SUMPRODUCT(--($C$91:$C$234=$C77),$G$91:$G$234,$F$91:$F$234,--($J$91:$J$234&gt;0))/SUMPRODUCT(--($J$91:$J$234&gt;0),$G$91:$G$234,--($C$91:$C$234=$C77))*MIN(I77,$L77),0)</f>
        <v>0</v>
      </c>
    </row>
    <row r="78" spans="2:17">
      <c r="B78" s="16">
        <f t="shared" si="9"/>
        <v>7</v>
      </c>
      <c r="C78" s="16">
        <f ca="1">OFFSET($D$6,B78,COUNTIF($B$29:B78,B78))</f>
        <v>1003</v>
      </c>
      <c r="D78" s="16">
        <v>11</v>
      </c>
      <c r="E78" s="16">
        <f>_xlfn.XLOOKUP(D78,价值表!$D:$D,价值表!$C:$C)</f>
        <v/>
      </c>
      <c r="F78" s="16">
        <v>700</v>
      </c>
      <c r="G78" s="41">
        <v>0.5</v>
      </c>
      <c r="H78" s="16">
        <f t="shared" si="7"/>
        <v>1.05</v>
      </c>
      <c r="I78" s="16">
        <f t="shared" si="8"/>
        <v>1.68</v>
      </c>
      <c r="J78" s="16">
        <v>1</v>
      </c>
      <c r="K78" s="16">
        <v>2</v>
      </c>
      <c r="L78" s="16" t="e">
        <f ca="1" t="shared" si="10"/>
        <v>#N/A</v>
      </c>
      <c r="M78" s="16" t="s">
        <v>566</v>
      </c>
      <c r="N78" s="16" t="e" cm="1">
        <f ca="1" t="array" ref="N78">IF(_xlfn.XLOOKUP($M78,$X$30:$X$34,$Y$30:$Y$34)&lt;=MATCH(N$29,$N$29:$O$29,0),SUMPRODUCT(--($C$91:$C$234=$C78),$G$91:$G$234,$J$91:$J$234)/SUMPRODUCT(--($J$91:$J$234&gt;0),$G$91:$G$234,--($C$91:$C$234=$C78))*MIN(H78,$L78),0)</f>
        <v>#N/A</v>
      </c>
      <c r="O78" s="16" t="e" cm="1">
        <f ca="1" t="array" ref="O78">IF(_xlfn.XLOOKUP($M78,$X$30:$X$34,$Y$30:$Y$34)&lt;=MATCH(O$29,$N$29:$O$29,0),SUMPRODUCT(--($C$91:$C$234=$C78),$G$91:$G$234,$J$91:$J$234)/SUMPRODUCT(--($J$91:$J$234&gt;0),$G$91:$G$234,--($C$91:$C$234=$C78))*MIN(I78,$L78),0)</f>
        <v>#N/A</v>
      </c>
      <c r="P78" s="16" t="e" cm="1">
        <f ca="1" t="array" ref="P78">IF(_xlfn.XLOOKUP($M78,$X$30:$X$34,$Y$30:$Y$34)&lt;=MATCH(N$29,$N$29:$O$29,0),SUMPRODUCT(--($C$91:$C$234=$C78),$G$91:$G$234,$F$91:$F$234,--($J$91:$J$234&gt;0))/SUMPRODUCT(--($J$91:$J$234&gt;0),$G$91:$G$234,--($C$91:$C$234=$C78))*MIN(H78,$L78),0)</f>
        <v>#N/A</v>
      </c>
      <c r="Q78" s="16" t="e" cm="1">
        <f ca="1" t="array" ref="Q78">IF(_xlfn.XLOOKUP($M78,$X$30:$X$34,$Y$30:$Y$34)&lt;=MATCH(O$29,$N$29:$O$29,0),SUMPRODUCT(--($C$91:$C$234=$C78),$G$91:$G$234,$F$91:$F$234,--($J$91:$J$234&gt;0))/SUMPRODUCT(--($J$91:$J$234&gt;0),$G$91:$G$234,--($C$91:$C$234=$C78))*MIN(I78,$L78),0)</f>
        <v>#N/A</v>
      </c>
    </row>
    <row r="79" spans="2:17">
      <c r="B79" s="16">
        <f t="shared" si="9"/>
        <v>7</v>
      </c>
      <c r="C79" s="16">
        <f ca="1">OFFSET($D$6,B79,COUNTIF($B$29:B79,B79))</f>
        <v>2001</v>
      </c>
      <c r="D79" s="16">
        <v>9</v>
      </c>
      <c r="E79" s="16">
        <f>_xlfn.XLOOKUP(D79,价值表!$D:$D,价值表!$C:$C)</f>
        <v/>
      </c>
      <c r="F79" s="16">
        <v>600</v>
      </c>
      <c r="G79" s="41">
        <v>0.5</v>
      </c>
      <c r="H79" s="16">
        <f t="shared" si="7"/>
        <v>0.9</v>
      </c>
      <c r="I79" s="16">
        <f t="shared" si="8"/>
        <v>1.44</v>
      </c>
      <c r="J79" s="16">
        <v>1</v>
      </c>
      <c r="K79" s="16">
        <v>2</v>
      </c>
      <c r="L79" s="16" t="str">
        <f ca="1" t="shared" si="10"/>
        <v/>
      </c>
      <c r="M79" s="16" t="s">
        <v>566</v>
      </c>
      <c r="N79" s="16" cm="1">
        <f ca="1" t="array" ref="N79">IF(_xlfn.XLOOKUP($M79,$X$30:$X$34,$Y$30:$Y$34)&lt;=MATCH(N$29,$N$29:$O$29,0),SUMPRODUCT(--($C$91:$C$234=$C79),$G$91:$G$234,$J$91:$J$234)/SUMPRODUCT(--($J$91:$J$234&gt;0),$G$91:$G$234,--($C$91:$C$234=$C79))*MIN(H79,$L79),0)</f>
        <v>1800</v>
      </c>
      <c r="O79" s="16" cm="1">
        <f ca="1" t="array" ref="O79">IF(_xlfn.XLOOKUP($M79,$X$30:$X$34,$Y$30:$Y$34)&lt;=MATCH(O$29,$N$29:$O$29,0),SUMPRODUCT(--($C$91:$C$234=$C79),$G$91:$G$234,$J$91:$J$234)/SUMPRODUCT(--($J$91:$J$234&gt;0),$G$91:$G$234,--($C$91:$C$234=$C79))*MIN(I79,$L79),0)</f>
        <v>2880</v>
      </c>
      <c r="P79" s="16" cm="1">
        <f ca="1" t="array" ref="P79">IF(_xlfn.XLOOKUP($M79,$X$30:$X$34,$Y$30:$Y$34)&lt;=MATCH(N$29,$N$29:$O$29,0),SUMPRODUCT(--($C$91:$C$234=$C79),$G$91:$G$234,$F$91:$F$234,--($J$91:$J$234&gt;0))/SUMPRODUCT(--($J$91:$J$234&gt;0),$G$91:$G$234,--($C$91:$C$234=$C79))*MIN(H79,$L79),0)</f>
        <v>0.9</v>
      </c>
      <c r="Q79" s="16" cm="1">
        <f ca="1" t="array" ref="Q79">IF(_xlfn.XLOOKUP($M79,$X$30:$X$34,$Y$30:$Y$34)&lt;=MATCH(O$29,$N$29:$O$29,0),SUMPRODUCT(--($C$91:$C$234=$C79),$G$91:$G$234,$F$91:$F$234,--($J$91:$J$234&gt;0))/SUMPRODUCT(--($J$91:$J$234&gt;0),$G$91:$G$234,--($C$91:$C$234=$C79))*MIN(I79,$L79),0)</f>
        <v>1.44</v>
      </c>
    </row>
    <row r="80" spans="2:17">
      <c r="B80" s="16">
        <f t="shared" si="9"/>
        <v>7</v>
      </c>
      <c r="C80" s="16">
        <f ca="1">OFFSET($D$6,B80,COUNTIF($B$29:B80,B80))</f>
        <v>3001</v>
      </c>
      <c r="D80" s="16">
        <v>30</v>
      </c>
      <c r="E80" s="16">
        <f>_xlfn.XLOOKUP(D80,价值表!$D:$D,价值表!$C:$C)</f>
        <v/>
      </c>
      <c r="F80" s="16">
        <v>200</v>
      </c>
      <c r="G80" s="41">
        <v>0.5</v>
      </c>
      <c r="H80" s="16">
        <f t="shared" si="7"/>
        <v>0.3</v>
      </c>
      <c r="I80" s="16">
        <f t="shared" si="8"/>
        <v>0.48</v>
      </c>
      <c r="J80" s="16">
        <v>1</v>
      </c>
      <c r="K80" s="16">
        <v>2</v>
      </c>
      <c r="L80" s="16" t="str">
        <f ca="1" t="shared" si="10"/>
        <v/>
      </c>
      <c r="M80" s="16" t="s">
        <v>566</v>
      </c>
      <c r="N80" s="16" cm="1">
        <f ca="1" t="array" ref="N80">IF(_xlfn.XLOOKUP($M80,$X$30:$X$34,$Y$30:$Y$34)&lt;=MATCH(N$29,$N$29:$O$29,0),SUMPRODUCT(--($C$91:$C$234=$C80),$G$91:$G$234,$J$91:$J$234)/SUMPRODUCT(--($J$91:$J$234&gt;0),$G$91:$G$234,--($C$91:$C$234=$C80))*MIN(H80,$L80),0)</f>
        <v>3360</v>
      </c>
      <c r="O80" s="16" cm="1">
        <f ca="1" t="array" ref="O80">IF(_xlfn.XLOOKUP($M80,$X$30:$X$34,$Y$30:$Y$34)&lt;=MATCH(O$29,$N$29:$O$29,0),SUMPRODUCT(--($C$91:$C$234=$C80),$G$91:$G$234,$J$91:$J$234)/SUMPRODUCT(--($J$91:$J$234&gt;0),$G$91:$G$234,--($C$91:$C$234=$C80))*MIN(I80,$L80),0)</f>
        <v>5376</v>
      </c>
      <c r="P80" s="16" cm="1">
        <f ca="1" t="array" ref="P80">IF(_xlfn.XLOOKUP($M80,$X$30:$X$34,$Y$30:$Y$34)&lt;=MATCH(N$29,$N$29:$O$29,0),SUMPRODUCT(--($C$91:$C$234=$C80),$G$91:$G$234,$F$91:$F$234,--($J$91:$J$234&gt;0))/SUMPRODUCT(--($J$91:$J$234&gt;0),$G$91:$G$234,--($C$91:$C$234=$C80))*MIN(H80,$L80),0)</f>
        <v>0.3</v>
      </c>
      <c r="Q80" s="16" cm="1">
        <f ca="1" t="array" ref="Q80">IF(_xlfn.XLOOKUP($M80,$X$30:$X$34,$Y$30:$Y$34)&lt;=MATCH(O$29,$N$29:$O$29,0),SUMPRODUCT(--($C$91:$C$234=$C80),$G$91:$G$234,$F$91:$F$234,--($J$91:$J$234&gt;0))/SUMPRODUCT(--($J$91:$J$234&gt;0),$G$91:$G$234,--($C$91:$C$234=$C80))*MIN(I80,$L80),0)</f>
        <v>0.48</v>
      </c>
    </row>
    <row r="81" spans="2:20">
      <c r="B81" s="16">
        <f t="shared" si="9"/>
        <v>7</v>
      </c>
      <c r="C81" s="16">
        <f ca="1">OFFSET($D$6,B81,COUNTIF($B$29:B81,B81))</f>
        <v>4001</v>
      </c>
      <c r="D81" s="16">
        <v>5305001</v>
      </c>
      <c r="E81" s="16">
        <f>_xlfn.XLOOKUP(D81,价值表!$D:$D,价值表!$C:$C)</f>
        <v/>
      </c>
      <c r="F81" s="16">
        <v>300</v>
      </c>
      <c r="G81" s="41">
        <v>0.5</v>
      </c>
      <c r="H81" s="16">
        <f t="shared" si="7"/>
        <v>0.45</v>
      </c>
      <c r="I81" s="16">
        <f t="shared" si="8"/>
        <v>0.72</v>
      </c>
      <c r="J81" s="16">
        <v>1</v>
      </c>
      <c r="K81" s="16">
        <v>2</v>
      </c>
      <c r="L81" s="16" t="e">
        <f ca="1" t="shared" si="10"/>
        <v>#N/A</v>
      </c>
      <c r="M81" s="16" t="s">
        <v>566</v>
      </c>
      <c r="N81" s="16" t="e" cm="1">
        <f ca="1" t="array" ref="N81">IF(_xlfn.XLOOKUP($M81,$X$30:$X$34,$Y$30:$Y$34)&lt;=MATCH(N$29,$N$29:$O$29,0),SUMPRODUCT(--($C$91:$C$234=$C81),$G$91:$G$234,$J$91:$J$234)/SUMPRODUCT(--($J$91:$J$234&gt;0),$G$91:$G$234,--($C$91:$C$234=$C81))*MIN(H81,$L81),0)</f>
        <v>#N/A</v>
      </c>
      <c r="O81" s="16" t="e" cm="1">
        <f ca="1" t="array" ref="O81">IF(_xlfn.XLOOKUP($M81,$X$30:$X$34,$Y$30:$Y$34)&lt;=MATCH(O$29,$N$29:$O$29,0),SUMPRODUCT(--($C$91:$C$234=$C81),$G$91:$G$234,$J$91:$J$234)/SUMPRODUCT(--($J$91:$J$234&gt;0),$G$91:$G$234,--($C$91:$C$234=$C81))*MIN(I81,$L81),0)</f>
        <v>#N/A</v>
      </c>
      <c r="P81" s="16" t="e" cm="1">
        <f ca="1" t="array" ref="P81">IF(_xlfn.XLOOKUP($M81,$X$30:$X$34,$Y$30:$Y$34)&lt;=MATCH(N$29,$N$29:$O$29,0),SUMPRODUCT(--($C$91:$C$234=$C81),$G$91:$G$234,$F$91:$F$234,--($J$91:$J$234&gt;0))/SUMPRODUCT(--($J$91:$J$234&gt;0),$G$91:$G$234,--($C$91:$C$234=$C81))*MIN(H81,$L81),0)</f>
        <v>#N/A</v>
      </c>
      <c r="Q81" s="16" t="e" cm="1">
        <f ca="1" t="array" ref="Q81">IF(_xlfn.XLOOKUP($M81,$X$30:$X$34,$Y$30:$Y$34)&lt;=MATCH(O$29,$N$29:$O$29,0),SUMPRODUCT(--($C$91:$C$234=$C81),$G$91:$G$234,$F$91:$F$234,--($J$91:$J$234&gt;0))/SUMPRODUCT(--($J$91:$J$234&gt;0),$G$91:$G$234,--($C$91:$C$234=$C81))*MIN(I81,$L81),0)</f>
        <v>#N/A</v>
      </c>
    </row>
    <row r="82" spans="2:20">
      <c r="B82" s="16">
        <f t="shared" si="9"/>
        <v>7</v>
      </c>
      <c r="C82" s="16">
        <f ca="1">OFFSET($D$6,B82,COUNTIF($B$29:B82,B82))</f>
        <v>5003</v>
      </c>
      <c r="D82" s="16">
        <v>50002</v>
      </c>
      <c r="E82" s="16">
        <f>_xlfn.XLOOKUP(D82,价值表!$D:$D,价值表!$C:$C)</f>
        <v/>
      </c>
      <c r="F82" s="16">
        <v>2400</v>
      </c>
      <c r="G82" s="41">
        <v>0.5</v>
      </c>
      <c r="H82" s="16">
        <f t="shared" si="7"/>
        <v>3.6</v>
      </c>
      <c r="I82" s="16">
        <f t="shared" si="8"/>
        <v>5.76</v>
      </c>
      <c r="J82" s="16">
        <v>1</v>
      </c>
      <c r="K82" s="16">
        <v>2</v>
      </c>
      <c r="L82" s="16" t="e">
        <f ca="1" t="shared" si="10"/>
        <v>#N/A</v>
      </c>
      <c r="M82" s="16" t="s">
        <v>566</v>
      </c>
      <c r="N82" s="16" t="e" cm="1">
        <f ca="1" t="array" ref="N82">IF(_xlfn.XLOOKUP($M82,$X$30:$X$34,$Y$30:$Y$34)&lt;=MATCH(N$29,$N$29:$O$29,0),SUMPRODUCT(--($C$91:$C$234=$C82),$G$91:$G$234,$J$91:$J$234)/SUMPRODUCT(--($J$91:$J$234&gt;0),$G$91:$G$234,--($C$91:$C$234=$C82))*MIN(H82,$L82),0)</f>
        <v>#N/A</v>
      </c>
      <c r="O82" s="16" t="e" cm="1">
        <f ca="1" t="array" ref="O82">IF(_xlfn.XLOOKUP($M82,$X$30:$X$34,$Y$30:$Y$34)&lt;=MATCH(O$29,$N$29:$O$29,0),SUMPRODUCT(--($C$91:$C$234=$C82),$G$91:$G$234,$J$91:$J$234)/SUMPRODUCT(--($J$91:$J$234&gt;0),$G$91:$G$234,--($C$91:$C$234=$C82))*MIN(I82,$L82),0)</f>
        <v>#N/A</v>
      </c>
      <c r="P82" s="16" t="e" cm="1">
        <f ca="1" t="array" ref="P82">IF(_xlfn.XLOOKUP($M82,$X$30:$X$34,$Y$30:$Y$34)&lt;=MATCH(N$29,$N$29:$O$29,0),SUMPRODUCT(--($C$91:$C$234=$C82),$G$91:$G$234,$F$91:$F$234,--($J$91:$J$234&gt;0))/SUMPRODUCT(--($J$91:$J$234&gt;0),$G$91:$G$234,--($C$91:$C$234=$C82))*MIN(H82,$L82),0)</f>
        <v>#N/A</v>
      </c>
      <c r="Q82" s="16" t="e" cm="1">
        <f ca="1" t="array" ref="Q82">IF(_xlfn.XLOOKUP($M82,$X$30:$X$34,$Y$30:$Y$34)&lt;=MATCH(O$29,$N$29:$O$29,0),SUMPRODUCT(--($C$91:$C$234=$C82),$G$91:$G$234,$F$91:$F$234,--($J$91:$J$234&gt;0))/SUMPRODUCT(--($J$91:$J$234&gt;0),$G$91:$G$234,--($C$91:$C$234=$C82))*MIN(I82,$L82),0)</f>
        <v>#N/A</v>
      </c>
    </row>
    <row r="83" spans="2:20">
      <c r="B83" s="16">
        <f t="shared" si="9"/>
        <v>7</v>
      </c>
      <c r="C83" s="16">
        <f ca="1">OFFSET($D$6,B83,COUNTIF($B$29:B83,B83))</f>
        <v>6003</v>
      </c>
      <c r="D83" s="16">
        <v>5203001</v>
      </c>
      <c r="E83" s="16">
        <f>_xlfn.XLOOKUP(D83,价值表!$D:$D,价值表!$C:$C)</f>
        <v/>
      </c>
      <c r="F83" s="16">
        <v>600</v>
      </c>
      <c r="G83" s="41">
        <v>0.5</v>
      </c>
      <c r="H83" s="16">
        <f t="shared" si="7"/>
        <v>0.9</v>
      </c>
      <c r="I83" s="16">
        <f t="shared" si="8"/>
        <v>1.44</v>
      </c>
      <c r="J83" s="16">
        <v>1</v>
      </c>
      <c r="K83" s="16">
        <v>2</v>
      </c>
      <c r="L83" s="16" t="e">
        <f ca="1" t="shared" si="10"/>
        <v>#N/A</v>
      </c>
      <c r="M83" s="16" t="s">
        <v>586</v>
      </c>
      <c r="N83" s="16" cm="1">
        <f ca="1" t="array" ref="N83">IF(_xlfn.XLOOKUP($M83,$X$30:$X$34,$Y$30:$Y$34)&lt;=MATCH(N$29,$N$29:$O$29,0),SUMPRODUCT(--($C$91:$C$234=$C83),$G$91:$G$234,$J$91:$J$234)/SUMPRODUCT(--($J$91:$J$234&gt;0),$G$91:$G$234,--($C$91:$C$234=$C83))*MIN(H83,$L83),0)</f>
        <v>0</v>
      </c>
      <c r="O83" s="16" t="e" cm="1">
        <f ca="1" t="array" ref="O83">IF(_xlfn.XLOOKUP($M83,$X$30:$X$34,$Y$30:$Y$34)&lt;=MATCH(O$29,$N$29:$O$29,0),SUMPRODUCT(--($C$91:$C$234=$C83),$G$91:$G$234,$J$91:$J$234)/SUMPRODUCT(--($J$91:$J$234&gt;0),$G$91:$G$234,--($C$91:$C$234=$C83))*MIN(I83,$L83),0)</f>
        <v>#N/A</v>
      </c>
      <c r="P83" s="16" cm="1">
        <f ca="1" t="array" ref="P83">IF(_xlfn.XLOOKUP($M83,$X$30:$X$34,$Y$30:$Y$34)&lt;=MATCH(N$29,$N$29:$O$29,0),SUMPRODUCT(--($C$91:$C$234=$C83),$G$91:$G$234,$F$91:$F$234,--($J$91:$J$234&gt;0))/SUMPRODUCT(--($J$91:$J$234&gt;0),$G$91:$G$234,--($C$91:$C$234=$C83))*MIN(H83,$L83),0)</f>
        <v>0</v>
      </c>
      <c r="Q83" s="16" t="e" cm="1">
        <f ca="1" t="array" ref="Q83">IF(_xlfn.XLOOKUP($M83,$X$30:$X$34,$Y$30:$Y$34)&lt;=MATCH(O$29,$N$29:$O$29,0),SUMPRODUCT(--($C$91:$C$234=$C83),$G$91:$G$234,$F$91:$F$234,--($J$91:$J$234&gt;0))/SUMPRODUCT(--($J$91:$J$234&gt;0),$G$91:$G$234,--($C$91:$C$234=$C83))*MIN(I83,$L83),0)</f>
        <v>#N/A</v>
      </c>
    </row>
    <row r="84" spans="2:20">
      <c r="B84" s="16">
        <f t="shared" si="9"/>
        <v>7</v>
      </c>
      <c r="C84" s="16">
        <f ca="1">OFFSET($D$6,B84,COUNTIF($B$29:B84,B84))</f>
        <v>7003</v>
      </c>
      <c r="D84" s="16">
        <v>5103001</v>
      </c>
      <c r="E84" s="16">
        <f>_xlfn.XLOOKUP(D84,价值表!$D:$D,价值表!$C:$C)</f>
        <v/>
      </c>
      <c r="F84" s="16">
        <v>2000</v>
      </c>
      <c r="G84" s="41">
        <v>0.5</v>
      </c>
      <c r="H84" s="16">
        <f t="shared" si="7"/>
        <v>3</v>
      </c>
      <c r="I84" s="16">
        <f t="shared" si="8"/>
        <v>4.8</v>
      </c>
      <c r="J84" s="16">
        <v>1</v>
      </c>
      <c r="K84" s="16">
        <v>2</v>
      </c>
      <c r="L84" s="16" t="e">
        <f ca="1" t="shared" si="10"/>
        <v>#N/A</v>
      </c>
      <c r="M84" s="16" t="s">
        <v>591</v>
      </c>
      <c r="N84" s="16" cm="1">
        <f ca="1" t="array" ref="N84">IF(_xlfn.XLOOKUP($M84,$X$30:$X$34,$Y$30:$Y$34)&lt;=MATCH(N$29,$N$29:$O$29,0),SUMPRODUCT(--($C$91:$C$234=$C84),$G$91:$G$234,$J$91:$J$234)/SUMPRODUCT(--($J$91:$J$234&gt;0),$G$91:$G$234,--($C$91:$C$234=$C84))*MIN(H84,$L84),0)</f>
        <v>0</v>
      </c>
      <c r="O84" s="16" cm="1">
        <f ca="1" t="array" ref="O84">IF(_xlfn.XLOOKUP($M84,$X$30:$X$34,$Y$30:$Y$34)&lt;=MATCH(O$29,$N$29:$O$29,0),SUMPRODUCT(--($C$91:$C$234=$C84),$G$91:$G$234,$J$91:$J$234)/SUMPRODUCT(--($J$91:$J$234&gt;0),$G$91:$G$234,--($C$91:$C$234=$C84))*MIN(I84,$L84),0)</f>
        <v>0</v>
      </c>
      <c r="P84" s="16" cm="1">
        <f ca="1" t="array" ref="P84">IF(_xlfn.XLOOKUP($M84,$X$30:$X$34,$Y$30:$Y$34)&lt;=MATCH(N$29,$N$29:$O$29,0),SUMPRODUCT(--($C$91:$C$234=$C84),$G$91:$G$234,$F$91:$F$234,--($J$91:$J$234&gt;0))/SUMPRODUCT(--($J$91:$J$234&gt;0),$G$91:$G$234,--($C$91:$C$234=$C84))*MIN(H84,$L84),0)</f>
        <v>0</v>
      </c>
      <c r="Q84" s="16" cm="1">
        <f ca="1" t="array" ref="Q84">IF(_xlfn.XLOOKUP($M84,$X$30:$X$34,$Y$30:$Y$34)&lt;=MATCH(O$29,$N$29:$O$29,0),SUMPRODUCT(--($C$91:$C$234=$C84),$G$91:$G$234,$F$91:$F$234,--($J$91:$J$234&gt;0))/SUMPRODUCT(--($J$91:$J$234&gt;0),$G$91:$G$234,--($C$91:$C$234=$C84))*MIN(I84,$L84),0)</f>
        <v>0</v>
      </c>
    </row>
    <row r="85" spans="2:20">
      <c r="B85" s="16">
        <f t="shared" si="9"/>
        <v>7</v>
      </c>
      <c r="C85" s="16">
        <f ca="1">OFFSET($D$6,B85,COUNTIF($B$29:B85,B85))</f>
        <v>8001</v>
      </c>
      <c r="D85" s="16">
        <v>1310100</v>
      </c>
      <c r="E85" s="16">
        <f>_xlfn.XLOOKUP(D85,价值表!$D:$D,价值表!$C:$C)</f>
        <v/>
      </c>
      <c r="F85" s="16">
        <v>3200</v>
      </c>
      <c r="G85" s="41">
        <v>0.5</v>
      </c>
      <c r="H85" s="16">
        <f t="shared" si="7"/>
        <v>4.8</v>
      </c>
      <c r="I85" s="16">
        <f t="shared" si="8"/>
        <v>7.68</v>
      </c>
      <c r="J85" s="16">
        <v>1</v>
      </c>
      <c r="K85" s="16">
        <v>2</v>
      </c>
      <c r="L85" s="16" t="e">
        <f ca="1" t="shared" si="10"/>
        <v>#N/A</v>
      </c>
      <c r="M85" s="16" t="s">
        <v>591</v>
      </c>
      <c r="N85" s="16" cm="1">
        <f ca="1" t="array" ref="N85">IF(_xlfn.XLOOKUP($M85,$X$30:$X$34,$Y$30:$Y$34)&lt;=MATCH(N$29,$N$29:$O$29,0),SUMPRODUCT(--($C$91:$C$234=$C85),$G$91:$G$234,$J$91:$J$234)/SUMPRODUCT(--($J$91:$J$234&gt;0),$G$91:$G$234,--($C$91:$C$234=$C85))*MIN(H85,$L85),0)</f>
        <v>0</v>
      </c>
      <c r="O85" s="16" cm="1">
        <f ca="1" t="array" ref="O85">IF(_xlfn.XLOOKUP($M85,$X$30:$X$34,$Y$30:$Y$34)&lt;=MATCH(O$29,$N$29:$O$29,0),SUMPRODUCT(--($C$91:$C$234=$C85),$G$91:$G$234,$J$91:$J$234)/SUMPRODUCT(--($J$91:$J$234&gt;0),$G$91:$G$234,--($C$91:$C$234=$C85))*MIN(I85,$L85),0)</f>
        <v>0</v>
      </c>
      <c r="P85" s="16" cm="1">
        <f ca="1" t="array" ref="P85">IF(_xlfn.XLOOKUP($M85,$X$30:$X$34,$Y$30:$Y$34)&lt;=MATCH(N$29,$N$29:$O$29,0),SUMPRODUCT(--($C$91:$C$234=$C85),$G$91:$G$234,$F$91:$F$234,--($J$91:$J$234&gt;0))/SUMPRODUCT(--($J$91:$J$234&gt;0),$G$91:$G$234,--($C$91:$C$234=$C85))*MIN(H85,$L85),0)</f>
        <v>0</v>
      </c>
      <c r="Q85" s="16" cm="1">
        <f ca="1" t="array" ref="Q85">IF(_xlfn.XLOOKUP($M85,$X$30:$X$34,$Y$30:$Y$34)&lt;=MATCH(O$29,$N$29:$O$29,0),SUMPRODUCT(--($C$91:$C$234=$C85),$G$91:$G$234,$F$91:$F$234,--($J$91:$J$234&gt;0))/SUMPRODUCT(--($J$91:$J$234&gt;0),$G$91:$G$234,--($C$91:$C$234=$C85))*MIN(I85,$L85),0)</f>
        <v>0</v>
      </c>
    </row>
    <row r="86" spans="2:20">
      <c r="G86" s="41"/>
      <c r="Q86"/>
      <c r="R86"/>
      <c r="S86"/>
      <c r="T86"/>
    </row>
    <row r="87" spans="2:20">
      <c r="Q87"/>
      <c r="R87"/>
      <c r="S87"/>
      <c r="T87"/>
    </row>
    <row r="88" spans="2:20">
      <c r="Q88"/>
      <c r="R88"/>
      <c r="S88"/>
      <c r="T88"/>
    </row>
    <row r="89" spans="2:20">
      <c r="J89" s="16">
        <v>0.05</v>
      </c>
      <c r="K89" s="16">
        <v>1</v>
      </c>
      <c r="Q89"/>
      <c r="R89"/>
      <c r="S89"/>
      <c r="T89"/>
    </row>
    <row r="90" spans="2:20">
      <c r="D90" s="16" t="s">
        <v>640</v>
      </c>
      <c r="E90" s="16" t="s">
        <v>918</v>
      </c>
      <c r="F90" s="16" t="s">
        <v>919</v>
      </c>
      <c r="G90" s="16" t="s">
        <v>920</v>
      </c>
      <c r="H90" s="16" t="s">
        <v>921</v>
      </c>
      <c r="I90" s="16" t="s">
        <v>922</v>
      </c>
      <c r="J90" s="16" t="s">
        <v>195</v>
      </c>
      <c r="K90" s="16" t="s">
        <v>188</v>
      </c>
      <c r="L90" s="16" t="s">
        <v>923</v>
      </c>
      <c r="Q90"/>
      <c r="R90"/>
      <c r="S90"/>
      <c r="T90"/>
    </row>
    <row r="91" spans="2:20">
      <c r="C91" s="16">
        <v>1001</v>
      </c>
      <c r="D91" s="16">
        <f ca="1">_xlfn.XLOOKUP(INT(C91/1000)*1000+1,$C$30:$C$69,$D$30:$D$69)</f>
        <v>11</v>
      </c>
      <c r="E91" s="16" t="s">
        <v>924</v>
      </c>
      <c r="F91" s="16">
        <v>5</v>
      </c>
      <c r="G91" s="16">
        <f ca="1">H91*2*_xlfn.XLOOKUP(C91,$C$30:$C$85,$G$30:$G$85)</f>
        <v>5000</v>
      </c>
      <c r="H91" s="16">
        <v>5000</v>
      </c>
      <c r="I91" s="16" t="e">
        <f ca="1">F91*_xlfn.XLOOKUP(D91,价值表!F:F,价值表!I:I)</f>
        <v>#N/A</v>
      </c>
      <c r="J91" s="16">
        <v>6000</v>
      </c>
      <c r="L91" s="46" t="e" cm="1">
        <f ca="1" t="array" ref="L91">I91/SUMPRODUCT(J91:K91,J$89:K$89)</f>
        <v>#N/A</v>
      </c>
      <c r="M91" s="16" t="str">
        <f ca="1">"[{"&amp;D91&amp;","&amp;F91&amp;"}]"</f>
        <v>[{11,5}]</v>
      </c>
      <c r="N91" s="16" t="str">
        <f>IF(J91&gt;0,"[{2,"&amp;J91&amp;"}]","[{1,"&amp;K91&amp;"}]")</f>
        <v>[{2,6000}]</v>
      </c>
      <c r="Q91"/>
      <c r="R91"/>
      <c r="S91"/>
      <c r="T91"/>
    </row>
    <row r="92" spans="2:20">
      <c r="C92" s="16">
        <v>1001</v>
      </c>
      <c r="D92" s="16">
        <v>11</v>
      </c>
      <c r="E92" s="16" t="s">
        <v>924</v>
      </c>
      <c r="F92" s="16">
        <v>5</v>
      </c>
      <c r="G92" s="16">
        <f ca="1" t="shared" ref="G92:G123" si="11">H92*2*_xlfn.XLOOKUP(C92,$C$30:$C$85,$G$30:$G$85)</f>
        <v>5000</v>
      </c>
      <c r="H92" s="16">
        <v>5000</v>
      </c>
      <c r="I92" s="16" t="e">
        <f>F92*_xlfn.XLOOKUP(D92,价值表!F:F,价值表!I:I)</f>
        <v>#N/A</v>
      </c>
      <c r="K92" s="16">
        <v>120</v>
      </c>
      <c r="L92" s="46" t="e" cm="1">
        <f t="array" ref="L92">I92/SUMPRODUCT(J92:K92,J$89:K$89)</f>
        <v>#N/A</v>
      </c>
      <c r="M92" s="16" t="str">
        <f t="shared" ref="M92:M123" si="12">"[{"&amp;D92&amp;","&amp;F92&amp;"}]"</f>
        <v>[{11,5}]</v>
      </c>
      <c r="N92" s="16" t="str">
        <f t="shared" ref="N92:N123" si="13">IF(J92&gt;0,"[{2,"&amp;J92&amp;"}]","[{1,"&amp;K92&amp;"}]")</f>
        <v>[{1,120}]</v>
      </c>
      <c r="Q92"/>
      <c r="R92"/>
      <c r="S92"/>
      <c r="T92"/>
    </row>
    <row r="93" spans="2:20">
      <c r="C93" s="16">
        <v>1002</v>
      </c>
      <c r="D93" s="16">
        <v>11</v>
      </c>
      <c r="E93" s="16" t="s">
        <v>924</v>
      </c>
      <c r="F93" s="16">
        <v>5</v>
      </c>
      <c r="G93" s="16">
        <f ca="1" t="shared" si="11"/>
        <v>3500</v>
      </c>
      <c r="H93" s="16">
        <v>3500</v>
      </c>
      <c r="I93" s="16" t="e">
        <f>F93*_xlfn.XLOOKUP(D93,价值表!F:F,价值表!I:I)</f>
        <v>#N/A</v>
      </c>
      <c r="J93" s="16">
        <v>6000</v>
      </c>
      <c r="L93" s="46" t="e" cm="1">
        <f t="array" ref="L93">I93/SUMPRODUCT(J93:K93,J$89:K$89)</f>
        <v>#N/A</v>
      </c>
      <c r="M93" s="16" t="str">
        <f t="shared" si="12"/>
        <v>[{11,5}]</v>
      </c>
      <c r="N93" s="16" t="str">
        <f t="shared" si="13"/>
        <v>[{2,6000}]</v>
      </c>
      <c r="Q93"/>
      <c r="R93"/>
      <c r="S93"/>
      <c r="T93"/>
    </row>
    <row r="94" spans="2:20">
      <c r="C94" s="16">
        <v>1002</v>
      </c>
      <c r="D94" s="16">
        <v>11</v>
      </c>
      <c r="E94" s="16" t="s">
        <v>924</v>
      </c>
      <c r="F94" s="16">
        <v>5</v>
      </c>
      <c r="G94" s="16">
        <f ca="1" t="shared" si="11"/>
        <v>3500</v>
      </c>
      <c r="H94" s="16">
        <v>3500</v>
      </c>
      <c r="I94" s="16" t="e">
        <f>F94*_xlfn.XLOOKUP(D94,价值表!F:F,价值表!I:I)</f>
        <v>#N/A</v>
      </c>
      <c r="K94" s="16">
        <v>120</v>
      </c>
      <c r="L94" s="46" t="e" cm="1">
        <f t="array" ref="L94">I94/SUMPRODUCT(J94:K94,J$89:K$89)</f>
        <v>#N/A</v>
      </c>
      <c r="M94" s="16" t="str">
        <f t="shared" si="12"/>
        <v>[{11,5}]</v>
      </c>
      <c r="N94" s="16" t="str">
        <f t="shared" si="13"/>
        <v>[{1,120}]</v>
      </c>
      <c r="Q94"/>
      <c r="R94"/>
      <c r="S94"/>
      <c r="T94"/>
    </row>
    <row r="95" spans="2:20">
      <c r="C95" s="16">
        <v>1002</v>
      </c>
      <c r="D95" s="16">
        <v>11</v>
      </c>
      <c r="E95" s="16" t="s">
        <v>924</v>
      </c>
      <c r="F95" s="16">
        <v>10</v>
      </c>
      <c r="G95" s="16">
        <f ca="1" t="shared" si="11"/>
        <v>1500</v>
      </c>
      <c r="H95" s="16">
        <v>1500</v>
      </c>
      <c r="I95" s="16" t="e">
        <f>F95*_xlfn.XLOOKUP(D95,价值表!F:F,价值表!I:I)</f>
        <v>#N/A</v>
      </c>
      <c r="J95" s="16">
        <v>12000</v>
      </c>
      <c r="L95" s="46" t="e" cm="1">
        <f t="array" ref="L95">I95/SUMPRODUCT(J95:K95,J$89:K$89)</f>
        <v>#N/A</v>
      </c>
      <c r="M95" s="16" t="str">
        <f t="shared" si="12"/>
        <v>[{11,10}]</v>
      </c>
      <c r="N95" s="16" t="str">
        <f t="shared" si="13"/>
        <v>[{2,12000}]</v>
      </c>
      <c r="Q95"/>
      <c r="R95"/>
      <c r="S95"/>
      <c r="T95"/>
    </row>
    <row r="96" spans="2:20">
      <c r="C96" s="16">
        <v>1002</v>
      </c>
      <c r="D96" s="16">
        <v>11</v>
      </c>
      <c r="E96" s="16" t="s">
        <v>924</v>
      </c>
      <c r="F96" s="16">
        <v>10</v>
      </c>
      <c r="G96" s="16">
        <f ca="1" t="shared" si="11"/>
        <v>1500</v>
      </c>
      <c r="H96" s="16">
        <v>1500</v>
      </c>
      <c r="I96" s="16" t="e">
        <f>F96*_xlfn.XLOOKUP(D96,价值表!F:F,价值表!I:I)</f>
        <v>#N/A</v>
      </c>
      <c r="K96" s="16">
        <v>240</v>
      </c>
      <c r="L96" s="46" t="e" cm="1">
        <f t="array" ref="L96">I96/SUMPRODUCT(J96:K96,J$89:K$89)</f>
        <v>#N/A</v>
      </c>
      <c r="M96" s="16" t="str">
        <f t="shared" si="12"/>
        <v>[{11,10}]</v>
      </c>
      <c r="N96" s="16" t="str">
        <f t="shared" si="13"/>
        <v>[{1,240}]</v>
      </c>
      <c r="Q96"/>
      <c r="R96"/>
      <c r="S96"/>
      <c r="T96"/>
    </row>
    <row r="97" spans="3:20">
      <c r="C97" s="16">
        <v>1003</v>
      </c>
      <c r="D97" s="16">
        <v>11</v>
      </c>
      <c r="E97" s="16" t="s">
        <v>924</v>
      </c>
      <c r="F97" s="16">
        <v>5</v>
      </c>
      <c r="G97" s="16">
        <f ca="1" t="shared" si="11"/>
        <v>600</v>
      </c>
      <c r="H97" s="16">
        <v>600</v>
      </c>
      <c r="I97" s="16" t="e">
        <f>F97*_xlfn.XLOOKUP(D97,价值表!F:F,价值表!I:I)</f>
        <v>#N/A</v>
      </c>
      <c r="J97" s="16">
        <v>6000</v>
      </c>
      <c r="L97" s="46" t="e" cm="1">
        <f t="array" ref="L97">I97/SUMPRODUCT(J97:K97,J$89:K$89)</f>
        <v>#N/A</v>
      </c>
      <c r="M97" s="16" t="str">
        <f t="shared" si="12"/>
        <v>[{11,5}]</v>
      </c>
      <c r="N97" s="16" t="str">
        <f t="shared" si="13"/>
        <v>[{2,6000}]</v>
      </c>
      <c r="Q97"/>
      <c r="R97"/>
      <c r="S97"/>
      <c r="T97"/>
    </row>
    <row r="98" spans="3:20">
      <c r="C98" s="16">
        <v>1003</v>
      </c>
      <c r="D98" s="16">
        <v>11</v>
      </c>
      <c r="E98" s="16" t="s">
        <v>924</v>
      </c>
      <c r="F98" s="16">
        <v>5</v>
      </c>
      <c r="G98" s="16">
        <f ca="1" t="shared" si="11"/>
        <v>600</v>
      </c>
      <c r="H98" s="16">
        <v>600</v>
      </c>
      <c r="I98" s="16" t="e">
        <f>F98*_xlfn.XLOOKUP(D98,价值表!F:F,价值表!I:I)</f>
        <v>#N/A</v>
      </c>
      <c r="K98" s="16">
        <v>120</v>
      </c>
      <c r="L98" s="46" t="e" cm="1">
        <f t="array" ref="L98">I98/SUMPRODUCT(J98:K98,J$89:K$89)</f>
        <v>#N/A</v>
      </c>
      <c r="M98" s="16" t="str">
        <f t="shared" si="12"/>
        <v>[{11,5}]</v>
      </c>
      <c r="N98" s="16" t="str">
        <f t="shared" si="13"/>
        <v>[{1,120}]</v>
      </c>
      <c r="Q98"/>
      <c r="R98"/>
      <c r="S98"/>
      <c r="T98"/>
    </row>
    <row r="99" spans="3:20">
      <c r="C99" s="16">
        <v>1003</v>
      </c>
      <c r="D99" s="16">
        <v>11</v>
      </c>
      <c r="E99" s="16" t="s">
        <v>924</v>
      </c>
      <c r="F99" s="16">
        <v>10</v>
      </c>
      <c r="G99" s="16">
        <f ca="1" t="shared" si="11"/>
        <v>400</v>
      </c>
      <c r="H99" s="16">
        <v>400</v>
      </c>
      <c r="I99" s="16" t="e">
        <f>F99*_xlfn.XLOOKUP(D99,价值表!F:F,价值表!I:I)</f>
        <v>#N/A</v>
      </c>
      <c r="J99" s="16">
        <v>12000</v>
      </c>
      <c r="L99" s="46" t="e" cm="1">
        <f t="array" ref="L99">I99/SUMPRODUCT(J99:K99,J$89:K$89)</f>
        <v>#N/A</v>
      </c>
      <c r="M99" s="16" t="str">
        <f t="shared" si="12"/>
        <v>[{11,10}]</v>
      </c>
      <c r="N99" s="16" t="str">
        <f t="shared" si="13"/>
        <v>[{2,12000}]</v>
      </c>
      <c r="Q99"/>
      <c r="R99"/>
      <c r="S99"/>
      <c r="T99"/>
    </row>
    <row r="100" spans="3:20">
      <c r="C100" s="16">
        <v>1003</v>
      </c>
      <c r="D100" s="16">
        <v>11</v>
      </c>
      <c r="E100" s="16" t="s">
        <v>924</v>
      </c>
      <c r="F100" s="16">
        <v>10</v>
      </c>
      <c r="G100" s="16">
        <f ca="1" t="shared" si="11"/>
        <v>400</v>
      </c>
      <c r="H100" s="16">
        <v>400</v>
      </c>
      <c r="I100" s="16" t="e">
        <f>F100*_xlfn.XLOOKUP(D100,价值表!F:F,价值表!I:I)</f>
        <v>#N/A</v>
      </c>
      <c r="K100" s="16">
        <v>240</v>
      </c>
      <c r="L100" s="46" t="e" cm="1">
        <f t="array" ref="L100">I100/SUMPRODUCT(J100:K100,J$89:K$89)</f>
        <v>#N/A</v>
      </c>
      <c r="M100" s="16" t="str">
        <f t="shared" si="12"/>
        <v>[{11,10}]</v>
      </c>
      <c r="N100" s="16" t="str">
        <f t="shared" si="13"/>
        <v>[{1,240}]</v>
      </c>
      <c r="Q100"/>
      <c r="R100"/>
      <c r="S100"/>
      <c r="T100"/>
    </row>
    <row r="101" spans="3:20">
      <c r="C101" s="16">
        <v>1003</v>
      </c>
      <c r="D101" s="16">
        <v>11</v>
      </c>
      <c r="E101" s="16" t="s">
        <v>924</v>
      </c>
      <c r="F101" s="16">
        <v>20</v>
      </c>
      <c r="G101" s="16">
        <f ca="1" t="shared" si="11"/>
        <v>200</v>
      </c>
      <c r="H101" s="16">
        <v>200</v>
      </c>
      <c r="I101" s="16" t="e">
        <f>F101*_xlfn.XLOOKUP(D101,价值表!F:F,价值表!I:I)</f>
        <v>#N/A</v>
      </c>
      <c r="J101" s="16">
        <v>24000</v>
      </c>
      <c r="L101" s="46" t="e" cm="1">
        <f t="array" ref="L101">I101/SUMPRODUCT(J101:K101,J$89:K$89)</f>
        <v>#N/A</v>
      </c>
      <c r="M101" s="16" t="str">
        <f t="shared" si="12"/>
        <v>[{11,20}]</v>
      </c>
      <c r="N101" s="16" t="str">
        <f t="shared" si="13"/>
        <v>[{2,24000}]</v>
      </c>
      <c r="Q101"/>
      <c r="R101"/>
      <c r="S101"/>
      <c r="T101"/>
    </row>
    <row r="102" spans="3:20">
      <c r="C102" s="16">
        <v>1003</v>
      </c>
      <c r="D102" s="16">
        <v>11</v>
      </c>
      <c r="E102" s="16" t="s">
        <v>924</v>
      </c>
      <c r="F102" s="16">
        <v>20</v>
      </c>
      <c r="G102" s="16">
        <f ca="1" t="shared" si="11"/>
        <v>200</v>
      </c>
      <c r="H102" s="16">
        <v>200</v>
      </c>
      <c r="I102" s="16" t="e">
        <f>F102*_xlfn.XLOOKUP(D102,价值表!F:F,价值表!I:I)</f>
        <v>#N/A</v>
      </c>
      <c r="K102" s="16">
        <v>480</v>
      </c>
      <c r="L102" s="46" t="e" cm="1">
        <f t="array" ref="L102">I102/SUMPRODUCT(J102:K102,J$89:K$89)</f>
        <v>#N/A</v>
      </c>
      <c r="M102" s="16" t="str">
        <f t="shared" si="12"/>
        <v>[{11,20}]</v>
      </c>
      <c r="N102" s="16" t="str">
        <f t="shared" si="13"/>
        <v>[{1,480}]</v>
      </c>
      <c r="Q102"/>
      <c r="R102"/>
      <c r="S102"/>
      <c r="T102"/>
    </row>
    <row r="103" spans="3:20">
      <c r="C103" s="16">
        <v>2001</v>
      </c>
      <c r="D103" s="16">
        <f ca="1">_xlfn.XLOOKUP(C103,$C$30:$C$69,$D$30:$D$69)</f>
        <v>9</v>
      </c>
      <c r="E103" s="16" t="s">
        <v>925</v>
      </c>
      <c r="F103" s="16">
        <v>1</v>
      </c>
      <c r="G103" s="16">
        <f ca="1" t="shared" si="11"/>
        <v>1000</v>
      </c>
      <c r="H103" s="16">
        <v>1000</v>
      </c>
      <c r="I103" s="16">
        <f ca="1">F103*_xlfn.XLOOKUP(D103,价值表!F:F,价值表!I:I)</f>
        <v>0</v>
      </c>
      <c r="J103" s="16">
        <v>2000</v>
      </c>
      <c r="L103" s="46" cm="1">
        <f ca="1" t="array" ref="L103">I103/SUMPRODUCT(J103:K103,J$89:K$89)</f>
        <v>0</v>
      </c>
      <c r="M103" s="16" t="str">
        <f ca="1" t="shared" si="12"/>
        <v>[{9,1}]</v>
      </c>
      <c r="N103" s="16" t="str">
        <f t="shared" si="13"/>
        <v>[{2,2000}]</v>
      </c>
      <c r="Q103"/>
      <c r="R103"/>
      <c r="S103"/>
      <c r="T103"/>
    </row>
    <row r="104" spans="3:20">
      <c r="C104" s="16">
        <v>2001</v>
      </c>
      <c r="D104" s="16">
        <f ca="1">_xlfn.XLOOKUP(C104,$C$30:$C$69,$D$30:$D$69)</f>
        <v>9</v>
      </c>
      <c r="E104" s="16" t="s">
        <v>925</v>
      </c>
      <c r="F104" s="16">
        <v>1</v>
      </c>
      <c r="G104" s="16">
        <f ca="1" t="shared" si="11"/>
        <v>1000</v>
      </c>
      <c r="H104" s="16">
        <v>1000</v>
      </c>
      <c r="I104" s="16">
        <f ca="1">F104*_xlfn.XLOOKUP(D104,价值表!F:F,价值表!I:I)</f>
        <v>0</v>
      </c>
      <c r="K104" s="16">
        <v>35</v>
      </c>
      <c r="L104" s="46" cm="1">
        <f ca="1" t="array" ref="L104">I104/SUMPRODUCT(J104:K104,J$89:K$89)</f>
        <v>0</v>
      </c>
      <c r="M104" s="16" t="str">
        <f ca="1" t="shared" si="12"/>
        <v>[{9,1}]</v>
      </c>
      <c r="N104" s="16" t="str">
        <f t="shared" si="13"/>
        <v>[{1,35}]</v>
      </c>
      <c r="Q104"/>
      <c r="R104"/>
      <c r="S104"/>
      <c r="T104"/>
    </row>
    <row r="105" spans="3:20">
      <c r="C105" s="16">
        <v>3001</v>
      </c>
      <c r="D105" s="16">
        <f ca="1">_xlfn.XLOOKUP(C105,$C$30:$C$69,$D$30:$D$69)</f>
        <v>30</v>
      </c>
      <c r="E105" s="16" t="s">
        <v>926</v>
      </c>
      <c r="F105" s="16">
        <v>1</v>
      </c>
      <c r="G105" s="16">
        <f ca="1" t="shared" si="11"/>
        <v>1000</v>
      </c>
      <c r="H105" s="16">
        <v>1000</v>
      </c>
      <c r="I105" s="16">
        <f ca="1">F105*_xlfn.XLOOKUP(D105,价值表!F:F,价值表!I:I)</f>
        <v>0</v>
      </c>
      <c r="J105" s="16">
        <v>11200</v>
      </c>
      <c r="L105" s="46" cm="1">
        <f ca="1" t="array" ref="L105">I105/SUMPRODUCT(J105:K105,J$89:K$89)</f>
        <v>0</v>
      </c>
      <c r="M105" s="16" t="str">
        <f ca="1" t="shared" si="12"/>
        <v>[{30,1}]</v>
      </c>
      <c r="N105" s="16" t="str">
        <f t="shared" si="13"/>
        <v>[{2,11200}]</v>
      </c>
      <c r="Q105"/>
      <c r="R105"/>
      <c r="S105"/>
      <c r="T105"/>
    </row>
    <row r="106" spans="3:20">
      <c r="C106" s="16">
        <v>3001</v>
      </c>
      <c r="D106" s="16">
        <f ca="1">_xlfn.XLOOKUP(C106,$C$30:$C$69,$D$30:$D$69)</f>
        <v>30</v>
      </c>
      <c r="E106" s="16" t="s">
        <v>926</v>
      </c>
      <c r="F106" s="16">
        <v>1</v>
      </c>
      <c r="G106" s="16">
        <f ca="1" t="shared" si="11"/>
        <v>1000</v>
      </c>
      <c r="H106" s="16">
        <v>1000</v>
      </c>
      <c r="I106" s="16">
        <f ca="1">F106*_xlfn.XLOOKUP(D106,价值表!F:F,价值表!I:I)</f>
        <v>0</v>
      </c>
      <c r="K106" s="16">
        <v>224</v>
      </c>
      <c r="L106" s="46" cm="1">
        <f ca="1" t="array" ref="L106">I106/SUMPRODUCT(J106:K106,J$89:K$89)</f>
        <v>0</v>
      </c>
      <c r="M106" s="16" t="str">
        <f ca="1" t="shared" si="12"/>
        <v>[{30,1}]</v>
      </c>
      <c r="N106" s="16" t="str">
        <f t="shared" si="13"/>
        <v>[{1,224}]</v>
      </c>
      <c r="Q106"/>
      <c r="R106"/>
      <c r="S106"/>
      <c r="T106"/>
    </row>
    <row r="107" spans="3:20">
      <c r="C107" s="16">
        <v>4001</v>
      </c>
      <c r="D107" s="16">
        <v>5305001</v>
      </c>
      <c r="E107" s="16" t="s">
        <v>265</v>
      </c>
      <c r="F107" s="16">
        <v>1</v>
      </c>
      <c r="G107" s="16">
        <f ca="1" t="shared" si="11"/>
        <v>1000</v>
      </c>
      <c r="H107" s="16">
        <v>1000</v>
      </c>
      <c r="I107" s="16" t="e">
        <f>F107*_xlfn.XLOOKUP(D107,价值表!F:F,价值表!I:I)</f>
        <v>#N/A</v>
      </c>
      <c r="J107" s="16">
        <v>6000</v>
      </c>
      <c r="L107" s="46" t="e" cm="1">
        <f t="array" ref="L107">I107/SUMPRODUCT(J107:K107,J$89:K$89)</f>
        <v>#N/A</v>
      </c>
      <c r="M107" s="16" t="str">
        <f t="shared" si="12"/>
        <v>[{5305001,1}]</v>
      </c>
      <c r="N107" s="16" t="str">
        <f t="shared" si="13"/>
        <v>[{2,6000}]</v>
      </c>
      <c r="Q107"/>
      <c r="R107"/>
      <c r="S107"/>
      <c r="T107"/>
    </row>
    <row r="108" spans="3:20">
      <c r="C108" s="16">
        <v>4001</v>
      </c>
      <c r="D108" s="16">
        <v>5305001</v>
      </c>
      <c r="E108" s="16" t="s">
        <v>265</v>
      </c>
      <c r="F108" s="16">
        <v>1</v>
      </c>
      <c r="G108" s="16">
        <f ca="1" t="shared" si="11"/>
        <v>1000</v>
      </c>
      <c r="H108" s="16">
        <v>1000</v>
      </c>
      <c r="I108" s="16" t="e">
        <f>F108*_xlfn.XLOOKUP(D108,价值表!F:F,价值表!I:I)</f>
        <v>#N/A</v>
      </c>
      <c r="K108" s="16">
        <v>48</v>
      </c>
      <c r="L108" s="46" t="e" cm="1">
        <f t="array" ref="L108">I108/SUMPRODUCT(J108:K108,J$89:K$89)</f>
        <v>#N/A</v>
      </c>
      <c r="M108" s="16" t="str">
        <f t="shared" si="12"/>
        <v>[{5305001,1}]</v>
      </c>
      <c r="N108" s="16" t="str">
        <f t="shared" si="13"/>
        <v>[{1,48}]</v>
      </c>
      <c r="Q108"/>
      <c r="R108"/>
      <c r="S108"/>
      <c r="T108"/>
    </row>
    <row r="109" spans="3:20">
      <c r="C109" s="444">
        <v>5001</v>
      </c>
      <c r="D109" s="444">
        <v>50003</v>
      </c>
      <c r="E109" s="444" t="s">
        <v>528</v>
      </c>
      <c r="F109" s="444">
        <v>10</v>
      </c>
      <c r="G109" s="16">
        <f ca="1" t="shared" si="11"/>
        <v>6000</v>
      </c>
      <c r="H109" s="16">
        <v>6000</v>
      </c>
      <c r="I109" s="16" t="e">
        <f>F109*_xlfn.XLOOKUP(50002,价值表!F:F,价值表!I:I)</f>
        <v>#N/A</v>
      </c>
      <c r="J109" s="16">
        <v>1000</v>
      </c>
      <c r="L109" s="46" t="e" cm="1">
        <f t="array" ref="L109">I109/SUMPRODUCT(J109:K109,J$89:K$89)</f>
        <v>#N/A</v>
      </c>
      <c r="M109" s="16" t="str">
        <f t="shared" si="12"/>
        <v>[{50003,10}]</v>
      </c>
      <c r="N109" s="16" t="str">
        <f t="shared" si="13"/>
        <v>[{2,1000}]</v>
      </c>
      <c r="Q109"/>
      <c r="R109"/>
      <c r="S109"/>
      <c r="T109"/>
    </row>
    <row r="110" spans="3:20">
      <c r="C110" s="444">
        <v>5001</v>
      </c>
      <c r="D110" s="444">
        <f>D109+1</f>
        <v>50004</v>
      </c>
      <c r="E110" s="444" t="s">
        <v>530</v>
      </c>
      <c r="F110" s="444">
        <v>10</v>
      </c>
      <c r="G110" s="16">
        <f ca="1" t="shared" si="11"/>
        <v>6000</v>
      </c>
      <c r="H110" s="16">
        <v>6000</v>
      </c>
      <c r="I110" s="16" t="e">
        <f>F110*_xlfn.XLOOKUP(50002,价值表!F:F,价值表!I:I)</f>
        <v>#N/A</v>
      </c>
      <c r="J110" s="16">
        <v>1000</v>
      </c>
      <c r="L110" s="46" t="e" cm="1">
        <f t="array" ref="L110">I110/SUMPRODUCT(J110:K110,J$89:K$89)</f>
        <v>#N/A</v>
      </c>
      <c r="M110" s="16" t="str">
        <f t="shared" si="12"/>
        <v>[{50004,10}]</v>
      </c>
      <c r="N110" s="16" t="str">
        <f t="shared" si="13"/>
        <v>[{2,1000}]</v>
      </c>
      <c r="Q110"/>
      <c r="R110"/>
      <c r="S110"/>
      <c r="T110"/>
    </row>
    <row r="111" spans="3:20">
      <c r="C111" s="444">
        <v>5001</v>
      </c>
      <c r="D111" s="444">
        <f>D110+1</f>
        <v>50005</v>
      </c>
      <c r="E111" s="444" t="s">
        <v>531</v>
      </c>
      <c r="F111" s="444">
        <v>10</v>
      </c>
      <c r="G111" s="16">
        <f ca="1" t="shared" si="11"/>
        <v>6000</v>
      </c>
      <c r="H111" s="16">
        <v>6000</v>
      </c>
      <c r="I111" s="16" t="e">
        <f>F111*_xlfn.XLOOKUP(50002,价值表!F:F,价值表!I:I)</f>
        <v>#N/A</v>
      </c>
      <c r="J111" s="16">
        <v>1000</v>
      </c>
      <c r="L111" s="46" t="e" cm="1">
        <f t="array" ref="L111">I111/SUMPRODUCT(J111:K111,J$89:K$89)</f>
        <v>#N/A</v>
      </c>
      <c r="M111" s="16" t="str">
        <f t="shared" si="12"/>
        <v>[{50005,10}]</v>
      </c>
      <c r="N111" s="16" t="str">
        <f t="shared" si="13"/>
        <v>[{2,1000}]</v>
      </c>
      <c r="Q111"/>
      <c r="R111"/>
      <c r="S111"/>
      <c r="T111"/>
    </row>
    <row r="112" spans="3:20">
      <c r="C112" s="444">
        <v>5001</v>
      </c>
      <c r="D112" s="444">
        <f>D111+1</f>
        <v>50006</v>
      </c>
      <c r="E112" s="444" t="s">
        <v>532</v>
      </c>
      <c r="F112" s="444">
        <v>10</v>
      </c>
      <c r="G112" s="16">
        <f ca="1" t="shared" si="11"/>
        <v>6000</v>
      </c>
      <c r="H112" s="16">
        <v>6000</v>
      </c>
      <c r="I112" s="16" t="e">
        <f>F112*_xlfn.XLOOKUP(50002,价值表!F:F,价值表!I:I)</f>
        <v>#N/A</v>
      </c>
      <c r="J112" s="16">
        <v>1000</v>
      </c>
      <c r="L112" s="46" t="e" cm="1">
        <f t="array" ref="L112">I112/SUMPRODUCT(J112:K112,J$89:K$89)</f>
        <v>#N/A</v>
      </c>
      <c r="M112" s="16" t="str">
        <f t="shared" si="12"/>
        <v>[{50006,10}]</v>
      </c>
      <c r="N112" s="16" t="str">
        <f t="shared" si="13"/>
        <v>[{2,1000}]</v>
      </c>
      <c r="Q112"/>
      <c r="R112"/>
      <c r="S112"/>
      <c r="T112"/>
    </row>
    <row r="113" spans="3:20">
      <c r="C113" s="444">
        <v>5001</v>
      </c>
      <c r="D113" s="444">
        <f>D112+1</f>
        <v>50007</v>
      </c>
      <c r="E113" s="444" t="s">
        <v>533</v>
      </c>
      <c r="F113" s="444">
        <v>10</v>
      </c>
      <c r="G113" s="16">
        <f ca="1" t="shared" si="11"/>
        <v>6000</v>
      </c>
      <c r="H113" s="16">
        <v>6000</v>
      </c>
      <c r="I113" s="16" t="e">
        <f>F113*_xlfn.XLOOKUP(50002,价值表!F:F,价值表!I:I)</f>
        <v>#N/A</v>
      </c>
      <c r="J113" s="16">
        <v>1000</v>
      </c>
      <c r="L113" s="46" t="e" cm="1">
        <f t="array" ref="L113">I113/SUMPRODUCT(J113:K113,J$89:K$89)</f>
        <v>#N/A</v>
      </c>
      <c r="M113" s="16" t="str">
        <f t="shared" si="12"/>
        <v>[{50007,10}]</v>
      </c>
      <c r="N113" s="16" t="str">
        <f t="shared" si="13"/>
        <v>[{2,1000}]</v>
      </c>
      <c r="Q113"/>
      <c r="R113"/>
      <c r="S113"/>
      <c r="T113"/>
    </row>
    <row r="114" spans="3:20">
      <c r="C114" s="444">
        <v>5001</v>
      </c>
      <c r="D114" s="444">
        <f>D113+1</f>
        <v>50008</v>
      </c>
      <c r="E114" s="444" t="s">
        <v>534</v>
      </c>
      <c r="F114" s="444">
        <v>10</v>
      </c>
      <c r="G114" s="16">
        <f ca="1" t="shared" si="11"/>
        <v>6000</v>
      </c>
      <c r="H114" s="16">
        <v>6000</v>
      </c>
      <c r="I114" s="16" t="e">
        <f>F114*_xlfn.XLOOKUP(50002,价值表!F:F,价值表!I:I)</f>
        <v>#N/A</v>
      </c>
      <c r="J114" s="16">
        <v>1000</v>
      </c>
      <c r="L114" s="46" t="e" cm="1">
        <f t="array" ref="L114">I114/SUMPRODUCT(J114:K114,J$89:K$89)</f>
        <v>#N/A</v>
      </c>
      <c r="M114" s="16" t="str">
        <f t="shared" si="12"/>
        <v>[{50008,10}]</v>
      </c>
      <c r="N114" s="16" t="str">
        <f t="shared" si="13"/>
        <v>[{2,1000}]</v>
      </c>
      <c r="Q114"/>
      <c r="R114"/>
      <c r="S114"/>
      <c r="T114"/>
    </row>
    <row r="115" spans="3:20">
      <c r="C115" s="444">
        <v>5001</v>
      </c>
      <c r="D115" s="444">
        <f t="shared" ref="D115:D120" si="14">D109</f>
        <v>50003</v>
      </c>
      <c r="E115" s="444" t="s">
        <v>528</v>
      </c>
      <c r="F115" s="444">
        <v>10</v>
      </c>
      <c r="G115" s="16">
        <f ca="1" t="shared" si="11"/>
        <v>6000</v>
      </c>
      <c r="H115" s="16">
        <v>6000</v>
      </c>
      <c r="I115" s="16" t="e">
        <f>F115*_xlfn.XLOOKUP(50002,价值表!F:F,价值表!I:I)</f>
        <v>#N/A</v>
      </c>
      <c r="K115" s="16">
        <v>25</v>
      </c>
      <c r="L115" s="46" t="e" cm="1">
        <f t="array" ref="L115">I115/SUMPRODUCT(J115:K115,J$89:K$89)</f>
        <v>#N/A</v>
      </c>
      <c r="M115" s="16" t="str">
        <f t="shared" si="12"/>
        <v>[{50003,10}]</v>
      </c>
      <c r="N115" s="16" t="str">
        <f t="shared" si="13"/>
        <v>[{1,25}]</v>
      </c>
      <c r="Q115"/>
      <c r="R115"/>
      <c r="S115"/>
      <c r="T115"/>
    </row>
    <row r="116" spans="3:20">
      <c r="C116" s="444">
        <v>5001</v>
      </c>
      <c r="D116" s="444">
        <f t="shared" si="14"/>
        <v>50004</v>
      </c>
      <c r="E116" s="444" t="s">
        <v>530</v>
      </c>
      <c r="F116" s="444">
        <v>10</v>
      </c>
      <c r="G116" s="16">
        <f ca="1" t="shared" si="11"/>
        <v>6000</v>
      </c>
      <c r="H116" s="16">
        <v>6000</v>
      </c>
      <c r="I116" s="16" t="e">
        <f>F116*_xlfn.XLOOKUP(50002,价值表!F:F,价值表!I:I)</f>
        <v>#N/A</v>
      </c>
      <c r="K116" s="16">
        <v>25</v>
      </c>
      <c r="L116" s="46" t="e" cm="1">
        <f t="array" ref="L116">I116/SUMPRODUCT(J116:K116,J$89:K$89)</f>
        <v>#N/A</v>
      </c>
      <c r="M116" s="16" t="str">
        <f t="shared" si="12"/>
        <v>[{50004,10}]</v>
      </c>
      <c r="N116" s="16" t="str">
        <f t="shared" si="13"/>
        <v>[{1,25}]</v>
      </c>
      <c r="Q116"/>
      <c r="R116"/>
      <c r="S116"/>
      <c r="T116"/>
    </row>
    <row r="117" spans="3:20">
      <c r="C117" s="444">
        <v>5001</v>
      </c>
      <c r="D117" s="444">
        <f t="shared" si="14"/>
        <v>50005</v>
      </c>
      <c r="E117" s="444" t="s">
        <v>531</v>
      </c>
      <c r="F117" s="444">
        <v>10</v>
      </c>
      <c r="G117" s="16">
        <f ca="1" t="shared" si="11"/>
        <v>6000</v>
      </c>
      <c r="H117" s="16">
        <v>6000</v>
      </c>
      <c r="I117" s="16" t="e">
        <f>F117*_xlfn.XLOOKUP(50002,价值表!F:F,价值表!I:I)</f>
        <v>#N/A</v>
      </c>
      <c r="K117" s="16">
        <v>25</v>
      </c>
      <c r="L117" s="46" t="e" cm="1">
        <f t="array" ref="L117">I117/SUMPRODUCT(J117:K117,J$89:K$89)</f>
        <v>#N/A</v>
      </c>
      <c r="M117" s="16" t="str">
        <f t="shared" si="12"/>
        <v>[{50005,10}]</v>
      </c>
      <c r="N117" s="16" t="str">
        <f t="shared" si="13"/>
        <v>[{1,25}]</v>
      </c>
      <c r="Q117"/>
      <c r="R117"/>
      <c r="S117"/>
      <c r="T117"/>
    </row>
    <row r="118" spans="3:20">
      <c r="C118" s="444">
        <v>5001</v>
      </c>
      <c r="D118" s="444">
        <f t="shared" si="14"/>
        <v>50006</v>
      </c>
      <c r="E118" s="444" t="s">
        <v>532</v>
      </c>
      <c r="F118" s="444">
        <v>10</v>
      </c>
      <c r="G118" s="16">
        <f ca="1" t="shared" si="11"/>
        <v>6000</v>
      </c>
      <c r="H118" s="16">
        <v>6000</v>
      </c>
      <c r="I118" s="16" t="e">
        <f>F118*_xlfn.XLOOKUP(50002,价值表!F:F,价值表!I:I)</f>
        <v>#N/A</v>
      </c>
      <c r="K118" s="16">
        <v>25</v>
      </c>
      <c r="L118" s="46" t="e" cm="1">
        <f t="array" ref="L118">I118/SUMPRODUCT(J118:K118,J$89:K$89)</f>
        <v>#N/A</v>
      </c>
      <c r="M118" s="16" t="str">
        <f t="shared" si="12"/>
        <v>[{50006,10}]</v>
      </c>
      <c r="N118" s="16" t="str">
        <f t="shared" si="13"/>
        <v>[{1,25}]</v>
      </c>
      <c r="Q118"/>
      <c r="R118"/>
      <c r="S118"/>
      <c r="T118"/>
    </row>
    <row r="119" spans="3:20">
      <c r="C119" s="444">
        <v>5001</v>
      </c>
      <c r="D119" s="444">
        <f t="shared" si="14"/>
        <v>50007</v>
      </c>
      <c r="E119" s="444" t="s">
        <v>533</v>
      </c>
      <c r="F119" s="444">
        <v>10</v>
      </c>
      <c r="G119" s="16">
        <f ca="1" t="shared" si="11"/>
        <v>6000</v>
      </c>
      <c r="H119" s="16">
        <v>6000</v>
      </c>
      <c r="I119" s="16" t="e">
        <f>F119*_xlfn.XLOOKUP(50002,价值表!F:F,价值表!I:I)</f>
        <v>#N/A</v>
      </c>
      <c r="K119" s="16">
        <v>25</v>
      </c>
      <c r="L119" s="46" t="e" cm="1">
        <f t="array" ref="L119">I119/SUMPRODUCT(J119:K119,J$89:K$89)</f>
        <v>#N/A</v>
      </c>
      <c r="M119" s="16" t="str">
        <f t="shared" si="12"/>
        <v>[{50007,10}]</v>
      </c>
      <c r="N119" s="16" t="str">
        <f t="shared" si="13"/>
        <v>[{1,25}]</v>
      </c>
      <c r="Q119"/>
      <c r="R119"/>
      <c r="S119"/>
      <c r="T119"/>
    </row>
    <row r="120" spans="3:20">
      <c r="C120" s="444">
        <v>5001</v>
      </c>
      <c r="D120" s="444">
        <f t="shared" si="14"/>
        <v>50008</v>
      </c>
      <c r="E120" s="444" t="s">
        <v>534</v>
      </c>
      <c r="F120" s="444">
        <v>10</v>
      </c>
      <c r="G120" s="16">
        <f ca="1" t="shared" si="11"/>
        <v>6000</v>
      </c>
      <c r="H120" s="16">
        <v>6000</v>
      </c>
      <c r="I120" s="16" t="e">
        <f>F120*_xlfn.XLOOKUP(50002,价值表!F:F,价值表!I:I)</f>
        <v>#N/A</v>
      </c>
      <c r="K120" s="16">
        <v>25</v>
      </c>
      <c r="L120" s="46" t="e" cm="1">
        <f t="array" ref="L120">I120/SUMPRODUCT(J120:K120,J$89:K$89)</f>
        <v>#N/A</v>
      </c>
      <c r="M120" s="16" t="str">
        <f t="shared" si="12"/>
        <v>[{50008,10}]</v>
      </c>
      <c r="N120" s="16" t="str">
        <f t="shared" si="13"/>
        <v>[{1,25}]</v>
      </c>
      <c r="Q120"/>
      <c r="R120"/>
      <c r="S120"/>
      <c r="T120"/>
    </row>
    <row r="121" spans="3:20">
      <c r="C121" s="445">
        <v>5002</v>
      </c>
      <c r="D121" s="445">
        <v>50003</v>
      </c>
      <c r="E121" s="445" t="s">
        <v>528</v>
      </c>
      <c r="F121" s="445">
        <v>10</v>
      </c>
      <c r="G121" s="16">
        <f ca="1" t="shared" si="11"/>
        <v>8000</v>
      </c>
      <c r="H121" s="16">
        <v>8000</v>
      </c>
      <c r="I121" s="16" t="e">
        <f>F121*_xlfn.XLOOKUP(50002,价值表!F:F,价值表!I:I)</f>
        <v>#N/A</v>
      </c>
      <c r="J121" s="16">
        <v>1000</v>
      </c>
      <c r="L121" s="46" t="e" cm="1">
        <f t="array" ref="L121">I121/SUMPRODUCT(J121:K121,J$89:K$89)</f>
        <v>#N/A</v>
      </c>
      <c r="M121" s="16" t="str">
        <f t="shared" si="12"/>
        <v>[{50003,10}]</v>
      </c>
      <c r="N121" s="16" t="str">
        <f t="shared" si="13"/>
        <v>[{2,1000}]</v>
      </c>
      <c r="Q121"/>
      <c r="R121"/>
      <c r="S121"/>
      <c r="T121"/>
    </row>
    <row r="122" spans="3:20">
      <c r="C122" s="445">
        <v>5002</v>
      </c>
      <c r="D122" s="445">
        <v>50003</v>
      </c>
      <c r="E122" s="445" t="s">
        <v>528</v>
      </c>
      <c r="F122" s="445">
        <v>20</v>
      </c>
      <c r="G122" s="16">
        <f ca="1" t="shared" si="11"/>
        <v>4000</v>
      </c>
      <c r="H122" s="16">
        <v>4000</v>
      </c>
      <c r="I122" s="16" t="e">
        <f>F122*_xlfn.XLOOKUP(50002,价值表!F:F,价值表!I:I)</f>
        <v>#N/A</v>
      </c>
      <c r="J122" s="16">
        <v>2000</v>
      </c>
      <c r="L122" s="46" t="e" cm="1">
        <f t="array" ref="L122">I122/SUMPRODUCT(J122:K122,J$89:K$89)</f>
        <v>#N/A</v>
      </c>
      <c r="M122" s="16" t="str">
        <f t="shared" si="12"/>
        <v>[{50003,20}]</v>
      </c>
      <c r="N122" s="16" t="str">
        <f t="shared" si="13"/>
        <v>[{2,2000}]</v>
      </c>
      <c r="Q122"/>
      <c r="R122"/>
      <c r="S122"/>
      <c r="T122"/>
    </row>
    <row r="123" spans="3:20">
      <c r="C123" s="445">
        <v>5002</v>
      </c>
      <c r="D123" s="445">
        <f>D121+1</f>
        <v>50004</v>
      </c>
      <c r="E123" s="445" t="s">
        <v>530</v>
      </c>
      <c r="F123" s="445">
        <f>F121</f>
        <v>10</v>
      </c>
      <c r="G123" s="16">
        <f ca="1" t="shared" si="11"/>
        <v>8000</v>
      </c>
      <c r="H123" s="16">
        <v>8000</v>
      </c>
      <c r="I123" s="16" t="e">
        <f>F123*_xlfn.XLOOKUP(50002,价值表!F:F,价值表!I:I)</f>
        <v>#N/A</v>
      </c>
      <c r="K123" s="16">
        <v>25</v>
      </c>
      <c r="L123" s="46" t="e" cm="1">
        <f t="array" ref="L123">I123/SUMPRODUCT(J123:K123,J$89:K$89)</f>
        <v>#N/A</v>
      </c>
      <c r="M123" s="16" t="str">
        <f t="shared" si="12"/>
        <v>[{50004,10}]</v>
      </c>
      <c r="N123" s="16" t="str">
        <f t="shared" si="13"/>
        <v>[{1,25}]</v>
      </c>
      <c r="Q123"/>
      <c r="R123"/>
      <c r="S123"/>
      <c r="T123"/>
    </row>
    <row r="124" spans="3:20">
      <c r="C124" s="445">
        <v>5002</v>
      </c>
      <c r="D124" s="445">
        <f t="shared" ref="D124:D132" si="15">D122+1</f>
        <v>50004</v>
      </c>
      <c r="E124" s="445" t="s">
        <v>530</v>
      </c>
      <c r="F124" s="445">
        <f t="shared" ref="F124:F144" si="16">F122</f>
        <v>20</v>
      </c>
      <c r="G124" s="16">
        <f ca="1" t="shared" ref="G124:G155" si="17">H124*2*_xlfn.XLOOKUP(C124,$C$30:$C$85,$G$30:$G$85)</f>
        <v>4000</v>
      </c>
      <c r="H124" s="16">
        <v>4000</v>
      </c>
      <c r="I124" s="16" t="e">
        <f>F124*_xlfn.XLOOKUP(50002,价值表!F:F,价值表!I:I)</f>
        <v>#N/A</v>
      </c>
      <c r="K124" s="16">
        <v>50</v>
      </c>
      <c r="L124" s="46" t="e" cm="1">
        <f t="array" ref="L124">I124/SUMPRODUCT(J124:K124,J$89:K$89)</f>
        <v>#N/A</v>
      </c>
      <c r="M124" s="16" t="str">
        <f t="shared" ref="M124:M155" si="18">"[{"&amp;D124&amp;","&amp;F124&amp;"}]"</f>
        <v>[{50004,20}]</v>
      </c>
      <c r="N124" s="16" t="str">
        <f t="shared" ref="N124:N155" si="19">IF(J124&gt;0,"[{2,"&amp;J124&amp;"}]","[{1,"&amp;K124&amp;"}]")</f>
        <v>[{1,50}]</v>
      </c>
      <c r="Q124"/>
      <c r="R124"/>
      <c r="S124"/>
      <c r="T124"/>
    </row>
    <row r="125" spans="3:20">
      <c r="C125" s="445">
        <v>5002</v>
      </c>
      <c r="D125" s="445">
        <f t="shared" si="15"/>
        <v>50005</v>
      </c>
      <c r="E125" s="445" t="s">
        <v>531</v>
      </c>
      <c r="F125" s="445">
        <f t="shared" si="16"/>
        <v>10</v>
      </c>
      <c r="G125" s="16">
        <f ca="1" t="shared" si="17"/>
        <v>8000</v>
      </c>
      <c r="H125" s="16">
        <v>8000</v>
      </c>
      <c r="I125" s="16" t="e">
        <f>F125*_xlfn.XLOOKUP(50002,价值表!F:F,价值表!I:I)</f>
        <v>#N/A</v>
      </c>
      <c r="J125" s="16">
        <f>J121</f>
        <v>1000</v>
      </c>
      <c r="K125" s="16">
        <f>K121</f>
        <v>0</v>
      </c>
      <c r="L125" s="46" t="e" cm="1">
        <f t="array" ref="L125">I125/SUMPRODUCT(J125:K125,J$89:K$89)</f>
        <v>#N/A</v>
      </c>
      <c r="M125" s="16" t="str">
        <f t="shared" si="18"/>
        <v>[{50005,10}]</v>
      </c>
      <c r="N125" s="16" t="str">
        <f t="shared" si="19"/>
        <v>[{2,1000}]</v>
      </c>
      <c r="Q125"/>
      <c r="R125"/>
      <c r="S125"/>
      <c r="T125"/>
    </row>
    <row r="126" spans="3:20">
      <c r="C126" s="445">
        <v>5002</v>
      </c>
      <c r="D126" s="445">
        <f t="shared" si="15"/>
        <v>50005</v>
      </c>
      <c r="E126" s="445" t="s">
        <v>531</v>
      </c>
      <c r="F126" s="445">
        <f t="shared" si="16"/>
        <v>20</v>
      </c>
      <c r="G126" s="16">
        <f ca="1" t="shared" si="17"/>
        <v>4000</v>
      </c>
      <c r="H126" s="16">
        <v>4000</v>
      </c>
      <c r="I126" s="16" t="e">
        <f>F126*_xlfn.XLOOKUP(50002,价值表!F:F,价值表!I:I)</f>
        <v>#N/A</v>
      </c>
      <c r="J126" s="16">
        <f t="shared" ref="J126:J144" si="20">J122</f>
        <v>2000</v>
      </c>
      <c r="K126" s="16">
        <f t="shared" ref="K126:K144" si="21">K122</f>
        <v>0</v>
      </c>
      <c r="L126" s="46" t="e" cm="1">
        <f t="array" ref="L126">I126/SUMPRODUCT(J126:K126,J$89:K$89)</f>
        <v>#N/A</v>
      </c>
      <c r="M126" s="16" t="str">
        <f t="shared" si="18"/>
        <v>[{50005,20}]</v>
      </c>
      <c r="N126" s="16" t="str">
        <f t="shared" si="19"/>
        <v>[{2,2000}]</v>
      </c>
      <c r="Q126"/>
      <c r="R126"/>
      <c r="S126"/>
      <c r="T126"/>
    </row>
    <row r="127" spans="3:20">
      <c r="C127" s="445">
        <v>5002</v>
      </c>
      <c r="D127" s="445">
        <f t="shared" si="15"/>
        <v>50006</v>
      </c>
      <c r="E127" s="445" t="s">
        <v>532</v>
      </c>
      <c r="F127" s="445">
        <f t="shared" si="16"/>
        <v>10</v>
      </c>
      <c r="G127" s="16">
        <f ca="1" t="shared" si="17"/>
        <v>8000</v>
      </c>
      <c r="H127" s="16">
        <v>8000</v>
      </c>
      <c r="I127" s="16" t="e">
        <f>F127*_xlfn.XLOOKUP(50002,价值表!F:F,价值表!I:I)</f>
        <v>#N/A</v>
      </c>
      <c r="J127" s="16">
        <f t="shared" si="20"/>
        <v>0</v>
      </c>
      <c r="K127" s="16">
        <f t="shared" si="21"/>
        <v>25</v>
      </c>
      <c r="L127" s="46" t="e" cm="1">
        <f t="array" ref="L127">I127/SUMPRODUCT(J127:K127,J$89:K$89)</f>
        <v>#N/A</v>
      </c>
      <c r="M127" s="16" t="str">
        <f t="shared" si="18"/>
        <v>[{50006,10}]</v>
      </c>
      <c r="N127" s="16" t="str">
        <f t="shared" si="19"/>
        <v>[{1,25}]</v>
      </c>
      <c r="Q127"/>
      <c r="R127"/>
      <c r="S127"/>
      <c r="T127"/>
    </row>
    <row r="128" spans="3:20">
      <c r="C128" s="445">
        <v>5002</v>
      </c>
      <c r="D128" s="445">
        <f t="shared" si="15"/>
        <v>50006</v>
      </c>
      <c r="E128" s="445" t="s">
        <v>532</v>
      </c>
      <c r="F128" s="445">
        <f t="shared" si="16"/>
        <v>20</v>
      </c>
      <c r="G128" s="16">
        <f ca="1" t="shared" si="17"/>
        <v>4000</v>
      </c>
      <c r="H128" s="16">
        <v>4000</v>
      </c>
      <c r="I128" s="16" t="e">
        <f>F128*_xlfn.XLOOKUP(50002,价值表!F:F,价值表!I:I)</f>
        <v>#N/A</v>
      </c>
      <c r="J128" s="16">
        <f t="shared" si="20"/>
        <v>0</v>
      </c>
      <c r="K128" s="16">
        <f t="shared" si="21"/>
        <v>50</v>
      </c>
      <c r="L128" s="46" t="e" cm="1">
        <f t="array" ref="L128">I128/SUMPRODUCT(J128:K128,J$89:K$89)</f>
        <v>#N/A</v>
      </c>
      <c r="M128" s="16" t="str">
        <f t="shared" si="18"/>
        <v>[{50006,20}]</v>
      </c>
      <c r="N128" s="16" t="str">
        <f t="shared" si="19"/>
        <v>[{1,50}]</v>
      </c>
      <c r="Q128"/>
      <c r="R128"/>
      <c r="S128"/>
      <c r="T128"/>
    </row>
    <row r="129" spans="3:20">
      <c r="C129" s="445">
        <v>5002</v>
      </c>
      <c r="D129" s="445">
        <f t="shared" si="15"/>
        <v>50007</v>
      </c>
      <c r="E129" s="445" t="s">
        <v>533</v>
      </c>
      <c r="F129" s="445">
        <f t="shared" si="16"/>
        <v>10</v>
      </c>
      <c r="G129" s="16">
        <f ca="1" t="shared" si="17"/>
        <v>8000</v>
      </c>
      <c r="H129" s="16">
        <v>8000</v>
      </c>
      <c r="I129" s="16" t="e">
        <f>F129*_xlfn.XLOOKUP(50002,价值表!F:F,价值表!I:I)</f>
        <v>#N/A</v>
      </c>
      <c r="J129" s="16">
        <f t="shared" si="20"/>
        <v>1000</v>
      </c>
      <c r="K129" s="16">
        <f t="shared" si="21"/>
        <v>0</v>
      </c>
      <c r="L129" s="46" t="e" cm="1">
        <f t="array" ref="L129">I129/SUMPRODUCT(J129:K129,J$89:K$89)</f>
        <v>#N/A</v>
      </c>
      <c r="M129" s="16" t="str">
        <f t="shared" si="18"/>
        <v>[{50007,10}]</v>
      </c>
      <c r="N129" s="16" t="str">
        <f t="shared" si="19"/>
        <v>[{2,1000}]</v>
      </c>
      <c r="Q129"/>
      <c r="R129"/>
      <c r="S129"/>
      <c r="T129"/>
    </row>
    <row r="130" spans="3:20">
      <c r="C130" s="445">
        <v>5002</v>
      </c>
      <c r="D130" s="445">
        <f t="shared" si="15"/>
        <v>50007</v>
      </c>
      <c r="E130" s="445" t="s">
        <v>533</v>
      </c>
      <c r="F130" s="445">
        <f t="shared" si="16"/>
        <v>20</v>
      </c>
      <c r="G130" s="16">
        <f ca="1" t="shared" si="17"/>
        <v>4000</v>
      </c>
      <c r="H130" s="16">
        <v>4000</v>
      </c>
      <c r="I130" s="16" t="e">
        <f>F130*_xlfn.XLOOKUP(50002,价值表!F:F,价值表!I:I)</f>
        <v>#N/A</v>
      </c>
      <c r="J130" s="16">
        <f t="shared" si="20"/>
        <v>2000</v>
      </c>
      <c r="K130" s="16">
        <f t="shared" si="21"/>
        <v>0</v>
      </c>
      <c r="L130" s="46" t="e" cm="1">
        <f t="array" ref="L130">I130/SUMPRODUCT(J130:K130,J$89:K$89)</f>
        <v>#N/A</v>
      </c>
      <c r="M130" s="16" t="str">
        <f t="shared" si="18"/>
        <v>[{50007,20}]</v>
      </c>
      <c r="N130" s="16" t="str">
        <f t="shared" si="19"/>
        <v>[{2,2000}]</v>
      </c>
      <c r="Q130"/>
      <c r="R130"/>
      <c r="S130"/>
      <c r="T130"/>
    </row>
    <row r="131" spans="3:20">
      <c r="C131" s="445">
        <v>5002</v>
      </c>
      <c r="D131" s="445">
        <f t="shared" si="15"/>
        <v>50008</v>
      </c>
      <c r="E131" s="445" t="s">
        <v>534</v>
      </c>
      <c r="F131" s="445">
        <f t="shared" si="16"/>
        <v>10</v>
      </c>
      <c r="G131" s="16">
        <f ca="1" t="shared" si="17"/>
        <v>8000</v>
      </c>
      <c r="H131" s="16">
        <v>8000</v>
      </c>
      <c r="I131" s="16" t="e">
        <f>F131*_xlfn.XLOOKUP(50002,价值表!F:F,价值表!I:I)</f>
        <v>#N/A</v>
      </c>
      <c r="J131" s="16">
        <f t="shared" si="20"/>
        <v>0</v>
      </c>
      <c r="K131" s="16">
        <f t="shared" si="21"/>
        <v>25</v>
      </c>
      <c r="L131" s="46" t="e" cm="1">
        <f t="array" ref="L131">I131/SUMPRODUCT(J131:K131,J$89:K$89)</f>
        <v>#N/A</v>
      </c>
      <c r="M131" s="16" t="str">
        <f t="shared" si="18"/>
        <v>[{50008,10}]</v>
      </c>
      <c r="N131" s="16" t="str">
        <f t="shared" si="19"/>
        <v>[{1,25}]</v>
      </c>
      <c r="Q131"/>
      <c r="R131"/>
      <c r="S131"/>
      <c r="T131"/>
    </row>
    <row r="132" spans="3:20">
      <c r="C132" s="445">
        <v>5002</v>
      </c>
      <c r="D132" s="445">
        <f t="shared" si="15"/>
        <v>50008</v>
      </c>
      <c r="E132" s="445" t="s">
        <v>534</v>
      </c>
      <c r="F132" s="445">
        <f t="shared" si="16"/>
        <v>20</v>
      </c>
      <c r="G132" s="16">
        <f ca="1" t="shared" si="17"/>
        <v>4000</v>
      </c>
      <c r="H132" s="16">
        <v>4000</v>
      </c>
      <c r="I132" s="16" t="e">
        <f>F132*_xlfn.XLOOKUP(50002,价值表!F:F,价值表!I:I)</f>
        <v>#N/A</v>
      </c>
      <c r="J132" s="16">
        <f t="shared" si="20"/>
        <v>0</v>
      </c>
      <c r="K132" s="16">
        <f t="shared" si="21"/>
        <v>50</v>
      </c>
      <c r="L132" s="46" t="e" cm="1">
        <f t="array" ref="L132">I132/SUMPRODUCT(J132:K132,J$89:K$89)</f>
        <v>#N/A</v>
      </c>
      <c r="M132" s="16" t="str">
        <f t="shared" si="18"/>
        <v>[{50008,20}]</v>
      </c>
      <c r="N132" s="16" t="str">
        <f t="shared" si="19"/>
        <v>[{1,50}]</v>
      </c>
      <c r="Q132"/>
      <c r="R132"/>
      <c r="S132"/>
      <c r="T132"/>
    </row>
    <row r="133" spans="3:20">
      <c r="C133" s="445">
        <v>5002</v>
      </c>
      <c r="D133" s="445">
        <f>D121</f>
        <v>50003</v>
      </c>
      <c r="E133" s="445" t="s">
        <v>528</v>
      </c>
      <c r="F133" s="445">
        <f t="shared" si="16"/>
        <v>10</v>
      </c>
      <c r="G133" s="16">
        <f ca="1" t="shared" si="17"/>
        <v>8000</v>
      </c>
      <c r="H133" s="16">
        <v>8000</v>
      </c>
      <c r="I133" s="16" t="e">
        <f>F133*_xlfn.XLOOKUP(50002,价值表!F:F,价值表!I:I)</f>
        <v>#N/A</v>
      </c>
      <c r="J133" s="16">
        <f t="shared" si="20"/>
        <v>1000</v>
      </c>
      <c r="K133" s="16">
        <f t="shared" si="21"/>
        <v>0</v>
      </c>
      <c r="L133" s="46" t="e" cm="1">
        <f t="array" ref="L133">I133/SUMPRODUCT(J133:K133,J$89:K$89)</f>
        <v>#N/A</v>
      </c>
      <c r="M133" s="16" t="str">
        <f t="shared" si="18"/>
        <v>[{50003,10}]</v>
      </c>
      <c r="N133" s="16" t="str">
        <f t="shared" si="19"/>
        <v>[{2,1000}]</v>
      </c>
      <c r="Q133"/>
      <c r="R133"/>
      <c r="S133"/>
      <c r="T133"/>
    </row>
    <row r="134" spans="3:20">
      <c r="C134" s="445">
        <v>5002</v>
      </c>
      <c r="D134" s="445">
        <f t="shared" ref="D134:D144" si="22">D122</f>
        <v>50003</v>
      </c>
      <c r="E134" s="445" t="s">
        <v>528</v>
      </c>
      <c r="F134" s="445">
        <f t="shared" si="16"/>
        <v>20</v>
      </c>
      <c r="G134" s="16">
        <f ca="1" t="shared" si="17"/>
        <v>4000</v>
      </c>
      <c r="H134" s="16">
        <v>4000</v>
      </c>
      <c r="I134" s="16" t="e">
        <f>F134*_xlfn.XLOOKUP(50002,价值表!F:F,价值表!I:I)</f>
        <v>#N/A</v>
      </c>
      <c r="J134" s="16">
        <f t="shared" si="20"/>
        <v>2000</v>
      </c>
      <c r="K134" s="16">
        <f t="shared" si="21"/>
        <v>0</v>
      </c>
      <c r="L134" s="46" t="e" cm="1">
        <f t="array" ref="L134">I134/SUMPRODUCT(J134:K134,J$89:K$89)</f>
        <v>#N/A</v>
      </c>
      <c r="M134" s="16" t="str">
        <f t="shared" si="18"/>
        <v>[{50003,20}]</v>
      </c>
      <c r="N134" s="16" t="str">
        <f t="shared" si="19"/>
        <v>[{2,2000}]</v>
      </c>
      <c r="Q134"/>
      <c r="R134"/>
      <c r="S134"/>
      <c r="T134"/>
    </row>
    <row r="135" spans="3:20">
      <c r="C135" s="445">
        <v>5002</v>
      </c>
      <c r="D135" s="445">
        <f t="shared" si="22"/>
        <v>50004</v>
      </c>
      <c r="E135" s="445" t="s">
        <v>530</v>
      </c>
      <c r="F135" s="445">
        <f t="shared" si="16"/>
        <v>10</v>
      </c>
      <c r="G135" s="16">
        <f ca="1" t="shared" si="17"/>
        <v>8000</v>
      </c>
      <c r="H135" s="16">
        <v>8000</v>
      </c>
      <c r="I135" s="16" t="e">
        <f>F135*_xlfn.XLOOKUP(50002,价值表!F:F,价值表!I:I)</f>
        <v>#N/A</v>
      </c>
      <c r="J135" s="16">
        <f t="shared" si="20"/>
        <v>0</v>
      </c>
      <c r="K135" s="16">
        <f t="shared" si="21"/>
        <v>25</v>
      </c>
      <c r="L135" s="46" t="e" cm="1">
        <f t="array" ref="L135">I135/SUMPRODUCT(J135:K135,J$89:K$89)</f>
        <v>#N/A</v>
      </c>
      <c r="M135" s="16" t="str">
        <f t="shared" si="18"/>
        <v>[{50004,10}]</v>
      </c>
      <c r="N135" s="16" t="str">
        <f t="shared" si="19"/>
        <v>[{1,25}]</v>
      </c>
      <c r="Q135"/>
      <c r="R135"/>
      <c r="S135"/>
      <c r="T135"/>
    </row>
    <row r="136" spans="3:20">
      <c r="C136" s="445">
        <v>5002</v>
      </c>
      <c r="D136" s="445">
        <f t="shared" si="22"/>
        <v>50004</v>
      </c>
      <c r="E136" s="445" t="s">
        <v>530</v>
      </c>
      <c r="F136" s="445">
        <f t="shared" si="16"/>
        <v>20</v>
      </c>
      <c r="G136" s="16">
        <f ca="1" t="shared" si="17"/>
        <v>4000</v>
      </c>
      <c r="H136" s="16">
        <v>4000</v>
      </c>
      <c r="I136" s="16" t="e">
        <f>F136*_xlfn.XLOOKUP(50002,价值表!F:F,价值表!I:I)</f>
        <v>#N/A</v>
      </c>
      <c r="J136" s="16">
        <f t="shared" si="20"/>
        <v>0</v>
      </c>
      <c r="K136" s="16">
        <f t="shared" si="21"/>
        <v>50</v>
      </c>
      <c r="L136" s="46" t="e" cm="1">
        <f t="array" ref="L136">I136/SUMPRODUCT(J136:K136,J$89:K$89)</f>
        <v>#N/A</v>
      </c>
      <c r="M136" s="16" t="str">
        <f t="shared" si="18"/>
        <v>[{50004,20}]</v>
      </c>
      <c r="N136" s="16" t="str">
        <f t="shared" si="19"/>
        <v>[{1,50}]</v>
      </c>
      <c r="Q136"/>
      <c r="R136"/>
      <c r="S136"/>
      <c r="T136"/>
    </row>
    <row r="137" spans="3:20">
      <c r="C137" s="445">
        <v>5002</v>
      </c>
      <c r="D137" s="445">
        <f t="shared" si="22"/>
        <v>50005</v>
      </c>
      <c r="E137" s="445" t="s">
        <v>531</v>
      </c>
      <c r="F137" s="445">
        <f t="shared" si="16"/>
        <v>10</v>
      </c>
      <c r="G137" s="16">
        <f ca="1" t="shared" si="17"/>
        <v>8000</v>
      </c>
      <c r="H137" s="16">
        <v>8000</v>
      </c>
      <c r="I137" s="16" t="e">
        <f>F137*_xlfn.XLOOKUP(50002,价值表!F:F,价值表!I:I)</f>
        <v>#N/A</v>
      </c>
      <c r="J137" s="16">
        <f t="shared" si="20"/>
        <v>1000</v>
      </c>
      <c r="K137" s="16">
        <f t="shared" si="21"/>
        <v>0</v>
      </c>
      <c r="L137" s="46" t="e" cm="1">
        <f t="array" ref="L137">I137/SUMPRODUCT(J137:K137,J$89:K$89)</f>
        <v>#N/A</v>
      </c>
      <c r="M137" s="16" t="str">
        <f t="shared" si="18"/>
        <v>[{50005,10}]</v>
      </c>
      <c r="N137" s="16" t="str">
        <f t="shared" si="19"/>
        <v>[{2,1000}]</v>
      </c>
      <c r="Q137"/>
      <c r="R137"/>
      <c r="S137"/>
      <c r="T137"/>
    </row>
    <row r="138" spans="3:20">
      <c r="C138" s="445">
        <v>5002</v>
      </c>
      <c r="D138" s="445">
        <f t="shared" si="22"/>
        <v>50005</v>
      </c>
      <c r="E138" s="445" t="s">
        <v>531</v>
      </c>
      <c r="F138" s="445">
        <f t="shared" si="16"/>
        <v>20</v>
      </c>
      <c r="G138" s="16">
        <f ca="1" t="shared" si="17"/>
        <v>4000</v>
      </c>
      <c r="H138" s="16">
        <v>4000</v>
      </c>
      <c r="I138" s="16" t="e">
        <f>F138*_xlfn.XLOOKUP(50002,价值表!F:F,价值表!I:I)</f>
        <v>#N/A</v>
      </c>
      <c r="J138" s="16">
        <f t="shared" si="20"/>
        <v>2000</v>
      </c>
      <c r="K138" s="16">
        <f t="shared" si="21"/>
        <v>0</v>
      </c>
      <c r="L138" s="46" t="e" cm="1">
        <f t="array" ref="L138">I138/SUMPRODUCT(J138:K138,J$89:K$89)</f>
        <v>#N/A</v>
      </c>
      <c r="M138" s="16" t="str">
        <f t="shared" si="18"/>
        <v>[{50005,20}]</v>
      </c>
      <c r="N138" s="16" t="str">
        <f t="shared" si="19"/>
        <v>[{2,2000}]</v>
      </c>
      <c r="Q138"/>
      <c r="R138"/>
      <c r="S138"/>
      <c r="T138"/>
    </row>
    <row r="139" spans="3:20">
      <c r="C139" s="445">
        <v>5002</v>
      </c>
      <c r="D139" s="445">
        <f t="shared" si="22"/>
        <v>50006</v>
      </c>
      <c r="E139" s="445" t="s">
        <v>532</v>
      </c>
      <c r="F139" s="445">
        <f t="shared" si="16"/>
        <v>10</v>
      </c>
      <c r="G139" s="16">
        <f ca="1" t="shared" si="17"/>
        <v>8000</v>
      </c>
      <c r="H139" s="16">
        <v>8000</v>
      </c>
      <c r="I139" s="16" t="e">
        <f>F139*_xlfn.XLOOKUP(50002,价值表!F:F,价值表!I:I)</f>
        <v>#N/A</v>
      </c>
      <c r="J139" s="16">
        <f t="shared" si="20"/>
        <v>0</v>
      </c>
      <c r="K139" s="16">
        <f t="shared" si="21"/>
        <v>25</v>
      </c>
      <c r="L139" s="46" t="e" cm="1">
        <f t="array" ref="L139">I139/SUMPRODUCT(J139:K139,J$89:K$89)</f>
        <v>#N/A</v>
      </c>
      <c r="M139" s="16" t="str">
        <f t="shared" si="18"/>
        <v>[{50006,10}]</v>
      </c>
      <c r="N139" s="16" t="str">
        <f t="shared" si="19"/>
        <v>[{1,25}]</v>
      </c>
      <c r="Q139"/>
      <c r="R139"/>
      <c r="S139"/>
      <c r="T139"/>
    </row>
    <row r="140" spans="3:20">
      <c r="C140" s="445">
        <v>5002</v>
      </c>
      <c r="D140" s="445">
        <f t="shared" si="22"/>
        <v>50006</v>
      </c>
      <c r="E140" s="445" t="s">
        <v>532</v>
      </c>
      <c r="F140" s="445">
        <f t="shared" si="16"/>
        <v>20</v>
      </c>
      <c r="G140" s="16">
        <f ca="1" t="shared" si="17"/>
        <v>4000</v>
      </c>
      <c r="H140" s="16">
        <v>4000</v>
      </c>
      <c r="I140" s="16" t="e">
        <f>F140*_xlfn.XLOOKUP(50002,价值表!F:F,价值表!I:I)</f>
        <v>#N/A</v>
      </c>
      <c r="J140" s="16">
        <f t="shared" si="20"/>
        <v>0</v>
      </c>
      <c r="K140" s="16">
        <f t="shared" si="21"/>
        <v>50</v>
      </c>
      <c r="L140" s="46" t="e" cm="1">
        <f t="array" ref="L140">I140/SUMPRODUCT(J140:K140,J$89:K$89)</f>
        <v>#N/A</v>
      </c>
      <c r="M140" s="16" t="str">
        <f t="shared" si="18"/>
        <v>[{50006,20}]</v>
      </c>
      <c r="N140" s="16" t="str">
        <f t="shared" si="19"/>
        <v>[{1,50}]</v>
      </c>
      <c r="Q140"/>
      <c r="R140"/>
      <c r="S140"/>
      <c r="T140"/>
    </row>
    <row r="141" spans="3:20">
      <c r="C141" s="445">
        <v>5002</v>
      </c>
      <c r="D141" s="445">
        <f t="shared" si="22"/>
        <v>50007</v>
      </c>
      <c r="E141" s="445" t="s">
        <v>533</v>
      </c>
      <c r="F141" s="445">
        <f t="shared" si="16"/>
        <v>10</v>
      </c>
      <c r="G141" s="16">
        <f ca="1" t="shared" si="17"/>
        <v>8000</v>
      </c>
      <c r="H141" s="16">
        <v>8000</v>
      </c>
      <c r="I141" s="16" t="e">
        <f>F141*_xlfn.XLOOKUP(50002,价值表!F:F,价值表!I:I)</f>
        <v>#N/A</v>
      </c>
      <c r="J141" s="16">
        <f t="shared" si="20"/>
        <v>1000</v>
      </c>
      <c r="K141" s="16">
        <f t="shared" si="21"/>
        <v>0</v>
      </c>
      <c r="L141" s="46" t="e" cm="1">
        <f t="array" ref="L141">I141/SUMPRODUCT(J141:K141,J$89:K$89)</f>
        <v>#N/A</v>
      </c>
      <c r="M141" s="16" t="str">
        <f t="shared" si="18"/>
        <v>[{50007,10}]</v>
      </c>
      <c r="N141" s="16" t="str">
        <f t="shared" si="19"/>
        <v>[{2,1000}]</v>
      </c>
      <c r="Q141"/>
      <c r="R141"/>
      <c r="S141"/>
      <c r="T141"/>
    </row>
    <row r="142" spans="3:20">
      <c r="C142" s="445">
        <v>5002</v>
      </c>
      <c r="D142" s="445">
        <f t="shared" si="22"/>
        <v>50007</v>
      </c>
      <c r="E142" s="445" t="s">
        <v>533</v>
      </c>
      <c r="F142" s="445">
        <f t="shared" si="16"/>
        <v>20</v>
      </c>
      <c r="G142" s="16">
        <f ca="1" t="shared" si="17"/>
        <v>4000</v>
      </c>
      <c r="H142" s="16">
        <v>4000</v>
      </c>
      <c r="I142" s="16" t="e">
        <f>F142*_xlfn.XLOOKUP(50002,价值表!F:F,价值表!I:I)</f>
        <v>#N/A</v>
      </c>
      <c r="J142" s="16">
        <f t="shared" si="20"/>
        <v>2000</v>
      </c>
      <c r="K142" s="16">
        <f t="shared" si="21"/>
        <v>0</v>
      </c>
      <c r="L142" s="46" t="e" cm="1">
        <f t="array" ref="L142">I142/SUMPRODUCT(J142:K142,J$89:K$89)</f>
        <v>#N/A</v>
      </c>
      <c r="M142" s="16" t="str">
        <f t="shared" si="18"/>
        <v>[{50007,20}]</v>
      </c>
      <c r="N142" s="16" t="str">
        <f t="shared" si="19"/>
        <v>[{2,2000}]</v>
      </c>
      <c r="Q142"/>
      <c r="R142"/>
      <c r="S142"/>
      <c r="T142"/>
    </row>
    <row r="143" spans="3:20">
      <c r="C143" s="445">
        <v>5002</v>
      </c>
      <c r="D143" s="445">
        <f t="shared" si="22"/>
        <v>50008</v>
      </c>
      <c r="E143" s="445" t="s">
        <v>534</v>
      </c>
      <c r="F143" s="445">
        <f t="shared" si="16"/>
        <v>10</v>
      </c>
      <c r="G143" s="16">
        <f ca="1" t="shared" si="17"/>
        <v>8000</v>
      </c>
      <c r="H143" s="16">
        <v>8000</v>
      </c>
      <c r="I143" s="16" t="e">
        <f>F143*_xlfn.XLOOKUP(50002,价值表!F:F,价值表!I:I)</f>
        <v>#N/A</v>
      </c>
      <c r="J143" s="16">
        <f t="shared" si="20"/>
        <v>0</v>
      </c>
      <c r="K143" s="16">
        <f t="shared" si="21"/>
        <v>25</v>
      </c>
      <c r="L143" s="46" t="e" cm="1">
        <f t="array" ref="L143">I143/SUMPRODUCT(J143:K143,J$89:K$89)</f>
        <v>#N/A</v>
      </c>
      <c r="M143" s="16" t="str">
        <f t="shared" si="18"/>
        <v>[{50008,10}]</v>
      </c>
      <c r="N143" s="16" t="str">
        <f t="shared" si="19"/>
        <v>[{1,25}]</v>
      </c>
      <c r="Q143"/>
      <c r="R143"/>
      <c r="S143"/>
      <c r="T143"/>
    </row>
    <row r="144" spans="3:20">
      <c r="C144" s="445">
        <v>5002</v>
      </c>
      <c r="D144" s="445">
        <f t="shared" si="22"/>
        <v>50008</v>
      </c>
      <c r="E144" s="445" t="s">
        <v>534</v>
      </c>
      <c r="F144" s="445">
        <f t="shared" si="16"/>
        <v>20</v>
      </c>
      <c r="G144" s="16">
        <f ca="1" t="shared" si="17"/>
        <v>4000</v>
      </c>
      <c r="H144" s="16">
        <v>4000</v>
      </c>
      <c r="I144" s="16" t="e">
        <f>F144*_xlfn.XLOOKUP(50002,价值表!F:F,价值表!I:I)</f>
        <v>#N/A</v>
      </c>
      <c r="J144" s="16">
        <f t="shared" si="20"/>
        <v>0</v>
      </c>
      <c r="K144" s="16">
        <f t="shared" si="21"/>
        <v>50</v>
      </c>
      <c r="L144" s="46" t="e" cm="1">
        <f t="array" ref="L144">I144/SUMPRODUCT(J144:K144,J$89:K$89)</f>
        <v>#N/A</v>
      </c>
      <c r="M144" s="16" t="str">
        <f t="shared" si="18"/>
        <v>[{50008,20}]</v>
      </c>
      <c r="N144" s="16" t="str">
        <f t="shared" si="19"/>
        <v>[{1,50}]</v>
      </c>
      <c r="Q144"/>
      <c r="R144"/>
      <c r="S144"/>
      <c r="T144"/>
    </row>
    <row r="145" spans="3:20">
      <c r="C145" s="441">
        <v>5003</v>
      </c>
      <c r="D145" s="441">
        <v>50003</v>
      </c>
      <c r="E145" s="441" t="s">
        <v>528</v>
      </c>
      <c r="F145" s="441">
        <v>10</v>
      </c>
      <c r="G145" s="16">
        <f ca="1" t="shared" si="17"/>
        <v>8000</v>
      </c>
      <c r="H145" s="16">
        <v>8000</v>
      </c>
      <c r="I145" s="16" t="e">
        <f>F145*_xlfn.XLOOKUP(50002,价值表!F:F,价值表!I:I)</f>
        <v>#N/A</v>
      </c>
      <c r="J145" s="16">
        <v>1000</v>
      </c>
      <c r="L145" s="46" t="e" cm="1">
        <f t="array" ref="L145">I145/SUMPRODUCT(J145:K145,J$89:K$89)</f>
        <v>#N/A</v>
      </c>
      <c r="M145" s="16" t="str">
        <f t="shared" si="18"/>
        <v>[{50003,10}]</v>
      </c>
      <c r="N145" s="16" t="str">
        <f t="shared" si="19"/>
        <v>[{2,1000}]</v>
      </c>
      <c r="Q145"/>
      <c r="R145"/>
      <c r="S145"/>
      <c r="T145"/>
    </row>
    <row r="146" spans="3:20">
      <c r="C146" s="441">
        <v>5003</v>
      </c>
      <c r="D146" s="441">
        <v>50003</v>
      </c>
      <c r="E146" s="441" t="s">
        <v>528</v>
      </c>
      <c r="F146" s="441">
        <v>20</v>
      </c>
      <c r="G146" s="16">
        <f ca="1" t="shared" si="17"/>
        <v>6000</v>
      </c>
      <c r="H146" s="16">
        <v>6000</v>
      </c>
      <c r="I146" s="16" t="e">
        <f>F146*_xlfn.XLOOKUP(50002,价值表!F:F,价值表!I:I)</f>
        <v>#N/A</v>
      </c>
      <c r="J146" s="16">
        <v>2000</v>
      </c>
      <c r="L146" s="46" t="e" cm="1">
        <f t="array" ref="L146">I146/SUMPRODUCT(J146:K146,J$89:K$89)</f>
        <v>#N/A</v>
      </c>
      <c r="M146" s="16" t="str">
        <f t="shared" si="18"/>
        <v>[{50003,20}]</v>
      </c>
      <c r="N146" s="16" t="str">
        <f t="shared" si="19"/>
        <v>[{2,2000}]</v>
      </c>
      <c r="Q146"/>
      <c r="R146"/>
      <c r="S146"/>
      <c r="T146"/>
    </row>
    <row r="147" spans="3:20">
      <c r="C147" s="441">
        <v>5003</v>
      </c>
      <c r="D147" s="441">
        <v>50003</v>
      </c>
      <c r="E147" s="441" t="s">
        <v>528</v>
      </c>
      <c r="F147" s="441">
        <v>40</v>
      </c>
      <c r="G147" s="16">
        <f ca="1" t="shared" si="17"/>
        <v>4000</v>
      </c>
      <c r="H147" s="16">
        <v>4000</v>
      </c>
      <c r="I147" s="16" t="e">
        <f>F147*_xlfn.XLOOKUP(50002,价值表!F:F,价值表!I:I)</f>
        <v>#N/A</v>
      </c>
      <c r="J147" s="16">
        <v>4000</v>
      </c>
      <c r="L147" s="46" t="e" cm="1">
        <f t="array" ref="L147">I147/SUMPRODUCT(J147:K147,J$89:K$89)</f>
        <v>#N/A</v>
      </c>
      <c r="M147" s="16" t="str">
        <f t="shared" si="18"/>
        <v>[{50003,40}]</v>
      </c>
      <c r="N147" s="16" t="str">
        <f t="shared" si="19"/>
        <v>[{2,4000}]</v>
      </c>
      <c r="Q147"/>
      <c r="R147"/>
      <c r="S147"/>
      <c r="T147"/>
    </row>
    <row r="148" spans="3:20">
      <c r="C148" s="441">
        <v>5003</v>
      </c>
      <c r="D148" s="441">
        <f>D145+1</f>
        <v>50004</v>
      </c>
      <c r="E148" s="441" t="s">
        <v>530</v>
      </c>
      <c r="F148" s="441">
        <f>F145</f>
        <v>10</v>
      </c>
      <c r="G148" s="16">
        <f ca="1" t="shared" si="17"/>
        <v>8000</v>
      </c>
      <c r="H148" s="16">
        <v>8000</v>
      </c>
      <c r="I148" s="16" t="e">
        <f>F148*_xlfn.XLOOKUP(50002,价值表!F:F,价值表!I:I)</f>
        <v>#N/A</v>
      </c>
      <c r="K148" s="16">
        <v>25</v>
      </c>
      <c r="L148" s="46" t="e" cm="1">
        <f t="array" ref="L148">I148/SUMPRODUCT(J148:K148,J$89:K$89)</f>
        <v>#N/A</v>
      </c>
      <c r="M148" s="16" t="str">
        <f t="shared" si="18"/>
        <v>[{50004,10}]</v>
      </c>
      <c r="N148" s="16" t="str">
        <f t="shared" si="19"/>
        <v>[{1,25}]</v>
      </c>
      <c r="Q148"/>
      <c r="R148"/>
      <c r="S148"/>
      <c r="T148"/>
    </row>
    <row r="149" spans="3:20">
      <c r="C149" s="441">
        <v>5003</v>
      </c>
      <c r="D149" s="441">
        <f t="shared" ref="D149:D170" si="23">D146+1</f>
        <v>50004</v>
      </c>
      <c r="E149" s="441" t="s">
        <v>530</v>
      </c>
      <c r="F149" s="441">
        <f t="shared" ref="F149:F168" si="24">F146</f>
        <v>20</v>
      </c>
      <c r="G149" s="16">
        <f ca="1" t="shared" si="17"/>
        <v>6000</v>
      </c>
      <c r="H149" s="16">
        <v>6000</v>
      </c>
      <c r="I149" s="16" t="e">
        <f>F149*_xlfn.XLOOKUP(50002,价值表!F:F,价值表!I:I)</f>
        <v>#N/A</v>
      </c>
      <c r="K149" s="16">
        <v>50</v>
      </c>
      <c r="L149" s="46" t="e" cm="1">
        <f t="array" ref="L149">I149/SUMPRODUCT(J149:K149,J$89:K$89)</f>
        <v>#N/A</v>
      </c>
      <c r="M149" s="16" t="str">
        <f t="shared" si="18"/>
        <v>[{50004,20}]</v>
      </c>
      <c r="N149" s="16" t="str">
        <f t="shared" si="19"/>
        <v>[{1,50}]</v>
      </c>
      <c r="Q149"/>
      <c r="R149"/>
      <c r="S149"/>
      <c r="T149"/>
    </row>
    <row r="150" spans="3:20">
      <c r="C150" s="441">
        <v>5003</v>
      </c>
      <c r="D150" s="441">
        <f t="shared" si="23"/>
        <v>50004</v>
      </c>
      <c r="E150" s="441" t="s">
        <v>530</v>
      </c>
      <c r="F150" s="441">
        <f t="shared" si="24"/>
        <v>40</v>
      </c>
      <c r="G150" s="16">
        <f ca="1" t="shared" si="17"/>
        <v>4000</v>
      </c>
      <c r="H150" s="16">
        <v>4000</v>
      </c>
      <c r="I150" s="16" t="e">
        <f>F150*_xlfn.XLOOKUP(50002,价值表!F:F,价值表!I:I)</f>
        <v>#N/A</v>
      </c>
      <c r="K150" s="16">
        <v>100</v>
      </c>
      <c r="L150" s="46" t="e" cm="1">
        <f t="array" ref="L150">I150/SUMPRODUCT(J150:K150,J$89:K$89)</f>
        <v>#N/A</v>
      </c>
      <c r="M150" s="16" t="str">
        <f t="shared" si="18"/>
        <v>[{50004,40}]</v>
      </c>
      <c r="N150" s="16" t="str">
        <f t="shared" si="19"/>
        <v>[{1,100}]</v>
      </c>
      <c r="Q150"/>
      <c r="R150"/>
      <c r="S150"/>
      <c r="T150"/>
    </row>
    <row r="151" spans="3:20">
      <c r="C151" s="441">
        <v>5003</v>
      </c>
      <c r="D151" s="441">
        <f t="shared" si="23"/>
        <v>50005</v>
      </c>
      <c r="E151" s="441" t="s">
        <v>531</v>
      </c>
      <c r="F151" s="441">
        <f t="shared" si="24"/>
        <v>10</v>
      </c>
      <c r="G151" s="16">
        <f ca="1" t="shared" si="17"/>
        <v>8000</v>
      </c>
      <c r="H151" s="16">
        <v>8000</v>
      </c>
      <c r="I151" s="16" t="e">
        <f>F151*_xlfn.XLOOKUP(50002,价值表!F:F,价值表!I:I)</f>
        <v>#N/A</v>
      </c>
      <c r="J151" s="16">
        <f>J145</f>
        <v>1000</v>
      </c>
      <c r="K151" s="16">
        <f>K145</f>
        <v>0</v>
      </c>
      <c r="L151" s="46" t="e" cm="1">
        <f t="array" ref="L151">I151/SUMPRODUCT(J151:K151,J$89:K$89)</f>
        <v>#N/A</v>
      </c>
      <c r="M151" s="16" t="str">
        <f t="shared" si="18"/>
        <v>[{50005,10}]</v>
      </c>
      <c r="N151" s="16" t="str">
        <f t="shared" si="19"/>
        <v>[{2,1000}]</v>
      </c>
      <c r="Q151"/>
      <c r="R151"/>
      <c r="S151"/>
      <c r="T151"/>
    </row>
    <row r="152" spans="3:20">
      <c r="C152" s="441">
        <v>5003</v>
      </c>
      <c r="D152" s="441">
        <f t="shared" si="23"/>
        <v>50005</v>
      </c>
      <c r="E152" s="441" t="s">
        <v>531</v>
      </c>
      <c r="F152" s="441">
        <f t="shared" si="24"/>
        <v>20</v>
      </c>
      <c r="G152" s="16">
        <f ca="1" t="shared" si="17"/>
        <v>6000</v>
      </c>
      <c r="H152" s="16">
        <v>6000</v>
      </c>
      <c r="I152" s="16" t="e">
        <f>F152*_xlfn.XLOOKUP(50002,价值表!F:F,价值表!I:I)</f>
        <v>#N/A</v>
      </c>
      <c r="J152" s="16">
        <f t="shared" ref="J152:J180" si="25">J146</f>
        <v>2000</v>
      </c>
      <c r="K152" s="16">
        <f t="shared" ref="K152:K180" si="26">K146</f>
        <v>0</v>
      </c>
      <c r="L152" s="46" t="e" cm="1">
        <f t="array" ref="L152">I152/SUMPRODUCT(J152:K152,J$89:K$89)</f>
        <v>#N/A</v>
      </c>
      <c r="M152" s="16" t="str">
        <f t="shared" si="18"/>
        <v>[{50005,20}]</v>
      </c>
      <c r="N152" s="16" t="str">
        <f t="shared" si="19"/>
        <v>[{2,2000}]</v>
      </c>
      <c r="Q152"/>
      <c r="R152"/>
      <c r="S152"/>
      <c r="T152"/>
    </row>
    <row r="153" spans="3:20">
      <c r="C153" s="441">
        <v>5003</v>
      </c>
      <c r="D153" s="441">
        <f t="shared" si="23"/>
        <v>50005</v>
      </c>
      <c r="E153" s="441" t="s">
        <v>531</v>
      </c>
      <c r="F153" s="441">
        <f t="shared" si="24"/>
        <v>40</v>
      </c>
      <c r="G153" s="16">
        <f ca="1" t="shared" si="17"/>
        <v>4000</v>
      </c>
      <c r="H153" s="16">
        <v>4000</v>
      </c>
      <c r="I153" s="16" t="e">
        <f>F153*_xlfn.XLOOKUP(50002,价值表!F:F,价值表!I:I)</f>
        <v>#N/A</v>
      </c>
      <c r="J153" s="16">
        <f t="shared" si="25"/>
        <v>4000</v>
      </c>
      <c r="K153" s="16">
        <f t="shared" si="26"/>
        <v>0</v>
      </c>
      <c r="L153" s="46" t="e" cm="1">
        <f t="array" ref="L153">I153/SUMPRODUCT(J153:K153,J$89:K$89)</f>
        <v>#N/A</v>
      </c>
      <c r="M153" s="16" t="str">
        <f t="shared" si="18"/>
        <v>[{50005,40}]</v>
      </c>
      <c r="N153" s="16" t="str">
        <f t="shared" si="19"/>
        <v>[{2,4000}]</v>
      </c>
      <c r="Q153"/>
      <c r="R153"/>
      <c r="S153"/>
      <c r="T153"/>
    </row>
    <row r="154" spans="3:20">
      <c r="C154" s="441">
        <v>5003</v>
      </c>
      <c r="D154" s="441">
        <f t="shared" si="23"/>
        <v>50006</v>
      </c>
      <c r="E154" s="441" t="s">
        <v>532</v>
      </c>
      <c r="F154" s="441">
        <f t="shared" si="24"/>
        <v>10</v>
      </c>
      <c r="G154" s="16">
        <f ca="1" t="shared" si="17"/>
        <v>8000</v>
      </c>
      <c r="H154" s="16">
        <v>8000</v>
      </c>
      <c r="I154" s="16" t="e">
        <f>F154*_xlfn.XLOOKUP(50002,价值表!F:F,价值表!I:I)</f>
        <v>#N/A</v>
      </c>
      <c r="K154" s="16">
        <f t="shared" si="26"/>
        <v>25</v>
      </c>
      <c r="L154" s="46" t="e" cm="1">
        <f t="array" ref="L154">I154/SUMPRODUCT(J154:K154,J$89:K$89)</f>
        <v>#N/A</v>
      </c>
      <c r="M154" s="16" t="str">
        <f t="shared" si="18"/>
        <v>[{50006,10}]</v>
      </c>
      <c r="N154" s="16" t="str">
        <f t="shared" si="19"/>
        <v>[{1,25}]</v>
      </c>
      <c r="Q154"/>
      <c r="R154"/>
      <c r="S154"/>
      <c r="T154"/>
    </row>
    <row r="155" spans="3:20">
      <c r="C155" s="441">
        <v>5003</v>
      </c>
      <c r="D155" s="441">
        <f t="shared" si="23"/>
        <v>50006</v>
      </c>
      <c r="E155" s="441" t="s">
        <v>532</v>
      </c>
      <c r="F155" s="441">
        <f t="shared" si="24"/>
        <v>20</v>
      </c>
      <c r="G155" s="16">
        <f ca="1" t="shared" si="17"/>
        <v>6000</v>
      </c>
      <c r="H155" s="16">
        <v>6000</v>
      </c>
      <c r="I155" s="16" t="e">
        <f>F155*_xlfn.XLOOKUP(50002,价值表!F:F,价值表!I:I)</f>
        <v>#N/A</v>
      </c>
      <c r="K155" s="16">
        <f t="shared" si="26"/>
        <v>50</v>
      </c>
      <c r="L155" s="46" t="e" cm="1">
        <f t="array" ref="L155">I155/SUMPRODUCT(J155:K155,J$89:K$89)</f>
        <v>#N/A</v>
      </c>
      <c r="M155" s="16" t="str">
        <f t="shared" si="18"/>
        <v>[{50006,20}]</v>
      </c>
      <c r="N155" s="16" t="str">
        <f t="shared" si="19"/>
        <v>[{1,50}]</v>
      </c>
      <c r="Q155"/>
      <c r="R155"/>
      <c r="S155"/>
      <c r="T155"/>
    </row>
    <row r="156" spans="3:20">
      <c r="C156" s="441">
        <v>5003</v>
      </c>
      <c r="D156" s="441">
        <f t="shared" si="23"/>
        <v>50006</v>
      </c>
      <c r="E156" s="441" t="s">
        <v>532</v>
      </c>
      <c r="F156" s="441">
        <f t="shared" si="24"/>
        <v>40</v>
      </c>
      <c r="G156" s="16">
        <f ca="1" t="shared" ref="G156:G192" si="27">H156*2*_xlfn.XLOOKUP(C156,$C$30:$C$85,$G$30:$G$85)</f>
        <v>4000</v>
      </c>
      <c r="H156" s="16">
        <v>4000</v>
      </c>
      <c r="I156" s="16" t="e">
        <f>F156*_xlfn.XLOOKUP(50002,价值表!F:F,价值表!I:I)</f>
        <v>#N/A</v>
      </c>
      <c r="K156" s="16">
        <f t="shared" si="26"/>
        <v>100</v>
      </c>
      <c r="L156" s="46" t="e" cm="1">
        <f t="array" ref="L156">I156/SUMPRODUCT(J156:K156,J$89:K$89)</f>
        <v>#N/A</v>
      </c>
      <c r="M156" s="16" t="str">
        <f t="shared" ref="M156:M187" si="28">"[{"&amp;D156&amp;","&amp;F156&amp;"}]"</f>
        <v>[{50006,40}]</v>
      </c>
      <c r="N156" s="16" t="str">
        <f t="shared" ref="N156:N187" si="29">IF(J156&gt;0,"[{2,"&amp;J156&amp;"}]","[{1,"&amp;K156&amp;"}]")</f>
        <v>[{1,100}]</v>
      </c>
      <c r="Q156"/>
      <c r="R156"/>
      <c r="S156"/>
      <c r="T156"/>
    </row>
    <row r="157" spans="3:20">
      <c r="C157" s="441">
        <v>5003</v>
      </c>
      <c r="D157" s="441">
        <f t="shared" si="23"/>
        <v>50007</v>
      </c>
      <c r="E157" s="441" t="s">
        <v>533</v>
      </c>
      <c r="F157" s="441">
        <f t="shared" si="24"/>
        <v>10</v>
      </c>
      <c r="G157" s="16">
        <f ca="1" t="shared" si="27"/>
        <v>8000</v>
      </c>
      <c r="H157" s="16">
        <v>8000</v>
      </c>
      <c r="I157" s="16" t="e">
        <f>F157*_xlfn.XLOOKUP(50002,价值表!F:F,价值表!I:I)</f>
        <v>#N/A</v>
      </c>
      <c r="J157" s="16">
        <f t="shared" si="25"/>
        <v>1000</v>
      </c>
      <c r="K157" s="16">
        <f t="shared" si="26"/>
        <v>0</v>
      </c>
      <c r="L157" s="46" t="e" cm="1">
        <f t="array" ref="L157">I157/SUMPRODUCT(J157:K157,J$89:K$89)</f>
        <v>#N/A</v>
      </c>
      <c r="M157" s="16" t="str">
        <f t="shared" si="28"/>
        <v>[{50007,10}]</v>
      </c>
      <c r="N157" s="16" t="str">
        <f t="shared" si="29"/>
        <v>[{2,1000}]</v>
      </c>
      <c r="Q157"/>
      <c r="R157"/>
      <c r="S157"/>
      <c r="T157"/>
    </row>
    <row r="158" spans="3:20">
      <c r="C158" s="441">
        <v>5003</v>
      </c>
      <c r="D158" s="441">
        <f t="shared" si="23"/>
        <v>50007</v>
      </c>
      <c r="E158" s="441" t="s">
        <v>533</v>
      </c>
      <c r="F158" s="441">
        <f t="shared" si="24"/>
        <v>20</v>
      </c>
      <c r="G158" s="16">
        <f ca="1" t="shared" si="27"/>
        <v>6000</v>
      </c>
      <c r="H158" s="16">
        <v>6000</v>
      </c>
      <c r="I158" s="16" t="e">
        <f>F158*_xlfn.XLOOKUP(50002,价值表!F:F,价值表!I:I)</f>
        <v>#N/A</v>
      </c>
      <c r="J158" s="16">
        <f t="shared" si="25"/>
        <v>2000</v>
      </c>
      <c r="K158" s="16">
        <f t="shared" si="26"/>
        <v>0</v>
      </c>
      <c r="L158" s="46" t="e" cm="1">
        <f t="array" ref="L158">I158/SUMPRODUCT(J158:K158,J$89:K$89)</f>
        <v>#N/A</v>
      </c>
      <c r="M158" s="16" t="str">
        <f t="shared" si="28"/>
        <v>[{50007,20}]</v>
      </c>
      <c r="N158" s="16" t="str">
        <f t="shared" si="29"/>
        <v>[{2,2000}]</v>
      </c>
      <c r="Q158"/>
      <c r="R158"/>
      <c r="S158"/>
      <c r="T158"/>
    </row>
    <row r="159" spans="3:20">
      <c r="C159" s="441">
        <v>5003</v>
      </c>
      <c r="D159" s="441">
        <f t="shared" si="23"/>
        <v>50007</v>
      </c>
      <c r="E159" s="441" t="s">
        <v>533</v>
      </c>
      <c r="F159" s="441">
        <f t="shared" si="24"/>
        <v>40</v>
      </c>
      <c r="G159" s="16">
        <f ca="1" t="shared" si="27"/>
        <v>4000</v>
      </c>
      <c r="H159" s="16">
        <v>4000</v>
      </c>
      <c r="I159" s="16" t="e">
        <f>F159*_xlfn.XLOOKUP(50002,价值表!F:F,价值表!I:I)</f>
        <v>#N/A</v>
      </c>
      <c r="J159" s="16">
        <f t="shared" si="25"/>
        <v>4000</v>
      </c>
      <c r="K159" s="16">
        <f t="shared" si="26"/>
        <v>0</v>
      </c>
      <c r="L159" s="46" t="e" cm="1">
        <f t="array" ref="L159">I159/SUMPRODUCT(J159:K159,J$89:K$89)</f>
        <v>#N/A</v>
      </c>
      <c r="M159" s="16" t="str">
        <f t="shared" si="28"/>
        <v>[{50007,40}]</v>
      </c>
      <c r="N159" s="16" t="str">
        <f t="shared" si="29"/>
        <v>[{2,4000}]</v>
      </c>
      <c r="Q159"/>
      <c r="R159"/>
      <c r="S159"/>
      <c r="T159"/>
    </row>
    <row r="160" spans="3:20">
      <c r="C160" s="441">
        <v>5003</v>
      </c>
      <c r="D160" s="441">
        <f t="shared" si="23"/>
        <v>50008</v>
      </c>
      <c r="E160" s="441" t="s">
        <v>534</v>
      </c>
      <c r="F160" s="441">
        <f t="shared" si="24"/>
        <v>10</v>
      </c>
      <c r="G160" s="16">
        <f ca="1" t="shared" si="27"/>
        <v>8000</v>
      </c>
      <c r="H160" s="16">
        <v>8000</v>
      </c>
      <c r="I160" s="16" t="e">
        <f>F160*_xlfn.XLOOKUP(50002,价值表!F:F,价值表!I:I)</f>
        <v>#N/A</v>
      </c>
      <c r="J160" s="16">
        <f t="shared" si="25"/>
        <v>0</v>
      </c>
      <c r="K160" s="16">
        <f t="shared" si="26"/>
        <v>25</v>
      </c>
      <c r="L160" s="46" t="e" cm="1">
        <f t="array" ref="L160">I160/SUMPRODUCT(J160:K160,J$89:K$89)</f>
        <v>#N/A</v>
      </c>
      <c r="M160" s="16" t="str">
        <f t="shared" si="28"/>
        <v>[{50008,10}]</v>
      </c>
      <c r="N160" s="16" t="str">
        <f t="shared" si="29"/>
        <v>[{1,25}]</v>
      </c>
      <c r="Q160"/>
      <c r="R160"/>
      <c r="S160"/>
      <c r="T160"/>
    </row>
    <row r="161" spans="3:20">
      <c r="C161" s="441">
        <v>5003</v>
      </c>
      <c r="D161" s="441">
        <f t="shared" si="23"/>
        <v>50008</v>
      </c>
      <c r="E161" s="441" t="s">
        <v>534</v>
      </c>
      <c r="F161" s="441">
        <f t="shared" si="24"/>
        <v>20</v>
      </c>
      <c r="G161" s="16">
        <f ca="1" t="shared" si="27"/>
        <v>6000</v>
      </c>
      <c r="H161" s="16">
        <v>6000</v>
      </c>
      <c r="I161" s="16" t="e">
        <f>F161*_xlfn.XLOOKUP(50002,价值表!F:F,价值表!I:I)</f>
        <v>#N/A</v>
      </c>
      <c r="J161" s="16">
        <f t="shared" si="25"/>
        <v>0</v>
      </c>
      <c r="K161" s="16">
        <f t="shared" si="26"/>
        <v>50</v>
      </c>
      <c r="L161" s="46" t="e" cm="1">
        <f t="array" ref="L161">I161/SUMPRODUCT(J161:K161,J$89:K$89)</f>
        <v>#N/A</v>
      </c>
      <c r="M161" s="16" t="str">
        <f t="shared" si="28"/>
        <v>[{50008,20}]</v>
      </c>
      <c r="N161" s="16" t="str">
        <f t="shared" si="29"/>
        <v>[{1,50}]</v>
      </c>
      <c r="Q161"/>
      <c r="R161"/>
      <c r="S161"/>
      <c r="T161"/>
    </row>
    <row r="162" spans="3:20">
      <c r="C162" s="441">
        <v>5003</v>
      </c>
      <c r="D162" s="441">
        <f t="shared" si="23"/>
        <v>50008</v>
      </c>
      <c r="E162" s="441" t="s">
        <v>534</v>
      </c>
      <c r="F162" s="441">
        <f t="shared" si="24"/>
        <v>40</v>
      </c>
      <c r="G162" s="16">
        <f ca="1" t="shared" si="27"/>
        <v>4000</v>
      </c>
      <c r="H162" s="16">
        <v>4000</v>
      </c>
      <c r="I162" s="16" t="e">
        <f>F162*_xlfn.XLOOKUP(50002,价值表!F:F,价值表!I:I)</f>
        <v>#N/A</v>
      </c>
      <c r="J162" s="16">
        <f t="shared" si="25"/>
        <v>0</v>
      </c>
      <c r="K162" s="16">
        <f t="shared" si="26"/>
        <v>100</v>
      </c>
      <c r="L162" s="46" t="e" cm="1">
        <f t="array" ref="L162">I162/SUMPRODUCT(J162:K162,J$89:K$89)</f>
        <v>#N/A</v>
      </c>
      <c r="M162" s="16" t="str">
        <f t="shared" si="28"/>
        <v>[{50008,40}]</v>
      </c>
      <c r="N162" s="16" t="str">
        <f t="shared" si="29"/>
        <v>[{1,100}]</v>
      </c>
      <c r="Q162"/>
      <c r="R162"/>
      <c r="S162"/>
      <c r="T162"/>
    </row>
    <row r="163" spans="3:20">
      <c r="C163" s="441">
        <v>5003</v>
      </c>
      <c r="D163" s="441">
        <f>D145</f>
        <v>50003</v>
      </c>
      <c r="E163" s="441" t="s">
        <v>528</v>
      </c>
      <c r="F163" s="441">
        <f t="shared" si="24"/>
        <v>10</v>
      </c>
      <c r="G163" s="16">
        <f ca="1" t="shared" si="27"/>
        <v>8000</v>
      </c>
      <c r="H163" s="16">
        <v>8000</v>
      </c>
      <c r="I163" s="16" t="e">
        <f>F163*_xlfn.XLOOKUP(50002,价值表!F:F,价值表!I:I)</f>
        <v>#N/A</v>
      </c>
      <c r="J163" s="16">
        <f t="shared" si="25"/>
        <v>1000</v>
      </c>
      <c r="K163" s="16">
        <f t="shared" si="26"/>
        <v>0</v>
      </c>
      <c r="L163" s="46" t="e" cm="1">
        <f t="array" ref="L163">I163/SUMPRODUCT(J163:K163,J$89:K$89)</f>
        <v>#N/A</v>
      </c>
      <c r="M163" s="16" t="str">
        <f t="shared" si="28"/>
        <v>[{50003,10}]</v>
      </c>
      <c r="N163" s="16" t="str">
        <f t="shared" si="29"/>
        <v>[{2,1000}]</v>
      </c>
      <c r="Q163"/>
      <c r="R163"/>
      <c r="S163"/>
      <c r="T163"/>
    </row>
    <row r="164" spans="3:20">
      <c r="C164" s="441">
        <v>5003</v>
      </c>
      <c r="D164" s="441">
        <f t="shared" ref="D164:D185" si="30">D146</f>
        <v>50003</v>
      </c>
      <c r="E164" s="441" t="s">
        <v>528</v>
      </c>
      <c r="F164" s="441">
        <f t="shared" si="24"/>
        <v>20</v>
      </c>
      <c r="G164" s="16">
        <f ca="1" t="shared" si="27"/>
        <v>6000</v>
      </c>
      <c r="H164" s="16">
        <v>6000</v>
      </c>
      <c r="I164" s="16" t="e">
        <f>F164*_xlfn.XLOOKUP(50002,价值表!F:F,价值表!I:I)</f>
        <v>#N/A</v>
      </c>
      <c r="J164" s="16">
        <f t="shared" si="25"/>
        <v>2000</v>
      </c>
      <c r="K164" s="16">
        <f t="shared" si="26"/>
        <v>0</v>
      </c>
      <c r="L164" s="46" t="e" cm="1">
        <f t="array" ref="L164">I164/SUMPRODUCT(J164:K164,J$89:K$89)</f>
        <v>#N/A</v>
      </c>
      <c r="M164" s="16" t="str">
        <f t="shared" si="28"/>
        <v>[{50003,20}]</v>
      </c>
      <c r="N164" s="16" t="str">
        <f t="shared" si="29"/>
        <v>[{2,2000}]</v>
      </c>
      <c r="Q164"/>
      <c r="R164"/>
      <c r="S164"/>
      <c r="T164"/>
    </row>
    <row r="165" spans="3:20">
      <c r="C165" s="441">
        <v>5003</v>
      </c>
      <c r="D165" s="441">
        <f t="shared" si="30"/>
        <v>50003</v>
      </c>
      <c r="E165" s="441" t="s">
        <v>528</v>
      </c>
      <c r="F165" s="441">
        <f t="shared" si="24"/>
        <v>40</v>
      </c>
      <c r="G165" s="16">
        <f ca="1" t="shared" si="27"/>
        <v>4000</v>
      </c>
      <c r="H165" s="16">
        <v>4000</v>
      </c>
      <c r="I165" s="16" t="e">
        <f>F165*_xlfn.XLOOKUP(50002,价值表!F:F,价值表!I:I)</f>
        <v>#N/A</v>
      </c>
      <c r="J165" s="16">
        <f t="shared" si="25"/>
        <v>4000</v>
      </c>
      <c r="K165" s="16">
        <f t="shared" si="26"/>
        <v>0</v>
      </c>
      <c r="L165" s="46" t="e" cm="1">
        <f t="array" ref="L165">I165/SUMPRODUCT(J165:K165,J$89:K$89)</f>
        <v>#N/A</v>
      </c>
      <c r="M165" s="16" t="str">
        <f t="shared" si="28"/>
        <v>[{50003,40}]</v>
      </c>
      <c r="N165" s="16" t="str">
        <f t="shared" si="29"/>
        <v>[{2,4000}]</v>
      </c>
      <c r="Q165"/>
      <c r="R165"/>
      <c r="S165"/>
      <c r="T165"/>
    </row>
    <row r="166" spans="3:20">
      <c r="C166" s="441">
        <v>5003</v>
      </c>
      <c r="D166" s="441">
        <f t="shared" si="30"/>
        <v>50004</v>
      </c>
      <c r="E166" s="441" t="s">
        <v>530</v>
      </c>
      <c r="F166" s="441">
        <f t="shared" si="24"/>
        <v>10</v>
      </c>
      <c r="G166" s="16">
        <f ca="1" t="shared" si="27"/>
        <v>8000</v>
      </c>
      <c r="H166" s="16">
        <v>8000</v>
      </c>
      <c r="I166" s="16" t="e">
        <f>F166*_xlfn.XLOOKUP(50002,价值表!F:F,价值表!I:I)</f>
        <v>#N/A</v>
      </c>
      <c r="J166" s="16">
        <f t="shared" si="25"/>
        <v>0</v>
      </c>
      <c r="K166" s="16">
        <f t="shared" si="26"/>
        <v>25</v>
      </c>
      <c r="L166" s="46" t="e" cm="1">
        <f t="array" ref="L166">I166/SUMPRODUCT(J166:K166,J$89:K$89)</f>
        <v>#N/A</v>
      </c>
      <c r="M166" s="16" t="str">
        <f t="shared" si="28"/>
        <v>[{50004,10}]</v>
      </c>
      <c r="N166" s="16" t="str">
        <f t="shared" si="29"/>
        <v>[{1,25}]</v>
      </c>
      <c r="Q166"/>
      <c r="R166"/>
      <c r="S166"/>
      <c r="T166"/>
    </row>
    <row r="167" spans="3:20">
      <c r="C167" s="441">
        <v>5003</v>
      </c>
      <c r="D167" s="441">
        <f t="shared" si="30"/>
        <v>50004</v>
      </c>
      <c r="E167" s="441" t="s">
        <v>530</v>
      </c>
      <c r="F167" s="441">
        <f t="shared" si="24"/>
        <v>20</v>
      </c>
      <c r="G167" s="16">
        <f ca="1" t="shared" si="27"/>
        <v>6000</v>
      </c>
      <c r="H167" s="16">
        <v>6000</v>
      </c>
      <c r="I167" s="16" t="e">
        <f>F167*_xlfn.XLOOKUP(50002,价值表!F:F,价值表!I:I)</f>
        <v>#N/A</v>
      </c>
      <c r="J167" s="16">
        <f t="shared" si="25"/>
        <v>0</v>
      </c>
      <c r="K167" s="16">
        <f t="shared" si="26"/>
        <v>50</v>
      </c>
      <c r="L167" s="46" t="e" cm="1">
        <f t="array" ref="L167">I167/SUMPRODUCT(J167:K167,J$89:K$89)</f>
        <v>#N/A</v>
      </c>
      <c r="M167" s="16" t="str">
        <f t="shared" si="28"/>
        <v>[{50004,20}]</v>
      </c>
      <c r="N167" s="16" t="str">
        <f t="shared" si="29"/>
        <v>[{1,50}]</v>
      </c>
      <c r="Q167"/>
      <c r="R167"/>
      <c r="S167"/>
      <c r="T167"/>
    </row>
    <row r="168" spans="3:20">
      <c r="C168" s="441">
        <v>5003</v>
      </c>
      <c r="D168" s="441">
        <f t="shared" si="30"/>
        <v>50004</v>
      </c>
      <c r="E168" s="441" t="s">
        <v>530</v>
      </c>
      <c r="F168" s="441">
        <f t="shared" si="24"/>
        <v>40</v>
      </c>
      <c r="G168" s="16">
        <f ca="1" t="shared" si="27"/>
        <v>4000</v>
      </c>
      <c r="H168" s="16">
        <v>4000</v>
      </c>
      <c r="I168" s="16" t="e">
        <f>F168*_xlfn.XLOOKUP(50002,价值表!F:F,价值表!I:I)</f>
        <v>#N/A</v>
      </c>
      <c r="J168" s="16">
        <f t="shared" si="25"/>
        <v>0</v>
      </c>
      <c r="K168" s="16">
        <f t="shared" si="26"/>
        <v>100</v>
      </c>
      <c r="L168" s="46" t="e" cm="1">
        <f t="array" ref="L168">I168/SUMPRODUCT(J168:K168,J$89:K$89)</f>
        <v>#N/A</v>
      </c>
      <c r="M168" s="16" t="str">
        <f t="shared" si="28"/>
        <v>[{50004,40}]</v>
      </c>
      <c r="N168" s="16" t="str">
        <f t="shared" si="29"/>
        <v>[{1,100}]</v>
      </c>
      <c r="Q168"/>
      <c r="R168"/>
      <c r="S168"/>
      <c r="T168"/>
    </row>
    <row r="169" spans="3:20">
      <c r="C169" s="441">
        <v>5003</v>
      </c>
      <c r="D169" s="441">
        <f t="shared" si="30"/>
        <v>50005</v>
      </c>
      <c r="E169" s="441" t="s">
        <v>531</v>
      </c>
      <c r="F169" s="441">
        <f t="shared" ref="F169:F180" si="31">F166</f>
        <v>10</v>
      </c>
      <c r="G169" s="16">
        <f ca="1" t="shared" si="27"/>
        <v>8000</v>
      </c>
      <c r="H169" s="16">
        <v>8000</v>
      </c>
      <c r="I169" s="16" t="e">
        <f>F169*_xlfn.XLOOKUP(50002,价值表!F:F,价值表!I:I)</f>
        <v>#N/A</v>
      </c>
      <c r="J169" s="16">
        <f t="shared" si="25"/>
        <v>1000</v>
      </c>
      <c r="K169" s="16">
        <f t="shared" si="26"/>
        <v>0</v>
      </c>
      <c r="L169" s="46" t="e" cm="1">
        <f t="array" ref="L169">I169/SUMPRODUCT(J169:K169,J$89:K$89)</f>
        <v>#N/A</v>
      </c>
      <c r="M169" s="16" t="str">
        <f t="shared" si="28"/>
        <v>[{50005,10}]</v>
      </c>
      <c r="N169" s="16" t="str">
        <f t="shared" si="29"/>
        <v>[{2,1000}]</v>
      </c>
      <c r="Q169"/>
      <c r="R169"/>
      <c r="S169"/>
      <c r="T169"/>
    </row>
    <row r="170" spans="3:20">
      <c r="C170" s="441">
        <v>5003</v>
      </c>
      <c r="D170" s="441">
        <f t="shared" si="30"/>
        <v>50005</v>
      </c>
      <c r="E170" s="441" t="s">
        <v>531</v>
      </c>
      <c r="F170" s="441">
        <f t="shared" si="31"/>
        <v>20</v>
      </c>
      <c r="G170" s="16">
        <f ca="1" t="shared" si="27"/>
        <v>6000</v>
      </c>
      <c r="H170" s="16">
        <v>6000</v>
      </c>
      <c r="I170" s="16" t="e">
        <f>F170*_xlfn.XLOOKUP(50002,价值表!F:F,价值表!I:I)</f>
        <v>#N/A</v>
      </c>
      <c r="J170" s="16">
        <f t="shared" si="25"/>
        <v>2000</v>
      </c>
      <c r="K170" s="16">
        <f t="shared" si="26"/>
        <v>0</v>
      </c>
      <c r="L170" s="46" t="e" cm="1">
        <f t="array" ref="L170">I170/SUMPRODUCT(J170:K170,J$89:K$89)</f>
        <v>#N/A</v>
      </c>
      <c r="M170" s="16" t="str">
        <f t="shared" si="28"/>
        <v>[{50005,20}]</v>
      </c>
      <c r="N170" s="16" t="str">
        <f t="shared" si="29"/>
        <v>[{2,2000}]</v>
      </c>
      <c r="Q170"/>
      <c r="R170"/>
      <c r="S170"/>
      <c r="T170"/>
    </row>
    <row r="171" spans="3:20">
      <c r="C171" s="441">
        <v>5003</v>
      </c>
      <c r="D171" s="441">
        <f t="shared" si="30"/>
        <v>50005</v>
      </c>
      <c r="E171" s="441" t="s">
        <v>531</v>
      </c>
      <c r="F171" s="441">
        <f t="shared" si="31"/>
        <v>40</v>
      </c>
      <c r="G171" s="16">
        <f ca="1" t="shared" si="27"/>
        <v>4000</v>
      </c>
      <c r="H171" s="16">
        <v>4000</v>
      </c>
      <c r="I171" s="16" t="e">
        <f>F171*_xlfn.XLOOKUP(50002,价值表!F:F,价值表!I:I)</f>
        <v>#N/A</v>
      </c>
      <c r="J171" s="16">
        <f t="shared" si="25"/>
        <v>4000</v>
      </c>
      <c r="K171" s="16">
        <f t="shared" si="26"/>
        <v>0</v>
      </c>
      <c r="L171" s="46" t="e" cm="1">
        <f t="array" ref="L171">I171/SUMPRODUCT(J171:K171,J$89:K$89)</f>
        <v>#N/A</v>
      </c>
      <c r="M171" s="16" t="str">
        <f t="shared" si="28"/>
        <v>[{50005,40}]</v>
      </c>
      <c r="N171" s="16" t="str">
        <f t="shared" si="29"/>
        <v>[{2,4000}]</v>
      </c>
      <c r="Q171"/>
      <c r="R171"/>
      <c r="S171"/>
      <c r="T171"/>
    </row>
    <row r="172" spans="3:20">
      <c r="C172" s="441">
        <v>5003</v>
      </c>
      <c r="D172" s="441">
        <f t="shared" si="30"/>
        <v>50006</v>
      </c>
      <c r="E172" s="441" t="s">
        <v>532</v>
      </c>
      <c r="F172" s="441">
        <f t="shared" si="31"/>
        <v>10</v>
      </c>
      <c r="G172" s="16">
        <f ca="1" t="shared" si="27"/>
        <v>8000</v>
      </c>
      <c r="H172" s="16">
        <v>8000</v>
      </c>
      <c r="I172" s="16" t="e">
        <f>F172*_xlfn.XLOOKUP(50002,价值表!F:F,价值表!I:I)</f>
        <v>#N/A</v>
      </c>
      <c r="J172" s="16">
        <f t="shared" si="25"/>
        <v>0</v>
      </c>
      <c r="K172" s="16">
        <f t="shared" si="26"/>
        <v>25</v>
      </c>
      <c r="L172" s="46" t="e" cm="1">
        <f t="array" ref="L172">I172/SUMPRODUCT(J172:K172,J$89:K$89)</f>
        <v>#N/A</v>
      </c>
      <c r="M172" s="16" t="str">
        <f t="shared" si="28"/>
        <v>[{50006,10}]</v>
      </c>
      <c r="N172" s="16" t="str">
        <f t="shared" si="29"/>
        <v>[{1,25}]</v>
      </c>
      <c r="Q172"/>
      <c r="R172"/>
      <c r="S172"/>
      <c r="T172"/>
    </row>
    <row r="173" spans="3:20">
      <c r="C173" s="441">
        <v>5003</v>
      </c>
      <c r="D173" s="441">
        <f t="shared" si="30"/>
        <v>50006</v>
      </c>
      <c r="E173" s="441" t="s">
        <v>532</v>
      </c>
      <c r="F173" s="441">
        <f t="shared" si="31"/>
        <v>20</v>
      </c>
      <c r="G173" s="16">
        <f ca="1" t="shared" si="27"/>
        <v>6000</v>
      </c>
      <c r="H173" s="16">
        <v>6000</v>
      </c>
      <c r="I173" s="16" t="e">
        <f>F173*_xlfn.XLOOKUP(50002,价值表!F:F,价值表!I:I)</f>
        <v>#N/A</v>
      </c>
      <c r="J173" s="16">
        <f t="shared" si="25"/>
        <v>0</v>
      </c>
      <c r="K173" s="16">
        <f t="shared" si="26"/>
        <v>50</v>
      </c>
      <c r="L173" s="46" t="e" cm="1">
        <f t="array" ref="L173">I173/SUMPRODUCT(J173:K173,J$89:K$89)</f>
        <v>#N/A</v>
      </c>
      <c r="M173" s="16" t="str">
        <f t="shared" si="28"/>
        <v>[{50006,20}]</v>
      </c>
      <c r="N173" s="16" t="str">
        <f t="shared" si="29"/>
        <v>[{1,50}]</v>
      </c>
      <c r="Q173"/>
      <c r="R173"/>
      <c r="S173"/>
      <c r="T173"/>
    </row>
    <row r="174" spans="3:20">
      <c r="C174" s="441">
        <v>5003</v>
      </c>
      <c r="D174" s="441">
        <f t="shared" si="30"/>
        <v>50006</v>
      </c>
      <c r="E174" s="441" t="s">
        <v>532</v>
      </c>
      <c r="F174" s="441">
        <f t="shared" si="31"/>
        <v>40</v>
      </c>
      <c r="G174" s="16">
        <f ca="1" t="shared" si="27"/>
        <v>4000</v>
      </c>
      <c r="H174" s="16">
        <v>4000</v>
      </c>
      <c r="I174" s="16" t="e">
        <f>F174*_xlfn.XLOOKUP(50002,价值表!F:F,价值表!I:I)</f>
        <v>#N/A</v>
      </c>
      <c r="J174" s="16">
        <f t="shared" si="25"/>
        <v>0</v>
      </c>
      <c r="K174" s="16">
        <f t="shared" si="26"/>
        <v>100</v>
      </c>
      <c r="L174" s="46" t="e" cm="1">
        <f t="array" ref="L174">I174/SUMPRODUCT(J174:K174,J$89:K$89)</f>
        <v>#N/A</v>
      </c>
      <c r="M174" s="16" t="str">
        <f t="shared" si="28"/>
        <v>[{50006,40}]</v>
      </c>
      <c r="N174" s="16" t="str">
        <f t="shared" si="29"/>
        <v>[{1,100}]</v>
      </c>
      <c r="Q174"/>
      <c r="R174"/>
      <c r="S174"/>
      <c r="T174"/>
    </row>
    <row r="175" spans="3:20">
      <c r="C175" s="441">
        <v>5003</v>
      </c>
      <c r="D175" s="441">
        <f t="shared" si="30"/>
        <v>50007</v>
      </c>
      <c r="E175" s="441" t="s">
        <v>533</v>
      </c>
      <c r="F175" s="441">
        <f t="shared" si="31"/>
        <v>10</v>
      </c>
      <c r="G175" s="16">
        <f ca="1" t="shared" si="27"/>
        <v>8000</v>
      </c>
      <c r="H175" s="16">
        <v>8000</v>
      </c>
      <c r="I175" s="16" t="e">
        <f>F175*_xlfn.XLOOKUP(50002,价值表!F:F,价值表!I:I)</f>
        <v>#N/A</v>
      </c>
      <c r="J175" s="16">
        <f t="shared" si="25"/>
        <v>1000</v>
      </c>
      <c r="K175" s="16">
        <f t="shared" si="26"/>
        <v>0</v>
      </c>
      <c r="L175" s="46" t="e" cm="1">
        <f t="array" ref="L175">I175/SUMPRODUCT(J175:K175,J$89:K$89)</f>
        <v>#N/A</v>
      </c>
      <c r="M175" s="16" t="str">
        <f t="shared" si="28"/>
        <v>[{50007,10}]</v>
      </c>
      <c r="N175" s="16" t="str">
        <f t="shared" si="29"/>
        <v>[{2,1000}]</v>
      </c>
      <c r="Q175"/>
      <c r="R175"/>
      <c r="S175"/>
      <c r="T175"/>
    </row>
    <row r="176" spans="3:20">
      <c r="C176" s="441">
        <v>5003</v>
      </c>
      <c r="D176" s="441">
        <f t="shared" si="30"/>
        <v>50007</v>
      </c>
      <c r="E176" s="441" t="s">
        <v>533</v>
      </c>
      <c r="F176" s="441">
        <f t="shared" si="31"/>
        <v>20</v>
      </c>
      <c r="G176" s="16">
        <f ca="1" t="shared" si="27"/>
        <v>6000</v>
      </c>
      <c r="H176" s="16">
        <v>6000</v>
      </c>
      <c r="I176" s="16" t="e">
        <f>F176*_xlfn.XLOOKUP(50002,价值表!F:F,价值表!I:I)</f>
        <v>#N/A</v>
      </c>
      <c r="J176" s="16">
        <f t="shared" si="25"/>
        <v>2000</v>
      </c>
      <c r="K176" s="16">
        <f t="shared" si="26"/>
        <v>0</v>
      </c>
      <c r="L176" s="46" t="e" cm="1">
        <f t="array" ref="L176">I176/SUMPRODUCT(J176:K176,J$89:K$89)</f>
        <v>#N/A</v>
      </c>
      <c r="M176" s="16" t="str">
        <f t="shared" si="28"/>
        <v>[{50007,20}]</v>
      </c>
      <c r="N176" s="16" t="str">
        <f t="shared" si="29"/>
        <v>[{2,2000}]</v>
      </c>
    </row>
    <row r="177" spans="3:14">
      <c r="C177" s="441">
        <v>5003</v>
      </c>
      <c r="D177" s="441">
        <f t="shared" si="30"/>
        <v>50007</v>
      </c>
      <c r="E177" s="441" t="s">
        <v>533</v>
      </c>
      <c r="F177" s="441">
        <f t="shared" si="31"/>
        <v>40</v>
      </c>
      <c r="G177" s="16">
        <f ca="1" t="shared" si="27"/>
        <v>4000</v>
      </c>
      <c r="H177" s="16">
        <v>4000</v>
      </c>
      <c r="I177" s="16" t="e">
        <f>F177*_xlfn.XLOOKUP(50002,价值表!F:F,价值表!I:I)</f>
        <v>#N/A</v>
      </c>
      <c r="J177" s="16">
        <f t="shared" si="25"/>
        <v>4000</v>
      </c>
      <c r="K177" s="16">
        <f t="shared" si="26"/>
        <v>0</v>
      </c>
      <c r="L177" s="46" t="e" cm="1">
        <f t="array" ref="L177">I177/SUMPRODUCT(J177:K177,J$89:K$89)</f>
        <v>#N/A</v>
      </c>
      <c r="M177" s="16" t="str">
        <f t="shared" si="28"/>
        <v>[{50007,40}]</v>
      </c>
      <c r="N177" s="16" t="str">
        <f t="shared" si="29"/>
        <v>[{2,4000}]</v>
      </c>
    </row>
    <row r="178" spans="3:14">
      <c r="C178" s="441">
        <v>5003</v>
      </c>
      <c r="D178" s="441">
        <f t="shared" si="30"/>
        <v>50008</v>
      </c>
      <c r="E178" s="441" t="s">
        <v>534</v>
      </c>
      <c r="F178" s="441">
        <f t="shared" si="31"/>
        <v>10</v>
      </c>
      <c r="G178" s="16">
        <f ca="1" t="shared" si="27"/>
        <v>8000</v>
      </c>
      <c r="H178" s="16">
        <v>8000</v>
      </c>
      <c r="I178" s="16" t="e">
        <f>F178*_xlfn.XLOOKUP(50002,价值表!F:F,价值表!I:I)</f>
        <v>#N/A</v>
      </c>
      <c r="J178" s="16">
        <f t="shared" si="25"/>
        <v>0</v>
      </c>
      <c r="K178" s="16">
        <f t="shared" si="26"/>
        <v>25</v>
      </c>
      <c r="L178" s="46" t="e" cm="1">
        <f t="array" ref="L178">I178/SUMPRODUCT(J178:K178,J$89:K$89)</f>
        <v>#N/A</v>
      </c>
      <c r="M178" s="16" t="str">
        <f t="shared" si="28"/>
        <v>[{50008,10}]</v>
      </c>
      <c r="N178" s="16" t="str">
        <f t="shared" si="29"/>
        <v>[{1,25}]</v>
      </c>
    </row>
    <row r="179" spans="3:14">
      <c r="C179" s="441">
        <v>5003</v>
      </c>
      <c r="D179" s="441">
        <f t="shared" si="30"/>
        <v>50008</v>
      </c>
      <c r="E179" s="441" t="s">
        <v>534</v>
      </c>
      <c r="F179" s="441">
        <f t="shared" si="31"/>
        <v>20</v>
      </c>
      <c r="G179" s="16">
        <f ca="1" t="shared" si="27"/>
        <v>6000</v>
      </c>
      <c r="H179" s="16">
        <v>6000</v>
      </c>
      <c r="I179" s="16" t="e">
        <f>F179*_xlfn.XLOOKUP(50002,价值表!F:F,价值表!I:I)</f>
        <v>#N/A</v>
      </c>
      <c r="J179" s="16">
        <f t="shared" si="25"/>
        <v>0</v>
      </c>
      <c r="K179" s="16">
        <f t="shared" si="26"/>
        <v>50</v>
      </c>
      <c r="L179" s="46" t="e" cm="1">
        <f t="array" ref="L179">I179/SUMPRODUCT(J179:K179,J$89:K$89)</f>
        <v>#N/A</v>
      </c>
      <c r="M179" s="16" t="str">
        <f t="shared" si="28"/>
        <v>[{50008,20}]</v>
      </c>
      <c r="N179" s="16" t="str">
        <f t="shared" si="29"/>
        <v>[{1,50}]</v>
      </c>
    </row>
    <row r="180" spans="3:14">
      <c r="C180" s="441">
        <v>5003</v>
      </c>
      <c r="D180" s="441">
        <f t="shared" si="30"/>
        <v>50008</v>
      </c>
      <c r="E180" s="441" t="s">
        <v>534</v>
      </c>
      <c r="F180" s="441">
        <f t="shared" si="31"/>
        <v>40</v>
      </c>
      <c r="G180" s="16">
        <f ca="1" t="shared" si="27"/>
        <v>4000</v>
      </c>
      <c r="H180" s="16">
        <v>4000</v>
      </c>
      <c r="I180" s="16" t="e">
        <f>F180*_xlfn.XLOOKUP(50002,价值表!F:F,价值表!I:I)</f>
        <v>#N/A</v>
      </c>
      <c r="J180" s="16">
        <f t="shared" si="25"/>
        <v>0</v>
      </c>
      <c r="K180" s="16">
        <f t="shared" si="26"/>
        <v>100</v>
      </c>
      <c r="L180" s="46" t="e" cm="1">
        <f t="array" ref="L180">I180/SUMPRODUCT(J180:K180,J$89:K$89)</f>
        <v>#N/A</v>
      </c>
      <c r="M180" s="16" t="str">
        <f t="shared" si="28"/>
        <v>[{50008,40}]</v>
      </c>
      <c r="N180" s="16" t="str">
        <f t="shared" si="29"/>
        <v>[{1,100}]</v>
      </c>
    </row>
    <row r="181" spans="3:14">
      <c r="C181" s="16">
        <v>6001</v>
      </c>
      <c r="D181" s="16">
        <f ca="1">_xlfn.XLOOKUP(C181,$C$30:$C$69,$D$30:$D$69)</f>
        <v>5203001</v>
      </c>
      <c r="E181" s="441" t="s">
        <v>291</v>
      </c>
      <c r="F181" s="16">
        <v>10</v>
      </c>
      <c r="G181" s="16">
        <f ca="1" t="shared" si="27"/>
        <v>1000</v>
      </c>
      <c r="H181" s="16">
        <v>1000</v>
      </c>
      <c r="I181" s="16" t="e">
        <f ca="1">F181*_xlfn.XLOOKUP(D181,价值表!F:F,价值表!I:I)</f>
        <v>#N/A</v>
      </c>
      <c r="J181" s="16">
        <v>2000</v>
      </c>
      <c r="L181" s="46" t="e" cm="1">
        <f ca="1" t="array" ref="L181">I181/SUMPRODUCT(J181:K181,J$89:K$89)</f>
        <v>#N/A</v>
      </c>
      <c r="M181" s="16" t="str">
        <f ca="1" t="shared" si="28"/>
        <v>[{5203001,10}]</v>
      </c>
      <c r="N181" s="16" t="str">
        <f t="shared" si="29"/>
        <v>[{2,2000}]</v>
      </c>
    </row>
    <row r="182" spans="3:14">
      <c r="C182" s="16">
        <v>6001</v>
      </c>
      <c r="D182" s="16">
        <v>5203001</v>
      </c>
      <c r="E182" s="441" t="s">
        <v>291</v>
      </c>
      <c r="F182" s="16">
        <v>10</v>
      </c>
      <c r="G182" s="16">
        <f ca="1" t="shared" si="27"/>
        <v>1000</v>
      </c>
      <c r="H182" s="16">
        <v>1000</v>
      </c>
      <c r="I182" s="16" t="e">
        <f>F182*_xlfn.XLOOKUP(D182,价值表!F:F,价值表!I:I)</f>
        <v>#N/A</v>
      </c>
      <c r="K182" s="16">
        <v>30</v>
      </c>
      <c r="L182" s="46" t="e" cm="1">
        <f t="array" ref="L182">I182/SUMPRODUCT(J182:K182,J$89:K$89)</f>
        <v>#N/A</v>
      </c>
      <c r="M182" s="16" t="str">
        <f t="shared" si="28"/>
        <v>[{5203001,10}]</v>
      </c>
      <c r="N182" s="16" t="str">
        <f t="shared" si="29"/>
        <v>[{1,30}]</v>
      </c>
    </row>
    <row r="183" spans="3:14">
      <c r="C183" s="16">
        <v>6002</v>
      </c>
      <c r="D183" s="16">
        <v>5203001</v>
      </c>
      <c r="E183" s="441" t="s">
        <v>291</v>
      </c>
      <c r="F183" s="16">
        <v>10</v>
      </c>
      <c r="G183" s="16">
        <f ca="1" t="shared" si="27"/>
        <v>800</v>
      </c>
      <c r="H183" s="16">
        <v>800</v>
      </c>
      <c r="I183" s="16" t="e">
        <f>F183*_xlfn.XLOOKUP(D183,价值表!F:F,价值表!I:I)</f>
        <v>#N/A</v>
      </c>
      <c r="J183" s="16">
        <f>J181</f>
        <v>2000</v>
      </c>
      <c r="L183" s="46" t="e" cm="1">
        <f t="array" ref="L183">I183/SUMPRODUCT(J183:K183,J$89:K$89)</f>
        <v>#N/A</v>
      </c>
      <c r="M183" s="16" t="str">
        <f t="shared" si="28"/>
        <v>[{5203001,10}]</v>
      </c>
      <c r="N183" s="16" t="str">
        <f t="shared" si="29"/>
        <v>[{2,2000}]</v>
      </c>
    </row>
    <row r="184" spans="3:14">
      <c r="C184" s="16">
        <v>6002</v>
      </c>
      <c r="D184" s="16">
        <v>5203001</v>
      </c>
      <c r="E184" s="441" t="s">
        <v>291</v>
      </c>
      <c r="F184" s="16">
        <v>20</v>
      </c>
      <c r="G184" s="16">
        <f ca="1" t="shared" si="27"/>
        <v>400</v>
      </c>
      <c r="H184" s="16">
        <v>400</v>
      </c>
      <c r="I184" s="16" t="e">
        <f>F184*_xlfn.XLOOKUP(D184,价值表!F:F,价值表!I:I)</f>
        <v>#N/A</v>
      </c>
      <c r="J184" s="16">
        <v>4000</v>
      </c>
      <c r="L184" s="46" t="e" cm="1">
        <f t="array" ref="L184">I184/SUMPRODUCT(J184:K184,J$89:K$89)</f>
        <v>#N/A</v>
      </c>
      <c r="M184" s="16" t="str">
        <f t="shared" si="28"/>
        <v>[{5203001,20}]</v>
      </c>
      <c r="N184" s="16" t="str">
        <f t="shared" si="29"/>
        <v>[{2,4000}]</v>
      </c>
    </row>
    <row r="185" spans="3:14">
      <c r="C185" s="16">
        <v>6002</v>
      </c>
      <c r="D185" s="16">
        <v>5203001</v>
      </c>
      <c r="E185" s="441" t="s">
        <v>291</v>
      </c>
      <c r="F185" s="16">
        <v>10</v>
      </c>
      <c r="G185" s="16">
        <f ca="1" t="shared" si="27"/>
        <v>800</v>
      </c>
      <c r="H185" s="16">
        <v>800</v>
      </c>
      <c r="I185" s="16" t="e">
        <f>F185*_xlfn.XLOOKUP(D185,价值表!F:F,价值表!I:I)</f>
        <v>#N/A</v>
      </c>
      <c r="K185" s="16">
        <v>30</v>
      </c>
      <c r="L185" s="46" t="e" cm="1">
        <f t="array" ref="L185">I185/SUMPRODUCT(J185:K185,J$89:K$89)</f>
        <v>#N/A</v>
      </c>
      <c r="M185" s="16" t="str">
        <f t="shared" si="28"/>
        <v>[{5203001,10}]</v>
      </c>
      <c r="N185" s="16" t="str">
        <f t="shared" si="29"/>
        <v>[{1,30}]</v>
      </c>
    </row>
    <row r="186" spans="3:14">
      <c r="C186" s="16">
        <v>6002</v>
      </c>
      <c r="D186" s="16">
        <v>5203001</v>
      </c>
      <c r="E186" s="441" t="s">
        <v>291</v>
      </c>
      <c r="F186" s="16">
        <v>20</v>
      </c>
      <c r="G186" s="16">
        <f ca="1" t="shared" si="27"/>
        <v>400</v>
      </c>
      <c r="H186" s="16">
        <v>400</v>
      </c>
      <c r="I186" s="16" t="e">
        <f>F186*_xlfn.XLOOKUP(D186,价值表!F:F,价值表!I:I)</f>
        <v>#N/A</v>
      </c>
      <c r="K186" s="16">
        <v>60</v>
      </c>
      <c r="L186" s="46" t="e" cm="1">
        <f t="array" ref="L186">I186/SUMPRODUCT(J186:K186,J$89:K$89)</f>
        <v>#N/A</v>
      </c>
      <c r="M186" s="16" t="str">
        <f t="shared" si="28"/>
        <v>[{5203001,20}]</v>
      </c>
      <c r="N186" s="16" t="str">
        <f t="shared" si="29"/>
        <v>[{1,60}]</v>
      </c>
    </row>
    <row r="187" spans="3:14">
      <c r="C187" s="16">
        <v>6003</v>
      </c>
      <c r="D187" s="16">
        <v>5203001</v>
      </c>
      <c r="E187" s="441" t="s">
        <v>291</v>
      </c>
      <c r="F187" s="16">
        <v>10</v>
      </c>
      <c r="G187" s="16">
        <f ca="1" t="shared" si="27"/>
        <v>800</v>
      </c>
      <c r="H187" s="16">
        <v>800</v>
      </c>
      <c r="I187" s="16" t="e">
        <f>F187*_xlfn.XLOOKUP(D187,价值表!F:F,价值表!I:I)</f>
        <v>#N/A</v>
      </c>
      <c r="J187" s="16">
        <v>2000</v>
      </c>
      <c r="L187" s="46" t="e" cm="1">
        <f t="array" ref="L187">I187/SUMPRODUCT(J187:K187,J$89:K$89)</f>
        <v>#N/A</v>
      </c>
      <c r="M187" s="16" t="str">
        <f t="shared" si="28"/>
        <v>[{5203001,10}]</v>
      </c>
      <c r="N187" s="16" t="str">
        <f t="shared" si="29"/>
        <v>[{2,2000}]</v>
      </c>
    </row>
    <row r="188" spans="3:14">
      <c r="C188" s="16">
        <v>6003</v>
      </c>
      <c r="D188" s="16">
        <v>5203001</v>
      </c>
      <c r="E188" s="441" t="s">
        <v>291</v>
      </c>
      <c r="F188" s="16">
        <v>20</v>
      </c>
      <c r="G188" s="16">
        <f ca="1" t="shared" si="27"/>
        <v>600</v>
      </c>
      <c r="H188" s="16">
        <v>600</v>
      </c>
      <c r="I188" s="16" t="e">
        <f>F188*_xlfn.XLOOKUP(D188,价值表!F:F,价值表!I:I)</f>
        <v>#N/A</v>
      </c>
      <c r="J188" s="16">
        <v>4000</v>
      </c>
      <c r="L188" s="46" t="e" cm="1">
        <f t="array" ref="L188">I188/SUMPRODUCT(J188:K188,J$89:K$89)</f>
        <v>#N/A</v>
      </c>
      <c r="M188" s="16" t="str">
        <f t="shared" ref="M188:M234" si="32">"[{"&amp;D188&amp;","&amp;F188&amp;"}]"</f>
        <v>[{5203001,20}]</v>
      </c>
      <c r="N188" s="16" t="str">
        <f t="shared" ref="N188:N234" si="33">IF(J188&gt;0,"[{2,"&amp;J188&amp;"}]","[{1,"&amp;K188&amp;"}]")</f>
        <v>[{2,4000}]</v>
      </c>
    </row>
    <row r="189" spans="3:14">
      <c r="C189" s="16">
        <v>6003</v>
      </c>
      <c r="D189" s="16">
        <v>5203001</v>
      </c>
      <c r="E189" s="441" t="s">
        <v>291</v>
      </c>
      <c r="F189" s="16">
        <v>40</v>
      </c>
      <c r="G189" s="16">
        <f ca="1" t="shared" si="27"/>
        <v>400</v>
      </c>
      <c r="H189" s="16">
        <v>400</v>
      </c>
      <c r="I189" s="16" t="e">
        <f>F189*_xlfn.XLOOKUP(D189,价值表!F:F,价值表!I:I)</f>
        <v>#N/A</v>
      </c>
      <c r="J189" s="16">
        <v>8000</v>
      </c>
      <c r="L189" s="46" t="e" cm="1">
        <f t="array" ref="L189">I189/SUMPRODUCT(J189:K189,J$89:K$89)</f>
        <v>#N/A</v>
      </c>
      <c r="M189" s="16" t="str">
        <f t="shared" si="32"/>
        <v>[{5203001,40}]</v>
      </c>
      <c r="N189" s="16" t="str">
        <f t="shared" si="33"/>
        <v>[{2,8000}]</v>
      </c>
    </row>
    <row r="190" spans="3:14">
      <c r="C190" s="16">
        <v>6003</v>
      </c>
      <c r="D190" s="16">
        <v>5203001</v>
      </c>
      <c r="E190" s="441" t="s">
        <v>291</v>
      </c>
      <c r="F190" s="16">
        <v>10</v>
      </c>
      <c r="G190" s="16">
        <f ca="1" t="shared" si="27"/>
        <v>800</v>
      </c>
      <c r="H190" s="16">
        <v>800</v>
      </c>
      <c r="I190" s="16" t="e">
        <f>F190*_xlfn.XLOOKUP(D190,价值表!F:F,价值表!I:I)</f>
        <v>#N/A</v>
      </c>
      <c r="K190" s="16">
        <v>30</v>
      </c>
      <c r="L190" s="46" t="e" cm="1">
        <f t="array" ref="L190">I190/SUMPRODUCT(J190:K190,J$89:K$89)</f>
        <v>#N/A</v>
      </c>
      <c r="M190" s="16" t="str">
        <f t="shared" si="32"/>
        <v>[{5203001,10}]</v>
      </c>
      <c r="N190" s="16" t="str">
        <f t="shared" si="33"/>
        <v>[{1,30}]</v>
      </c>
    </row>
    <row r="191" spans="3:14">
      <c r="C191" s="16">
        <v>6003</v>
      </c>
      <c r="D191" s="16">
        <v>5203001</v>
      </c>
      <c r="E191" s="441" t="s">
        <v>291</v>
      </c>
      <c r="F191" s="16">
        <v>20</v>
      </c>
      <c r="G191" s="16">
        <f ca="1" t="shared" si="27"/>
        <v>600</v>
      </c>
      <c r="H191" s="16">
        <v>600</v>
      </c>
      <c r="I191" s="16" t="e">
        <f>F191*_xlfn.XLOOKUP(D191,价值表!F:F,价值表!I:I)</f>
        <v>#N/A</v>
      </c>
      <c r="K191" s="16">
        <v>60</v>
      </c>
      <c r="L191" s="46" t="e" cm="1">
        <f t="array" ref="L191">I191/SUMPRODUCT(J191:K191,J$89:K$89)</f>
        <v>#N/A</v>
      </c>
      <c r="M191" s="16" t="str">
        <f t="shared" si="32"/>
        <v>[{5203001,20}]</v>
      </c>
      <c r="N191" s="16" t="str">
        <f t="shared" si="33"/>
        <v>[{1,60}]</v>
      </c>
    </row>
    <row r="192" spans="3:14">
      <c r="C192" s="16">
        <v>6003</v>
      </c>
      <c r="D192" s="16">
        <v>5203001</v>
      </c>
      <c r="E192" s="441" t="s">
        <v>291</v>
      </c>
      <c r="F192" s="16">
        <v>40</v>
      </c>
      <c r="G192" s="16">
        <f ca="1" t="shared" si="27"/>
        <v>400</v>
      </c>
      <c r="H192" s="16">
        <v>400</v>
      </c>
      <c r="I192" s="16" t="e">
        <f>F192*_xlfn.XLOOKUP(D192,价值表!F:F,价值表!I:I)</f>
        <v>#N/A</v>
      </c>
      <c r="K192" s="16">
        <v>120</v>
      </c>
      <c r="L192" s="46" t="e" cm="1">
        <f t="array" ref="L192">I192/SUMPRODUCT(J192:K192,J$89:K$89)</f>
        <v>#N/A</v>
      </c>
      <c r="M192" s="16" t="str">
        <f t="shared" si="32"/>
        <v>[{5203001,40}]</v>
      </c>
      <c r="N192" s="16" t="str">
        <f t="shared" si="33"/>
        <v>[{1,120}]</v>
      </c>
    </row>
    <row r="193" spans="3:15">
      <c r="C193" s="16">
        <v>7002</v>
      </c>
      <c r="D193" s="16">
        <v>5103001</v>
      </c>
      <c r="E193" s="441" t="s">
        <v>527</v>
      </c>
      <c r="F193" s="16">
        <v>50</v>
      </c>
      <c r="G193" s="16">
        <f ca="1" t="shared" ref="G193:G217" si="34">H193*2*_xlfn.XLOOKUP(C193,$C$30:$C$85,$G$30:$G$85)</f>
        <v>800</v>
      </c>
      <c r="H193" s="16">
        <v>800</v>
      </c>
      <c r="I193" s="16" t="e">
        <f>F193*_xlfn.XLOOKUP(D193,价值表!F:F,价值表!I:I)</f>
        <v>#N/A</v>
      </c>
      <c r="J193" s="16">
        <v>2000</v>
      </c>
      <c r="L193" s="46" t="e" cm="1">
        <f t="array" ref="L193">I193/SUMPRODUCT(J193:K193,J$89:K$89)</f>
        <v>#N/A</v>
      </c>
      <c r="M193" s="16" t="str">
        <f t="shared" si="32"/>
        <v>[{5103001,50}]</v>
      </c>
      <c r="N193" s="16" t="str">
        <f t="shared" si="33"/>
        <v>[{2,2000}]</v>
      </c>
    </row>
    <row r="194" spans="3:15">
      <c r="C194" s="16">
        <v>7002</v>
      </c>
      <c r="D194" s="16">
        <v>5103001</v>
      </c>
      <c r="E194" s="441" t="s">
        <v>527</v>
      </c>
      <c r="F194" s="16">
        <v>100</v>
      </c>
      <c r="G194" s="16">
        <f ca="1" t="shared" si="34"/>
        <v>400</v>
      </c>
      <c r="H194" s="16">
        <v>400</v>
      </c>
      <c r="I194" s="16" t="e">
        <f>F194*_xlfn.XLOOKUP(D194,价值表!F:F,价值表!I:I)</f>
        <v>#N/A</v>
      </c>
      <c r="J194" s="16">
        <v>4000</v>
      </c>
      <c r="L194" s="46" t="e" cm="1">
        <f t="array" ref="L194">I194/SUMPRODUCT(J194:K194,J$89:K$89)</f>
        <v>#N/A</v>
      </c>
      <c r="M194" s="16" t="str">
        <f t="shared" si="32"/>
        <v>[{5103001,100}]</v>
      </c>
      <c r="N194" s="16" t="str">
        <f t="shared" si="33"/>
        <v>[{2,4000}]</v>
      </c>
    </row>
    <row r="195" spans="3:15">
      <c r="C195" s="16">
        <v>7002</v>
      </c>
      <c r="D195" s="16">
        <v>5103001</v>
      </c>
      <c r="E195" s="441" t="s">
        <v>527</v>
      </c>
      <c r="F195" s="16">
        <v>50</v>
      </c>
      <c r="G195" s="16">
        <f ca="1" t="shared" si="34"/>
        <v>800</v>
      </c>
      <c r="H195" s="16">
        <v>800</v>
      </c>
      <c r="I195" s="16" t="e">
        <f>F195*_xlfn.XLOOKUP(D195,价值表!F:F,价值表!I:I)</f>
        <v>#N/A</v>
      </c>
      <c r="K195" s="16">
        <v>50</v>
      </c>
      <c r="L195" s="46" t="e" cm="1">
        <f t="array" ref="L195">I195/SUMPRODUCT(J195:K195,J$89:K$89)</f>
        <v>#N/A</v>
      </c>
      <c r="M195" s="16" t="str">
        <f t="shared" si="32"/>
        <v>[{5103001,50}]</v>
      </c>
      <c r="N195" s="16" t="str">
        <f t="shared" si="33"/>
        <v>[{1,50}]</v>
      </c>
    </row>
    <row r="196" spans="3:15">
      <c r="C196" s="16">
        <v>7002</v>
      </c>
      <c r="D196" s="16">
        <v>5103001</v>
      </c>
      <c r="E196" s="441" t="s">
        <v>527</v>
      </c>
      <c r="F196" s="16">
        <v>100</v>
      </c>
      <c r="G196" s="16">
        <f ca="1" t="shared" si="34"/>
        <v>400</v>
      </c>
      <c r="H196" s="16">
        <v>400</v>
      </c>
      <c r="I196" s="16" t="e">
        <f>F196*_xlfn.XLOOKUP(D196,价值表!F:F,价值表!I:I)</f>
        <v>#N/A</v>
      </c>
      <c r="K196" s="16">
        <v>100</v>
      </c>
      <c r="L196" s="46" t="e" cm="1">
        <f t="array" ref="L196">I196/SUMPRODUCT(J196:K196,J$89:K$89)</f>
        <v>#N/A</v>
      </c>
      <c r="M196" s="16" t="str">
        <f t="shared" si="32"/>
        <v>[{5103001,100}]</v>
      </c>
      <c r="N196" s="16" t="str">
        <f t="shared" si="33"/>
        <v>[{1,100}]</v>
      </c>
    </row>
    <row r="197" spans="3:15">
      <c r="C197" s="16">
        <v>7003</v>
      </c>
      <c r="D197" s="16">
        <v>5103001</v>
      </c>
      <c r="E197" s="441" t="s">
        <v>527</v>
      </c>
      <c r="F197" s="16">
        <v>50</v>
      </c>
      <c r="G197" s="16">
        <f ca="1" t="shared" si="34"/>
        <v>800</v>
      </c>
      <c r="H197" s="16">
        <v>800</v>
      </c>
      <c r="I197" s="16" t="e">
        <f>F197*_xlfn.XLOOKUP(D197,价值表!F:F,价值表!I:I)</f>
        <v>#N/A</v>
      </c>
      <c r="J197" s="16">
        <v>2000</v>
      </c>
      <c r="L197" s="46" t="e" cm="1">
        <f t="array" ref="L197">I197/SUMPRODUCT(J197:K197,J$89:K$89)</f>
        <v>#N/A</v>
      </c>
      <c r="M197" s="16" t="str">
        <f t="shared" si="32"/>
        <v>[{5103001,50}]</v>
      </c>
      <c r="N197" s="16" t="str">
        <f t="shared" si="33"/>
        <v>[{2,2000}]</v>
      </c>
    </row>
    <row r="198" spans="3:15">
      <c r="C198" s="16">
        <v>7003</v>
      </c>
      <c r="D198" s="16">
        <v>5103001</v>
      </c>
      <c r="E198" s="441" t="s">
        <v>527</v>
      </c>
      <c r="F198" s="16">
        <v>100</v>
      </c>
      <c r="G198" s="16">
        <f ca="1" t="shared" si="34"/>
        <v>600</v>
      </c>
      <c r="H198" s="16">
        <v>600</v>
      </c>
      <c r="I198" s="16" t="e">
        <f>F198*_xlfn.XLOOKUP(D198,价值表!F:F,价值表!I:I)</f>
        <v>#N/A</v>
      </c>
      <c r="J198" s="16">
        <v>4000</v>
      </c>
      <c r="L198" s="46" t="e" cm="1">
        <f t="array" ref="L198">I198/SUMPRODUCT(J198:K198,J$89:K$89)</f>
        <v>#N/A</v>
      </c>
      <c r="M198" s="16" t="str">
        <f t="shared" si="32"/>
        <v>[{5103001,100}]</v>
      </c>
      <c r="N198" s="16" t="str">
        <f t="shared" si="33"/>
        <v>[{2,4000}]</v>
      </c>
    </row>
    <row r="199" spans="3:15">
      <c r="C199" s="16">
        <v>7003</v>
      </c>
      <c r="D199" s="16">
        <v>5103001</v>
      </c>
      <c r="E199" s="441" t="s">
        <v>527</v>
      </c>
      <c r="F199" s="16">
        <v>200</v>
      </c>
      <c r="G199" s="16">
        <f ca="1" t="shared" si="34"/>
        <v>400</v>
      </c>
      <c r="H199" s="16">
        <v>400</v>
      </c>
      <c r="I199" s="16" t="e">
        <f>F199*_xlfn.XLOOKUP(D199,价值表!F:F,价值表!I:I)</f>
        <v>#N/A</v>
      </c>
      <c r="J199" s="16">
        <v>8000</v>
      </c>
      <c r="L199" s="46" t="e" cm="1">
        <f t="array" ref="L199">I199/SUMPRODUCT(J199:K199,J$89:K$89)</f>
        <v>#N/A</v>
      </c>
      <c r="M199" s="16" t="str">
        <f t="shared" si="32"/>
        <v>[{5103001,200}]</v>
      </c>
      <c r="N199" s="16" t="str">
        <f t="shared" si="33"/>
        <v>[{2,8000}]</v>
      </c>
    </row>
    <row r="200" spans="3:15">
      <c r="C200" s="16">
        <v>7003</v>
      </c>
      <c r="D200" s="16">
        <v>5103001</v>
      </c>
      <c r="E200" s="441" t="s">
        <v>527</v>
      </c>
      <c r="F200" s="16">
        <f>F197</f>
        <v>50</v>
      </c>
      <c r="G200" s="16">
        <f ca="1" t="shared" si="34"/>
        <v>800</v>
      </c>
      <c r="H200" s="16">
        <v>800</v>
      </c>
      <c r="I200" s="16" t="e">
        <f>F200*_xlfn.XLOOKUP(D200,价值表!F:F,价值表!I:I)</f>
        <v>#N/A</v>
      </c>
      <c r="K200" s="16">
        <v>50</v>
      </c>
      <c r="L200" s="46" t="e" cm="1">
        <f t="array" ref="L200">I200/SUMPRODUCT(J200:K200,J$89:K$89)</f>
        <v>#N/A</v>
      </c>
      <c r="M200" s="16" t="str">
        <f t="shared" si="32"/>
        <v>[{5103001,50}]</v>
      </c>
      <c r="N200" s="16" t="str">
        <f t="shared" si="33"/>
        <v>[{1,50}]</v>
      </c>
    </row>
    <row r="201" spans="3:15">
      <c r="C201" s="16">
        <v>7003</v>
      </c>
      <c r="D201" s="16">
        <v>5103001</v>
      </c>
      <c r="E201" s="441" t="s">
        <v>527</v>
      </c>
      <c r="F201" s="16">
        <f>F198</f>
        <v>100</v>
      </c>
      <c r="G201" s="16">
        <f ca="1" t="shared" si="34"/>
        <v>600</v>
      </c>
      <c r="H201" s="16">
        <v>600</v>
      </c>
      <c r="I201" s="16" t="e">
        <f>F201*_xlfn.XLOOKUP(D201,价值表!F:F,价值表!I:I)</f>
        <v>#N/A</v>
      </c>
      <c r="K201" s="16">
        <v>100</v>
      </c>
      <c r="L201" s="46" t="e" cm="1">
        <f t="array" ref="L201">I201/SUMPRODUCT(J201:K201,J$89:K$89)</f>
        <v>#N/A</v>
      </c>
      <c r="M201" s="16" t="str">
        <f t="shared" si="32"/>
        <v>[{5103001,100}]</v>
      </c>
      <c r="N201" s="16" t="str">
        <f t="shared" si="33"/>
        <v>[{1,100}]</v>
      </c>
    </row>
    <row r="202" spans="3:15">
      <c r="C202" s="16">
        <v>7003</v>
      </c>
      <c r="D202" s="16">
        <v>5103001</v>
      </c>
      <c r="E202" s="441" t="s">
        <v>527</v>
      </c>
      <c r="F202" s="16">
        <f>F199</f>
        <v>200</v>
      </c>
      <c r="G202" s="16">
        <f ca="1" t="shared" si="34"/>
        <v>400</v>
      </c>
      <c r="H202" s="16">
        <v>400</v>
      </c>
      <c r="I202" s="16" t="e">
        <f>F202*_xlfn.XLOOKUP(D202,价值表!F:F,价值表!I:I)</f>
        <v>#N/A</v>
      </c>
      <c r="K202" s="16">
        <v>200</v>
      </c>
      <c r="L202" s="46" t="e" cm="1">
        <f t="array" ref="L202">I202/SUMPRODUCT(J202:K202,J$89:K$89)</f>
        <v>#N/A</v>
      </c>
      <c r="M202" s="16" t="str">
        <f t="shared" si="32"/>
        <v>[{5103001,200}]</v>
      </c>
      <c r="N202" s="16" t="str">
        <f t="shared" si="33"/>
        <v>[{1,200}]</v>
      </c>
    </row>
    <row r="203" ht="16.5" spans="3:15">
      <c r="C203" s="16">
        <v>8001</v>
      </c>
      <c r="D203" s="16">
        <v>13101001</v>
      </c>
      <c r="E203" s="441" t="s">
        <v>927</v>
      </c>
      <c r="F203" s="16">
        <v>5</v>
      </c>
      <c r="G203" s="16">
        <f ca="1" t="shared" si="34"/>
        <v>1000</v>
      </c>
      <c r="H203" s="16">
        <v>1000</v>
      </c>
      <c r="I203" s="16">
        <f>6*F203</f>
        <v>30</v>
      </c>
      <c r="J203" s="16">
        <v>1800</v>
      </c>
      <c r="L203" s="46" cm="1">
        <f t="array" ref="L203">I203/SUMPRODUCT(J203:K203,J$89:K$89)</f>
        <v>0.333333333333333</v>
      </c>
      <c r="M203" s="16" t="str">
        <f t="shared" si="32"/>
        <v>[{13101001,5}]</v>
      </c>
      <c r="N203" s="16" t="str">
        <f t="shared" si="33"/>
        <v>[{2,1800}]</v>
      </c>
      <c r="O203" s="446"/>
    </row>
    <row r="204" ht="16.5" spans="3:15">
      <c r="C204" s="16">
        <v>8001</v>
      </c>
      <c r="D204" s="16">
        <v>12104001</v>
      </c>
      <c r="E204" s="441" t="s">
        <v>477</v>
      </c>
      <c r="F204" s="16">
        <v>5</v>
      </c>
      <c r="G204" s="16">
        <f ca="1" t="shared" si="34"/>
        <v>1000</v>
      </c>
      <c r="H204" s="16">
        <v>1000</v>
      </c>
      <c r="I204" s="16">
        <f>6*F204</f>
        <v>30</v>
      </c>
      <c r="J204" s="16">
        <v>1800</v>
      </c>
      <c r="L204" s="46" cm="1">
        <f t="array" ref="L204">I204/SUMPRODUCT(J204:K204,J$89:K$89)</f>
        <v>0.333333333333333</v>
      </c>
      <c r="M204" s="16" t="str">
        <f t="shared" si="32"/>
        <v>[{12104001,5}]</v>
      </c>
      <c r="N204" s="16" t="str">
        <f t="shared" si="33"/>
        <v>[{2,1800}]</v>
      </c>
      <c r="O204" s="446"/>
    </row>
    <row r="205" ht="16.5" spans="3:15">
      <c r="C205" s="16">
        <v>8001</v>
      </c>
      <c r="D205" s="16">
        <v>12301001</v>
      </c>
      <c r="E205" s="441" t="s">
        <v>480</v>
      </c>
      <c r="F205" s="16">
        <v>5</v>
      </c>
      <c r="G205" s="16">
        <f ca="1" t="shared" si="34"/>
        <v>1000</v>
      </c>
      <c r="H205" s="16">
        <v>1000</v>
      </c>
      <c r="I205" s="16">
        <f>6*F205</f>
        <v>30</v>
      </c>
      <c r="J205" s="16">
        <v>1800</v>
      </c>
      <c r="L205" s="46" cm="1">
        <f t="array" ref="L205">I205/SUMPRODUCT(J205:K205,J$89:K$89)</f>
        <v>0.333333333333333</v>
      </c>
      <c r="M205" s="16" t="str">
        <f t="shared" si="32"/>
        <v>[{12301001,5}]</v>
      </c>
      <c r="N205" s="16" t="str">
        <f t="shared" si="33"/>
        <v>[{2,1800}]</v>
      </c>
      <c r="O205" s="446"/>
    </row>
    <row r="206" ht="16.5" spans="3:15">
      <c r="C206" s="16">
        <v>8001</v>
      </c>
      <c r="D206" s="16">
        <v>14202001</v>
      </c>
      <c r="E206" s="441" t="s">
        <v>928</v>
      </c>
      <c r="F206" s="16">
        <v>5</v>
      </c>
      <c r="G206" s="16">
        <f ca="1" t="shared" si="34"/>
        <v>1000</v>
      </c>
      <c r="H206" s="16">
        <v>1000</v>
      </c>
      <c r="I206" s="16">
        <f t="shared" ref="I206:I211" si="35">12*F206</f>
        <v>60</v>
      </c>
      <c r="J206" s="16">
        <v>3200</v>
      </c>
      <c r="L206" s="46" cm="1">
        <f t="array" ref="L206">I206/SUMPRODUCT(J206:K206,J$89:K$89)</f>
        <v>0.375</v>
      </c>
      <c r="M206" s="16" t="str">
        <f t="shared" si="32"/>
        <v>[{14202001,5}]</v>
      </c>
      <c r="N206" s="16" t="str">
        <f t="shared" si="33"/>
        <v>[{2,3200}]</v>
      </c>
      <c r="O206" s="446"/>
    </row>
    <row r="207" ht="16.5" spans="3:15">
      <c r="C207" s="16">
        <v>8001</v>
      </c>
      <c r="D207" s="16">
        <v>13201001</v>
      </c>
      <c r="E207" s="441" t="s">
        <v>483</v>
      </c>
      <c r="F207" s="16">
        <v>5</v>
      </c>
      <c r="G207" s="16">
        <f ca="1" t="shared" si="34"/>
        <v>1000</v>
      </c>
      <c r="H207" s="16">
        <v>1000</v>
      </c>
      <c r="I207" s="16">
        <f t="shared" si="35"/>
        <v>60</v>
      </c>
      <c r="J207" s="16">
        <v>3200</v>
      </c>
      <c r="L207" s="46" cm="1">
        <f t="array" ref="L207">I207/SUMPRODUCT(J207:K207,J$89:K$89)</f>
        <v>0.375</v>
      </c>
      <c r="M207" s="16" t="str">
        <f t="shared" si="32"/>
        <v>[{13201001,5}]</v>
      </c>
      <c r="N207" s="16" t="str">
        <f t="shared" si="33"/>
        <v>[{2,3200}]</v>
      </c>
      <c r="O207" s="446"/>
    </row>
    <row r="208" ht="16.5" spans="3:15">
      <c r="C208" s="16">
        <v>8001</v>
      </c>
      <c r="D208" s="16">
        <v>12106001</v>
      </c>
      <c r="E208" s="441" t="s">
        <v>478</v>
      </c>
      <c r="F208" s="16">
        <v>5</v>
      </c>
      <c r="G208" s="16">
        <f ca="1" t="shared" si="34"/>
        <v>1000</v>
      </c>
      <c r="H208" s="16">
        <v>1000</v>
      </c>
      <c r="I208" s="16">
        <f t="shared" si="35"/>
        <v>60</v>
      </c>
      <c r="J208" s="16">
        <v>3200</v>
      </c>
      <c r="L208" s="46" cm="1">
        <f t="array" ref="L208">I208/SUMPRODUCT(J208:K208,J$89:K$89)</f>
        <v>0.375</v>
      </c>
      <c r="M208" s="16" t="str">
        <f t="shared" si="32"/>
        <v>[{12106001,5}]</v>
      </c>
      <c r="N208" s="16" t="str">
        <f t="shared" si="33"/>
        <v>[{2,3200}]</v>
      </c>
      <c r="O208" s="446" t="str">
        <f t="shared" ref="O204:O234" si="36">SUBSTITUTE("[{unit,1140200,1}]","1140200",INT(RIGHT(LEFT(M208,10),8)/10))</f>
        <v>[{unit,1210600,1}]</v>
      </c>
    </row>
    <row r="209" ht="16.5" spans="3:15">
      <c r="C209" s="16">
        <v>8001</v>
      </c>
      <c r="D209" s="16">
        <v>12304001</v>
      </c>
      <c r="E209" s="441" t="s">
        <v>481</v>
      </c>
      <c r="F209" s="16">
        <v>5</v>
      </c>
      <c r="G209" s="16">
        <f ca="1" t="shared" si="34"/>
        <v>1000</v>
      </c>
      <c r="H209" s="16">
        <v>1000</v>
      </c>
      <c r="I209" s="16">
        <f t="shared" si="35"/>
        <v>60</v>
      </c>
      <c r="J209" s="16">
        <v>3200</v>
      </c>
      <c r="L209" s="46" cm="1">
        <f t="array" ref="L209">I209/SUMPRODUCT(J209:K209,J$89:K$89)</f>
        <v>0.375</v>
      </c>
      <c r="M209" s="16" t="str">
        <f t="shared" si="32"/>
        <v>[{12304001,5}]</v>
      </c>
      <c r="N209" s="16" t="str">
        <f t="shared" si="33"/>
        <v>[{2,3200}]</v>
      </c>
      <c r="O209" s="446" t="str">
        <f t="shared" si="36"/>
        <v>[{unit,1230400,1}]</v>
      </c>
    </row>
    <row r="210" ht="16.5" spans="3:15">
      <c r="C210" s="16">
        <v>8001</v>
      </c>
      <c r="D210" s="16">
        <v>13103001</v>
      </c>
      <c r="E210" s="441" t="s">
        <v>482</v>
      </c>
      <c r="F210" s="16">
        <v>5</v>
      </c>
      <c r="G210" s="16">
        <f ca="1" t="shared" si="34"/>
        <v>1000</v>
      </c>
      <c r="H210" s="16">
        <v>1000</v>
      </c>
      <c r="I210" s="16">
        <f t="shared" si="35"/>
        <v>60</v>
      </c>
      <c r="J210" s="16">
        <v>3200</v>
      </c>
      <c r="L210" s="46" cm="1">
        <f t="array" ref="L210">I210/SUMPRODUCT(J210:K210,J$89:K$89)</f>
        <v>0.375</v>
      </c>
      <c r="M210" s="16" t="str">
        <f t="shared" si="32"/>
        <v>[{13103001,5}]</v>
      </c>
      <c r="N210" s="16" t="str">
        <f t="shared" si="33"/>
        <v>[{2,3200}]</v>
      </c>
      <c r="O210" s="446" t="str">
        <f t="shared" si="36"/>
        <v>[{unit,1310300,1}]</v>
      </c>
    </row>
    <row r="211" ht="16.5" spans="3:15">
      <c r="C211" s="16">
        <v>8001</v>
      </c>
      <c r="D211" s="16">
        <v>12107001</v>
      </c>
      <c r="E211" s="441" t="s">
        <v>479</v>
      </c>
      <c r="F211" s="16">
        <v>5</v>
      </c>
      <c r="G211" s="16">
        <f ca="1" t="shared" si="34"/>
        <v>1000</v>
      </c>
      <c r="H211" s="16">
        <v>1000</v>
      </c>
      <c r="I211" s="16">
        <f t="shared" si="35"/>
        <v>60</v>
      </c>
      <c r="J211" s="16">
        <v>3200</v>
      </c>
      <c r="L211" s="46" cm="1">
        <f t="array" ref="L211">I211/SUMPRODUCT(J211:K211,J$89:K$89)</f>
        <v>0.375</v>
      </c>
      <c r="M211" s="16" t="str">
        <f t="shared" si="32"/>
        <v>[{12107001,5}]</v>
      </c>
      <c r="N211" s="16" t="str">
        <f t="shared" si="33"/>
        <v>[{2,3200}]</v>
      </c>
      <c r="O211" s="446" t="str">
        <f t="shared" si="36"/>
        <v>[{unit,1210700,1}]</v>
      </c>
    </row>
    <row r="212" ht="16.5" spans="3:15">
      <c r="C212" s="16">
        <v>8001</v>
      </c>
      <c r="D212" s="16">
        <v>11301001</v>
      </c>
      <c r="E212" s="441" t="s">
        <v>929</v>
      </c>
      <c r="F212" s="16">
        <v>5</v>
      </c>
      <c r="G212" s="16">
        <f ca="1" t="shared" si="34"/>
        <v>1000</v>
      </c>
      <c r="H212" s="16">
        <v>1000</v>
      </c>
      <c r="I212" s="16">
        <f>24*F212</f>
        <v>120</v>
      </c>
      <c r="J212" s="16">
        <v>6000</v>
      </c>
      <c r="L212" s="46" cm="1">
        <f t="array" ref="L212">I212/SUMPRODUCT(J212:K212,J$89:K$89)</f>
        <v>0.4</v>
      </c>
      <c r="M212" s="16" t="str">
        <f t="shared" si="32"/>
        <v>[{11301001,5}]</v>
      </c>
      <c r="N212" s="16" t="str">
        <f t="shared" si="33"/>
        <v>[{2,6000}]</v>
      </c>
      <c r="O212" s="446" t="str">
        <f t="shared" si="36"/>
        <v>[{unit,1130100,1}]</v>
      </c>
    </row>
    <row r="213" ht="16.5" spans="3:15">
      <c r="C213" s="16">
        <v>8001</v>
      </c>
      <c r="D213" s="16">
        <v>15301001</v>
      </c>
      <c r="E213" s="441" t="s">
        <v>930</v>
      </c>
      <c r="F213" s="16">
        <v>5</v>
      </c>
      <c r="G213" s="16">
        <f ca="1" t="shared" si="34"/>
        <v>1000</v>
      </c>
      <c r="H213" s="16">
        <v>1000</v>
      </c>
      <c r="I213" s="16">
        <f t="shared" ref="I213:I218" si="37">24*F213</f>
        <v>120</v>
      </c>
      <c r="J213" s="16">
        <v>6000</v>
      </c>
      <c r="L213" s="46" cm="1">
        <f t="array" ref="L213">I213/SUMPRODUCT(J213:K213,J$89:K$89)</f>
        <v>0.4</v>
      </c>
      <c r="M213" s="16" t="str">
        <f t="shared" si="32"/>
        <v>[{15301001,5}]</v>
      </c>
      <c r="N213" s="16" t="str">
        <f t="shared" si="33"/>
        <v>[{2,6000}]</v>
      </c>
      <c r="O213" s="446" t="str">
        <f t="shared" si="36"/>
        <v>[{unit,1530100,1}]</v>
      </c>
    </row>
    <row r="214" ht="16.5" spans="3:15">
      <c r="C214" s="16">
        <v>8001</v>
      </c>
      <c r="D214" s="16">
        <v>12103001</v>
      </c>
      <c r="E214" s="441" t="s">
        <v>476</v>
      </c>
      <c r="F214" s="16">
        <v>5</v>
      </c>
      <c r="G214" s="16">
        <f ca="1" t="shared" si="34"/>
        <v>1000</v>
      </c>
      <c r="H214" s="16">
        <v>1000</v>
      </c>
      <c r="I214" s="16">
        <f t="shared" si="37"/>
        <v>120</v>
      </c>
      <c r="J214" s="16">
        <v>6000</v>
      </c>
      <c r="L214" s="46" cm="1">
        <f t="array" ref="L214">I214/SUMPRODUCT(J214:K214,J$89:K$89)</f>
        <v>0.4</v>
      </c>
      <c r="M214" s="16" t="str">
        <f t="shared" si="32"/>
        <v>[{12103001,5}]</v>
      </c>
      <c r="N214" s="16" t="str">
        <f t="shared" si="33"/>
        <v>[{2,6000}]</v>
      </c>
      <c r="O214" s="446" t="str">
        <f t="shared" si="36"/>
        <v>[{unit,1210300,1}]</v>
      </c>
    </row>
    <row r="215" ht="16.5" spans="3:15">
      <c r="C215" s="16">
        <v>8001</v>
      </c>
      <c r="D215" s="16">
        <v>14307001</v>
      </c>
      <c r="E215" s="441" t="s">
        <v>484</v>
      </c>
      <c r="F215" s="16">
        <v>5</v>
      </c>
      <c r="G215" s="16">
        <f ca="1" t="shared" si="34"/>
        <v>1000</v>
      </c>
      <c r="H215" s="16">
        <v>1000</v>
      </c>
      <c r="I215" s="16">
        <f t="shared" si="37"/>
        <v>120</v>
      </c>
      <c r="J215" s="16">
        <v>6000</v>
      </c>
      <c r="L215" s="46" cm="1">
        <f t="array" ref="L215">I215/SUMPRODUCT(J215:K215,J$89:K$89)</f>
        <v>0.4</v>
      </c>
      <c r="M215" s="16" t="str">
        <f t="shared" si="32"/>
        <v>[{14307001,5}]</v>
      </c>
      <c r="N215" s="16" t="str">
        <f t="shared" si="33"/>
        <v>[{2,6000}]</v>
      </c>
      <c r="O215" s="446" t="str">
        <f t="shared" si="36"/>
        <v>[{unit,1430700,1}]</v>
      </c>
    </row>
    <row r="216" ht="16.5" spans="3:15">
      <c r="C216" s="16">
        <v>8001</v>
      </c>
      <c r="D216" s="16">
        <v>11401001</v>
      </c>
      <c r="E216" s="441" t="s">
        <v>474</v>
      </c>
      <c r="F216" s="16">
        <v>5</v>
      </c>
      <c r="G216" s="16">
        <f ca="1" t="shared" si="34"/>
        <v>1000</v>
      </c>
      <c r="H216" s="16">
        <v>1000</v>
      </c>
      <c r="I216" s="16">
        <f t="shared" si="37"/>
        <v>120</v>
      </c>
      <c r="J216" s="16">
        <v>6000</v>
      </c>
      <c r="L216" s="46" cm="1">
        <f t="array" ref="L216">I216/SUMPRODUCT(J216:K216,J$89:K$89)</f>
        <v>0.4</v>
      </c>
      <c r="M216" s="16" t="str">
        <f t="shared" si="32"/>
        <v>[{11401001,5}]</v>
      </c>
      <c r="N216" s="16" t="str">
        <f t="shared" si="33"/>
        <v>[{2,6000}]</v>
      </c>
      <c r="O216" s="446" t="str">
        <f t="shared" si="36"/>
        <v>[{unit,1140100,1}]</v>
      </c>
    </row>
    <row r="217" ht="16.5" spans="3:15">
      <c r="C217" s="16">
        <v>8001</v>
      </c>
      <c r="D217" s="16">
        <v>11402001</v>
      </c>
      <c r="E217" s="441" t="s">
        <v>475</v>
      </c>
      <c r="F217" s="16">
        <v>5</v>
      </c>
      <c r="G217" s="16">
        <f ca="1" t="shared" si="34"/>
        <v>1000</v>
      </c>
      <c r="H217" s="16">
        <v>1000</v>
      </c>
      <c r="I217" s="16">
        <f t="shared" si="37"/>
        <v>120</v>
      </c>
      <c r="J217" s="16">
        <v>6000</v>
      </c>
      <c r="L217" s="46" cm="1">
        <f t="array" ref="L217">I217/SUMPRODUCT(J217:K217,J$89:K$89)</f>
        <v>0.4</v>
      </c>
      <c r="M217" s="16" t="str">
        <f t="shared" si="32"/>
        <v>[{11402001,5}]</v>
      </c>
      <c r="N217" s="16" t="str">
        <f t="shared" si="33"/>
        <v>[{2,6000}]</v>
      </c>
      <c r="O217" s="446" t="str">
        <f t="shared" si="36"/>
        <v>[{unit,1140200,1}]</v>
      </c>
    </row>
    <row r="218" ht="16.5" spans="3:15">
      <c r="C218" s="16">
        <v>8001</v>
      </c>
      <c r="D218" s="16">
        <v>11101001</v>
      </c>
      <c r="E218" s="441" t="s">
        <v>472</v>
      </c>
      <c r="F218" s="16">
        <v>5</v>
      </c>
      <c r="G218" s="16">
        <f ca="1" t="shared" ref="G218:G234" si="38">H218*2*_xlfn.XLOOKUP(C218,$C$30:$C$85,$G$30:$G$85)</f>
        <v>1000</v>
      </c>
      <c r="H218" s="16">
        <v>1000</v>
      </c>
      <c r="I218" s="16">
        <f t="shared" si="37"/>
        <v>120</v>
      </c>
      <c r="J218" s="16">
        <v>6000</v>
      </c>
      <c r="L218" s="46" cm="1">
        <f t="array" ref="L218">I218/SUMPRODUCT(J218:K218,J$89:K$89)</f>
        <v>0.4</v>
      </c>
      <c r="M218" s="16" t="str">
        <f t="shared" si="32"/>
        <v>[{11101001,5}]</v>
      </c>
      <c r="N218" s="16" t="str">
        <f t="shared" si="33"/>
        <v>[{2,6000}]</v>
      </c>
      <c r="O218" s="446" t="str">
        <f t="shared" si="36"/>
        <v>[{unit,1110100,1}]</v>
      </c>
    </row>
    <row r="219" ht="16.5" spans="3:15">
      <c r="C219" s="16">
        <v>8001</v>
      </c>
      <c r="D219" s="16">
        <v>13101001</v>
      </c>
      <c r="E219" s="441" t="s">
        <v>927</v>
      </c>
      <c r="F219" s="16">
        <v>5</v>
      </c>
      <c r="G219" s="16">
        <f ca="1" t="shared" si="38"/>
        <v>1000</v>
      </c>
      <c r="H219" s="16">
        <v>1000</v>
      </c>
      <c r="I219" s="16">
        <f>I203</f>
        <v>30</v>
      </c>
      <c r="K219" s="16">
        <v>50</v>
      </c>
      <c r="L219" s="46" cm="1">
        <f t="array" ref="L219">I219/SUMPRODUCT(J219:K219,J$89:K$89)</f>
        <v>0.6</v>
      </c>
      <c r="M219" s="16" t="str">
        <f t="shared" si="32"/>
        <v>[{13101001,5}]</v>
      </c>
      <c r="N219" s="16" t="str">
        <f t="shared" si="33"/>
        <v>[{1,50}]</v>
      </c>
      <c r="O219" s="446"/>
    </row>
    <row r="220" ht="16.5" spans="3:15">
      <c r="C220" s="16">
        <v>8001</v>
      </c>
      <c r="D220" s="16">
        <v>12104001</v>
      </c>
      <c r="E220" s="441" t="s">
        <v>477</v>
      </c>
      <c r="F220" s="16">
        <v>5</v>
      </c>
      <c r="G220" s="16">
        <f ca="1" t="shared" si="38"/>
        <v>1000</v>
      </c>
      <c r="H220" s="16">
        <v>1000</v>
      </c>
      <c r="I220" s="16">
        <f t="shared" ref="I220:I234" si="39">I204</f>
        <v>30</v>
      </c>
      <c r="K220" s="16">
        <v>50</v>
      </c>
      <c r="L220" s="46" cm="1">
        <f t="array" ref="L220">I220/SUMPRODUCT(J220:K220,J$89:K$89)</f>
        <v>0.6</v>
      </c>
      <c r="M220" s="16" t="str">
        <f t="shared" si="32"/>
        <v>[{12104001,5}]</v>
      </c>
      <c r="N220" s="16" t="str">
        <f t="shared" si="33"/>
        <v>[{1,50}]</v>
      </c>
      <c r="O220" s="446"/>
    </row>
    <row r="221" ht="16.5" spans="3:15">
      <c r="C221" s="16">
        <v>8001</v>
      </c>
      <c r="D221" s="16">
        <v>12301001</v>
      </c>
      <c r="E221" s="441" t="s">
        <v>480</v>
      </c>
      <c r="F221" s="16">
        <v>5</v>
      </c>
      <c r="G221" s="16">
        <f ca="1" t="shared" si="38"/>
        <v>1000</v>
      </c>
      <c r="H221" s="16">
        <v>1000</v>
      </c>
      <c r="I221" s="16">
        <f t="shared" si="39"/>
        <v>30</v>
      </c>
      <c r="K221" s="16">
        <v>50</v>
      </c>
      <c r="L221" s="46" cm="1">
        <f t="array" ref="L221">I221/SUMPRODUCT(J221:K221,J$89:K$89)</f>
        <v>0.6</v>
      </c>
      <c r="M221" s="16" t="str">
        <f t="shared" si="32"/>
        <v>[{12301001,5}]</v>
      </c>
      <c r="N221" s="16" t="str">
        <f t="shared" si="33"/>
        <v>[{1,50}]</v>
      </c>
      <c r="O221" s="446"/>
    </row>
    <row r="222" ht="16.5" spans="3:15">
      <c r="C222" s="16">
        <v>8001</v>
      </c>
      <c r="D222" s="16">
        <v>14202001</v>
      </c>
      <c r="E222" s="441" t="s">
        <v>928</v>
      </c>
      <c r="F222" s="16">
        <v>5</v>
      </c>
      <c r="G222" s="16">
        <f ca="1" t="shared" si="38"/>
        <v>1000</v>
      </c>
      <c r="H222" s="16">
        <v>1000</v>
      </c>
      <c r="I222" s="16">
        <f t="shared" si="39"/>
        <v>60</v>
      </c>
      <c r="K222" s="16">
        <v>80</v>
      </c>
      <c r="L222" s="46" cm="1">
        <f t="array" ref="L222">I222/SUMPRODUCT(J222:K222,J$89:K$89)</f>
        <v>0.75</v>
      </c>
      <c r="M222" s="16" t="str">
        <f t="shared" si="32"/>
        <v>[{14202001,5}]</v>
      </c>
      <c r="N222" s="16" t="str">
        <f t="shared" si="33"/>
        <v>[{1,80}]</v>
      </c>
      <c r="O222" s="446"/>
    </row>
    <row r="223" ht="16.5" spans="3:15">
      <c r="C223" s="16">
        <v>8001</v>
      </c>
      <c r="D223" s="16">
        <v>13201001</v>
      </c>
      <c r="E223" s="441" t="s">
        <v>483</v>
      </c>
      <c r="F223" s="16">
        <v>5</v>
      </c>
      <c r="G223" s="16">
        <f ca="1" t="shared" si="38"/>
        <v>1000</v>
      </c>
      <c r="H223" s="16">
        <v>1000</v>
      </c>
      <c r="I223" s="16">
        <f t="shared" si="39"/>
        <v>60</v>
      </c>
      <c r="K223" s="16">
        <v>80</v>
      </c>
      <c r="L223" s="46" cm="1">
        <f t="array" ref="L223">I223/SUMPRODUCT(J223:K223,J$89:K$89)</f>
        <v>0.75</v>
      </c>
      <c r="M223" s="16" t="str">
        <f t="shared" si="32"/>
        <v>[{13201001,5}]</v>
      </c>
      <c r="N223" s="16" t="str">
        <f t="shared" si="33"/>
        <v>[{1,80}]</v>
      </c>
      <c r="O223" s="446"/>
    </row>
    <row r="224" ht="16.5" spans="3:15">
      <c r="C224" s="16">
        <v>8001</v>
      </c>
      <c r="D224" s="16">
        <v>12106001</v>
      </c>
      <c r="E224" s="441" t="s">
        <v>478</v>
      </c>
      <c r="F224" s="16">
        <v>5</v>
      </c>
      <c r="G224" s="16">
        <f ca="1" t="shared" si="38"/>
        <v>1000</v>
      </c>
      <c r="H224" s="16">
        <v>1000</v>
      </c>
      <c r="I224" s="16">
        <f t="shared" si="39"/>
        <v>60</v>
      </c>
      <c r="K224" s="16">
        <v>80</v>
      </c>
      <c r="L224" s="46" cm="1">
        <f t="array" ref="L224">I224/SUMPRODUCT(J224:K224,J$89:K$89)</f>
        <v>0.75</v>
      </c>
      <c r="M224" s="16" t="str">
        <f t="shared" si="32"/>
        <v>[{12106001,5}]</v>
      </c>
      <c r="N224" s="16" t="str">
        <f t="shared" si="33"/>
        <v>[{1,80}]</v>
      </c>
      <c r="O224" s="446" t="str">
        <f t="shared" si="36"/>
        <v>[{unit,1210600,1}]</v>
      </c>
    </row>
    <row r="225" ht="16.5" spans="3:15">
      <c r="C225" s="16">
        <v>8001</v>
      </c>
      <c r="D225" s="16">
        <v>12304001</v>
      </c>
      <c r="E225" s="441" t="s">
        <v>481</v>
      </c>
      <c r="F225" s="16">
        <v>5</v>
      </c>
      <c r="G225" s="16">
        <f ca="1" t="shared" si="38"/>
        <v>1000</v>
      </c>
      <c r="H225" s="16">
        <v>1000</v>
      </c>
      <c r="I225" s="16">
        <f t="shared" si="39"/>
        <v>60</v>
      </c>
      <c r="K225" s="16">
        <v>80</v>
      </c>
      <c r="L225" s="46" cm="1">
        <f t="array" ref="L225">I225/SUMPRODUCT(J225:K225,J$89:K$89)</f>
        <v>0.75</v>
      </c>
      <c r="M225" s="16" t="str">
        <f t="shared" si="32"/>
        <v>[{12304001,5}]</v>
      </c>
      <c r="N225" s="16" t="str">
        <f t="shared" si="33"/>
        <v>[{1,80}]</v>
      </c>
      <c r="O225" s="446" t="str">
        <f t="shared" si="36"/>
        <v>[{unit,1230400,1}]</v>
      </c>
    </row>
    <row r="226" ht="16.5" spans="3:15">
      <c r="C226" s="16">
        <v>8001</v>
      </c>
      <c r="D226" s="16">
        <v>13103001</v>
      </c>
      <c r="E226" s="441" t="s">
        <v>482</v>
      </c>
      <c r="F226" s="16">
        <v>5</v>
      </c>
      <c r="G226" s="16">
        <f ca="1" t="shared" si="38"/>
        <v>1000</v>
      </c>
      <c r="H226" s="16">
        <v>1000</v>
      </c>
      <c r="I226" s="16">
        <f t="shared" si="39"/>
        <v>60</v>
      </c>
      <c r="K226" s="16">
        <v>80</v>
      </c>
      <c r="L226" s="46" cm="1">
        <f t="array" ref="L226">I226/SUMPRODUCT(J226:K226,J$89:K$89)</f>
        <v>0.75</v>
      </c>
      <c r="M226" s="16" t="str">
        <f t="shared" si="32"/>
        <v>[{13103001,5}]</v>
      </c>
      <c r="N226" s="16" t="str">
        <f t="shared" si="33"/>
        <v>[{1,80}]</v>
      </c>
      <c r="O226" s="446" t="str">
        <f t="shared" si="36"/>
        <v>[{unit,1310300,1}]</v>
      </c>
    </row>
    <row r="227" ht="16.5" spans="3:15">
      <c r="C227" s="16">
        <v>8001</v>
      </c>
      <c r="D227" s="16">
        <v>12107001</v>
      </c>
      <c r="E227" s="441" t="s">
        <v>479</v>
      </c>
      <c r="F227" s="16">
        <v>5</v>
      </c>
      <c r="G227" s="16">
        <f ca="1" t="shared" si="38"/>
        <v>1000</v>
      </c>
      <c r="H227" s="16">
        <v>1000</v>
      </c>
      <c r="I227" s="16">
        <f t="shared" si="39"/>
        <v>60</v>
      </c>
      <c r="K227" s="16">
        <v>80</v>
      </c>
      <c r="L227" s="46" cm="1">
        <f t="array" ref="L227">I227/SUMPRODUCT(J227:K227,J$89:K$89)</f>
        <v>0.75</v>
      </c>
      <c r="M227" s="16" t="str">
        <f t="shared" si="32"/>
        <v>[{12107001,5}]</v>
      </c>
      <c r="N227" s="16" t="str">
        <f t="shared" si="33"/>
        <v>[{1,80}]</v>
      </c>
      <c r="O227" s="446" t="str">
        <f t="shared" si="36"/>
        <v>[{unit,1210700,1}]</v>
      </c>
    </row>
    <row r="228" ht="16.5" spans="3:15">
      <c r="C228" s="16">
        <v>8001</v>
      </c>
      <c r="D228" s="16">
        <v>11301001</v>
      </c>
      <c r="E228" s="441" t="s">
        <v>929</v>
      </c>
      <c r="F228" s="16">
        <v>5</v>
      </c>
      <c r="G228" s="16">
        <f ca="1" t="shared" si="38"/>
        <v>1000</v>
      </c>
      <c r="H228" s="16">
        <v>1000</v>
      </c>
      <c r="I228" s="16">
        <f t="shared" si="39"/>
        <v>120</v>
      </c>
      <c r="K228" s="16">
        <v>150</v>
      </c>
      <c r="L228" s="46" cm="1">
        <f t="array" ref="L228">I228/SUMPRODUCT(J228:K228,J$89:K$89)</f>
        <v>0.8</v>
      </c>
      <c r="M228" s="16" t="str">
        <f t="shared" si="32"/>
        <v>[{11301001,5}]</v>
      </c>
      <c r="N228" s="16" t="str">
        <f t="shared" si="33"/>
        <v>[{1,150}]</v>
      </c>
      <c r="O228" s="446" t="str">
        <f t="shared" si="36"/>
        <v>[{unit,1130100,1}]</v>
      </c>
    </row>
    <row r="229" ht="16.5" spans="3:15">
      <c r="C229" s="16">
        <v>8001</v>
      </c>
      <c r="D229" s="16">
        <v>15301001</v>
      </c>
      <c r="E229" s="441" t="s">
        <v>930</v>
      </c>
      <c r="F229" s="16">
        <v>5</v>
      </c>
      <c r="G229" s="16">
        <f ca="1" t="shared" si="38"/>
        <v>1000</v>
      </c>
      <c r="H229" s="16">
        <v>1000</v>
      </c>
      <c r="I229" s="16">
        <f t="shared" si="39"/>
        <v>120</v>
      </c>
      <c r="K229" s="16">
        <v>150</v>
      </c>
      <c r="L229" s="46" cm="1">
        <f t="array" ref="L229">I229/SUMPRODUCT(J229:K229,J$89:K$89)</f>
        <v>0.8</v>
      </c>
      <c r="M229" s="16" t="str">
        <f t="shared" si="32"/>
        <v>[{15301001,5}]</v>
      </c>
      <c r="N229" s="16" t="str">
        <f t="shared" si="33"/>
        <v>[{1,150}]</v>
      </c>
      <c r="O229" s="446" t="str">
        <f t="shared" si="36"/>
        <v>[{unit,1530100,1}]</v>
      </c>
    </row>
    <row r="230" ht="16.5" spans="3:15">
      <c r="C230" s="16">
        <v>8001</v>
      </c>
      <c r="D230" s="16">
        <v>12103001</v>
      </c>
      <c r="E230" s="441" t="s">
        <v>476</v>
      </c>
      <c r="F230" s="16">
        <v>5</v>
      </c>
      <c r="G230" s="16">
        <f ca="1" t="shared" si="38"/>
        <v>1000</v>
      </c>
      <c r="H230" s="16">
        <v>1000</v>
      </c>
      <c r="I230" s="16">
        <f t="shared" si="39"/>
        <v>120</v>
      </c>
      <c r="K230" s="16">
        <v>150</v>
      </c>
      <c r="L230" s="46" cm="1">
        <f t="array" ref="L230">I230/SUMPRODUCT(J230:K230,J$89:K$89)</f>
        <v>0.8</v>
      </c>
      <c r="M230" s="16" t="str">
        <f t="shared" si="32"/>
        <v>[{12103001,5}]</v>
      </c>
      <c r="N230" s="16" t="str">
        <f t="shared" si="33"/>
        <v>[{1,150}]</v>
      </c>
      <c r="O230" s="446" t="str">
        <f t="shared" si="36"/>
        <v>[{unit,1210300,1}]</v>
      </c>
    </row>
    <row r="231" ht="16.5" spans="3:15">
      <c r="C231" s="16">
        <v>8001</v>
      </c>
      <c r="D231" s="16">
        <v>14307001</v>
      </c>
      <c r="E231" s="441" t="s">
        <v>484</v>
      </c>
      <c r="F231" s="16">
        <v>5</v>
      </c>
      <c r="G231" s="16">
        <f ca="1" t="shared" si="38"/>
        <v>1000</v>
      </c>
      <c r="H231" s="16">
        <v>1000</v>
      </c>
      <c r="I231" s="16">
        <f t="shared" si="39"/>
        <v>120</v>
      </c>
      <c r="K231" s="16">
        <v>150</v>
      </c>
      <c r="L231" s="46" cm="1">
        <f t="array" ref="L231">I231/SUMPRODUCT(J231:K231,J$89:K$89)</f>
        <v>0.8</v>
      </c>
      <c r="M231" s="16" t="str">
        <f t="shared" si="32"/>
        <v>[{14307001,5}]</v>
      </c>
      <c r="N231" s="16" t="str">
        <f t="shared" si="33"/>
        <v>[{1,150}]</v>
      </c>
      <c r="O231" s="446" t="str">
        <f t="shared" si="36"/>
        <v>[{unit,1430700,1}]</v>
      </c>
    </row>
    <row r="232" ht="16.5" spans="3:15">
      <c r="C232" s="16">
        <v>8001</v>
      </c>
      <c r="D232" s="16">
        <v>11401001</v>
      </c>
      <c r="E232" s="441" t="s">
        <v>474</v>
      </c>
      <c r="F232" s="16">
        <v>5</v>
      </c>
      <c r="G232" s="16">
        <f ca="1" t="shared" si="38"/>
        <v>1000</v>
      </c>
      <c r="H232" s="16">
        <v>1000</v>
      </c>
      <c r="I232" s="16">
        <f t="shared" si="39"/>
        <v>120</v>
      </c>
      <c r="K232" s="16">
        <v>150</v>
      </c>
      <c r="L232" s="46" cm="1">
        <f t="array" ref="L232">I232/SUMPRODUCT(J232:K232,J$89:K$89)</f>
        <v>0.8</v>
      </c>
      <c r="M232" s="16" t="str">
        <f t="shared" si="32"/>
        <v>[{11401001,5}]</v>
      </c>
      <c r="N232" s="16" t="str">
        <f t="shared" si="33"/>
        <v>[{1,150}]</v>
      </c>
      <c r="O232" s="446" t="str">
        <f t="shared" si="36"/>
        <v>[{unit,1140100,1}]</v>
      </c>
    </row>
    <row r="233" ht="16.5" spans="3:15">
      <c r="C233" s="16">
        <v>8001</v>
      </c>
      <c r="D233" s="16">
        <v>11402001</v>
      </c>
      <c r="E233" s="441" t="s">
        <v>475</v>
      </c>
      <c r="F233" s="16">
        <v>5</v>
      </c>
      <c r="G233" s="16">
        <f ca="1" t="shared" si="38"/>
        <v>1000</v>
      </c>
      <c r="H233" s="16">
        <v>1000</v>
      </c>
      <c r="I233" s="16">
        <f t="shared" si="39"/>
        <v>120</v>
      </c>
      <c r="K233" s="16">
        <v>150</v>
      </c>
      <c r="L233" s="46" cm="1">
        <f t="array" ref="L233">I233/SUMPRODUCT(J233:K233,J$89:K$89)</f>
        <v>0.8</v>
      </c>
      <c r="M233" s="16" t="str">
        <f t="shared" si="32"/>
        <v>[{11402001,5}]</v>
      </c>
      <c r="N233" s="16" t="str">
        <f t="shared" si="33"/>
        <v>[{1,150}]</v>
      </c>
      <c r="O233" s="446" t="str">
        <f t="shared" si="36"/>
        <v>[{unit,1140200,1}]</v>
      </c>
    </row>
    <row r="234" ht="16.5" spans="3:15">
      <c r="C234" s="16">
        <v>8001</v>
      </c>
      <c r="D234" s="16">
        <v>11101001</v>
      </c>
      <c r="E234" s="441" t="s">
        <v>472</v>
      </c>
      <c r="F234" s="16">
        <v>5</v>
      </c>
      <c r="G234" s="16">
        <f ca="1" t="shared" si="38"/>
        <v>1000</v>
      </c>
      <c r="H234" s="16">
        <v>1000</v>
      </c>
      <c r="I234" s="16">
        <f t="shared" si="39"/>
        <v>120</v>
      </c>
      <c r="K234" s="16">
        <v>150</v>
      </c>
      <c r="L234" s="46" cm="1">
        <f t="array" ref="L234">I234/SUMPRODUCT(J234:K234,J$89:K$89)</f>
        <v>0.8</v>
      </c>
      <c r="M234" s="16" t="str">
        <f t="shared" si="32"/>
        <v>[{11101001,5}]</v>
      </c>
      <c r="N234" s="16" t="str">
        <f t="shared" si="33"/>
        <v>[{1,150}]</v>
      </c>
      <c r="O234" s="446" t="str">
        <f t="shared" si="36"/>
        <v>[{unit,1110100,1}]</v>
      </c>
    </row>
  </sheetData>
  <dataValidations count="2">
    <dataValidation type="textLength" operator="between" allowBlank="1" showInputMessage="1" showErrorMessage="1" errorTitle="输入有误" error="数值只能为(0 ~ 9999999999)" sqref="B29 F29:G29">
      <formula1>0</formula1>
      <formula2>9999999999</formula2>
    </dataValidation>
    <dataValidation allowBlank="1" showInputMessage="1" showErrorMessage="1" errorTitle="输入有误" error="数值只能为(0 ~ 9999999999)" sqref="C29:E29"/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>
    <tabColor theme="5"/>
  </sheetPr>
  <dimension ref="C2:Z46"/>
  <sheetViews>
    <sheetView showGridLines="0" topLeftCell="A5" workbookViewId="0">
      <selection activeCell="P23" sqref="P23"/>
    </sheetView>
  </sheetViews>
  <sheetFormatPr defaultColWidth="9" defaultRowHeight="16.5"/>
  <cols>
    <col min="1" max="4" width="9" style="4"/>
    <col min="5" max="5" width="12.875" style="4" customWidth="1"/>
    <col min="6" max="7" width="9" style="4"/>
    <col min="8" max="8" width="12.15" style="4" customWidth="1"/>
    <col min="9" max="10" width="9" style="4"/>
    <col min="11" max="11" width="12" style="4" customWidth="1"/>
    <col min="12" max="13" width="9" style="4"/>
    <col min="14" max="14" width="15" style="4" customWidth="1"/>
    <col min="15" max="15" width="9" style="4"/>
    <col min="16" max="16" width="17.25" style="4" customWidth="1"/>
    <col min="17" max="21" width="9" style="4"/>
    <col min="22" max="22" width="9.25" style="4"/>
    <col min="23" max="16384" width="9" style="4"/>
  </cols>
  <sheetData>
    <row r="2" spans="3:14">
      <c r="C2" s="4" t="s">
        <v>931</v>
      </c>
      <c r="D2" s="4" t="s">
        <v>932</v>
      </c>
      <c r="E2" s="4" t="s">
        <v>933</v>
      </c>
      <c r="F2" s="4" t="s">
        <v>919</v>
      </c>
      <c r="G2" s="4" t="s">
        <v>922</v>
      </c>
      <c r="H2" s="4" t="s">
        <v>934</v>
      </c>
      <c r="I2" s="4" t="s">
        <v>935</v>
      </c>
      <c r="J2" s="4" t="s">
        <v>923</v>
      </c>
    </row>
    <row r="3" spans="3:14">
      <c r="C3" s="4">
        <v>6</v>
      </c>
      <c r="D3" s="4" t="s">
        <v>554</v>
      </c>
      <c r="E3" s="4" t="s">
        <v>936</v>
      </c>
      <c r="J3" s="470">
        <f>SUM(H3:H14)/I4</f>
        <v>124.4</v>
      </c>
      <c r="K3" s="470"/>
    </row>
    <row r="4" spans="3:14">
      <c r="E4" s="4" t="s">
        <v>325</v>
      </c>
      <c r="F4" s="4">
        <v>1</v>
      </c>
      <c r="G4" s="4">
        <f>_xlfn.XLOOKUP(E4,价值表!C:C,价值表!F:F)*F4</f>
        <v>4000</v>
      </c>
      <c r="H4" s="4">
        <f>SUM(G4:G6)</f>
        <v>5324</v>
      </c>
      <c r="I4" s="4">
        <v>60</v>
      </c>
      <c r="J4" s="519">
        <f>H4/I4</f>
        <v>88.7333333333333</v>
      </c>
      <c r="K4" s="470"/>
    </row>
    <row r="5" spans="3:14">
      <c r="E5" s="4" t="s">
        <v>213</v>
      </c>
      <c r="F5" s="4">
        <v>10</v>
      </c>
      <c r="G5" s="4">
        <f>_xlfn.XLOOKUP(E5,价值表!C:C,价值表!F:F)*F5</f>
        <v>300</v>
      </c>
      <c r="J5" s="470"/>
      <c r="K5" s="470"/>
    </row>
    <row r="6" spans="3:14">
      <c r="E6" s="4" t="s">
        <v>274</v>
      </c>
      <c r="F6" s="4">
        <v>1</v>
      </c>
      <c r="G6" s="4">
        <f>_xlfn.XLOOKUP(E6,价值表!C:C,价值表!F:F)*F6</f>
        <v>1024</v>
      </c>
      <c r="J6" s="470"/>
      <c r="K6" s="470"/>
    </row>
    <row r="7" spans="3:14">
      <c r="E7" s="4" t="s">
        <v>937</v>
      </c>
      <c r="F7" s="4">
        <v>1</v>
      </c>
      <c r="G7" s="4">
        <v>0</v>
      </c>
      <c r="J7" s="470"/>
      <c r="K7" s="470"/>
    </row>
    <row r="8" spans="3:14">
      <c r="J8" s="470"/>
      <c r="K8" s="470"/>
    </row>
    <row r="9" spans="3:14">
      <c r="E9" s="4" t="s">
        <v>213</v>
      </c>
      <c r="F9" s="4">
        <v>20</v>
      </c>
      <c r="G9" s="4">
        <f>_xlfn.XLOOKUP(E9,价值表!C:C,价值表!F:F)*F9</f>
        <v>600</v>
      </c>
      <c r="H9" s="4">
        <f>SUM(G9:G11)</f>
        <v>1100</v>
      </c>
      <c r="I9" s="4">
        <v>60</v>
      </c>
      <c r="J9" s="519">
        <f>H9/I9</f>
        <v>18.3333333333333</v>
      </c>
      <c r="K9" s="470"/>
    </row>
    <row r="10" spans="3:14">
      <c r="E10" s="4" t="s">
        <v>209</v>
      </c>
      <c r="F10" s="4">
        <v>500</v>
      </c>
      <c r="G10" s="4">
        <f>_xlfn.XLOOKUP(E10,价值表!C:C,价值表!F:F)*F10</f>
        <v>500</v>
      </c>
      <c r="J10" s="470"/>
      <c r="K10" s="470"/>
    </row>
    <row r="11" spans="3:14">
      <c r="J11" s="470"/>
      <c r="K11" s="470"/>
    </row>
    <row r="12" spans="3:14">
      <c r="E12" s="4" t="s">
        <v>226</v>
      </c>
      <c r="F12" s="4">
        <v>1</v>
      </c>
      <c r="G12" s="4">
        <f>_xlfn.XLOOKUP(E12,价值表!C:C,价值表!F:F)*F12</f>
        <v>240</v>
      </c>
      <c r="H12" s="4">
        <f>SUM(G12:G14)</f>
        <v>1040</v>
      </c>
      <c r="I12" s="4">
        <v>60</v>
      </c>
      <c r="J12" s="519">
        <f>H12/I12</f>
        <v>17.3333333333333</v>
      </c>
      <c r="K12" s="470"/>
    </row>
    <row r="13" spans="3:14">
      <c r="E13" s="4" t="s">
        <v>209</v>
      </c>
      <c r="F13" s="4">
        <v>800</v>
      </c>
      <c r="G13" s="4">
        <f>_xlfn.XLOOKUP(E13,价值表!C:C,价值表!F:F)*F13</f>
        <v>800</v>
      </c>
      <c r="J13" s="470"/>
      <c r="K13" s="470"/>
    </row>
    <row r="14" spans="3:14">
      <c r="J14" s="470"/>
      <c r="K14" s="470"/>
    </row>
    <row r="15" spans="3:14">
      <c r="J15" s="470"/>
      <c r="K15" s="470"/>
    </row>
    <row r="16" spans="3:14">
      <c r="C16" s="4" t="s">
        <v>938</v>
      </c>
      <c r="D16" s="4" t="s">
        <v>939</v>
      </c>
      <c r="E16" s="4" t="s">
        <v>933</v>
      </c>
      <c r="F16" s="4" t="s">
        <v>919</v>
      </c>
      <c r="G16" s="4" t="s">
        <v>922</v>
      </c>
      <c r="H16" s="4" t="s">
        <v>934</v>
      </c>
      <c r="I16" s="4" t="s">
        <v>935</v>
      </c>
      <c r="J16" s="4" t="s">
        <v>923</v>
      </c>
      <c r="K16" s="520"/>
      <c r="L16" s="521"/>
      <c r="M16" s="521"/>
      <c r="N16" s="521"/>
    </row>
    <row r="17" spans="3:26">
      <c r="C17" s="4">
        <v>30</v>
      </c>
      <c r="D17" s="4" t="s">
        <v>939</v>
      </c>
      <c r="E17" s="4" t="s">
        <v>936</v>
      </c>
      <c r="J17" s="470">
        <f>SUM(H17:H28)/I18</f>
        <v>11.3866666666667</v>
      </c>
      <c r="K17" s="522"/>
      <c r="L17" s="523" t="str">
        <f>IF(K17="","","{"&amp;K17&amp;","&amp;F17&amp;"}")</f>
        <v/>
      </c>
      <c r="M17" s="521"/>
      <c r="N17" s="521"/>
    </row>
    <row r="18" spans="3:26">
      <c r="D18" s="524" t="s">
        <v>940</v>
      </c>
      <c r="E18" s="4" t="s">
        <v>321</v>
      </c>
      <c r="F18" s="4">
        <v>1</v>
      </c>
      <c r="G18" s="4">
        <f>_xlfn.XLOOKUP(E18,价值表!C:C,价值表!F:F)*F18</f>
        <v>1500</v>
      </c>
      <c r="H18" s="4">
        <f>SUM(G18:G20)</f>
        <v>2010</v>
      </c>
      <c r="I18" s="4">
        <v>300</v>
      </c>
      <c r="J18" s="519">
        <f>H18/I18</f>
        <v>6.7</v>
      </c>
      <c r="K18" s="522"/>
      <c r="L18" s="523"/>
      <c r="M18" s="521"/>
      <c r="N18" s="521"/>
    </row>
    <row r="19" spans="3:26">
      <c r="E19" s="4" t="s">
        <v>242</v>
      </c>
      <c r="F19" s="4">
        <v>120</v>
      </c>
      <c r="G19" s="4">
        <f>_xlfn.XLOOKUP(E19,价值表!C:C,价值表!F:F)*F19</f>
        <v>360</v>
      </c>
      <c r="J19" s="470"/>
      <c r="K19" s="522"/>
      <c r="L19" s="523"/>
      <c r="M19" s="521"/>
      <c r="N19" s="521"/>
    </row>
    <row r="20" spans="3:26">
      <c r="E20" s="4" t="s">
        <v>195</v>
      </c>
      <c r="F20" s="4">
        <v>3000</v>
      </c>
      <c r="G20" s="4">
        <f>_xlfn.XLOOKUP(E20,价值表!C:C,价值表!F:F)*F20</f>
        <v>150</v>
      </c>
      <c r="J20" s="470"/>
      <c r="K20" s="522"/>
      <c r="L20" s="523"/>
      <c r="M20" s="521"/>
      <c r="N20" s="521"/>
    </row>
    <row r="21" spans="3:26">
      <c r="J21" s="470"/>
      <c r="K21" s="522"/>
      <c r="L21" s="523"/>
      <c r="M21" s="521"/>
      <c r="N21" s="521"/>
    </row>
    <row r="22" spans="3:26">
      <c r="J22" s="470"/>
      <c r="K22" s="522"/>
      <c r="L22" s="523"/>
      <c r="M22" s="521"/>
      <c r="N22" s="521"/>
    </row>
    <row r="23" spans="3:26">
      <c r="D23" s="4" t="s">
        <v>941</v>
      </c>
      <c r="E23" s="4" t="s">
        <v>258</v>
      </c>
      <c r="F23" s="4">
        <v>5</v>
      </c>
      <c r="G23" s="4">
        <f>_xlfn.XLOOKUP(E23,价值表!C:C,价值表!F:F)*F23</f>
        <v>250</v>
      </c>
      <c r="H23" s="4">
        <f>SUM(G23:G25)</f>
        <v>610</v>
      </c>
      <c r="I23" s="4">
        <v>300</v>
      </c>
      <c r="J23" s="519">
        <f>H23/I23</f>
        <v>2.03333333333333</v>
      </c>
      <c r="K23" s="522"/>
      <c r="L23" s="523"/>
      <c r="M23" s="521"/>
      <c r="N23" s="521"/>
    </row>
    <row r="24" spans="3:26">
      <c r="E24" s="4" t="s">
        <v>242</v>
      </c>
      <c r="F24" s="4">
        <v>120</v>
      </c>
      <c r="G24" s="4">
        <f>_xlfn.XLOOKUP(E24,价值表!C:C,价值表!F:F)*F24</f>
        <v>360</v>
      </c>
      <c r="J24" s="470"/>
      <c r="K24" s="522"/>
      <c r="L24" s="523"/>
      <c r="M24" s="521"/>
      <c r="N24" s="521"/>
    </row>
    <row r="25" spans="3:26">
      <c r="J25" s="470"/>
      <c r="K25" s="522"/>
      <c r="L25" s="523"/>
      <c r="M25" s="521"/>
      <c r="N25" s="521"/>
    </row>
    <row r="26" spans="3:26">
      <c r="D26" s="4" t="s">
        <v>942</v>
      </c>
      <c r="E26" s="4" t="s">
        <v>237</v>
      </c>
      <c r="F26" s="4">
        <v>1200</v>
      </c>
      <c r="G26" s="4">
        <f>_xlfn.XLOOKUP(E26,价值表!C:C,价值表!F:F)*F26</f>
        <v>396</v>
      </c>
      <c r="H26" s="4">
        <f>SUM(G26:G28)</f>
        <v>796</v>
      </c>
      <c r="I26" s="4">
        <v>300</v>
      </c>
      <c r="J26" s="519">
        <f>H26/I26</f>
        <v>2.65333333333333</v>
      </c>
      <c r="K26" s="522"/>
      <c r="L26" s="523"/>
      <c r="M26" s="521"/>
      <c r="N26" s="521"/>
    </row>
    <row r="27" spans="3:26">
      <c r="E27" s="4" t="s">
        <v>208</v>
      </c>
      <c r="F27" s="4">
        <v>200</v>
      </c>
      <c r="G27" s="4">
        <f>_xlfn.XLOOKUP(E27,价值表!C:C,价值表!F:F)*F27</f>
        <v>400</v>
      </c>
      <c r="J27" s="470"/>
      <c r="K27" s="522"/>
      <c r="L27" s="523"/>
      <c r="M27" s="521"/>
      <c r="N27" s="521"/>
    </row>
    <row r="28" spans="3:26">
      <c r="J28" s="470"/>
      <c r="K28" s="522"/>
      <c r="L28" s="523"/>
      <c r="M28" s="521"/>
      <c r="N28" s="521"/>
    </row>
    <row r="29" spans="3:26">
      <c r="J29" s="509"/>
      <c r="K29" s="509"/>
      <c r="O29" s="4" t="s">
        <v>943</v>
      </c>
      <c r="W29" s="521"/>
      <c r="X29" s="521"/>
      <c r="Y29" s="521"/>
      <c r="Z29" s="521"/>
    </row>
    <row r="30" spans="3:26">
      <c r="C30" s="4" t="s">
        <v>931</v>
      </c>
      <c r="D30" s="4" t="s">
        <v>939</v>
      </c>
      <c r="E30" s="4" t="s">
        <v>933</v>
      </c>
      <c r="F30" s="4" t="s">
        <v>919</v>
      </c>
      <c r="G30" s="4" t="s">
        <v>922</v>
      </c>
      <c r="H30" s="4" t="s">
        <v>934</v>
      </c>
      <c r="I30" s="4" t="s">
        <v>935</v>
      </c>
      <c r="J30" s="4" t="s">
        <v>923</v>
      </c>
      <c r="K30" s="520"/>
      <c r="L30" s="521"/>
      <c r="M30" s="521"/>
      <c r="N30" s="4" t="s">
        <v>931</v>
      </c>
      <c r="O30" s="4" t="s">
        <v>939</v>
      </c>
      <c r="P30" s="4" t="s">
        <v>933</v>
      </c>
      <c r="Q30" s="4" t="s">
        <v>919</v>
      </c>
      <c r="R30" s="4" t="s">
        <v>922</v>
      </c>
      <c r="S30" s="4" t="s">
        <v>934</v>
      </c>
      <c r="T30" s="4" t="s">
        <v>935</v>
      </c>
      <c r="U30" s="4" t="s">
        <v>923</v>
      </c>
      <c r="V30" s="4" t="s">
        <v>938</v>
      </c>
      <c r="W30" s="521"/>
      <c r="X30" s="521"/>
      <c r="Y30" s="521"/>
      <c r="Z30" s="521"/>
    </row>
    <row r="31" spans="3:26">
      <c r="C31" s="4">
        <v>98</v>
      </c>
      <c r="D31" s="4" t="s">
        <v>939</v>
      </c>
      <c r="E31" s="4" t="s">
        <v>936</v>
      </c>
      <c r="J31" s="470">
        <f>SUM(H31:H42)/I32</f>
        <v>7.81632653061224</v>
      </c>
      <c r="K31" s="522"/>
      <c r="L31" s="521"/>
      <c r="M31" s="521"/>
      <c r="N31" s="4">
        <v>128</v>
      </c>
      <c r="O31" s="4" t="s">
        <v>944</v>
      </c>
      <c r="P31" s="4" t="s">
        <v>936</v>
      </c>
      <c r="U31" s="470">
        <f>SUM(S31:S42)/T32</f>
        <v>5.91919191919192</v>
      </c>
      <c r="W31" s="521"/>
      <c r="Y31" s="521"/>
      <c r="Z31" s="521"/>
    </row>
    <row r="32" spans="3:26">
      <c r="D32" s="524" t="s">
        <v>945</v>
      </c>
      <c r="E32" s="121" t="s">
        <v>325</v>
      </c>
      <c r="F32" s="4">
        <v>1</v>
      </c>
      <c r="G32" s="4">
        <f>_xlfn.XLOOKUP(E32,价值表!$C:$C,价值表!$F:$F)*F32</f>
        <v>4000</v>
      </c>
      <c r="H32" s="4">
        <f>SUM(G32:G34)</f>
        <v>4790</v>
      </c>
      <c r="I32" s="4">
        <v>980</v>
      </c>
      <c r="J32" s="519">
        <f>H32/I32</f>
        <v>4.88775510204082</v>
      </c>
      <c r="K32" s="522"/>
      <c r="L32" s="521"/>
      <c r="M32" s="521"/>
      <c r="O32" s="524" t="s">
        <v>940</v>
      </c>
      <c r="P32" s="121" t="s">
        <v>322</v>
      </c>
      <c r="Q32" s="4">
        <v>1</v>
      </c>
      <c r="R32" s="4">
        <f>_xlfn.XLOOKUP(P32,价值表!$C:$C,价值表!$F:$F)*Q32</f>
        <v>4000</v>
      </c>
      <c r="S32" s="4">
        <f>SUM(R32:R35)</f>
        <v>6280</v>
      </c>
      <c r="T32" s="4">
        <v>1980</v>
      </c>
      <c r="U32" s="519">
        <f>S32/T32</f>
        <v>3.17171717171717</v>
      </c>
      <c r="V32" s="121">
        <v>100008</v>
      </c>
      <c r="W32" s="521"/>
      <c r="Y32" s="521"/>
      <c r="Z32" s="521"/>
    </row>
    <row r="33" spans="4:26">
      <c r="E33" s="4" t="s">
        <v>242</v>
      </c>
      <c r="F33" s="4">
        <v>180</v>
      </c>
      <c r="G33" s="4">
        <f>_xlfn.XLOOKUP(E33,价值表!C:C,价值表!F:F)*F33</f>
        <v>540</v>
      </c>
      <c r="J33" s="470"/>
      <c r="K33" s="522"/>
      <c r="L33" s="521"/>
      <c r="M33" s="521"/>
      <c r="P33" s="4" t="s">
        <v>188</v>
      </c>
      <c r="Q33" s="4">
        <v>980</v>
      </c>
      <c r="R33" s="4">
        <f>_xlfn.XLOOKUP(P33,价值表!$C:$C,价值表!$F:$F)*Q33</f>
        <v>980</v>
      </c>
      <c r="U33" s="470"/>
      <c r="V33" s="525">
        <f>_xlfn.XLOOKUP(P33,价值表!$C:$C,价值表!$D:$D)</f>
        <v>1</v>
      </c>
      <c r="W33" s="521"/>
      <c r="Y33" s="521"/>
      <c r="Z33" s="521"/>
    </row>
    <row r="34" spans="4:26">
      <c r="E34" s="4" t="s">
        <v>195</v>
      </c>
      <c r="F34" s="4">
        <v>5000</v>
      </c>
      <c r="G34" s="4">
        <f>_xlfn.XLOOKUP(E34,价值表!C:C,价值表!F:F)*F34</f>
        <v>250</v>
      </c>
      <c r="J34" s="470"/>
      <c r="K34" s="522"/>
      <c r="L34" s="521"/>
      <c r="M34" s="521"/>
      <c r="P34" s="4" t="s">
        <v>242</v>
      </c>
      <c r="Q34" s="4">
        <v>300</v>
      </c>
      <c r="R34" s="4">
        <f>_xlfn.XLOOKUP(P34,价值表!$C:$C,价值表!$F:$F)*Q34</f>
        <v>900</v>
      </c>
      <c r="U34" s="470"/>
      <c r="V34" s="525">
        <f>_xlfn.XLOOKUP(P34,价值表!$C:$C,价值表!$D:$D)</f>
        <v>50002</v>
      </c>
      <c r="W34" s="521"/>
      <c r="Y34" s="521"/>
      <c r="Z34" s="521"/>
    </row>
    <row r="35" spans="4:26">
      <c r="J35" s="470"/>
      <c r="K35" s="522"/>
      <c r="L35" s="521"/>
      <c r="M35" s="521"/>
      <c r="P35" s="4" t="s">
        <v>195</v>
      </c>
      <c r="Q35" s="4">
        <v>8000</v>
      </c>
      <c r="R35" s="4">
        <f>_xlfn.XLOOKUP(P35,价值表!$C:$C,价值表!$F:$F)*Q35</f>
        <v>400</v>
      </c>
      <c r="U35" s="470"/>
      <c r="V35" s="525">
        <f>_xlfn.XLOOKUP(P35,价值表!$C:$C,价值表!$D:$D)</f>
        <v>2</v>
      </c>
      <c r="W35" s="521"/>
      <c r="Y35" s="521"/>
      <c r="Z35" s="521"/>
    </row>
    <row r="36" spans="4:26">
      <c r="J36" s="470"/>
      <c r="K36" s="522"/>
      <c r="L36" s="521"/>
      <c r="M36" s="521"/>
      <c r="U36" s="470"/>
      <c r="V36" s="525"/>
      <c r="W36" s="521"/>
      <c r="Y36" s="521"/>
      <c r="Z36" s="521"/>
    </row>
    <row r="37" spans="4:26">
      <c r="D37" s="4" t="s">
        <v>941</v>
      </c>
      <c r="E37" s="4" t="s">
        <v>261</v>
      </c>
      <c r="F37" s="4">
        <v>2</v>
      </c>
      <c r="G37" s="4">
        <f>_xlfn.XLOOKUP(E37,价值表!C:C,价值表!F:F)*F37</f>
        <v>560</v>
      </c>
      <c r="H37" s="4">
        <f>SUM(G37:G39)</f>
        <v>1280</v>
      </c>
      <c r="I37" s="4">
        <v>980</v>
      </c>
      <c r="J37" s="519">
        <f>H37/I37</f>
        <v>1.30612244897959</v>
      </c>
      <c r="K37" s="522"/>
      <c r="L37" s="521"/>
      <c r="M37" s="521"/>
      <c r="O37" s="4" t="s">
        <v>941</v>
      </c>
      <c r="P37" s="4" t="s">
        <v>213</v>
      </c>
      <c r="Q37" s="4">
        <v>20</v>
      </c>
      <c r="R37" s="4">
        <f>_xlfn.XLOOKUP(P37,价值表!$C:$C,价值表!$F:$F)*Q37</f>
        <v>600</v>
      </c>
      <c r="S37" s="4">
        <f>SUM(R37:R39)</f>
        <v>1200</v>
      </c>
      <c r="T37" s="4">
        <v>1980</v>
      </c>
      <c r="U37" s="519">
        <f>S37/T37</f>
        <v>0.606060606060606</v>
      </c>
      <c r="V37" s="525">
        <f>_xlfn.XLOOKUP(P37,价值表!$C:$C,价值表!$D:$D)</f>
        <v>11</v>
      </c>
      <c r="W37" s="521"/>
      <c r="Y37" s="521"/>
      <c r="Z37" s="521"/>
    </row>
    <row r="38" spans="4:26">
      <c r="E38" s="4" t="s">
        <v>242</v>
      </c>
      <c r="F38" s="4">
        <v>240</v>
      </c>
      <c r="G38" s="4">
        <f>_xlfn.XLOOKUP(E38,价值表!C:C,价值表!F:F)*F38</f>
        <v>720</v>
      </c>
      <c r="J38" s="470"/>
      <c r="K38" s="522"/>
      <c r="L38" s="521"/>
      <c r="M38" s="521"/>
      <c r="P38" s="4" t="s">
        <v>208</v>
      </c>
      <c r="Q38" s="4">
        <v>300</v>
      </c>
      <c r="R38" s="4">
        <f>_xlfn.XLOOKUP(P38,价值表!$C:$C,价值表!$F:$F)*Q38</f>
        <v>600</v>
      </c>
      <c r="U38" s="470"/>
      <c r="V38" s="525">
        <f>_xlfn.XLOOKUP(P38,价值表!$C:$C,价值表!$D:$D)</f>
        <v>5104001</v>
      </c>
      <c r="W38" s="521"/>
      <c r="Y38" s="521"/>
      <c r="Z38" s="521"/>
    </row>
    <row r="39" spans="4:26">
      <c r="J39" s="470"/>
      <c r="K39" s="522"/>
      <c r="L39" s="521"/>
      <c r="M39" s="521"/>
      <c r="U39" s="470"/>
      <c r="V39" s="525"/>
      <c r="W39" s="521"/>
      <c r="Y39" s="521"/>
      <c r="Z39" s="521"/>
    </row>
    <row r="40" spans="4:26">
      <c r="D40" s="4" t="s">
        <v>942</v>
      </c>
      <c r="E40" s="4" t="s">
        <v>237</v>
      </c>
      <c r="F40" s="4">
        <v>3000</v>
      </c>
      <c r="G40" s="4">
        <f>_xlfn.XLOOKUP(E40,价值表!C:C,价值表!F:F)*F40</f>
        <v>990</v>
      </c>
      <c r="H40" s="4">
        <f>SUM(G40:G42)</f>
        <v>1590</v>
      </c>
      <c r="I40" s="4">
        <v>980</v>
      </c>
      <c r="J40" s="519">
        <f>H40/I40</f>
        <v>1.62244897959184</v>
      </c>
      <c r="K40" s="522"/>
      <c r="L40" s="521"/>
      <c r="M40" s="521"/>
      <c r="O40" s="4" t="s">
        <v>942</v>
      </c>
      <c r="P40" s="4" t="s">
        <v>261</v>
      </c>
      <c r="Q40" s="4">
        <v>10</v>
      </c>
      <c r="R40" s="4">
        <f>_xlfn.XLOOKUP(P40,价值表!$C:$C,价值表!$F:$F)*Q40</f>
        <v>2800</v>
      </c>
      <c r="S40" s="4">
        <f>SUM(R40:R42)</f>
        <v>4240</v>
      </c>
      <c r="T40" s="4">
        <v>1980</v>
      </c>
      <c r="U40" s="519">
        <f>S40/T40</f>
        <v>2.14141414141414</v>
      </c>
      <c r="V40" s="525">
        <f>_xlfn.XLOOKUP(P40,价值表!$C:$C,价值表!$D:$D)</f>
        <v>30</v>
      </c>
      <c r="W40" s="521"/>
      <c r="Y40" s="521"/>
      <c r="Z40" s="521"/>
    </row>
    <row r="41" spans="4:26">
      <c r="E41" s="4" t="s">
        <v>208</v>
      </c>
      <c r="F41" s="4">
        <v>300</v>
      </c>
      <c r="G41" s="4">
        <f>_xlfn.XLOOKUP(E41,价值表!C:C,价值表!F:F)*F41</f>
        <v>600</v>
      </c>
      <c r="J41" s="470"/>
      <c r="K41" s="522"/>
      <c r="L41" s="521"/>
      <c r="M41" s="521"/>
      <c r="P41" s="4" t="s">
        <v>265</v>
      </c>
      <c r="Q41" s="4">
        <v>24</v>
      </c>
      <c r="R41" s="4">
        <f>_xlfn.XLOOKUP(P41,价值表!$C:$C,价值表!$F:$F)*Q41</f>
        <v>1440</v>
      </c>
      <c r="U41" s="470"/>
      <c r="V41" s="525">
        <f>_xlfn.XLOOKUP(P41,价值表!$C:$C,价值表!$D:$D)</f>
        <v>5305001</v>
      </c>
      <c r="W41" s="521"/>
      <c r="Y41" s="521"/>
      <c r="Z41" s="521"/>
    </row>
    <row r="42" spans="4:26">
      <c r="J42" s="470"/>
      <c r="K42" s="522"/>
      <c r="L42" s="521"/>
      <c r="M42" s="521"/>
      <c r="U42" s="470"/>
      <c r="W42" s="521"/>
      <c r="Y42" s="521"/>
      <c r="Z42" s="521"/>
    </row>
    <row r="43" spans="4:26">
      <c r="K43" s="521"/>
      <c r="L43" s="521"/>
      <c r="M43" s="521"/>
      <c r="W43" s="521"/>
      <c r="Y43" s="521"/>
      <c r="Z43" s="521"/>
    </row>
    <row r="44" spans="4:26">
      <c r="K44" s="521"/>
      <c r="L44" s="521"/>
      <c r="M44" s="521"/>
      <c r="W44" s="521"/>
      <c r="Y44" s="521"/>
      <c r="Z44" s="521"/>
    </row>
    <row r="45" spans="4:26">
      <c r="M45" s="521"/>
    </row>
    <row r="46" spans="4:26">
      <c r="M46" s="521"/>
    </row>
  </sheetData>
  <pageMargins left="0.75" right="0.75" top="1" bottom="1" header="0.5" footer="0.5"/>
  <headerFooter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6">
    <tabColor theme="5"/>
  </sheetPr>
  <dimension ref="A1:O69"/>
  <sheetViews>
    <sheetView showGridLines="0" zoomScale="115" zoomScaleNormal="115" topLeftCell="A5" workbookViewId="0">
      <selection activeCell="A26" sqref="A26"/>
    </sheetView>
  </sheetViews>
  <sheetFormatPr defaultColWidth="11.1916666666667" defaultRowHeight="16.5"/>
  <cols>
    <col min="1" max="1" width="12.6083333333333" style="113" customWidth="1"/>
    <col min="2" max="2" width="14.625" style="113" customWidth="1"/>
    <col min="3" max="5" width="11.1916666666667" style="113" customWidth="1"/>
    <col min="6" max="6" width="15.125" style="113" customWidth="1"/>
    <col min="7" max="13" width="11.1916666666667" style="113" customWidth="1"/>
    <col min="14" max="14" width="11.1916666666667" style="4" customWidth="1"/>
    <col min="15" max="16384" width="11.1916666666667" style="113" customWidth="1"/>
  </cols>
  <sheetData>
    <row r="2" spans="2:10">
      <c r="B2" s="4" t="s">
        <v>946</v>
      </c>
    </row>
    <row r="3" spans="2:10">
      <c r="B3" s="505" t="s">
        <v>947</v>
      </c>
      <c r="C3" s="506" t="s">
        <v>948</v>
      </c>
      <c r="D3" s="506" t="s">
        <v>949</v>
      </c>
      <c r="E3" s="506" t="s">
        <v>950</v>
      </c>
    </row>
    <row r="4" spans="2:10">
      <c r="B4" s="507" t="s">
        <v>193</v>
      </c>
      <c r="C4" s="508" cm="1">
        <f t="array" ref="C4">SUMPRODUCT(--($B$20:$B$62&lt;999+MATCH(C$3,$C$3:$E$3,0)*1000),--($O$20:$O$62=$B4),$K$20:$K$62,$G$20:$G$62)/_xlfn.XLOOKUP($B4,价值表!$C:$C,价值表!$F:$F)</f>
        <v>70</v>
      </c>
      <c r="D4" s="508" cm="1">
        <f t="array" ref="D4">SUMPRODUCT(--($B$20:$B$62&lt;999+MATCH(D$3,$C$3:$E$3,0)*1000),--($O$20:$O$62=$B4),$K$20:$K$62,$G$20:$G$62)/_xlfn.XLOOKUP($B4,价值表!$C:$C,价值表!$F:$F)</f>
        <v>370</v>
      </c>
      <c r="E4" s="508" cm="1">
        <f t="array" ref="E4">SUMPRODUCT(--($B$20:$B$62&lt;999+MATCH(E$3,$C$3:$E$3,0)*1000),--($O$20:$O$62=$B4),$K$20:$K$62,$G$20:$G$62)/_xlfn.XLOOKUP($B4,价值表!$C:$C,价值表!$F:$F)</f>
        <v>370</v>
      </c>
    </row>
    <row r="5" spans="2:10">
      <c r="B5" s="507" t="s">
        <v>195</v>
      </c>
      <c r="C5" s="508" cm="1">
        <f t="array" ref="C5">SUMPRODUCT(--($B$20:$B$62&lt;999+MATCH(C$3,$C$3:$E$3,0)*1000),--($O$20:$O$62=$B5),$K$20:$K$62,$G$20:$G$62)/_xlfn.XLOOKUP($B5,价值表!$C:$C,价值表!$F:$F)</f>
        <v>10000</v>
      </c>
      <c r="D5" s="508" cm="1">
        <f t="array" ref="D5">SUMPRODUCT(--($B$20:$B$62&lt;999+MATCH(D$3,$C$3:$E$3,0)*1000),--($O$20:$O$62=$B5),$K$20:$K$62,$G$20:$G$62)/_xlfn.XLOOKUP($B5,价值表!$C:$C,价值表!$F:$F)</f>
        <v>20000</v>
      </c>
      <c r="E5" s="508" cm="1">
        <f t="array" ref="E5">SUMPRODUCT(--($B$20:$B$62&lt;999+MATCH(E$3,$C$3:$E$3,0)*1000),--($O$20:$O$62=$B5),$K$20:$K$62,$G$20:$G$62)/_xlfn.XLOOKUP($B5,价值表!$C:$C,价值表!$F:$F)</f>
        <v>20000</v>
      </c>
    </row>
    <row r="6" spans="2:10">
      <c r="B6" s="507" t="s">
        <v>213</v>
      </c>
      <c r="C6" s="508" cm="1">
        <f t="array" ref="C6">SUMPRODUCT(--($B$20:$B$62&lt;999+MATCH(C$3,$C$3:$E$3,0)*1000),--($O$20:$O$62=$B6),$K$20:$K$62,$G$20:$G$62)/_xlfn.XLOOKUP($B6,价值表!$C:$C,价值表!$F:$F)</f>
        <v>40</v>
      </c>
      <c r="D6" s="508" cm="1">
        <f t="array" ref="D6">SUMPRODUCT(--($B$20:$B$62&lt;999+MATCH(D$3,$C$3:$E$3,0)*1000),--($O$20:$O$62=$B6),$K$20:$K$62,$G$20:$G$62)/_xlfn.XLOOKUP($B6,价值表!$C:$C,价值表!$F:$F)</f>
        <v>490</v>
      </c>
      <c r="E6" s="508" cm="1">
        <f t="array" ref="E6">SUMPRODUCT(--($B$20:$B$62&lt;999+MATCH(E$3,$C$3:$E$3,0)*1000),--($O$20:$O$62=$B6),$K$20:$K$62,$G$20:$G$62)/_xlfn.XLOOKUP($B6,价值表!$C:$C,价值表!$F:$F)</f>
        <v>990</v>
      </c>
      <c r="H6" s="113" t="s">
        <v>951</v>
      </c>
    </row>
    <row r="7" spans="2:10">
      <c r="B7" s="507" t="s">
        <v>209</v>
      </c>
      <c r="C7" s="508" cm="1">
        <f t="array" ref="C7">SUMPRODUCT(--($B$20:$B$62&lt;999+MATCH(C$3,$C$3:$E$3,0)*1000),--($O$20:$O$62=$B7),$K$20:$K$62,$G$20:$G$62)/_xlfn.XLOOKUP($B7,价值表!$C:$C,价值表!$F:$F)</f>
        <v>1200</v>
      </c>
      <c r="D7" s="508" cm="1">
        <f t="array" ref="D7">SUMPRODUCT(--($B$20:$B$62&lt;999+MATCH(D$3,$C$3:$E$3,0)*1000),--($O$20:$O$62=$B7),$K$20:$K$62,$G$20:$G$62)/_xlfn.XLOOKUP($B7,价值表!$C:$C,价值表!$F:$F)</f>
        <v>1200</v>
      </c>
      <c r="E7" s="508" cm="1">
        <f t="array" ref="E7">SUMPRODUCT(--($B$20:$B$62&lt;999+MATCH(E$3,$C$3:$E$3,0)*1000),--($O$20:$O$62=$B7),$K$20:$K$62,$G$20:$G$62)/_xlfn.XLOOKUP($B7,价值表!$C:$C,价值表!$F:$F)</f>
        <v>1200</v>
      </c>
    </row>
    <row r="8" spans="2:10">
      <c r="B8" s="507" t="s">
        <v>208</v>
      </c>
      <c r="C8" s="508" cm="1">
        <f t="array" ref="C8">SUMPRODUCT(--($B$20:$B$62&lt;999+MATCH(C$3,$C$3:$E$3,0)*1000),--($O$20:$O$62=$B8),$K$20:$K$62,$G$20:$G$62)/_xlfn.XLOOKUP($B8,价值表!$C:$C,价值表!$F:$F)</f>
        <v>600</v>
      </c>
      <c r="D8" s="508" cm="1">
        <f t="array" ref="D8">SUMPRODUCT(--($B$20:$B$62&lt;999+MATCH(D$3,$C$3:$E$3,0)*1000),--($O$20:$O$62=$B8),$K$20:$K$62,$G$20:$G$62)/_xlfn.XLOOKUP($B8,价值表!$C:$C,价值表!$F:$F)</f>
        <v>4600</v>
      </c>
      <c r="E8" s="508" cm="1">
        <f t="array" ref="E8">SUMPRODUCT(--($B$20:$B$62&lt;999+MATCH(E$3,$C$3:$E$3,0)*1000),--($O$20:$O$62=$B8),$K$20:$K$62,$G$20:$G$62)/_xlfn.XLOOKUP($B8,价值表!$C:$C,价值表!$F:$F)</f>
        <v>14600</v>
      </c>
      <c r="H8" s="506" t="s">
        <v>952</v>
      </c>
      <c r="I8" s="506" t="s">
        <v>953</v>
      </c>
      <c r="J8" s="506" t="s">
        <v>954</v>
      </c>
    </row>
    <row r="9" spans="2:10">
      <c r="B9" s="507" t="s">
        <v>242</v>
      </c>
      <c r="C9" s="508" cm="1">
        <f t="array" ref="C9">SUMPRODUCT(--($B$20:$B$62&lt;999+MATCH(C$3,$C$3:$E$3,0)*1000),--($O$20:$O$62=$B9),$K$20:$K$62,$G$20:$G$62)/_xlfn.XLOOKUP($B9,价值表!$C:$C,价值表!$F:$F)</f>
        <v>300</v>
      </c>
      <c r="D9" s="508" cm="1">
        <f t="array" ref="D9">SUMPRODUCT(--($B$20:$B$62&lt;999+MATCH(D$3,$C$3:$E$3,0)*1000),--($O$20:$O$62=$B9),$K$20:$K$62,$G$20:$G$62)/_xlfn.XLOOKUP($B9,价值表!$C:$C,价值表!$F:$F)</f>
        <v>900</v>
      </c>
      <c r="E9" s="508" cm="1">
        <f t="array" ref="E9">SUMPRODUCT(--($B$20:$B$62&lt;999+MATCH(E$3,$C$3:$E$3,0)*1000),--($O$20:$O$62=$B9),$K$20:$K$62,$G$20:$G$62)/_xlfn.XLOOKUP($B9,价值表!$C:$C,价值表!$F:$F)</f>
        <v>2100</v>
      </c>
      <c r="H9" s="113" t="s">
        <v>955</v>
      </c>
      <c r="I9" s="113">
        <f>1050/50</f>
        <v>21</v>
      </c>
      <c r="J9" s="4" t="s">
        <v>956</v>
      </c>
    </row>
    <row r="10" spans="2:10">
      <c r="B10" s="507" t="s">
        <v>261</v>
      </c>
      <c r="C10" s="508" cm="1">
        <f t="array" ref="C10">SUMPRODUCT(--($B$20:$B$62&lt;999+MATCH(C$3,$C$3:$E$3,0)*1000),--($O$20:$O$62=$B10),$K$20:$K$62,$G$20:$G$62)/_xlfn.XLOOKUP($B10,价值表!$C:$C,价值表!$F:$F)</f>
        <v>21</v>
      </c>
      <c r="D10" s="508" cm="1">
        <f t="array" ref="D10">SUMPRODUCT(--($B$20:$B$62&lt;999+MATCH(D$3,$C$3:$E$3,0)*1000),--($O$20:$O$62=$B10),$K$20:$K$62,$G$20:$G$62)/_xlfn.XLOOKUP($B10,价值表!$C:$C,价值表!$F:$F)</f>
        <v>171</v>
      </c>
      <c r="E10" s="508" cm="1">
        <f t="array" ref="E10">SUMPRODUCT(--($B$20:$B$62&lt;999+MATCH(E$3,$C$3:$E$3,0)*1000),--($O$20:$O$62=$B10),$K$20:$K$62,$G$20:$G$62)/_xlfn.XLOOKUP($B10,价值表!$C:$C,价值表!$F:$F)</f>
        <v>321</v>
      </c>
      <c r="H10" s="113" t="s">
        <v>955</v>
      </c>
      <c r="I10" s="113">
        <f>1800/100</f>
        <v>18</v>
      </c>
      <c r="J10" s="4" t="s">
        <v>957</v>
      </c>
    </row>
    <row r="11" spans="2:10">
      <c r="B11" s="507" t="s">
        <v>263</v>
      </c>
      <c r="C11" s="508" cm="1">
        <f t="array" ref="C11">SUMPRODUCT(--($B$20:$B$62&lt;999+MATCH(C$3,$C$3:$E$3,0)*1000),--($O$20:$O$62=$B11),$K$20:$K$62,$G$20:$G$62)/_xlfn.XLOOKUP($B11,价值表!$C:$C,价值表!$F:$F)</f>
        <v>100</v>
      </c>
      <c r="D11" s="508" cm="1">
        <f t="array" ref="D11">SUMPRODUCT(--($B$20:$B$62&lt;999+MATCH(D$3,$C$3:$E$3,0)*1000),--($O$20:$O$62=$B11),$K$20:$K$62,$G$20:$G$62)/_xlfn.XLOOKUP($B11,价值表!$C:$C,价值表!$F:$F)</f>
        <v>400</v>
      </c>
      <c r="E11" s="508" cm="1">
        <f t="array" ref="E11">SUMPRODUCT(--($B$20:$B$62&lt;999+MATCH(E$3,$C$3:$E$3,0)*1000),--($O$20:$O$62=$B11),$K$20:$K$62,$G$20:$G$62)/_xlfn.XLOOKUP($B11,价值表!$C:$C,价值表!$F:$F)</f>
        <v>400</v>
      </c>
      <c r="H11" s="113" t="s">
        <v>193</v>
      </c>
      <c r="I11" s="113">
        <f>96/60</f>
        <v>1.6</v>
      </c>
      <c r="J11" s="4" t="s">
        <v>958</v>
      </c>
    </row>
    <row r="12" spans="2:10">
      <c r="B12" s="507" t="s">
        <v>291</v>
      </c>
      <c r="C12" s="508" cm="1">
        <f t="array" ref="C12">SUMPRODUCT(--($B$20:$B$62&lt;999+MATCH(C$3,$C$3:$E$3,0)*1000),--($O$20:$O$62=$B12),$K$20:$K$62,$G$20:$G$62)/_xlfn.XLOOKUP($B12,价值表!$C:$C,价值表!$F:$F)</f>
        <v>300</v>
      </c>
      <c r="D12" s="508" cm="1">
        <f t="array" ref="D12">SUMPRODUCT(--($B$20:$B$62&lt;999+MATCH(D$3,$C$3:$E$3,0)*1000),--($O$20:$O$62=$B12),$K$20:$K$62,$G$20:$G$62)/_xlfn.XLOOKUP($B12,价值表!$C:$C,价值表!$F:$F)</f>
        <v>900</v>
      </c>
      <c r="E12" s="508" cm="1">
        <f t="array" ref="E12">SUMPRODUCT(--($B$20:$B$62&lt;999+MATCH(E$3,$C$3:$E$3,0)*1000),--($O$20:$O$62=$B12),$K$20:$K$62,$G$20:$G$62)/_xlfn.XLOOKUP($B12,价值表!$C:$C,价值表!$F:$F)</f>
        <v>900</v>
      </c>
      <c r="H12" s="113" t="s">
        <v>261</v>
      </c>
      <c r="I12" s="113">
        <f>840/5</f>
        <v>168</v>
      </c>
      <c r="J12" s="4" t="s">
        <v>959</v>
      </c>
    </row>
    <row r="13" spans="2:10">
      <c r="B13" s="507" t="s">
        <v>245</v>
      </c>
      <c r="C13" s="508" cm="1">
        <f t="array" ref="C13">SUMPRODUCT(--($B$20:$B$62&lt;999+MATCH(C$3,$C$3:$E$3,0)*1000),--($O$20:$O$62=$B13),$K$20:$K$62,$G$20:$G$62)/_xlfn.XLOOKUP($B13,价值表!$C:$C,价值表!$F:$F)</f>
        <v>2500</v>
      </c>
      <c r="D13" s="508" cm="1">
        <f t="array" ref="D13">SUMPRODUCT(--($B$20:$B$62&lt;999+MATCH(D$3,$C$3:$E$3,0)*1000),--($O$20:$O$62=$B13),$K$20:$K$62,$G$20:$G$62)/_xlfn.XLOOKUP($B13,价值表!$C:$C,价值表!$F:$F)</f>
        <v>2500</v>
      </c>
      <c r="E13" s="508" cm="1">
        <f t="array" ref="E13">SUMPRODUCT(--($B$20:$B$62&lt;999+MATCH(E$3,$C$3:$E$3,0)*1000),--($O$20:$O$62=$B13),$K$20:$K$62,$G$20:$G$62)/_xlfn.XLOOKUP($B13,价值表!$C:$C,价值表!$F:$F)</f>
        <v>2500</v>
      </c>
      <c r="H13" s="113" t="s">
        <v>265</v>
      </c>
      <c r="I13" s="113">
        <f>216/6</f>
        <v>36</v>
      </c>
      <c r="J13" s="4" t="s">
        <v>959</v>
      </c>
    </row>
    <row r="14" spans="2:10">
      <c r="B14" s="507" t="s">
        <v>265</v>
      </c>
      <c r="C14" s="508" cm="1">
        <f t="array" ref="C14">SUMPRODUCT(--($B$20:$B$62&lt;999+MATCH(C$3,$C$3:$E$3,0)*1000),--($O$20:$O$62=$B14),$K$20:$K$62,$G$20:$G$62)/_xlfn.XLOOKUP($B14,价值表!$C:$C,价值表!$F:$F)</f>
        <v>12</v>
      </c>
      <c r="D14" s="508" cm="1">
        <f t="array" ref="D14">SUMPRODUCT(--($B$20:$B$62&lt;999+MATCH(D$3,$C$3:$E$3,0)*1000),--($O$20:$O$62=$B14),$K$20:$K$62,$G$20:$G$62)/_xlfn.XLOOKUP($B14,价值表!$C:$C,价值表!$F:$F)</f>
        <v>36</v>
      </c>
      <c r="E14" s="508" cm="1">
        <f t="array" ref="E14">SUMPRODUCT(--($B$20:$B$62&lt;999+MATCH(E$3,$C$3:$E$3,0)*1000),--($O$20:$O$62=$B14),$K$20:$K$62,$G$20:$G$62)/_xlfn.XLOOKUP($B14,价值表!$C:$C,价值表!$F:$F)</f>
        <v>256</v>
      </c>
    </row>
    <row r="15" spans="2:10">
      <c r="B15" s="507" t="s">
        <v>237</v>
      </c>
      <c r="C15" s="508" cm="1">
        <f t="array" ref="C15">SUMPRODUCT(--($B$20:$B$62&lt;999+MATCH(C$3,$C$3:$E$3,0)*1000),--($O$20:$O$62=$B15),$K$20:$K$62,$G$20:$G$62)/_xlfn.XLOOKUP($B15,价值表!$C:$C,价值表!$F:$F)</f>
        <v>3000</v>
      </c>
      <c r="D15" s="508" cm="1">
        <f t="array" ref="D15">SUMPRODUCT(--($B$20:$B$62&lt;999+MATCH(D$3,$C$3:$E$3,0)*1000),--($O$20:$O$62=$B15),$K$20:$K$62,$G$20:$G$62)/_xlfn.XLOOKUP($B15,价值表!$C:$C,价值表!$F:$F)</f>
        <v>12000</v>
      </c>
      <c r="E15" s="508" cm="1">
        <f t="array" ref="E15">SUMPRODUCT(--($B$20:$B$62&lt;999+MATCH(E$3,$C$3:$E$3,0)*1000),--($O$20:$O$62=$B15),$K$20:$K$62,$G$20:$G$62)/_xlfn.XLOOKUP($B15,价值表!$C:$C,价值表!$F:$F)</f>
        <v>72000</v>
      </c>
    </row>
    <row r="16" spans="2:10">
      <c r="B16" s="507" t="s">
        <v>297</v>
      </c>
      <c r="C16" s="508" cm="1">
        <f t="array" ref="C16">SUMPRODUCT(--($B$20:$B$62&lt;999+MATCH(C$3,$C$3:$E$3,0)*1000),--($O$20:$O$62=$B16),$K$20:$K$62,$G$20:$G$62)/_xlfn.XLOOKUP($B16,价值表!$C:$C,价值表!$F:$F)</f>
        <v>0</v>
      </c>
      <c r="D16" s="508" cm="1">
        <f t="array" ref="D16">SUMPRODUCT(--($B$20:$B$62&lt;999+MATCH(D$3,$C$3:$E$3,0)*1000),--($O$20:$O$62=$B16),$K$20:$K$62,$G$20:$G$62)/_xlfn.XLOOKUP($B16,价值表!$C:$C,价值表!$F:$F)</f>
        <v>240</v>
      </c>
      <c r="E16" s="508" cm="1">
        <f t="array" ref="E16">SUMPRODUCT(--($B$20:$B$62&lt;999+MATCH(E$3,$C$3:$E$3,0)*1000),--($O$20:$O$62=$B16),$K$20:$K$62,$G$20:$G$62)/_xlfn.XLOOKUP($B16,价值表!$C:$C,价值表!$F:$F)</f>
        <v>240</v>
      </c>
    </row>
    <row r="17" spans="1:19">
      <c r="B17" s="507" t="s">
        <v>276</v>
      </c>
      <c r="C17" s="508" cm="1">
        <f t="array" ref="C17">SUMPRODUCT(--($B$20:$B$62&lt;999+MATCH(C$3,$C$3:$E$3,0)*1000),--($O$20:$O$62=$B17),$K$20:$K$62,$G$20:$G$62)/_xlfn.XLOOKUP($B17,价值表!$C:$C,价值表!$F:$F)</f>
        <v>0</v>
      </c>
      <c r="D17" s="508" cm="1">
        <f t="array" ref="D17">SUMPRODUCT(--($B$20:$B$62&lt;999+MATCH(D$3,$C$3:$E$3,0)*1000),--($O$20:$O$62=$B17),$K$20:$K$62,$G$20:$G$62)/_xlfn.XLOOKUP($B17,价值表!$C:$C,价值表!$F:$F)</f>
        <v>0</v>
      </c>
      <c r="E17" s="508" cm="1">
        <f t="array" ref="E17">SUMPRODUCT(--($B$20:$B$62&lt;999+MATCH(E$3,$C$3:$E$3,0)*1000),--($O$20:$O$62=$B17),$K$20:$K$62,$G$20:$G$62)/_xlfn.XLOOKUP($B17,价值表!$C:$C,价值表!$F:$F)</f>
        <v>1</v>
      </c>
    </row>
    <row r="18" spans="1:19">
      <c r="B18" s="507" t="s">
        <v>278</v>
      </c>
      <c r="C18" s="508" cm="1">
        <f t="array" ref="C18">SUMPRODUCT(--($B$20:$B$62&lt;999+MATCH(C$3,$C$3:$E$3,0)*1000),--($O$20:$O$62=$B18),$K$20:$K$62,$G$20:$G$62)/_xlfn.XLOOKUP($B18,价值表!$C:$C,价值表!$F:$F)</f>
        <v>0</v>
      </c>
      <c r="D18" s="508" cm="1">
        <f t="array" ref="D18">SUMPRODUCT(--($B$20:$B$62&lt;999+MATCH(D$3,$C$3:$E$3,0)*1000),--($O$20:$O$62=$B18),$K$20:$K$62,$G$20:$G$62)/_xlfn.XLOOKUP($B18,价值表!$C:$C,价值表!$F:$F)</f>
        <v>0</v>
      </c>
      <c r="E18" s="508" cm="1">
        <f t="array" ref="E18">SUMPRODUCT(--($B$20:$B$62&lt;999+MATCH(E$3,$C$3:$E$3,0)*1000),--($O$20:$O$62=$B18),$K$20:$K$62,$G$20:$G$62)/_xlfn.XLOOKUP($B18,价值表!$C:$C,价值表!$F:$F)</f>
        <v>1</v>
      </c>
    </row>
    <row r="20" spans="1:19">
      <c r="B20" s="4" t="s">
        <v>947</v>
      </c>
      <c r="C20" s="4" t="s">
        <v>960</v>
      </c>
      <c r="D20" s="4" t="s">
        <v>961</v>
      </c>
      <c r="E20" s="4" t="s">
        <v>962</v>
      </c>
      <c r="F20" s="4" t="s">
        <v>935</v>
      </c>
      <c r="G20" s="4" t="s">
        <v>963</v>
      </c>
      <c r="H20" s="4" t="s">
        <v>954</v>
      </c>
      <c r="I20" s="4" t="s">
        <v>964</v>
      </c>
      <c r="J20" s="4" t="s">
        <v>922</v>
      </c>
      <c r="K20" s="4" t="s">
        <v>965</v>
      </c>
      <c r="L20" s="4" t="s">
        <v>923</v>
      </c>
      <c r="M20" s="113" t="s">
        <v>966</v>
      </c>
      <c r="N20" s="4" t="s">
        <v>185</v>
      </c>
      <c r="O20" s="113" t="s">
        <v>933</v>
      </c>
    </row>
    <row r="21" spans="1:19">
      <c r="B21" s="500">
        <v>1001</v>
      </c>
      <c r="C21" s="500">
        <v>2</v>
      </c>
      <c r="D21" s="500" t="s">
        <v>967</v>
      </c>
      <c r="E21" s="500" t="s">
        <v>968</v>
      </c>
      <c r="F21" s="500"/>
      <c r="G21" s="500">
        <v>1</v>
      </c>
      <c r="H21" s="500"/>
      <c r="I21" s="4" t="str">
        <f t="shared" ref="I21:I34" si="0">IF(B21="","",SUBSTITUTE(LEFT(E21,FIND(",",E21)-1),"",""))</f>
        <v>[{13</v>
      </c>
      <c r="J21" s="4">
        <f>_xlfn.XLOOKUP(--SUBSTITUTE(LEFT(E21,FIND(",",E21)-1),"[{",""),价值表!D:D,价值表!F:F)</f>
        <v>2</v>
      </c>
      <c r="K21" s="4">
        <f t="shared" ref="K21:K34" si="1">J21*SUBSTITUTE(SUBSTITUTE(E21,""&amp;I21&amp;",",""),"}]","")</f>
        <v>20</v>
      </c>
      <c r="L21" s="509" t="str">
        <f>SUBSTITUTE(SUBSTITUTE(F21,"1,",""),"}]","")</f>
        <v/>
      </c>
      <c r="N21" s="4">
        <f>_xlfn.XLOOKUP(--SUBSTITUTE(I21,"[{",""),价值表!D:D,价值表!J:J)</f>
        <v>7</v>
      </c>
      <c r="O21" s="510" t="str">
        <f>IFERROR(_xlfn.XLOOKUP(IF(E21="","",--SUBSTITUTE(LEFT(E21,FIND(",",E21)-1),"[{","")),价值表!D:D,价值表!C:C),"")</f>
        <v>体力</v>
      </c>
    </row>
    <row r="22" spans="1:19">
      <c r="B22" s="500">
        <v>1002</v>
      </c>
      <c r="C22" s="500">
        <v>2</v>
      </c>
      <c r="D22" s="500" t="s">
        <v>193</v>
      </c>
      <c r="E22" s="500" t="s">
        <v>969</v>
      </c>
      <c r="F22" s="500" t="s">
        <v>970</v>
      </c>
      <c r="G22" s="500">
        <v>1</v>
      </c>
      <c r="H22" s="500" t="s">
        <v>958</v>
      </c>
      <c r="I22" s="4" t="str">
        <f t="shared" si="0"/>
        <v>[{13</v>
      </c>
      <c r="J22" s="4">
        <f>_xlfn.XLOOKUP(--SUBSTITUTE(LEFT(E22,FIND(",",E22)-1),"[{",""),价值表!D:D,价值表!F:F)</f>
        <v>2</v>
      </c>
      <c r="K22" s="4">
        <f t="shared" si="1"/>
        <v>120</v>
      </c>
      <c r="L22" s="470">
        <f>K22/SUBSTITUTE(SUBSTITUTE(SUBSTITUTE(F22,"1,",""),"}]",""),"[{","")</f>
        <v>1.25</v>
      </c>
      <c r="M22" s="4" t="str">
        <f>ROUND(1/L22*10,0)&amp;"折"</f>
        <v>8折</v>
      </c>
      <c r="N22" s="4">
        <f>_xlfn.XLOOKUP(--SUBSTITUTE(I22,"[{",""),价值表!D:D,价值表!J:J)</f>
        <v>7</v>
      </c>
      <c r="O22" s="510" t="str">
        <f>IFERROR(_xlfn.XLOOKUP(IF(E22="","",--SUBSTITUTE(LEFT(E22,FIND(",",E22)-1),"[{","")),价值表!D:D,价值表!C:C),"")</f>
        <v>体力</v>
      </c>
    </row>
    <row r="23" spans="1:19">
      <c r="B23" s="500">
        <v>1003</v>
      </c>
      <c r="C23" s="500">
        <v>2</v>
      </c>
      <c r="D23" s="500" t="s">
        <v>195</v>
      </c>
      <c r="E23" s="500" t="s">
        <v>971</v>
      </c>
      <c r="F23" s="500" t="s">
        <v>972</v>
      </c>
      <c r="G23" s="500">
        <v>2</v>
      </c>
      <c r="H23" s="500" t="s">
        <v>973</v>
      </c>
      <c r="I23" s="4" t="str">
        <f t="shared" si="0"/>
        <v>[{2</v>
      </c>
      <c r="J23" s="4">
        <f>_xlfn.XLOOKUP(--SUBSTITUTE(LEFT(E23,FIND(",",E23)-1),"[{",""),价值表!D:D,价值表!F:F)</f>
        <v>0.05</v>
      </c>
      <c r="K23" s="4">
        <f t="shared" si="1"/>
        <v>250</v>
      </c>
      <c r="L23" s="470">
        <f t="shared" ref="L23:L34" si="2">K23/SUBSTITUTE(SUBSTITUTE(SUBSTITUTE(F23,"1,",""),"}]",""),"[{","")</f>
        <v>2</v>
      </c>
      <c r="M23" s="4" t="str">
        <f t="shared" ref="M23:M34" si="3">ROUND(1/L23*10,0)&amp;"折"</f>
        <v>5折</v>
      </c>
      <c r="N23" s="4">
        <f>_xlfn.XLOOKUP(--SUBSTITUTE(I23,"[{",""),价值表!D:D,价值表!J:J)</f>
        <v>5</v>
      </c>
      <c r="O23" s="510" t="str">
        <f>IFERROR(_xlfn.XLOOKUP(IF(E23="","",--SUBSTITUTE(LEFT(E23,FIND(",",E23)-1),"[{","")),价值表!D:D,价值表!C:C),"")</f>
        <v>金币</v>
      </c>
    </row>
    <row r="24" spans="1:19">
      <c r="A24" s="511"/>
      <c r="B24" s="512">
        <v>1004</v>
      </c>
      <c r="C24" s="512">
        <v>2</v>
      </c>
      <c r="D24" s="512" t="inlineStr">
        <is>
          <t>招募器</t>
        </is>
      </c>
      <c r="E24" s="513" t="s">
        <v>976</v>
      </c>
      <c r="F24" s="512" t="s">
        <v>977</v>
      </c>
      <c r="G24" s="512">
        <v>2</v>
      </c>
      <c r="H24" s="512" t="s">
        <v>958</v>
      </c>
      <c r="I24" s="514" t="str">
        <f t="shared" si="0"/>
        <v>[{11</v>
      </c>
      <c r="J24" s="514">
        <f>_xlfn.XLOOKUP(--SUBSTITUTE(LEFT(E24,FIND(",",E24)-1),"[{",""),价值表!D:D,价值表!F:F)</f>
        <v>30</v>
      </c>
      <c r="K24" s="514">
        <f t="shared" si="1"/>
        <v>600</v>
      </c>
      <c r="L24" s="515">
        <f t="shared" si="2"/>
        <v>1.25</v>
      </c>
      <c r="M24" s="514" t="str">
        <f t="shared" si="3"/>
        <v>8折</v>
      </c>
      <c r="N24" s="514">
        <f>_xlfn.XLOOKUP(--SUBSTITUTE(I24,"[{",""),价值表!D:D,价值表!J:J)</f>
        <v>6</v>
      </c>
      <c r="O24" s="516" t="str">
        <f>IFERROR(_xlfn.XLOOKUP(IF(E24="","",--SUBSTITUTE(LEFT(E24,FIND(",",E24)-1),"[{","")),价值表!D:D,价值表!C:C),"")</f>
        <v>梦境招募器</v>
      </c>
    </row>
    <row r="25" spans="1:19">
      <c r="B25" s="500">
        <v>1005</v>
      </c>
      <c r="C25" s="500">
        <v>2</v>
      </c>
      <c r="D25" s="500" t="s">
        <v>209</v>
      </c>
      <c r="E25" s="500" t="inlineStr">
        <is>
          <t>[{5103002,400}]</t>
        </is>
      </c>
      <c r="F25" s="500" t="s">
        <v>979</v>
      </c>
      <c r="G25" s="500">
        <v>3</v>
      </c>
      <c r="H25" s="500" t="s">
        <v>973</v>
      </c>
      <c r="I25" s="4" t="str">
        <f t="shared" si="0"/>
        <v>[{5103001</v>
      </c>
      <c r="J25" s="4">
        <f>_xlfn.XLOOKUP(--SUBSTITUTE(LEFT(E25,FIND(",",E25)-1),"[{",""),价值表!D:D,价值表!F:F)</f>
        <v>1</v>
      </c>
      <c r="K25" s="4">
        <f t="shared" si="1"/>
        <v>400</v>
      </c>
      <c r="L25" s="470">
        <f t="shared" si="2"/>
        <v>2</v>
      </c>
      <c r="M25" s="4" t="str">
        <f t="shared" si="3"/>
        <v>5折</v>
      </c>
      <c r="N25" s="4">
        <f>_xlfn.XLOOKUP(--SUBSTITUTE(I25,"[{",""),价值表!D:D,价值表!J:J)</f>
        <v>5</v>
      </c>
      <c r="O25" s="510" t="str">
        <f>IFERROR(_xlfn.XLOOKUP(IF(E25="","",--SUBSTITUTE(LEFT(E25,FIND(",",E25)-1),"[{","")),价值表!D:D,价值表!C:C),"")</f>
        <v>能量特饮</v>
      </c>
    </row>
    <row r="26" spans="1:19">
      <c r="B26" s="500">
        <v>1006</v>
      </c>
      <c r="C26" s="500">
        <v>2</v>
      </c>
      <c r="D26" s="500" t="s">
        <v>209</v>
      </c>
      <c r="E26" s="500" t="s">
        <v>980</v>
      </c>
      <c r="F26" s="500" t="s">
        <v>979</v>
      </c>
      <c r="G26" s="500">
        <v>3</v>
      </c>
      <c r="H26" s="500" t="s">
        <v>973</v>
      </c>
      <c r="I26" s="4" t="str">
        <f t="shared" si="0"/>
        <v>[{5104001</v>
      </c>
      <c r="J26" s="4">
        <f>_xlfn.XLOOKUP(--SUBSTITUTE(LEFT(E26,FIND(",",E26)-1),"[{",""),价值表!D:D,价值表!F:F)</f>
        <v>2</v>
      </c>
      <c r="K26" s="4">
        <f t="shared" si="1"/>
        <v>400</v>
      </c>
      <c r="L26" s="470">
        <f t="shared" si="2"/>
        <v>2</v>
      </c>
      <c r="M26" s="4" t="str">
        <f t="shared" si="3"/>
        <v>5折</v>
      </c>
      <c r="N26" s="4">
        <f>_xlfn.XLOOKUP(--SUBSTITUTE(I26,"[{",""),价值表!D:D,价值表!J:J)</f>
        <v>0</v>
      </c>
      <c r="O26" s="510" t="str">
        <f>IFERROR(_xlfn.XLOOKUP(IF(E26="","",--SUBSTITUTE(LEFT(E26,FIND(",",E26)-1),"[{","")),价值表!D:D,价值表!C:C),"")</f>
        <v>超能特饮</v>
      </c>
    </row>
    <row r="27" spans="1:19">
      <c r="B27" s="500">
        <v>1007</v>
      </c>
      <c r="C27" s="500">
        <v>2</v>
      </c>
      <c r="D27" s="500" t="s">
        <v>242</v>
      </c>
      <c r="E27" s="500" t="s">
        <v>981</v>
      </c>
      <c r="F27" s="500" t="s">
        <v>982</v>
      </c>
      <c r="G27" s="500">
        <v>3</v>
      </c>
      <c r="H27" s="500" t="s">
        <v>958</v>
      </c>
      <c r="I27" s="4" t="str">
        <f t="shared" si="0"/>
        <v>[{50002</v>
      </c>
      <c r="J27" s="4">
        <f>_xlfn.XLOOKUP(--SUBSTITUTE(LEFT(E27,FIND(",",E27)-1),"[{",""),价值表!D:D,价值表!F:F)</f>
        <v>3</v>
      </c>
      <c r="K27" s="4">
        <f t="shared" si="1"/>
        <v>300</v>
      </c>
      <c r="L27" s="470">
        <f t="shared" si="2"/>
        <v>1.25</v>
      </c>
      <c r="M27" s="4" t="str">
        <f t="shared" si="3"/>
        <v>8折</v>
      </c>
      <c r="N27" s="4">
        <f>_xlfn.XLOOKUP(--SUBSTITUTE(I27,"[{",""),价值表!D:D,价值表!J:J)</f>
        <v>6</v>
      </c>
      <c r="O27" s="510" t="str">
        <f>IFERROR(_xlfn.XLOOKUP(IF(E27="","",--SUBSTITUTE(LEFT(E27,FIND(",",E27)-1),"[{","")),价值表!D:D,价值表!C:C),"")</f>
        <v>装备图纸</v>
      </c>
    </row>
    <row r="28" spans="1:19">
      <c r="B28" s="500">
        <v>1008</v>
      </c>
      <c r="C28" s="500">
        <v>2</v>
      </c>
      <c r="D28" s="468" t="s">
        <v>261</v>
      </c>
      <c r="E28" s="517" t="s">
        <v>983</v>
      </c>
      <c r="F28" s="500" t="s">
        <v>984</v>
      </c>
      <c r="G28" s="500">
        <v>3</v>
      </c>
      <c r="H28" s="500" t="s">
        <v>985</v>
      </c>
      <c r="I28" s="4" t="str">
        <f t="shared" si="0"/>
        <v>[{30</v>
      </c>
      <c r="J28" s="4">
        <f>_xlfn.XLOOKUP(--SUBSTITUTE(LEFT(E28,FIND(",",E28)-1),"[{",""),价值表!D:D,价值表!F:F)</f>
        <v>280</v>
      </c>
      <c r="K28" s="4">
        <f t="shared" si="1"/>
        <v>560</v>
      </c>
      <c r="L28" s="470">
        <f t="shared" si="2"/>
        <v>1.42857142857143</v>
      </c>
      <c r="M28" s="4" t="str">
        <f t="shared" si="3"/>
        <v>7折</v>
      </c>
      <c r="N28" s="4">
        <f>_xlfn.XLOOKUP(--SUBSTITUTE(I28,"[{",""),价值表!D:D,价值表!J:J)</f>
        <v>5</v>
      </c>
      <c r="O28" s="510" t="str">
        <f>IFERROR(_xlfn.XLOOKUP(IF(E28="","",--SUBSTITUTE(LEFT(E28,FIND(",",E28)-1),"[{","")),价值表!D:D,价值表!C:C),"")</f>
        <v>星辉秘契</v>
      </c>
    </row>
    <row r="29" spans="1:19">
      <c r="B29" s="500">
        <v>1009</v>
      </c>
      <c r="C29" s="500">
        <v>2</v>
      </c>
      <c r="D29" s="468" t="s">
        <v>261</v>
      </c>
      <c r="E29" s="517" t="s">
        <v>986</v>
      </c>
      <c r="F29" s="500" t="s">
        <v>987</v>
      </c>
      <c r="G29" s="500">
        <v>3</v>
      </c>
      <c r="H29" s="500" t="s">
        <v>959</v>
      </c>
      <c r="I29" s="4" t="str">
        <f t="shared" si="0"/>
        <v>[{30</v>
      </c>
      <c r="J29" s="4">
        <f>_xlfn.XLOOKUP(--SUBSTITUTE(LEFT(E29,FIND(",",E29)-1),"[{",""),价值表!D:D,价值表!F:F)</f>
        <v>280</v>
      </c>
      <c r="K29" s="4">
        <f t="shared" si="1"/>
        <v>1400</v>
      </c>
      <c r="L29" s="470">
        <f t="shared" si="2"/>
        <v>1.66666666666667</v>
      </c>
      <c r="M29" s="4" t="str">
        <f t="shared" si="3"/>
        <v>6折</v>
      </c>
      <c r="N29" s="4">
        <f>_xlfn.XLOOKUP(--SUBSTITUTE(I29,"[{",""),价值表!D:D,价值表!J:J)</f>
        <v>5</v>
      </c>
      <c r="O29" s="510" t="str">
        <f>IFERROR(_xlfn.XLOOKUP(IF(E29="","",--SUBSTITUTE(LEFT(E29,FIND(",",E29)-1),"[{","")),价值表!D:D,价值表!C:C),"")</f>
        <v>星辉秘契</v>
      </c>
    </row>
    <row r="30" spans="1:19">
      <c r="B30" s="500">
        <v>1010</v>
      </c>
      <c r="C30" s="500">
        <v>2</v>
      </c>
      <c r="D30" s="500" t="s">
        <v>263</v>
      </c>
      <c r="E30" s="517" t="s">
        <v>988</v>
      </c>
      <c r="F30" s="500" t="s">
        <v>989</v>
      </c>
      <c r="G30" s="500">
        <v>2</v>
      </c>
      <c r="H30" s="500" t="s">
        <v>990</v>
      </c>
      <c r="I30" s="4" t="str">
        <f t="shared" si="0"/>
        <v>[{5303001</v>
      </c>
      <c r="J30" s="4">
        <f>_xlfn.XLOOKUP(--SUBSTITUTE(LEFT(E30,FIND(",",E30)-1),"[{",""),价值表!D:D,价值表!F:F)</f>
        <v>5</v>
      </c>
      <c r="K30" s="4">
        <f t="shared" si="1"/>
        <v>250</v>
      </c>
      <c r="L30" s="470">
        <f t="shared" si="2"/>
        <v>1.11111111111111</v>
      </c>
      <c r="M30" s="4" t="str">
        <f t="shared" si="3"/>
        <v>9折</v>
      </c>
      <c r="N30" s="4">
        <f>_xlfn.XLOOKUP(--SUBSTITUTE(I30,"[{",""),价值表!D:D,价值表!J:J)</f>
        <v>8</v>
      </c>
      <c r="O30" s="510" t="str">
        <f>IFERROR(_xlfn.XLOOKUP(IF(E30="","",--SUBSTITUTE(LEFT(E30,FIND(",",E30)-1),"[{","")),价值表!D:D,价值表!C:C),"")</f>
        <v>符引结晶</v>
      </c>
    </row>
    <row r="31" spans="1:19">
      <c r="B31" s="500">
        <v>1011</v>
      </c>
      <c r="C31" s="500">
        <v>2</v>
      </c>
      <c r="D31" s="468" t="s">
        <v>291</v>
      </c>
      <c r="E31" s="517" t="inlineStr">
        <is>
          <t>[{5203001,50}]</t>
        </is>
      </c>
      <c r="F31" s="500" t="s">
        <v>992</v>
      </c>
      <c r="G31" s="500">
        <v>3</v>
      </c>
      <c r="H31" s="500" t="s">
        <v>985</v>
      </c>
      <c r="I31" s="4" t="str">
        <f t="shared" si="0"/>
        <v>[{5203001</v>
      </c>
      <c r="J31" s="4">
        <f>_xlfn.XLOOKUP(--SUBSTITUTE(LEFT(E31,FIND(",",E31)-1),"[{",""),价值表!D:D,价值表!F:F)</f>
        <v>3</v>
      </c>
      <c r="K31" s="4">
        <f t="shared" si="1"/>
        <v>300</v>
      </c>
      <c r="L31" s="470">
        <f t="shared" si="2"/>
        <v>1.42857142857143</v>
      </c>
      <c r="M31" s="4" t="str">
        <f t="shared" si="3"/>
        <v>7折</v>
      </c>
      <c r="N31" s="4">
        <f>_xlfn.XLOOKUP(--SUBSTITUTE(I31,"[{",""),价值表!D:D,价值表!J:J)</f>
        <v>6</v>
      </c>
      <c r="O31" s="510" t="str">
        <f>IFERROR(_xlfn.XLOOKUP(IF(E31="","",--SUBSTITUTE(LEFT(E31,FIND(",",E31)-1),"[{","")),价值表!D:D,价值表!C:C),"")</f>
        <v>织梦微尘</v>
      </c>
    </row>
    <row r="32" spans="1:19">
      <c r="B32" s="500">
        <v>1012</v>
      </c>
      <c r="C32" s="500">
        <v>2</v>
      </c>
      <c r="D32" s="517" t="s">
        <v>245</v>
      </c>
      <c r="E32" s="500" t="s">
        <v>993</v>
      </c>
      <c r="F32" s="500" t="s">
        <v>994</v>
      </c>
      <c r="G32" s="500">
        <v>5</v>
      </c>
      <c r="H32" s="500" t="s">
        <v>959</v>
      </c>
      <c r="I32" s="4" t="str">
        <f t="shared" si="0"/>
        <v>[{50001</v>
      </c>
      <c r="J32" s="4">
        <f>_xlfn.XLOOKUP(--SUBSTITUTE(LEFT(E32,FIND(",",E32)-1),"[{",""),价值表!D:D,价值表!F:F)</f>
        <v>0.1</v>
      </c>
      <c r="K32" s="4">
        <f t="shared" si="1"/>
        <v>50</v>
      </c>
      <c r="L32" s="470">
        <f t="shared" si="2"/>
        <v>0.166666666666667</v>
      </c>
      <c r="M32" s="4" t="str">
        <f t="shared" si="3"/>
        <v>60折</v>
      </c>
      <c r="N32" s="4">
        <f>_xlfn.XLOOKUP(--SUBSTITUTE(I32,"[{",""),价值表!D:D,价值表!J:J)</f>
        <v>5</v>
      </c>
      <c r="O32" s="510" t="str">
        <f>IFERROR(_xlfn.XLOOKUP(IF(E32="","",--SUBSTITUTE(LEFT(E32,FIND(",",E32)-1),"[{","")),价值表!D:D,价值表!C:C),"")</f>
        <v>锻造晶石</v>
      </c>
      <c r="S32"/>
    </row>
    <row r="33" spans="1:19">
      <c r="B33" s="500">
        <v>1013</v>
      </c>
      <c r="C33" s="500">
        <v>2</v>
      </c>
      <c r="D33" s="517" t="s">
        <v>265</v>
      </c>
      <c r="E33" s="500" t="s">
        <v>995</v>
      </c>
      <c r="F33" s="500" t="s">
        <v>996</v>
      </c>
      <c r="G33" s="500">
        <v>2</v>
      </c>
      <c r="H33" s="500" t="s">
        <v>959</v>
      </c>
      <c r="I33" s="4" t="str">
        <f t="shared" si="0"/>
        <v>[{5305001</v>
      </c>
      <c r="J33" s="4">
        <f>_xlfn.XLOOKUP(--SUBSTITUTE(LEFT(E33,FIND(",",E33)-1),"[{",""),价值表!D:D,价值表!F:F)</f>
        <v>60</v>
      </c>
      <c r="K33" s="4">
        <f t="shared" si="1"/>
        <v>360</v>
      </c>
      <c r="L33" s="470">
        <f t="shared" si="2"/>
        <v>1.66666666666667</v>
      </c>
      <c r="M33" s="4" t="str">
        <f t="shared" si="3"/>
        <v>6折</v>
      </c>
      <c r="N33" s="4">
        <f>_xlfn.XLOOKUP(--SUBSTITUTE(I33,"[{",""),价值表!D:D,价值表!J:J)</f>
        <v>5</v>
      </c>
      <c r="O33" s="510" t="str">
        <f>IFERROR(_xlfn.XLOOKUP(IF(E33="","",--SUBSTITUTE(LEFT(E33,FIND(",",E33)-1),"[{","")),价值表!D:D,价值表!C:C),"")</f>
        <v>幻梦晶核</v>
      </c>
      <c r="S33"/>
    </row>
    <row r="34" spans="1:19">
      <c r="B34" s="500">
        <v>1014</v>
      </c>
      <c r="C34" s="500">
        <v>2</v>
      </c>
      <c r="D34" s="500" t="s">
        <v>237</v>
      </c>
      <c r="E34" s="500" t="s">
        <v>997</v>
      </c>
      <c r="F34" s="500" t="s">
        <v>998</v>
      </c>
      <c r="G34" s="500">
        <v>3</v>
      </c>
      <c r="H34" s="500" t="s">
        <v>959</v>
      </c>
      <c r="I34" s="4" t="str">
        <f t="shared" si="0"/>
        <v>[{5523001</v>
      </c>
      <c r="J34" s="4">
        <f>_xlfn.XLOOKUP(--SUBSTITUTE(LEFT(E34,FIND(",",E34)-1),"[{",""),价值表!D:D,价值表!F:F)</f>
        <v>0.33</v>
      </c>
      <c r="K34" s="4">
        <f t="shared" si="1"/>
        <v>330</v>
      </c>
      <c r="L34" s="470">
        <f t="shared" si="2"/>
        <v>1.66666666666667</v>
      </c>
      <c r="M34" s="4" t="str">
        <f t="shared" si="3"/>
        <v>6折</v>
      </c>
      <c r="N34" s="4">
        <f>_xlfn.XLOOKUP(--SUBSTITUTE(I34,"[{",""),价值表!D:D,价值表!J:J)</f>
        <v>5</v>
      </c>
      <c r="O34" s="510" t="str">
        <f>IFERROR(_xlfn.XLOOKUP(IF(E34="","",--SUBSTITUTE(LEFT(E34,FIND(",",E34)-1),"[{","")),价值表!D:D,价值表!C:C),"")</f>
        <v>转运石</v>
      </c>
      <c r="S34"/>
    </row>
    <row r="35" spans="1:19">
      <c r="B35" s="500">
        <v>1015</v>
      </c>
      <c r="C35" s="500">
        <v>2</v>
      </c>
      <c r="D35" s="500" t="inlineStr">
        <is>
          <t>智械发条</t>
        </is>
      </c>
      <c r="E35" s="500" t="inlineStr">
        <is>
          <t>[{62,3}]</t>
        </is>
      </c>
      <c r="F35" s="500" t="inlineStr">
        <is>
          <t>[{1,225}]</t>
        </is>
      </c>
      <c r="G35" s="500">
        <v>5</v>
      </c>
      <c r="H35" s="500" t="inlineStr">
        <is>
          <t>5折</t>
        </is>
      </c>
      <c r="I35" s="4" t="str">
        <f t="shared" ref="I34:I60" si="4">IF(B35="","",SUBSTITUTE(LEFT(E35,FIND(",",E35)-1),"",""))</f>
        <v/>
      </c>
      <c r="J35" s="4">
        <f>价值表!F114</f>
        <v/>
      </c>
      <c r="K35" s="4">
        <f>J35*SUBSTITUTE(SUBSTITUTE(E35,""&amp;I35&amp;",",""),"}]","")</f>
        <v/>
      </c>
      <c r="L35" s="518">
        <f>K35/SUBSTITUTE(SUBSTITUTE(SUBSTITUTE(F35,"1,",""),"}]",""),"[{","")</f>
        <v/>
      </c>
      <c r="M35" s="4">
        <f>ROUND(1/L35*10,0)&amp;"折"</f>
        <v/>
      </c>
      <c r="N35" s="4">
        <f>_xlfn.XLOOKUP(--SUBSTITUTE(I35,"[{",""),价值表!D:D,价值表!J:J)</f>
        <v/>
      </c>
      <c r="O35" s="510" t="str">
        <f>IFERROR(_xlfn.XLOOKUP(IF(E35="","",--SUBSTITUTE(LEFT(E35,FIND(",",E35)-1),"[{","")),价值表!D:D,价值表!C:C),"")</f>
        <v/>
      </c>
      <c r="S35"/>
    </row>
    <row r="36" spans="1:19">
      <c r="B36" s="500"/>
      <c r="C36" s="500"/>
      <c r="D36" s="500"/>
      <c r="E36" s="500"/>
      <c r="F36" s="500"/>
      <c r="G36" s="500"/>
      <c r="H36" s="500"/>
      <c r="I36" s="4"/>
      <c r="J36" s="4"/>
      <c r="K36" s="4"/>
      <c r="L36" s="470"/>
      <c r="M36" s="4"/>
      <c r="N36" s="4"/>
      <c r="O36" s="510"/>
      <c r="S36"/>
    </row>
    <row r="37" spans="1:19">
      <c r="B37" s="500">
        <v>2001</v>
      </c>
      <c r="C37" s="500">
        <v>2</v>
      </c>
      <c r="D37" s="500" t="inlineStr">
        <is>
          <t>体力</t>
        </is>
      </c>
      <c r="E37" s="500" t="inlineStr">
        <is>
          <t>[{13,60}]</t>
        </is>
      </c>
      <c r="F37" s="500" t="inlineStr">
        <is>
          <t>[{1,84}]</t>
        </is>
      </c>
      <c r="G37" s="500">
        <v>5</v>
      </c>
      <c r="H37" s="500" t="inlineStr">
        <is>
          <t>7折</t>
        </is>
      </c>
      <c r="I37" s="4" t="str">
        <f t="shared" si="4"/>
        <v>[{2</v>
      </c>
      <c r="J37" s="4">
        <f>_xlfn.XLOOKUP(--SUBSTITUTE(LEFT(E37,FIND(",",E37)-1),"[{",""),价值表!D:D,价值表!F:F)</f>
        <v>0.05</v>
      </c>
      <c r="K37" s="4">
        <f t="shared" si="5"/>
        <v>500</v>
      </c>
      <c r="L37" s="470">
        <f t="shared" si="6"/>
        <v>2.5</v>
      </c>
      <c r="M37" s="4" t="str">
        <f t="shared" si="7"/>
        <v>4折</v>
      </c>
      <c r="N37" s="4">
        <f>_xlfn.XLOOKUP(--SUBSTITUTE(I37,"[{",""),价值表!D:D,价值表!J:J)</f>
        <v>5</v>
      </c>
      <c r="O37" s="510" t="str">
        <f>IFERROR(_xlfn.XLOOKUP(IF(E37="","",--SUBSTITUTE(LEFT(E37,FIND(",",E37)-1),"[{","")),价值表!D:D,价值表!C:C),"")</f>
        <v>金币</v>
      </c>
      <c r="S37"/>
    </row>
    <row r="38" spans="1:19">
      <c r="B38" s="500">
        <v>2002</v>
      </c>
      <c r="C38" s="500">
        <v>2</v>
      </c>
      <c r="D38" s="500" t="inlineStr">
        <is>
          <t>金币</t>
        </is>
      </c>
      <c r="E38" s="500" t="inlineStr">
        <is>
          <t>[{2,10000}]</t>
        </is>
      </c>
      <c r="F38" s="500" t="inlineStr">
        <is>
          <t>[{1,200}]</t>
        </is>
      </c>
      <c r="G38" s="500">
        <v>1</v>
      </c>
      <c r="H38" s="500" t="inlineStr">
        <is>
          <t>4折</t>
        </is>
      </c>
      <c r="I38" s="4" t="str">
        <f t="shared" si="4"/>
        <v>[{11</v>
      </c>
      <c r="J38" s="4">
        <f>_xlfn.XLOOKUP(--SUBSTITUTE(LEFT(E38,FIND(",",E38)-1),"[{",""),价值表!D:D,价值表!F:F)</f>
        <v>30</v>
      </c>
      <c r="K38" s="4">
        <f t="shared" si="5"/>
        <v>1500</v>
      </c>
      <c r="L38" s="470">
        <f t="shared" si="6"/>
        <v>1.42857142857143</v>
      </c>
      <c r="M38" s="4" t="str">
        <f t="shared" si="7"/>
        <v>7折</v>
      </c>
      <c r="N38" s="4">
        <f>_xlfn.XLOOKUP(--SUBSTITUTE(I38,"[{",""),价值表!D:D,价值表!J:J)</f>
        <v>6</v>
      </c>
      <c r="O38" s="510" t="str">
        <f>IFERROR(_xlfn.XLOOKUP(IF(E38="","",--SUBSTITUTE(LEFT(E38,FIND(",",E38)-1),"[{","")),价值表!D:D,价值表!C:C),"")</f>
        <v>梦境招募器</v>
      </c>
      <c r="S38"/>
    </row>
    <row r="39" spans="1:19">
      <c r="A39" s="511"/>
      <c r="B39" s="512">
        <v>2003</v>
      </c>
      <c r="C39" s="512">
        <v>2</v>
      </c>
      <c r="D39" s="512" t="inlineStr">
        <is>
          <t>招募器</t>
        </is>
      </c>
      <c r="E39" s="513" t="inlineStr">
        <is>
          <t>[{11,50}]</t>
        </is>
      </c>
      <c r="F39" s="512" t="inlineStr">
        <is>
          <t>[{1,1050}]</t>
        </is>
      </c>
      <c r="G39" s="512">
        <v>3</v>
      </c>
      <c r="H39" s="512" t="inlineStr">
        <is>
          <t>7折</t>
        </is>
      </c>
      <c r="I39" s="514" t="str">
        <f t="shared" si="4"/>
        <v>[{11</v>
      </c>
      <c r="J39" s="514">
        <f>_xlfn.XLOOKUP(--SUBSTITUTE(LEFT(E39,FIND(",",E39)-1),"[{",""),价值表!D:D,价值表!F:F)</f>
        <v>30</v>
      </c>
      <c r="K39" s="514">
        <f t="shared" si="5"/>
        <v>3000</v>
      </c>
      <c r="L39" s="515">
        <f t="shared" si="6"/>
        <v>1.66666666666667</v>
      </c>
      <c r="M39" s="514" t="str">
        <f t="shared" si="7"/>
        <v>6折</v>
      </c>
      <c r="N39" s="514">
        <f>_xlfn.XLOOKUP(--SUBSTITUTE(I39,"[{",""),价值表!D:D,价值表!J:J)</f>
        <v>6</v>
      </c>
      <c r="O39" s="516" t="str">
        <f>IFERROR(_xlfn.XLOOKUP(IF(E39="","",--SUBSTITUTE(LEFT(E39,FIND(",",E39)-1),"[{","")),价值表!D:D,价值表!C:C),"")</f>
        <v>梦境招募器</v>
      </c>
      <c r="S39"/>
    </row>
    <row r="40" spans="1:19">
      <c r="B40" s="500">
        <v>2004</v>
      </c>
      <c r="C40" s="500">
        <v>2</v>
      </c>
      <c r="D40" s="500" t="inlineStr">
        <is>
          <t>招募器</t>
        </is>
      </c>
      <c r="E40" s="500" t="inlineStr">
        <is>
          <t>[{11,100}]</t>
        </is>
      </c>
      <c r="F40" s="500" t="inlineStr">
        <is>
          <t>[{1,1800}]</t>
        </is>
      </c>
      <c r="G40" s="500">
        <v>3</v>
      </c>
      <c r="H40" s="500" t="inlineStr">
        <is>
          <t>6折</t>
        </is>
      </c>
      <c r="I40" s="4" t="str">
        <f t="shared" si="4"/>
        <v>[{5104001</v>
      </c>
      <c r="J40" s="4">
        <f>_xlfn.XLOOKUP(--SUBSTITUTE(LEFT(E40,FIND(",",E40)-1),"[{",""),价值表!D:D,价值表!F:F)</f>
        <v>2</v>
      </c>
      <c r="K40" s="4">
        <f t="shared" si="5"/>
        <v>800</v>
      </c>
      <c r="L40" s="470">
        <f t="shared" si="6"/>
        <v>2.5</v>
      </c>
      <c r="M40" s="4" t="str">
        <f t="shared" si="7"/>
        <v>4折</v>
      </c>
      <c r="N40" s="4">
        <f>_xlfn.XLOOKUP(--SUBSTITUTE(I40,"[{",""),价值表!D:D,价值表!J:J)</f>
        <v>0</v>
      </c>
      <c r="O40" s="510" t="str">
        <f>IFERROR(_xlfn.XLOOKUP(IF(E40="","",--SUBSTITUTE(LEFT(E40,FIND(",",E40)-1),"[{","")),价值表!D:D,价值表!C:C),"")</f>
        <v>超能特饮</v>
      </c>
      <c r="S40"/>
    </row>
    <row r="41" spans="1:19">
      <c r="B41" s="500">
        <v>2005</v>
      </c>
      <c r="C41" s="500">
        <v>2</v>
      </c>
      <c r="D41" s="500" t="inlineStr">
        <is>
          <t>能量特饮</t>
        </is>
      </c>
      <c r="E41" s="500" t="inlineStr">
        <is>
          <t>[{5104001,400}]</t>
        </is>
      </c>
      <c r="F41" s="500" t="inlineStr">
        <is>
          <t>[{1,320}]</t>
        </is>
      </c>
      <c r="G41" s="500">
        <v>10</v>
      </c>
      <c r="H41" s="500" t="inlineStr">
        <is>
          <t>7折</t>
        </is>
      </c>
      <c r="I41" s="4" t="str">
        <f t="shared" si="4"/>
        <v>[{50002</v>
      </c>
      <c r="J41" s="4">
        <f>_xlfn.XLOOKUP(--SUBSTITUTE(LEFT(E41,FIND(",",E41)-1),"[{",""),价值表!D:D,价值表!F:F)</f>
        <v>3</v>
      </c>
      <c r="K41" s="4">
        <f t="shared" si="5"/>
        <v>600</v>
      </c>
      <c r="L41" s="470">
        <f t="shared" si="6"/>
        <v>1.66666666666667</v>
      </c>
      <c r="M41" s="4" t="str">
        <f t="shared" si="7"/>
        <v>6折</v>
      </c>
      <c r="N41" s="4">
        <f>_xlfn.XLOOKUP(--SUBSTITUTE(I41,"[{",""),价值表!D:D,价值表!J:J)</f>
        <v>6</v>
      </c>
      <c r="O41" s="510" t="str">
        <f>IFERROR(_xlfn.XLOOKUP(IF(E41="","",--SUBSTITUTE(LEFT(E41,FIND(",",E41)-1),"[{","")),价值表!D:D,价值表!C:C),"")</f>
        <v>装备图纸</v>
      </c>
      <c r="S41"/>
    </row>
    <row r="42" spans="1:19">
      <c r="B42" s="500">
        <v>2006</v>
      </c>
      <c r="C42" s="500">
        <v>2</v>
      </c>
      <c r="D42" s="468" t="inlineStr">
        <is>
          <t>装备图纸</t>
        </is>
      </c>
      <c r="E42" s="517" t="inlineStr">
        <is>
          <t>[{50002,200}]</t>
        </is>
      </c>
      <c r="F42" s="500" t="inlineStr">
        <is>
          <t>[{1,360}]</t>
        </is>
      </c>
      <c r="G42" s="500">
        <v>3</v>
      </c>
      <c r="H42" s="500" t="inlineStr">
        <is>
          <t>6折</t>
        </is>
      </c>
      <c r="I42" s="4" t="str">
        <f t="shared" si="4"/>
        <v>[{30</v>
      </c>
      <c r="J42" s="4">
        <f>_xlfn.XLOOKUP(--SUBSTITUTE(LEFT(E42,FIND(",",E42)-1),"[{",""),价值表!D:D,价值表!F:F)</f>
        <v>280</v>
      </c>
      <c r="K42" s="4">
        <f t="shared" si="5"/>
        <v>2800</v>
      </c>
      <c r="L42" s="470">
        <f t="shared" si="6"/>
        <v>2</v>
      </c>
      <c r="M42" s="4" t="str">
        <f t="shared" si="7"/>
        <v>5折</v>
      </c>
      <c r="N42" s="4">
        <f>_xlfn.XLOOKUP(--SUBSTITUTE(I42,"[{",""),价值表!D:D,价值表!J:J)</f>
        <v>5</v>
      </c>
      <c r="O42" s="510" t="str">
        <f>IFERROR(_xlfn.XLOOKUP(IF(E42="","",--SUBSTITUTE(LEFT(E42,FIND(",",E42)-1),"[{","")),价值表!D:D,价值表!C:C),"")</f>
        <v>星辉秘契</v>
      </c>
      <c r="S42"/>
    </row>
    <row r="43" spans="1:19">
      <c r="B43" s="500">
        <v>2007</v>
      </c>
      <c r="C43" s="500">
        <v>2</v>
      </c>
      <c r="D43" s="468" t="s">
        <v>261</v>
      </c>
      <c r="E43" s="517" t="inlineStr">
        <is>
          <t>[{30,10}]</t>
        </is>
      </c>
      <c r="F43" s="500" t="inlineStr">
        <is>
          <t>[{1,1400}]</t>
        </is>
      </c>
      <c r="G43" s="500">
        <v>5</v>
      </c>
      <c r="H43" s="500" t="inlineStr">
        <is>
          <t>5折</t>
        </is>
      </c>
      <c r="I43" s="4" t="str">
        <f t="shared" si="4"/>
        <v>[{30</v>
      </c>
      <c r="J43" s="4">
        <f>_xlfn.XLOOKUP(--SUBSTITUTE(LEFT(E43,FIND(",",E43)-1),"[{",""),价值表!D:D,价值表!F:F)</f>
        <v>280</v>
      </c>
      <c r="K43" s="4">
        <f t="shared" si="5"/>
        <v>5600</v>
      </c>
      <c r="L43" s="470">
        <f t="shared" si="6"/>
        <v>2.5</v>
      </c>
      <c r="M43" s="4" t="str">
        <f t="shared" si="7"/>
        <v>4折</v>
      </c>
      <c r="N43" s="4">
        <f>_xlfn.XLOOKUP(--SUBSTITUTE(I43,"[{",""),价值表!D:D,价值表!J:J)</f>
        <v>5</v>
      </c>
      <c r="O43" s="510" t="str">
        <f>IFERROR(_xlfn.XLOOKUP(IF(E43="","",--SUBSTITUTE(LEFT(E43,FIND(",",E43)-1),"[{","")),价值表!D:D,价值表!C:C),"")</f>
        <v>星辉秘契</v>
      </c>
      <c r="S43"/>
    </row>
    <row r="44" spans="1:19">
      <c r="B44" s="500">
        <v>2008</v>
      </c>
      <c r="C44" s="500">
        <v>2</v>
      </c>
      <c r="D44" s="500" t="inlineStr">
        <is>
          <t>星辉秘契</t>
        </is>
      </c>
      <c r="E44" s="517" t="inlineStr">
        <is>
          <t>[{30,20}]</t>
        </is>
      </c>
      <c r="F44" s="500" t="inlineStr">
        <is>
          <t>[{1,2240}]</t>
        </is>
      </c>
      <c r="G44" s="500">
        <v>5</v>
      </c>
      <c r="H44" s="500" t="inlineStr">
        <is>
          <t>4折</t>
        </is>
      </c>
      <c r="I44" s="4" t="str">
        <f t="shared" si="4"/>
        <v>[{5303001</v>
      </c>
      <c r="J44" s="4">
        <f>_xlfn.XLOOKUP(--SUBSTITUTE(LEFT(E44,FIND(",",E44)-1),"[{",""),价值表!D:D,价值表!F:F)</f>
        <v>5</v>
      </c>
      <c r="K44" s="4">
        <f t="shared" si="5"/>
        <v>500</v>
      </c>
      <c r="L44" s="470">
        <f t="shared" si="6"/>
        <v>1.25</v>
      </c>
      <c r="M44" s="4" t="str">
        <f t="shared" si="7"/>
        <v>8折</v>
      </c>
      <c r="N44" s="4">
        <f>_xlfn.XLOOKUP(--SUBSTITUTE(I44,"[{",""),价值表!D:D,价值表!J:J)</f>
        <v>8</v>
      </c>
      <c r="O44" s="510" t="str">
        <f>IFERROR(_xlfn.XLOOKUP(IF(E44="","",--SUBSTITUTE(LEFT(E44,FIND(",",E44)-1),"[{","")),价值表!D:D,价值表!C:C),"")</f>
        <v>符引结晶</v>
      </c>
      <c r="S44"/>
    </row>
    <row r="45" spans="1:19">
      <c r="B45" s="500">
        <v>2009</v>
      </c>
      <c r="C45" s="500">
        <v>2</v>
      </c>
      <c r="D45" s="517" t="inlineStr">
        <is>
          <t>符引结晶</t>
        </is>
      </c>
      <c r="E45" s="517" t="inlineStr">
        <is>
          <t>[{5303001,100}]</t>
        </is>
      </c>
      <c r="F45" s="500" t="inlineStr">
        <is>
          <t>[{1,400}]</t>
        </is>
      </c>
      <c r="G45" s="500">
        <v>3</v>
      </c>
      <c r="H45" s="500" t="inlineStr">
        <is>
          <t>8折</t>
        </is>
      </c>
      <c r="I45" s="4" t="str">
        <f t="shared" si="4"/>
        <v>[{5305001</v>
      </c>
      <c r="J45" s="4">
        <f>_xlfn.XLOOKUP(--SUBSTITUTE(LEFT(E45,FIND(",",E45)-1),"[{",""),价值表!D:D,价值表!F:F)</f>
        <v>60</v>
      </c>
      <c r="K45" s="4">
        <f t="shared" si="5"/>
        <v>720</v>
      </c>
      <c r="L45" s="470">
        <f t="shared" si="6"/>
        <v>2</v>
      </c>
      <c r="M45" s="4" t="str">
        <f t="shared" ref="M45:M49" si="8">ROUND(1/L45*10,0)&amp;"折"</f>
        <v>5折</v>
      </c>
      <c r="N45" s="4">
        <f>_xlfn.XLOOKUP(--SUBSTITUTE(I45,"[{",""),价值表!D:D,价值表!J:J)</f>
        <v>5</v>
      </c>
      <c r="O45" s="510" t="str">
        <f>IFERROR(_xlfn.XLOOKUP(IF(E45="","",--SUBSTITUTE(LEFT(E45,FIND(",",E45)-1),"[{","")),价值表!D:D,价值表!C:C),"")</f>
        <v>幻梦晶核</v>
      </c>
      <c r="S45"/>
    </row>
    <row r="46" spans="1:19">
      <c r="B46" s="500">
        <v>2010</v>
      </c>
      <c r="C46" s="500">
        <v>2</v>
      </c>
      <c r="D46" s="468" t="inlineStr">
        <is>
          <t>幻梦晶核</t>
        </is>
      </c>
      <c r="E46" s="517" t="inlineStr">
        <is>
          <t>[{5305001,12}]</t>
        </is>
      </c>
      <c r="F46" s="500" t="s">
        <v>1009</v>
      </c>
      <c r="G46" s="500">
        <v>2</v>
      </c>
      <c r="H46" s="500" t="inlineStr">
        <is>
          <t>5折</t>
        </is>
      </c>
      <c r="I46" s="4" t="str">
        <f t="shared" si="4"/>
        <v>[{5203001</v>
      </c>
      <c r="J46" s="4">
        <f>_xlfn.XLOOKUP(--SUBSTITUTE(LEFT(E46,FIND(",",E46)-1),"[{",""),价值表!D:D,价值表!F:F)</f>
        <v>3</v>
      </c>
      <c r="K46" s="4">
        <f t="shared" si="5"/>
        <v>600</v>
      </c>
      <c r="L46" s="470">
        <f t="shared" si="6"/>
        <v>1.66666666666667</v>
      </c>
      <c r="M46" s="4" t="str">
        <f t="shared" si="8"/>
        <v>6折</v>
      </c>
      <c r="N46" s="4">
        <f>_xlfn.XLOOKUP(--SUBSTITUTE(I46,"[{",""),价值表!D:D,价值表!J:J)</f>
        <v>6</v>
      </c>
      <c r="O46" s="510" t="str">
        <f>IFERROR(_xlfn.XLOOKUP(IF(E46="","",--SUBSTITUTE(LEFT(E46,FIND(",",E46)-1),"[{","")),价值表!D:D,价值表!C:C),"")</f>
        <v>织梦微尘</v>
      </c>
      <c r="S46"/>
    </row>
    <row r="47" spans="1:19">
      <c r="B47" s="500">
        <v>2011</v>
      </c>
      <c r="C47" s="500">
        <v>2</v>
      </c>
      <c r="D47" s="517" t="inlineStr">
        <is>
          <t>织梦微尘</t>
        </is>
      </c>
      <c r="E47" s="500" t="inlineStr">
        <is>
          <t>[{5203001,200}]</t>
        </is>
      </c>
      <c r="F47" s="500" t="inlineStr">
        <is>
          <t>[{1,360}]</t>
        </is>
      </c>
      <c r="G47" s="500">
        <v>3</v>
      </c>
      <c r="H47" s="500" t="inlineStr">
        <is>
          <t>6折</t>
        </is>
      </c>
      <c r="I47" s="4" t="str">
        <f t="shared" si="4"/>
        <v>[{5204001</v>
      </c>
      <c r="J47" s="4">
        <f>_xlfn.XLOOKUP(--SUBSTITUTE(LEFT(E47,FIND(",",E47)-1),"[{",""),价值表!D:D,价值表!F:F)</f>
        <v>5</v>
      </c>
      <c r="K47" s="4">
        <f t="shared" si="5"/>
        <v>120</v>
      </c>
      <c r="L47" s="470">
        <f t="shared" ref="L47:L49" si="9">K47/SUBSTITUTE(SUBSTITUTE(SUBSTITUTE(F47,"1,",""),"}]",""),"[{","")</f>
        <v>0.6</v>
      </c>
      <c r="M47" s="4" t="str">
        <f t="shared" si="8"/>
        <v>17折</v>
      </c>
      <c r="N47" s="4">
        <f>_xlfn.XLOOKUP(--SUBSTITUTE(I47,"[{",""),价值表!D:D,价值表!J:J)</f>
        <v>0</v>
      </c>
      <c r="O47" s="510" t="str">
        <f>IFERROR(_xlfn.XLOOKUP(IF(E47="","",--SUBSTITUTE(LEFT(E47,FIND(",",E47)-1),"[{","")),价值表!D:D,价值表!C:C),"")</f>
        <v>加速沙漏</v>
      </c>
      <c r="S47"/>
    </row>
    <row r="48" spans="1:19">
      <c r="B48" s="500">
        <v>2012</v>
      </c>
      <c r="C48" s="500">
        <v>2</v>
      </c>
      <c r="D48" s="517" t="inlineStr">
        <is>
          <t>加速沙漏</t>
        </is>
      </c>
      <c r="E48" s="500" t="inlineStr">
        <is>
          <t>[{5204001,24}]</t>
        </is>
      </c>
      <c r="F48" s="500" t="inlineStr">
        <is>
          <t>[{1,200}]</t>
        </is>
      </c>
      <c r="G48" s="500">
        <v>10</v>
      </c>
      <c r="H48" s="500" t="inlineStr">
        <is>
          <t>8折</t>
        </is>
      </c>
      <c r="I48" s="4" t="str">
        <f t="shared" si="4"/>
        <v>[{100009</v>
      </c>
      <c r="J48" s="4">
        <f>_xlfn.XLOOKUP(--SUBSTITUTE(LEFT(E48,FIND(",",E48)-1),"[{",""),价值表!D:D,价值表!F:F)</f>
        <v/>
      </c>
      <c r="K48" s="4">
        <f t="shared" si="5"/>
        <v>3000</v>
      </c>
      <c r="L48" s="470">
        <f t="shared" si="9"/>
        <v>3.06122448979592</v>
      </c>
      <c r="M48" s="4" t="str">
        <f t="shared" si="8"/>
        <v>3折</v>
      </c>
      <c r="N48" s="4">
        <f>_xlfn.XLOOKUP(--SUBSTITUTE(I48,"[{",""),价值表!D:D,价值表!J:J)</f>
        <v/>
      </c>
      <c r="O48" s="510" t="str">
        <f>IFERROR(_xlfn.XLOOKUP(IF(E48="","",--SUBSTITUTE(LEFT(E48,FIND(",",E48)-1),"[{","")),价值表!D:D,价值表!C:C),"")</f>
        <v/>
      </c>
      <c r="S48"/>
    </row>
    <row r="49" spans="1:19">
      <c r="B49" s="500">
        <v>2013</v>
      </c>
      <c r="C49" s="500">
        <v>2</v>
      </c>
      <c r="D49" s="500" t="inlineStr">
        <is>
          <t>梦境衣橱盒</t>
        </is>
      </c>
      <c r="E49" s="500" t="inlineStr">
        <is>
          <t>[{100009,1}]</t>
        </is>
      </c>
      <c r="F49" s="500" t="inlineStr">
        <is>
          <t>[{1,980}]</t>
        </is>
      </c>
      <c r="G49" s="500">
        <v>3</v>
      </c>
      <c r="H49" s="500" t="inlineStr">
        <is>
          <t>1折</t>
        </is>
      </c>
      <c r="I49" s="4" t="str">
        <f t="shared" si="4"/>
        <v>[{5523001</v>
      </c>
      <c r="J49" s="4">
        <f>价值表!F95</f>
        <v/>
      </c>
      <c r="K49" s="4">
        <f t="shared" si="5"/>
        <v>990</v>
      </c>
      <c r="L49" s="470">
        <f t="shared" si="9"/>
        <v>1.98</v>
      </c>
      <c r="M49" s="4" t="str">
        <f t="shared" si="8"/>
        <v>5折</v>
      </c>
      <c r="N49" s="4">
        <f>_xlfn.XLOOKUP(--SUBSTITUTE(I49,"[{",""),价值表!D:D,价值表!J:J)</f>
        <v>5</v>
      </c>
      <c r="O49" s="510" t="str">
        <f>IFERROR(_xlfn.XLOOKUP(IF(E49="","",--SUBSTITUTE(LEFT(E49,FIND(",",E49)-1),"[{","")),价值表!D:D,价值表!C:C),"")</f>
        <v>转运石</v>
      </c>
      <c r="S49"/>
    </row>
    <row r="50" spans="1:19">
      <c r="B50" s="500">
        <v>2014</v>
      </c>
      <c r="C50" s="500">
        <v>2</v>
      </c>
      <c r="D50" s="500" t="inlineStr">
        <is>
          <t>转运石</t>
        </is>
      </c>
      <c r="E50" s="500" t="inlineStr">
        <is>
          <t>[{5523001,3000}]</t>
        </is>
      </c>
      <c r="F50" s="500" t="inlineStr">
        <is>
          <t>[{1,500}]</t>
        </is>
      </c>
      <c r="G50" s="500">
        <v>4</v>
      </c>
      <c r="H50" s="500" t="inlineStr">
        <is>
          <t>5折</t>
        </is>
      </c>
      <c r="I50" s="4" t="str">
        <f t="shared" si="4"/>
        <v/>
      </c>
      <c r="J50" s="4">
        <f>_xlfn.XLOOKUP(--SUBSTITUTE(LEFT(E50,FIND(",",E50)-1),"[{",""),价值表!D:D,价值表!F:F)</f>
        <v/>
      </c>
      <c r="K50" s="4">
        <f>J50*SUBSTITUTE(SUBSTITUTE(E50,""&amp;I50&amp;",",""),"}]","")</f>
        <v/>
      </c>
      <c r="L50" s="518">
        <f>K50/SUBSTITUTE(SUBSTITUTE(SUBSTITUTE(F50,"1,",""),"}]",""),"[{","")</f>
        <v/>
      </c>
      <c r="M50" s="4">
        <f>ROUND(1/L50*10,0)&amp;"折"</f>
        <v/>
      </c>
      <c r="N50" s="4">
        <f>_xlfn.XLOOKUP(--SUBSTITUTE(I50,"[{",""),价值表!D:D,价值表!J:J)</f>
        <v/>
      </c>
      <c r="O50" s="510" t="str">
        <f>IFERROR(_xlfn.XLOOKUP(IF(E50="","",--SUBSTITUTE(LEFT(E50,FIND(",",E50)-1),"[{","")),价值表!D:D,价值表!C:C),"")</f>
        <v/>
      </c>
      <c r="S50"/>
    </row>
    <row r="51" spans="1:19">
      <c r="A51" s="511"/>
      <c r="B51" s="512">
        <v>2015</v>
      </c>
      <c r="C51" s="512">
        <v>2</v>
      </c>
      <c r="D51" s="512" t="inlineStr">
        <is>
          <t>智械发条</t>
        </is>
      </c>
      <c r="E51" s="513" t="inlineStr">
        <is>
          <t>[{62,10}]</t>
        </is>
      </c>
      <c r="F51" s="512" t="inlineStr">
        <is>
          <t>[{1,600}]</t>
        </is>
      </c>
      <c r="G51" s="512">
        <v>3</v>
      </c>
      <c r="H51" s="512" t="inlineStr">
        <is>
          <t>4折</t>
        </is>
      </c>
      <c r="I51" s="514" t="str">
        <f t="shared" si="4"/>
        <v>[{11</v>
      </c>
      <c r="J51" s="514">
        <f>价值表!F114</f>
        <v/>
      </c>
      <c r="K51" s="514">
        <f t="shared" ref="K51:K62" si="10">J51*SUBSTITUTE(SUBSTITUTE(E51,""&amp;I51&amp;",",""),"}]","")</f>
        <v>1500</v>
      </c>
      <c r="L51" s="515">
        <f>K51/SUBSTITUTE(SUBSTITUTE(SUBSTITUTE(F51,"1,",""),"}]",""),"[{","")</f>
        <v>2</v>
      </c>
      <c r="M51" s="514" t="str">
        <f>ROUND(1/L51*10,0)&amp;"折"</f>
        <v>5折</v>
      </c>
      <c r="N51" s="514">
        <f>_xlfn.XLOOKUP(--SUBSTITUTE(I51,"[{",""),价值表!D:D,价值表!J:J)</f>
        <v>6</v>
      </c>
      <c r="O51" s="516" t="str">
        <f>IFERROR(_xlfn.XLOOKUP(IF(E51="","",--SUBSTITUTE(LEFT(E51,FIND(",",E51)-1),"[{","")),价值表!D:D,价值表!C:C),"")</f>
        <v>梦境招募器</v>
      </c>
      <c r="S51"/>
    </row>
    <row r="52" spans="1:19">
      <c r="B52" s="500">
        <v>2016</v>
      </c>
      <c r="C52" s="500">
        <v>2</v>
      </c>
      <c r="D52" s="500" t="inlineStr">
        <is>
          <t>随机史诗藏品</t>
        </is>
      </c>
      <c r="E52" s="517" t="inlineStr">
        <is>
          <t>[{6220021,1}]</t>
        </is>
      </c>
      <c r="F52" s="500" t="inlineStr">
        <is>
          <t>[{1,1400}]</t>
        </is>
      </c>
      <c r="G52" s="500">
        <v>3</v>
      </c>
      <c r="H52" s="500" t="s">
        <v>959</v>
      </c>
      <c r="I52" s="4" t="str">
        <f t="shared" si="4"/>
        <v>[{11</v>
      </c>
      <c r="J52" s="4">
        <f>价值表!F181</f>
        <v/>
      </c>
      <c r="K52" s="4">
        <f t="shared" si="10"/>
        <v>6000</v>
      </c>
      <c r="L52" s="470">
        <f t="shared" ref="L52:L62" si="11">K52/SUBSTITUTE(SUBSTITUTE(SUBSTITUTE(F52,"1,",""),"}]",""),"[{","")</f>
        <v>1.81818181818182</v>
      </c>
      <c r="M52" s="4" t="str">
        <f t="shared" ref="M52:M62" si="12">ROUND(1/L52*10,0)&amp;"折"</f>
        <v>6折</v>
      </c>
      <c r="N52" s="4">
        <f>_xlfn.XLOOKUP(--SUBSTITUTE(I52,"[{",""),价值表!D:D,价值表!J:J)</f>
        <v>6</v>
      </c>
      <c r="O52" s="510" t="str">
        <f>IFERROR(_xlfn.XLOOKUP(IF(E52="","",--SUBSTITUTE(LEFT(E52,FIND(",",E52)-1),"[{","")),价值表!D:D,价值表!C:C),"")</f>
        <v>梦境招募器</v>
      </c>
      <c r="S52"/>
    </row>
    <row r="53" spans="1:19">
      <c r="B53" s="500">
        <v>2017</v>
      </c>
      <c r="C53" s="500">
        <v>2</v>
      </c>
      <c r="D53" s="500" t="inlineStr">
        <is>
          <t>万象自选宝盒Ⅰ</t>
        </is>
      </c>
      <c r="E53" s="500" t="inlineStr">
        <is>
          <t>[{100143,1}]</t>
        </is>
      </c>
      <c r="F53" s="500" t="inlineStr">
        <is>
          <t>[{1,3000}]</t>
        </is>
      </c>
      <c r="G53" s="500">
        <v>1</v>
      </c>
      <c r="H53" s="500" t="inlineStr">
        <is>
          <t>5折</t>
        </is>
      </c>
      <c r="I53" s="4" t="str">
        <f t="shared" si="4"/>
        <v>[{5104001</v>
      </c>
      <c r="J53" s="4">
        <f>价值表!F105</f>
        <v/>
      </c>
      <c r="K53" s="4">
        <f t="shared" si="10"/>
        <v>2000</v>
      </c>
      <c r="L53" s="470">
        <f t="shared" si="11"/>
        <v>3.33333333333333</v>
      </c>
      <c r="M53" s="4" t="str">
        <f t="shared" si="12"/>
        <v>3折</v>
      </c>
      <c r="N53" s="4">
        <f>_xlfn.XLOOKUP(--SUBSTITUTE(I53,"[{",""),价值表!D:D,价值表!J:J)</f>
        <v>0</v>
      </c>
      <c r="O53" s="510" t="str">
        <f>IFERROR(_xlfn.XLOOKUP(IF(E53="","",--SUBSTITUTE(LEFT(E53,FIND(",",E53)-1),"[{","")),价值表!D:D,价值表!C:C),"")</f>
        <v>超能特饮</v>
      </c>
      <c r="S53"/>
    </row>
    <row r="54" spans="1:19">
      <c r="B54" s="500"/>
      <c r="C54" s="500"/>
      <c r="D54" s="500"/>
      <c r="E54" s="500"/>
      <c r="F54" s="500"/>
      <c r="G54" s="500"/>
      <c r="H54" s="500"/>
      <c r="I54" s="4"/>
      <c r="J54" s="4"/>
      <c r="K54" s="4"/>
      <c r="L54" s="470"/>
      <c r="M54" s="4"/>
      <c r="N54" s="4"/>
      <c r="O54" s="510"/>
      <c r="S54"/>
    </row>
    <row r="55" spans="1:19">
      <c r="B55" s="500">
        <v>3001</v>
      </c>
      <c r="C55" s="500">
        <v>2</v>
      </c>
      <c r="D55" s="517" t="inlineStr">
        <is>
          <t>招募器</t>
        </is>
      </c>
      <c r="E55" s="517" t="inlineStr">
        <is>
          <t>[{11,50}]</t>
        </is>
      </c>
      <c r="F55" s="500" t="inlineStr">
        <is>
          <t>[{1,750}]</t>
        </is>
      </c>
      <c r="G55" s="500">
        <v>2</v>
      </c>
      <c r="H55" s="500" t="inlineStr">
        <is>
          <t>5折</t>
        </is>
      </c>
      <c r="I55" s="4" t="str">
        <f t="shared" si="4"/>
        <v>[{5305001</v>
      </c>
      <c r="J55" s="4">
        <f>_xlfn.XLOOKUP(--SUBSTITUTE(LEFT(E55,FIND(",",E55)-1),"[{",""),价值表!D:D,价值表!F:F)</f>
        <v>60</v>
      </c>
      <c r="K55" s="4">
        <f t="shared" si="10"/>
        <v>1800</v>
      </c>
      <c r="L55" s="470">
        <f t="shared" si="11"/>
        <v>2</v>
      </c>
      <c r="M55" s="4" t="str">
        <f t="shared" si="12"/>
        <v>5折</v>
      </c>
      <c r="N55" s="4">
        <f>_xlfn.XLOOKUP(--SUBSTITUTE(I55,"[{",""),价值表!D:D,价值表!J:J)</f>
        <v>5</v>
      </c>
      <c r="O55" s="510" t="str">
        <f>IFERROR(_xlfn.XLOOKUP(IF(E55="","",--SUBSTITUTE(LEFT(E55,FIND(",",E55)-1),"[{","")),价值表!D:D,价值表!C:C),"")</f>
        <v>幻梦晶核</v>
      </c>
      <c r="S55"/>
    </row>
    <row r="56" spans="1:19">
      <c r="B56" s="500">
        <v>3002</v>
      </c>
      <c r="C56" s="500">
        <v>2</v>
      </c>
      <c r="D56" s="517" t="inlineStr">
        <is>
          <t>招募器</t>
        </is>
      </c>
      <c r="E56" s="517" t="inlineStr">
        <is>
          <t>[{11,200}]</t>
        </is>
      </c>
      <c r="F56" s="500" t="inlineStr">
        <is>
          <t>[{1,3300}]</t>
        </is>
      </c>
      <c r="G56" s="500">
        <v>2</v>
      </c>
      <c r="H56" s="500" t="inlineStr">
        <is>
          <t>6折</t>
        </is>
      </c>
      <c r="I56" s="4" t="str">
        <f t="shared" si="4"/>
        <v>[{5305001</v>
      </c>
      <c r="J56" s="4">
        <f>_xlfn.XLOOKUP(--SUBSTITUTE(LEFT(E56,FIND(",",E56)-1),"[{",""),价值表!D:D,价值表!F:F)</f>
        <v>60</v>
      </c>
      <c r="K56" s="4">
        <f t="shared" si="10"/>
        <v>7800</v>
      </c>
      <c r="L56" s="470">
        <f t="shared" si="11"/>
        <v>2.5</v>
      </c>
      <c r="M56" s="4" t="str">
        <f t="shared" si="12"/>
        <v>4折</v>
      </c>
      <c r="N56" s="4">
        <f>_xlfn.XLOOKUP(--SUBSTITUTE(I56,"[{",""),价值表!D:D,价值表!J:J)</f>
        <v>5</v>
      </c>
      <c r="O56" s="510" t="str">
        <f>IFERROR(_xlfn.XLOOKUP(IF(E56="","",--SUBSTITUTE(LEFT(E56,FIND(",",E56)-1),"[{","")),价值表!D:D,价值表!C:C),"")</f>
        <v>幻梦晶核</v>
      </c>
      <c r="S56"/>
    </row>
    <row r="57" spans="1:19">
      <c r="B57" s="500">
        <v>3003</v>
      </c>
      <c r="C57" s="500">
        <v>2</v>
      </c>
      <c r="D57" s="517" t="inlineStr">
        <is>
          <t>能量特饮</t>
        </is>
      </c>
      <c r="E57" s="517" t="inlineStr">
        <is>
          <t>[{5104001,1000}]</t>
        </is>
      </c>
      <c r="F57" s="500" t="inlineStr">
        <is>
          <t>[{1,600}]</t>
        </is>
      </c>
      <c r="G57" s="500">
        <v>10</v>
      </c>
      <c r="H57" s="500" t="inlineStr">
        <is>
          <t>3折</t>
        </is>
      </c>
      <c r="I57" s="4" t="str">
        <f t="shared" ref="I57:I62" si="13">IF(B57="","",SUBSTITUTE(LEFT(E57,FIND(",",E57)-1),"",""))</f>
        <v>[{100008</v>
      </c>
      <c r="J57" s="4">
        <f>_xlfn.XLOOKUP(--SUBSTITUTE(LEFT(E57,FIND(",",E57)-1),"[{",""),价值表!D:D,价值表!F:F)</f>
        <v/>
      </c>
      <c r="K57" s="4">
        <f t="shared" si="10"/>
        <v>5000</v>
      </c>
      <c r="L57" s="470">
        <f t="shared" si="11"/>
        <v>1.52439024390244</v>
      </c>
      <c r="M57" s="4" t="str">
        <f t="shared" si="12"/>
        <v>7折</v>
      </c>
      <c r="N57" s="4">
        <f>_xlfn.XLOOKUP(--SUBSTITUTE(I57,"[{",""),价值表!D:D,价值表!J:J)</f>
        <v/>
      </c>
      <c r="O57" s="510" t="str">
        <f>IFERROR(_xlfn.XLOOKUP(IF(E57="","",--SUBSTITUTE(LEFT(E57,FIND(",",E57)-1),"[{","")),价值表!D:D,价值表!C:C),"")</f>
        <v/>
      </c>
      <c r="S57"/>
    </row>
    <row r="58" spans="1:19">
      <c r="B58" s="500">
        <v>3004</v>
      </c>
      <c r="C58" s="500">
        <v>2</v>
      </c>
      <c r="D58" s="468" t="inlineStr">
        <is>
          <t>装备图纸</t>
        </is>
      </c>
      <c r="E58" s="517" t="inlineStr">
        <is>
          <t>[{50002,400}]</t>
        </is>
      </c>
      <c r="F58" s="500" t="inlineStr">
        <is>
          <t>[{1,600}]</t>
        </is>
      </c>
      <c r="G58" s="500">
        <v>3</v>
      </c>
      <c r="H58" s="500" t="inlineStr">
        <is>
          <t>5折</t>
        </is>
      </c>
      <c r="I58" s="4" t="str">
        <f t="shared" si="13"/>
        <v>[{30</v>
      </c>
      <c r="J58" s="4">
        <f>_xlfn.XLOOKUP(--SUBSTITUTE(LEFT(E58,FIND(",",E58)-1),"[{",""),价值表!D:D,价值表!F:F)</f>
        <v>280</v>
      </c>
      <c r="K58" s="4">
        <f t="shared" si="10"/>
        <v>2800</v>
      </c>
      <c r="L58" s="470">
        <f t="shared" si="11"/>
        <v>3.33333333333333</v>
      </c>
      <c r="M58" s="4" t="str">
        <f t="shared" si="12"/>
        <v>3折</v>
      </c>
      <c r="N58" s="4">
        <f>_xlfn.XLOOKUP(--SUBSTITUTE(I58,"[{",""),价值表!D:D,价值表!J:J)</f>
        <v>5</v>
      </c>
      <c r="O58" s="510" t="str">
        <f>IFERROR(_xlfn.XLOOKUP(IF(E58="","",--SUBSTITUTE(LEFT(E58,FIND(",",E58)-1),"[{","")),价值表!D:D,价值表!C:C),"")</f>
        <v>星辉秘契</v>
      </c>
    </row>
    <row r="59" spans="1:19">
      <c r="B59" s="500">
        <v>3005</v>
      </c>
      <c r="C59" s="500">
        <v>2</v>
      </c>
      <c r="D59" s="468" t="inlineStr">
        <is>
          <t>幻梦晶核</t>
        </is>
      </c>
      <c r="E59" s="517" t="inlineStr">
        <is>
          <t>[{5305001,30}]</t>
        </is>
      </c>
      <c r="F59" s="500" t="inlineStr">
        <is>
          <t>[{1,900}]</t>
        </is>
      </c>
      <c r="G59" s="500">
        <v>3</v>
      </c>
      <c r="H59" s="500" t="inlineStr">
        <is>
          <t>5折</t>
        </is>
      </c>
      <c r="I59" s="4" t="str">
        <f t="shared" si="13"/>
        <v>[{30</v>
      </c>
      <c r="J59" s="4">
        <f>_xlfn.XLOOKUP(--SUBSTITUTE(LEFT(E59,FIND(",",E59)-1),"[{",""),价值表!D:D,价值表!F:F)</f>
        <v>280</v>
      </c>
      <c r="K59" s="4">
        <f t="shared" si="10"/>
        <v>11200</v>
      </c>
      <c r="L59" s="470">
        <f t="shared" si="11"/>
        <v>2.5</v>
      </c>
      <c r="M59" s="4" t="str">
        <f t="shared" si="12"/>
        <v>4折</v>
      </c>
      <c r="N59" s="4">
        <f>_xlfn.XLOOKUP(--SUBSTITUTE(I59,"[{",""),价值表!D:D,价值表!J:J)</f>
        <v>5</v>
      </c>
      <c r="O59" s="510" t="str">
        <f>IFERROR(_xlfn.XLOOKUP(IF(E59="","",--SUBSTITUTE(LEFT(E59,FIND(",",E59)-1),"[{","")),价值表!D:D,价值表!C:C),"")</f>
        <v>星辉秘契</v>
      </c>
    </row>
    <row r="60" spans="1:19">
      <c r="B60" s="500">
        <v>3006</v>
      </c>
      <c r="C60" s="500">
        <v>2</v>
      </c>
      <c r="D60" s="517" t="inlineStr">
        <is>
          <t>幻梦晶核</t>
        </is>
      </c>
      <c r="E60" s="517" t="inlineStr">
        <is>
          <t>[{5305001,130}]</t>
        </is>
      </c>
      <c r="F60" s="500" t="inlineStr">
        <is>
          <t>[{1,3120}]</t>
        </is>
      </c>
      <c r="G60" s="500">
        <v>1</v>
      </c>
      <c r="H60" s="500" t="inlineStr">
        <is>
          <t>4折</t>
        </is>
      </c>
      <c r="I60" s="4" t="str">
        <f t="shared" si="13"/>
        <v>[{5305000</v>
      </c>
      <c r="J60" s="4">
        <f>_xlfn.XLOOKUP(--SUBSTITUTE(LEFT(E60,FIND(",",E60)-1),"[{",""),价值表!D:D,价值表!F:F)</f>
        <v>4096</v>
      </c>
      <c r="K60" s="4">
        <f t="shared" si="10"/>
        <v>4096</v>
      </c>
      <c r="L60" s="470">
        <f t="shared" si="11"/>
        <v>2.96811594202899</v>
      </c>
      <c r="M60" s="4" t="str">
        <f t="shared" si="12"/>
        <v>3折</v>
      </c>
      <c r="N60" s="4">
        <f>_xlfn.XLOOKUP(--SUBSTITUTE(I60,"[{",""),价值表!D:D,价值表!J:J)</f>
        <v>0</v>
      </c>
      <c r="O60" s="510" t="str">
        <f>IFERROR(_xlfn.XLOOKUP(IF(E60="","",--SUBSTITUTE(LEFT(E60,FIND(",",E60)-1),"[{","")),价值表!D:D,价值表!C:C),"")</f>
        <v>传说符文</v>
      </c>
    </row>
    <row r="61" spans="1:19">
      <c r="B61" s="500">
        <v>3007</v>
      </c>
      <c r="C61" s="500">
        <v>2</v>
      </c>
      <c r="D61" s="517" t="inlineStr">
        <is>
          <t>绮梦衣橱盒</t>
        </is>
      </c>
      <c r="E61" s="517" t="inlineStr">
        <is>
          <t>[{100008,1}]</t>
        </is>
      </c>
      <c r="F61" s="500" t="inlineStr">
        <is>
          <t>[{1,3280}]</t>
        </is>
      </c>
      <c r="G61" s="500">
        <v>2</v>
      </c>
      <c r="H61" s="500" t="inlineStr">
        <is>
          <t>4折</t>
        </is>
      </c>
      <c r="I61" s="4" t="str">
        <f t="shared" si="13"/>
        <v>[{5306000</v>
      </c>
      <c r="J61" s="4">
        <f>价值表!F96</f>
        <v/>
      </c>
      <c r="K61" s="4">
        <f t="shared" si="10"/>
        <v>16384</v>
      </c>
      <c r="L61" s="470">
        <f t="shared" si="11"/>
        <v>2.52839506172839</v>
      </c>
      <c r="M61" s="4" t="str">
        <f t="shared" si="12"/>
        <v>4折</v>
      </c>
      <c r="N61" s="4">
        <f>_xlfn.XLOOKUP(--SUBSTITUTE(I61,"[{",""),价值表!D:D,价值表!J:J)</f>
        <v>0</v>
      </c>
      <c r="O61" s="510" t="str">
        <f>IFERROR(_xlfn.XLOOKUP(IF(E61="","",--SUBSTITUTE(LEFT(E61,FIND(",",E61)-1),"[{","")),价值表!D:D,价值表!C:C),"")</f>
        <v>神话符文</v>
      </c>
    </row>
    <row r="62" spans="1:19">
      <c r="B62" s="500">
        <v>3008</v>
      </c>
      <c r="C62" s="500">
        <v>2</v>
      </c>
      <c r="D62" s="500" t="inlineStr">
        <is>
          <t>星辉秘契</t>
        </is>
      </c>
      <c r="E62" s="500" t="inlineStr">
        <is>
          <t>[{30,10}]</t>
        </is>
      </c>
      <c r="F62" s="500" t="inlineStr">
        <is>
          <t>[{1,840}]</t>
        </is>
      </c>
      <c r="G62" s="500">
        <v>3</v>
      </c>
      <c r="H62" s="500" t="inlineStr">
        <is>
          <t>3折</t>
        </is>
      </c>
      <c r="I62" s="4" t="str">
        <f t="shared" si="13"/>
        <v>[{5523001</v>
      </c>
      <c r="J62" s="4">
        <f>_xlfn.XLOOKUP(--SUBSTITUTE(LEFT(E62,FIND(",",E62)-1),"[{",""),价值表!D:D,价值表!F:F)</f>
        <v>0.33</v>
      </c>
      <c r="K62" s="4">
        <f t="shared" si="10"/>
        <v>3300</v>
      </c>
      <c r="L62" s="470">
        <f t="shared" si="11"/>
        <v>2.5</v>
      </c>
      <c r="M62" s="4" t="str">
        <f t="shared" si="12"/>
        <v>4折</v>
      </c>
      <c r="N62" s="4">
        <f>_xlfn.XLOOKUP(--SUBSTITUTE(I62,"[{",""),价值表!D:D,价值表!J:J)</f>
        <v>5</v>
      </c>
      <c r="O62" s="510" t="str">
        <f>IFERROR(_xlfn.XLOOKUP(IF(E62="","",--SUBSTITUTE(LEFT(E62,FIND(",",E62)-1),"[{","")),价值表!D:D,价值表!C:C),"")</f>
        <v>转运石</v>
      </c>
    </row>
    <row r="63" spans="1:19">
      <c r="B63" s="500">
        <v>3009</v>
      </c>
      <c r="C63" s="500">
        <v>2</v>
      </c>
      <c r="D63" s="500" t="inlineStr">
        <is>
          <t>星辉秘契</t>
        </is>
      </c>
      <c r="E63" s="500" t="inlineStr">
        <is>
          <t>[{30,40}]</t>
        </is>
      </c>
      <c r="F63" s="500" t="inlineStr">
        <is>
          <t>[{1,4480}]</t>
        </is>
      </c>
      <c r="G63" s="500">
        <v>3</v>
      </c>
      <c r="H63" s="500" t="inlineStr">
        <is>
          <t>4折</t>
        </is>
      </c>
      <c r="I63" s="4">
        <f>IF(B63="","",SUBSTITUTE(LEFT(E63,FIND(",",E63)-1),"",""))</f>
        <v/>
      </c>
      <c r="J63" s="4">
        <f>_xlfn.XLOOKUP(--SUBSTITUTE(LEFT(E63,FIND(",",E63)-1),"[{",""),价值表!D:D,价值表!F:F)</f>
        <v/>
      </c>
      <c r="K63" s="4">
        <f>J63*SUBSTITUTE(SUBSTITUTE(E63,""&amp;I63&amp;",",""),"}]","")</f>
        <v/>
      </c>
      <c r="L63" s="470">
        <f>K63/SUBSTITUTE(SUBSTITUTE(SUBSTITUTE(F63,"1,",""),"}]",""),"[{","")</f>
        <v/>
      </c>
      <c r="M63" s="4">
        <f>ROUND(1/L63*10,0)&amp;"折"</f>
        <v/>
      </c>
      <c r="N63" s="4">
        <f>_xlfn.XLOOKUP(--SUBSTITUTE(I63,"[{",""),价值表!D:D,价值表!J:J)</f>
        <v/>
      </c>
      <c r="O63" s="510">
        <f>IFERROR(_xlfn.XLOOKUP(IF(E63="","",--SUBSTITUTE(LEFT(E63,FIND(",",E63)-1),"[{","")),价值表!D:D,价值表!C:C),"")</f>
        <v/>
      </c>
    </row>
    <row r="64" spans="1:19">
      <c r="B64" s="500">
        <v>3010</v>
      </c>
      <c r="C64" s="500">
        <v>2</v>
      </c>
      <c r="D64" s="500" t="inlineStr">
        <is>
          <t>传说符文</t>
        </is>
      </c>
      <c r="E64" s="500" t="inlineStr">
        <is>
          <t>[{5305000,1}]</t>
        </is>
      </c>
      <c r="F64" s="500" t="inlineStr">
        <is>
          <t>[{1,1380}]</t>
        </is>
      </c>
      <c r="G64" s="500">
        <v>1</v>
      </c>
      <c r="H64" s="500" t="inlineStr">
        <is>
          <t>1折</t>
        </is>
      </c>
      <c r="I64" s="4">
        <f>IF(B64="","",SUBSTITUTE(LEFT(E64,FIND(",",E64)-1),"",""))</f>
        <v/>
      </c>
      <c r="J64" s="4">
        <f>_xlfn.XLOOKUP(--SUBSTITUTE(LEFT(E64,FIND(",",E64)-1),"[{",""),价值表!D:D,价值表!F:F)</f>
        <v/>
      </c>
      <c r="K64" s="4">
        <f>J64*SUBSTITUTE(SUBSTITUTE(E64,""&amp;I64&amp;",",""),"}]","")</f>
        <v/>
      </c>
      <c r="L64" s="470">
        <f>K64/SUBSTITUTE(SUBSTITUTE(SUBSTITUTE(F64,"1,",""),"}]",""),"[{","")</f>
        <v/>
      </c>
      <c r="M64" s="4">
        <f>ROUND(1/L64*10,0)&amp;"折"</f>
        <v/>
      </c>
      <c r="N64" s="4">
        <f>_xlfn.XLOOKUP(--SUBSTITUTE(I64,"[{",""),价值表!D:D,价值表!J:J)</f>
        <v/>
      </c>
      <c r="O64" s="510">
        <f>IFERROR(_xlfn.XLOOKUP(IF(E64="","",--SUBSTITUTE(LEFT(E64,FIND(",",E64)-1),"[{","")),价值表!D:D,价值表!C:C),"")</f>
        <v/>
      </c>
    </row>
    <row r="65" spans="1:19">
      <c r="B65" s="500">
        <v>3011</v>
      </c>
      <c r="C65" s="500">
        <v>2</v>
      </c>
      <c r="D65" s="500" t="inlineStr">
        <is>
          <t>神话符文</t>
        </is>
      </c>
      <c r="E65" s="500" t="inlineStr">
        <is>
          <t>[{5306000,1}]</t>
        </is>
      </c>
      <c r="F65" s="500" t="inlineStr">
        <is>
          <t>[{1,6480}]</t>
        </is>
      </c>
      <c r="G65" s="500">
        <v>1</v>
      </c>
      <c r="H65" s="500" t="inlineStr">
        <is>
          <t>1折</t>
        </is>
      </c>
      <c r="I65" s="4">
        <f>IF(B65="","",SUBSTITUTE(LEFT(E65,FIND(",",E65)-1),"",""))</f>
        <v/>
      </c>
      <c r="J65" s="4">
        <f>_xlfn.XLOOKUP(--SUBSTITUTE(LEFT(E65,FIND(",",E65)-1),"[{",""),价值表!D:D,价值表!F:F)</f>
        <v/>
      </c>
      <c r="K65" s="4">
        <f>J65*SUBSTITUTE(SUBSTITUTE(E65,""&amp;I65&amp;",",""),"}]","")</f>
        <v/>
      </c>
      <c r="L65" s="470">
        <f>K65/SUBSTITUTE(SUBSTITUTE(SUBSTITUTE(F65,"1,",""),"}]",""),"[{","")</f>
        <v/>
      </c>
      <c r="M65" s="4">
        <f>ROUND(1/L65*10,0)&amp;"折"</f>
        <v/>
      </c>
      <c r="N65" s="4">
        <f>_xlfn.XLOOKUP(--SUBSTITUTE(I65,"[{",""),价值表!D:D,价值表!J:J)</f>
        <v/>
      </c>
      <c r="O65" s="510">
        <f>IFERROR(_xlfn.XLOOKUP(IF(E65="","",--SUBSTITUTE(LEFT(E65,FIND(",",E65)-1),"[{","")),价值表!D:D,价值表!C:C),"")</f>
        <v/>
      </c>
    </row>
    <row r="66" spans="1:19">
      <c r="B66" s="500">
        <v>3012</v>
      </c>
      <c r="C66" s="500">
        <v>2</v>
      </c>
      <c r="D66" s="500" t="inlineStr">
        <is>
          <t>转运石</t>
        </is>
      </c>
      <c r="E66" s="500" t="inlineStr">
        <is>
          <t>[{5523001,10000}]</t>
        </is>
      </c>
      <c r="F66" s="500" t="inlineStr">
        <is>
          <t>[{1,1320}]</t>
        </is>
      </c>
      <c r="G66" s="500">
        <v>6</v>
      </c>
      <c r="H66" s="500" t="inlineStr">
        <is>
          <t>4折</t>
        </is>
      </c>
      <c r="I66" s="4">
        <f>IF(B66="","",SUBSTITUTE(LEFT(E66,FIND(",",E66)-1),"",""))</f>
        <v/>
      </c>
      <c r="J66" s="4">
        <f>_xlfn.XLOOKUP(--SUBSTITUTE(LEFT(E66,FIND(",",E66)-1),"[{",""),价值表!D:D,价值表!F:F)</f>
        <v/>
      </c>
      <c r="K66" s="4">
        <f>J66*SUBSTITUTE(SUBSTITUTE(E66,""&amp;I66&amp;",",""),"}]","")</f>
        <v/>
      </c>
      <c r="L66" s="470">
        <f>K66/SUBSTITUTE(SUBSTITUTE(SUBSTITUTE(F66,"1,",""),"}]",""),"[{","")</f>
        <v/>
      </c>
      <c r="M66" s="4">
        <f>ROUND(1/L66*10,0)&amp;"折"</f>
        <v/>
      </c>
      <c r="N66" s="4">
        <f>_xlfn.XLOOKUP(--SUBSTITUTE(I66,"[{",""),价值表!D:D,价值表!J:J)</f>
        <v/>
      </c>
      <c r="O66" s="510">
        <f>IFERROR(_xlfn.XLOOKUP(IF(E66="","",--SUBSTITUTE(LEFT(E66,FIND(",",E66)-1),"[{","")),价值表!D:D,价值表!C:C),"")</f>
        <v/>
      </c>
    </row>
    <row r="67" spans="1:19">
      <c r="B67" s="500">
        <v>3013</v>
      </c>
      <c r="C67" s="500">
        <v>2</v>
      </c>
      <c r="D67" s="500" t="inlineStr">
        <is>
          <t>智械发条</t>
        </is>
      </c>
      <c r="E67" s="500" t="inlineStr">
        <is>
          <t>[{62,10}]</t>
        </is>
      </c>
      <c r="F67" s="500" t="inlineStr">
        <is>
          <t>[{1,450}]</t>
        </is>
      </c>
      <c r="G67" s="500">
        <v>3</v>
      </c>
      <c r="H67" s="500" t="inlineStr">
        <is>
          <t>3折</t>
        </is>
      </c>
      <c r="I67" s="4">
        <f>IF(B67="","",SUBSTITUTE(LEFT(E67,FIND(",",E67)-1),"",""))</f>
        <v/>
      </c>
      <c r="J67" s="4">
        <f>价值表!F114</f>
        <v/>
      </c>
      <c r="K67" s="4">
        <f>J67*SUBSTITUTE(SUBSTITUTE(E67,""&amp;I67&amp;",",""),"}]","")</f>
        <v/>
      </c>
      <c r="L67" s="470">
        <f>K67/SUBSTITUTE(SUBSTITUTE(SUBSTITUTE(F67,"1,",""),"}]",""),"[{","")</f>
        <v/>
      </c>
      <c r="M67" s="4">
        <f>ROUND(1/L67*10,0)&amp;"折"</f>
        <v/>
      </c>
      <c r="N67" s="4">
        <f>_xlfn.XLOOKUP(--SUBSTITUTE(I67,"[{",""),价值表!D:D,价值表!J:J)</f>
        <v/>
      </c>
      <c r="O67" s="510">
        <f>IFERROR(_xlfn.XLOOKUP(IF(E67="","",--SUBSTITUTE(LEFT(E67,FIND(",",E67)-1),"[{","")),价值表!D:D,价值表!C:C),"")</f>
        <v/>
      </c>
    </row>
    <row r="68" spans="1:19">
      <c r="B68" s="500">
        <v>3014</v>
      </c>
      <c r="C68" s="500">
        <v>2</v>
      </c>
      <c r="D68" s="500" t="inlineStr">
        <is>
          <t>智械发条</t>
        </is>
      </c>
      <c r="E68" s="500" t="inlineStr">
        <is>
          <t>[{62,20}]</t>
        </is>
      </c>
      <c r="F68" s="500" t="inlineStr">
        <is>
          <t>[{1,1200}]</t>
        </is>
      </c>
      <c r="G68" s="500">
        <v>2</v>
      </c>
      <c r="H68" s="500" t="inlineStr">
        <is>
          <t>4折</t>
        </is>
      </c>
      <c r="I68" s="4">
        <f>IF(B68="","",SUBSTITUTE(LEFT(E68,FIND(",",E68)-1),"",""))</f>
        <v/>
      </c>
      <c r="J68" s="4">
        <f>价值表!F114</f>
        <v/>
      </c>
      <c r="K68" s="4">
        <f>J68*SUBSTITUTE(SUBSTITUTE(E68,""&amp;I68&amp;",",""),"}]","")</f>
        <v/>
      </c>
      <c r="L68" s="470">
        <f>K68/SUBSTITUTE(SUBSTITUTE(SUBSTITUTE(F68,"1,",""),"}]",""),"[{","")</f>
        <v/>
      </c>
      <c r="M68" s="4">
        <f>ROUND(1/L68*10,0)&amp;"折"</f>
        <v/>
      </c>
      <c r="N68" s="4">
        <f>_xlfn.XLOOKUP(--SUBSTITUTE(I68,"[{",""),价值表!D:D,价值表!J:J)</f>
        <v/>
      </c>
      <c r="O68" s="510">
        <f>IFERROR(_xlfn.XLOOKUP(IF(E68="","",--SUBSTITUTE(LEFT(E68,FIND(",",E68)-1),"[{","")),价值表!D:D,价值表!C:C),"")</f>
        <v/>
      </c>
    </row>
    <row r="69" spans="1:19">
      <c r="B69" s="500">
        <v>3015</v>
      </c>
      <c r="C69" s="500">
        <v>2</v>
      </c>
      <c r="D69" s="500" t="inlineStr">
        <is>
          <t>怦怦时刻</t>
        </is>
      </c>
      <c r="E69" s="500" t="inlineStr">
        <is>
          <t>[{6200012,1}]</t>
        </is>
      </c>
      <c r="F69" s="500" t="inlineStr">
        <is>
          <t>[{1,2400}]</t>
        </is>
      </c>
      <c r="G69" s="500">
        <v>3</v>
      </c>
      <c r="H69" s="500" t="inlineStr">
        <is>
          <t>5折</t>
        </is>
      </c>
      <c r="I69" s="4">
        <f>IF(B69="","",SUBSTITUTE(LEFT(E69,FIND(",",E69)-1),"",""))</f>
        <v/>
      </c>
      <c r="J69" s="4">
        <f>价值表!F149</f>
        <v/>
      </c>
      <c r="K69" s="4">
        <f>J69*SUBSTITUTE(SUBSTITUTE(E69,""&amp;I69&amp;",",""),"}]","")</f>
        <v/>
      </c>
      <c r="L69" s="470">
        <f>K69/SUBSTITUTE(SUBSTITUTE(SUBSTITUTE(F69,"1,",""),"}]",""),"[{","")</f>
        <v/>
      </c>
      <c r="M69" s="4">
        <f>ROUND(1/L69*10,0)&amp;"折"</f>
        <v/>
      </c>
      <c r="N69" s="4">
        <f>_xlfn.XLOOKUP(--SUBSTITUTE(I69,"[{",""),价值表!D:D,价值表!J:J)</f>
        <v/>
      </c>
      <c r="O69" s="510">
        <f>IFERROR(_xlfn.XLOOKUP(IF(E69="","",--SUBSTITUTE(LEFT(E69,FIND(",",E69)-1),"[{","")),价值表!D:D,价值表!C:C),"")</f>
        <v/>
      </c>
    </row>
  </sheetData>
  <conditionalFormatting sqref="E29">
    <cfRule type="duplicateValues" dxfId="1" priority="11"/>
  </conditionalFormatting>
  <conditionalFormatting sqref="E39">
    <cfRule type="duplicateValues" dxfId="1" priority="2"/>
  </conditionalFormatting>
  <conditionalFormatting sqref="E42">
    <cfRule type="duplicateValues" dxfId="1" priority="13"/>
  </conditionalFormatting>
  <conditionalFormatting sqref="E43">
    <cfRule type="duplicateValues" dxfId="1" priority="14"/>
  </conditionalFormatting>
  <conditionalFormatting sqref="E49">
    <cfRule type="duplicateValues" dxfId="1" priority="4"/>
  </conditionalFormatting>
  <conditionalFormatting sqref="E51">
    <cfRule type="duplicateValues" dxfId="1" priority="1"/>
  </conditionalFormatting>
  <conditionalFormatting sqref="E52">
    <cfRule type="duplicateValues" dxfId="1" priority="15"/>
  </conditionalFormatting>
  <conditionalFormatting sqref="E58">
    <cfRule type="duplicateValues" dxfId="1" priority="16"/>
  </conditionalFormatting>
  <conditionalFormatting sqref="E62">
    <cfRule type="duplicateValues" dxfId="1" priority="3"/>
  </conditionalFormatting>
  <conditionalFormatting sqref="E44:E46">
    <cfRule type="duplicateValues" dxfId="1" priority="17"/>
  </conditionalFormatting>
  <conditionalFormatting sqref="E55:E57">
    <cfRule type="duplicateValues" dxfId="1" priority="18"/>
  </conditionalFormatting>
  <conditionalFormatting sqref="E59:E61">
    <cfRule type="duplicateValues" dxfId="1" priority="19"/>
  </conditionalFormatting>
  <conditionalFormatting sqref="E24 E28">
    <cfRule type="duplicateValues" dxfId="1" priority="20"/>
  </conditionalFormatting>
  <conditionalFormatting sqref="E30:E31 E34">
    <cfRule type="duplicateValues" dxfId="1" priority="21"/>
  </conditionalFormatting>
  <dataValidations count="2">
    <dataValidation type="textLength" operator="between" allowBlank="1" showInputMessage="1" showErrorMessage="1" errorTitle="输入有误" error="数值只能为(0 ~ 9999999999)" sqref="B3 B20 D20:H20">
      <formula1>0</formula1>
      <formula2>9999999999</formula2>
    </dataValidation>
    <dataValidation type="textLength" operator="between" allowBlank="1" showInputMessage="1" showErrorMessage="1" errorTitle="输入有误" error="文本内容大长(0 ~ 9999999999)" sqref="D31 D46 D28:D29 D42:D43 D58:D59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5"/>
  </sheetPr>
  <dimension ref="A1:L29"/>
  <sheetViews>
    <sheetView showGridLines="0" zoomScale="130" zoomScaleNormal="130" workbookViewId="0">
      <selection activeCell="F15" sqref="F15:F24"/>
    </sheetView>
  </sheetViews>
  <sheetFormatPr defaultColWidth="9" defaultRowHeight="16.5"/>
  <cols>
    <col min="1" max="1" width="9" style="14"/>
    <col min="2" max="2" width="2.375" style="14" customWidth="1"/>
    <col min="3" max="3" width="9" style="14"/>
    <col min="4" max="4" width="14.25" style="14" customWidth="1"/>
    <col min="5" max="5" width="22.75" style="14" customWidth="1"/>
    <col min="6" max="6" width="14.7083333333333" style="14" customWidth="1"/>
    <col min="7" max="7" width="23.125" style="14" customWidth="1"/>
    <col min="8" max="12" width="13" style="14" customWidth="1"/>
    <col min="13" max="15" width="11.375" style="14" customWidth="1"/>
    <col min="16" max="17" width="8.5" style="14" customWidth="1"/>
    <col min="18" max="16384" width="9" style="14"/>
  </cols>
  <sheetData>
    <row r="1" s="14" customFormat="1" spans="2:6">
      <c r="B1" s="501"/>
      <c r="C1" s="14" t="s">
        <v>538</v>
      </c>
    </row>
    <row r="2" s="14" customFormat="1" spans="2:6">
      <c r="D2" s="14">
        <v>1</v>
      </c>
      <c r="E2" s="14" t="s">
        <v>1046</v>
      </c>
    </row>
    <row r="3" s="14" customFormat="1" spans="2:6">
      <c r="D3" s="14">
        <v>2</v>
      </c>
      <c r="E3" s="14" t="s">
        <v>1047</v>
      </c>
    </row>
    <row r="4" s="14" customFormat="1" spans="2:6">
      <c r="D4" s="14">
        <v>3</v>
      </c>
      <c r="E4" s="14" t="s">
        <v>1048</v>
      </c>
    </row>
    <row r="7" spans="2:6">
      <c r="D7" s="4" t="s">
        <v>933</v>
      </c>
      <c r="E7" s="4" t="s">
        <v>919</v>
      </c>
      <c r="F7" s="4" t="s">
        <v>1049</v>
      </c>
    </row>
    <row r="8" spans="2:6">
      <c r="D8" s="4" t="s">
        <v>188</v>
      </c>
      <c r="E8" s="121">
        <f>J18*30+J21*30+180+300</f>
        <v>5280</v>
      </c>
      <c r="F8" s="85">
        <f>E8/48/10</f>
        <v>11</v>
      </c>
    </row>
    <row r="9" spans="2:6">
      <c r="D9" s="4" t="s">
        <v>1050</v>
      </c>
      <c r="E9" s="121">
        <f>J19*30+E27</f>
        <v>80</v>
      </c>
      <c r="F9" s="85">
        <f>E9/48/10</f>
        <v>0.166666666666667</v>
      </c>
    </row>
    <row r="10" spans="2:6">
      <c r="D10" s="4" t="s">
        <v>193</v>
      </c>
      <c r="E10" s="121">
        <f>J22*30</f>
        <v>300</v>
      </c>
      <c r="F10" s="502">
        <f>E10/48/10</f>
        <v>0.625</v>
      </c>
    </row>
    <row r="15" s="14" customFormat="1" spans="2:6">
      <c r="B15" s="501"/>
      <c r="C15" s="14" t="s">
        <v>1051</v>
      </c>
    </row>
    <row r="17" s="14" customFormat="1" spans="4:12">
      <c r="D17" s="195" t="s">
        <v>1052</v>
      </c>
      <c r="E17" s="195" t="s">
        <v>1053</v>
      </c>
      <c r="F17" s="195" t="s">
        <v>1054</v>
      </c>
      <c r="G17" s="195" t="s">
        <v>1055</v>
      </c>
      <c r="H17" s="195" t="s">
        <v>1056</v>
      </c>
      <c r="I17" s="195" t="s">
        <v>1057</v>
      </c>
      <c r="J17" s="195" t="s">
        <v>919</v>
      </c>
      <c r="K17" s="195" t="s">
        <v>922</v>
      </c>
      <c r="L17" s="195" t="s">
        <v>923</v>
      </c>
    </row>
    <row r="18" s="14" customFormat="1" spans="4:12">
      <c r="D18" s="195" t="s">
        <v>1058</v>
      </c>
      <c r="E18" s="195" t="inlineStr">
        <is>
          <t>跳过所有广告</t>
        </is>
      </c>
      <c r="F18" s="195" t="inlineStr">
        <is>
          <t>180钻石</t>
        </is>
      </c>
      <c r="G18" s="195" t="inlineStr">
        <is>
          <t>60钻石+2梦境招募器</t>
        </is>
      </c>
      <c r="H18" s="195">
        <v>18</v>
      </c>
      <c r="I18" s="195" t="s">
        <v>188</v>
      </c>
      <c r="J18" s="195">
        <v>60</v>
      </c>
      <c r="K18" s="503">
        <f>_xlfn.XLOOKUP(I18,价值表!C:C,价值表!F:F)*J18*30</f>
        <v>1800</v>
      </c>
      <c r="L18" s="504">
        <f>(180+SUM($K$18:$K$20))/180</f>
        <v>21</v>
      </c>
    </row>
    <row r="19" s="14" customFormat="1" spans="4:12">
      <c r="D19" s="195"/>
      <c r="E19" s="195" t="s">
        <v>1062</v>
      </c>
      <c r="F19" s="195"/>
      <c r="G19" s="195"/>
      <c r="H19" s="195"/>
      <c r="I19" s="195" t="s">
        <v>213</v>
      </c>
      <c r="J19" s="195">
        <v>2</v>
      </c>
      <c r="K19" s="503">
        <f>_xlfn.XLOOKUP(I19,价值表!C:C,价值表!F:F)*J19*30</f>
        <v>1800</v>
      </c>
      <c r="L19" s="504"/>
    </row>
    <row r="20" s="14" customFormat="1" spans="4:12">
      <c r="D20" s="195"/>
      <c r="E20" s="195" t="s">
        <v>1063</v>
      </c>
      <c r="F20" s="195"/>
      <c r="G20" s="195"/>
      <c r="H20" s="195"/>
      <c r="I20" s="195"/>
      <c r="J20" s="195"/>
      <c r="K20" s="503">
        <f>_xlfn.XLOOKUP(I20,价值表!C:C,价值表!F:F)*J20*30</f>
        <v>0</v>
      </c>
      <c r="L20" s="504"/>
    </row>
    <row r="21" s="14" customFormat="1" spans="4:12">
      <c r="D21" s="195" t="s">
        <v>1064</v>
      </c>
      <c r="E21" s="195" t="s">
        <v>1065</v>
      </c>
      <c r="F21" s="195" t="inlineStr">
        <is>
          <t>300钻石</t>
        </is>
      </c>
      <c r="G21" s="195" t="inlineStr">
        <is>
          <t>100钻石+10体力</t>
        </is>
      </c>
      <c r="H21" s="195">
        <v>30</v>
      </c>
      <c r="I21" s="195" t="s">
        <v>188</v>
      </c>
      <c r="J21" s="195">
        <v>100</v>
      </c>
      <c r="K21" s="503">
        <f>_xlfn.XLOOKUP(I21,价值表!C:C,价值表!F:F)*J21*30</f>
        <v>3000</v>
      </c>
      <c r="L21" s="504">
        <f>(300+SUM($K$21:$K$23))/300</f>
        <v>13</v>
      </c>
    </row>
    <row r="22" s="14" customFormat="1" spans="4:12">
      <c r="D22" s="195"/>
      <c r="E22" s="195" t="inlineStr">
        <is>
          <t>主线3倍速（未通关关卡可用）</t>
        </is>
      </c>
      <c r="F22" s="195"/>
      <c r="G22" s="195"/>
      <c r="H22" s="195"/>
      <c r="I22" s="195" t="s">
        <v>193</v>
      </c>
      <c r="J22" s="195">
        <v>10</v>
      </c>
      <c r="K22" s="503">
        <f>_xlfn.XLOOKUP(I22,价值表!C:C,价值表!F:F)*J22*30</f>
        <v>600</v>
      </c>
      <c r="L22" s="504"/>
    </row>
    <row r="23" s="14" customFormat="1" spans="4:12">
      <c r="D23" s="195"/>
      <c r="E23" s="195" t="s">
        <v>1069</v>
      </c>
      <c r="F23" s="195"/>
      <c r="G23" s="195"/>
      <c r="H23" s="195"/>
      <c r="I23" s="195"/>
      <c r="J23" s="195"/>
      <c r="K23" s="503">
        <f>_xlfn.XLOOKUP(I23,价值表!C:C,价值表!F:F)*J23*30</f>
        <v>0</v>
      </c>
      <c r="L23" s="504"/>
    </row>
    <row r="26" spans="4:12">
      <c r="D26" s="195" t="s">
        <v>1070</v>
      </c>
      <c r="E26" s="195" t="s">
        <v>919</v>
      </c>
    </row>
    <row r="27" spans="4:12">
      <c r="D27" s="195" t="s">
        <v>213</v>
      </c>
      <c r="E27" s="195">
        <v>20</v>
      </c>
    </row>
    <row r="28" spans="4:12">
      <c r="D28" s="195" t="s">
        <v>261</v>
      </c>
      <c r="E28" s="195">
        <v>2</v>
      </c>
    </row>
    <row r="29" spans="4:12">
      <c r="D29" s="195" t="inlineStr">
        <is>
          <t>梦境股东</t>
        </is>
      </c>
      <c r="E29" s="195">
        <v>1</v>
      </c>
    </row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5"/>
  </sheetPr>
  <dimension ref="B2:K13"/>
  <sheetViews>
    <sheetView showGridLines="0" zoomScale="145" zoomScaleNormal="145" workbookViewId="0">
      <selection activeCell="K14" sqref="K14"/>
    </sheetView>
  </sheetViews>
  <sheetFormatPr defaultColWidth="9" defaultRowHeight="16.5"/>
  <cols>
    <col min="1" max="7" width="9" style="4"/>
    <col min="8" max="8" width="17.5" style="4" customWidth="1"/>
    <col min="9" max="16384" width="9" style="4"/>
  </cols>
  <sheetData>
    <row r="2" spans="2:11">
      <c r="B2" s="4" t="s">
        <v>933</v>
      </c>
      <c r="C2" s="4" t="s">
        <v>919</v>
      </c>
      <c r="D2" s="4" t="s">
        <v>1049</v>
      </c>
    </row>
    <row r="3" spans="2:11">
      <c r="B3" s="4" t="s">
        <v>188</v>
      </c>
      <c r="C3" s="121">
        <f>SUM(G7:G13)+7*价值表!F112</f>
        <v/>
      </c>
      <c r="D3" s="86">
        <f>C3/12/10</f>
        <v/>
      </c>
    </row>
    <row r="6" spans="2:11">
      <c r="B6" s="4" t="s">
        <v>1071</v>
      </c>
      <c r="C6" s="4" t="s">
        <v>1072</v>
      </c>
      <c r="D6" s="4" t="s">
        <v>1073</v>
      </c>
      <c r="E6" s="4" t="s">
        <v>1074</v>
      </c>
      <c r="F6" s="4" t="s">
        <v>1075</v>
      </c>
      <c r="G6" s="4" t="s">
        <v>1076</v>
      </c>
      <c r="H6" s="4" t="s">
        <v>1077</v>
      </c>
      <c r="I6" s="4" t="s">
        <v>1078</v>
      </c>
      <c r="J6" s="4" t="s">
        <v>965</v>
      </c>
      <c r="K6" s="4" t="s">
        <v>1079</v>
      </c>
    </row>
    <row r="7" spans="2:11">
      <c r="B7" s="500">
        <v>180005</v>
      </c>
      <c r="C7" s="500">
        <v>1</v>
      </c>
      <c r="D7" s="500" t="s">
        <v>242</v>
      </c>
      <c r="E7" s="500" t="s">
        <v>1080</v>
      </c>
      <c r="F7" s="500" t="s">
        <v>188</v>
      </c>
      <c r="G7" s="500">
        <v>300</v>
      </c>
      <c r="H7" s="500" t="str">
        <f>"[{"&amp;_xlfn.XLOOKUP(D7,价值表!$C:$C,价值表!$D:$D)&amp;","&amp;E7&amp;"}]"</f>
        <v>[{50002,10}]</v>
      </c>
      <c r="I7" s="500">
        <f>"[{1,"&amp;G7&amp;"},{9800301,1}]"</f>
        <v/>
      </c>
      <c r="J7" s="4">
        <f>_xlfn.XLOOKUP(D7,价值表!C:C,价值表!F:F)*E7+_xlfn.XLOOKUP(F7,价值表!C:C,价值表!F:F)*G7+价值表!F112</f>
        <v/>
      </c>
      <c r="K7" s="470">
        <f>SUM($J$7:J7)/120</f>
        <v>2.75</v>
      </c>
    </row>
    <row r="8" spans="2:11">
      <c r="B8" s="500">
        <v>180005</v>
      </c>
      <c r="C8" s="500">
        <v>2</v>
      </c>
      <c r="D8" s="500" t="s">
        <v>209</v>
      </c>
      <c r="E8" s="500" t="s">
        <v>1081</v>
      </c>
      <c r="F8" s="500" t="s">
        <v>188</v>
      </c>
      <c r="G8" s="500">
        <v>100</v>
      </c>
      <c r="H8" s="500" t="str">
        <f>"[{"&amp;_xlfn.XLOOKUP(D8,价值表!$C:$C,价值表!$D:$D)&amp;","&amp;E8&amp;"}]"</f>
        <v>[{5103001,50}]</v>
      </c>
      <c r="I8" s="500">
        <f>"[{1,"&amp;G8&amp;"},{9800301,1}]"</f>
        <v/>
      </c>
      <c r="J8" s="4">
        <f>_xlfn.XLOOKUP(D8,价值表!C:C,价值表!F:F)*E8+_xlfn.XLOOKUP(F8,价值表!C:C,价值表!F:F)*G8+价值表!F112</f>
        <v/>
      </c>
      <c r="K8" s="470">
        <f>SUM($J$7:J8)/120</f>
        <v>4</v>
      </c>
    </row>
    <row r="9" spans="2:11">
      <c r="B9" s="500">
        <v>180005</v>
      </c>
      <c r="C9" s="500">
        <v>3</v>
      </c>
      <c r="D9" s="500" t="s">
        <v>258</v>
      </c>
      <c r="E9" s="500" t="s">
        <v>1082</v>
      </c>
      <c r="F9" s="500" t="s">
        <v>188</v>
      </c>
      <c r="G9" s="500">
        <v>100</v>
      </c>
      <c r="H9" s="500" t="str">
        <f>"[{"&amp;_xlfn.XLOOKUP(D9,价值表!$C:$C,价值表!$D:$D)&amp;","&amp;E9&amp;"}]"</f>
        <v>[{9,1}]</v>
      </c>
      <c r="I9" s="500">
        <f>"[{1,"&amp;G9&amp;"},{9800301,1}]"</f>
        <v/>
      </c>
      <c r="J9" s="4">
        <f>_xlfn.XLOOKUP(D9,价值表!C:C,价值表!F:F)*E9+_xlfn.XLOOKUP(F9,价值表!C:C,价值表!F:F)*G9+价值表!F112</f>
        <v/>
      </c>
      <c r="K9" s="470">
        <f>SUM($J$7:J9)/120</f>
        <v>5.25</v>
      </c>
    </row>
    <row r="10" spans="2:11">
      <c r="B10" s="500">
        <v>180005</v>
      </c>
      <c r="C10" s="500">
        <v>4</v>
      </c>
      <c r="D10" s="500" t="s">
        <v>242</v>
      </c>
      <c r="E10" s="500" t="s">
        <v>1080</v>
      </c>
      <c r="F10" s="500" t="s">
        <v>188</v>
      </c>
      <c r="G10" s="500">
        <v>100</v>
      </c>
      <c r="H10" s="500" t="str">
        <f>"[{"&amp;_xlfn.XLOOKUP(D10,价值表!$C:$C,价值表!$D:$D)&amp;","&amp;E10&amp;"}]"</f>
        <v>[{50002,10}]</v>
      </c>
      <c r="I10" s="500">
        <f>"[{1,"&amp;G10&amp;"},{9800301,1}]"</f>
        <v/>
      </c>
      <c r="J10" s="4">
        <f>_xlfn.XLOOKUP(D10,价值表!C:C,价值表!F:F)*E10+_xlfn.XLOOKUP(F10,价值表!C:C,价值表!F:F)*G10+价值表!F112</f>
        <v/>
      </c>
      <c r="K10" s="470">
        <f>SUM($J$7:J10)/120</f>
        <v>6.33333333333333</v>
      </c>
    </row>
    <row r="11" spans="2:11">
      <c r="B11" s="500">
        <v>180005</v>
      </c>
      <c r="C11" s="500">
        <v>5</v>
      </c>
      <c r="D11" s="500" t="s">
        <v>209</v>
      </c>
      <c r="E11" s="500" t="s">
        <v>1081</v>
      </c>
      <c r="F11" s="500" t="s">
        <v>188</v>
      </c>
      <c r="G11" s="500">
        <v>100</v>
      </c>
      <c r="H11" s="500" t="str">
        <f>"[{"&amp;_xlfn.XLOOKUP(D11,价值表!$C:$C,价值表!$D:$D)&amp;","&amp;E11&amp;"}]"</f>
        <v>[{5103001,50}]</v>
      </c>
      <c r="I11" s="500">
        <f>"[{1,"&amp;G11&amp;"},{9800301,1}]"</f>
        <v/>
      </c>
      <c r="J11" s="4">
        <f>_xlfn.XLOOKUP(D11,价值表!C:C,价值表!F:F)*E11+_xlfn.XLOOKUP(F11,价值表!C:C,价值表!F:F)*G11+价值表!F112</f>
        <v/>
      </c>
      <c r="K11" s="470">
        <f>SUM($J$7:J11)/120</f>
        <v>7.58333333333333</v>
      </c>
    </row>
    <row r="12" spans="2:11">
      <c r="B12" s="500">
        <v>180005</v>
      </c>
      <c r="C12" s="500">
        <v>6</v>
      </c>
      <c r="D12" s="500" t="s">
        <v>258</v>
      </c>
      <c r="E12" s="500" t="s">
        <v>1082</v>
      </c>
      <c r="F12" s="500" t="s">
        <v>188</v>
      </c>
      <c r="G12" s="500">
        <v>100</v>
      </c>
      <c r="H12" s="500" t="str">
        <f>"[{"&amp;_xlfn.XLOOKUP(D12,价值表!$C:$C,价值表!$D:$D)&amp;","&amp;E12&amp;"}]"</f>
        <v>[{9,1}]</v>
      </c>
      <c r="I12" s="500">
        <f>"[{1,"&amp;G12&amp;"},{9800301,1}]"</f>
        <v/>
      </c>
      <c r="J12" s="4">
        <f>_xlfn.XLOOKUP(D12,价值表!C:C,价值表!F:F)*E12+_xlfn.XLOOKUP(F12,价值表!C:C,价值表!F:F)*G12+价值表!F112</f>
        <v/>
      </c>
      <c r="K12" s="470">
        <f>SUM($J$7:J12)/120</f>
        <v>8.83333333333333</v>
      </c>
    </row>
    <row r="13" spans="2:11">
      <c r="B13" s="500">
        <v>180005</v>
      </c>
      <c r="C13" s="500">
        <v>7</v>
      </c>
      <c r="D13" s="500" t="s">
        <v>213</v>
      </c>
      <c r="E13" s="500" t="s">
        <v>1083</v>
      </c>
      <c r="F13" s="500" t="s">
        <v>188</v>
      </c>
      <c r="G13" s="500">
        <v>100</v>
      </c>
      <c r="H13" s="500" t="str">
        <f>"[{"&amp;_xlfn.XLOOKUP(D13,价值表!$C:$C,价值表!$D:$D)&amp;","&amp;E13&amp;"}]"</f>
        <v>[{11,5}]</v>
      </c>
      <c r="I13" s="500">
        <f>"[{1,"&amp;G13&amp;"},{9800301,1}]"</f>
        <v/>
      </c>
      <c r="J13" s="4">
        <f>_xlfn.XLOOKUP(D13,价值表!C:C,价值表!F:F)*E13+_xlfn.XLOOKUP(F13,价值表!C:C,价值表!F:F)*G13+价值表!F112</f>
        <v/>
      </c>
      <c r="K13" s="470">
        <f>SUM($J$7:J13)/120</f>
        <v>10.9166666666667</v>
      </c>
    </row>
  </sheetData>
  <dataValidations count="2">
    <dataValidation type="whole" operator="between" allowBlank="1" showInputMessage="1" showErrorMessage="1" errorTitle="输入有误" error="数值只能为(0 ~ 999999999999)" sqref="B6:C13">
      <formula1>0</formula1>
      <formula2>999999999999</formula2>
    </dataValidation>
    <dataValidation type="textLength" operator="between" allowBlank="1" showInputMessage="1" showErrorMessage="1" errorTitle="输入有误" error="文本内容大长(0 ~ 999999999999)" sqref="H6:I13">
      <formula1>0</formula1>
      <formula2>65535</formula2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5"/>
  </sheetPr>
  <dimension ref="B5:Q119"/>
  <sheetViews>
    <sheetView showGridLines="0" zoomScale="115" zoomScaleNormal="115" workbookViewId="0">
      <selection activeCell="I10" sqref="I10"/>
    </sheetView>
  </sheetViews>
  <sheetFormatPr defaultColWidth="9" defaultRowHeight="13.5"/>
  <cols>
    <col min="1" max="1" width="9" style="16"/>
    <col min="2" max="2" width="12.875" style="16" customWidth="1"/>
    <col min="3" max="3" width="9" style="16"/>
    <col min="4" max="4" width="11.5166666666667" style="16" customWidth="1"/>
    <col min="5" max="5" width="9" style="16" customWidth="1"/>
    <col min="6" max="6" width="9" style="16"/>
    <col min="7" max="7" width="12.875" style="16" customWidth="1"/>
    <col min="8" max="8" width="9" style="16"/>
    <col min="9" max="9" width="17.125" style="16" customWidth="1"/>
    <col min="10" max="11" width="9" style="16"/>
    <col min="12" max="12" width="15.625" style="16" customWidth="1"/>
    <col min="13" max="15" width="9" style="16"/>
    <col min="16" max="18" width="12.625" style="497"/>
    <col min="19" max="21" width="9" style="16"/>
    <col min="22" max="22" width="12.625" style="497"/>
    <col min="23" max="16381" width="9" style="16"/>
  </cols>
  <sheetData>
    <row r="5" spans="2:17">
      <c r="B5" s="16" t="s">
        <v>933</v>
      </c>
      <c r="C5" s="16" t="s">
        <v>919</v>
      </c>
      <c r="D5" s="16" t="s">
        <v>1084</v>
      </c>
      <c r="E5" s="16" t="s">
        <v>1085</v>
      </c>
    </row>
    <row r="6" spans="2:17">
      <c r="B6" s="16" t="s">
        <v>213</v>
      </c>
      <c r="C6" s="38" cm="1">
        <f t="array" ref="C6">SUMPRODUCT(--($M$16:$M$65=$B6),$N$16:$N$65)+SUMPRODUCT(--($G$16:$G$65=$B6),$H$16:$H$65)+SUMPRODUCT(--($B$16:$B$65=$B6),$C$16:$C$65)</f>
        <v>300</v>
      </c>
      <c r="D6" s="46">
        <f>_xlfn.XLOOKUP(B6,价值表!C:C,价值表!F:F)*C6/(25+68)/10</f>
        <v/>
      </c>
      <c r="E6" s="46">
        <f>C6*2/3000</f>
        <v>0.2</v>
      </c>
    </row>
    <row r="7" spans="2:17">
      <c r="B7" s="16" t="s">
        <v>261</v>
      </c>
      <c r="C7" s="38" cm="1">
        <f t="array" ref="C7">SUMPRODUCT(--($M$16:$M$65=$B7),$N$16:$N$65)+SUMPRODUCT(--($G$16:$G$65=$B7),$H$16:$H$65)+SUMPRODUCT(--($B$16:$B$65=$B7),$C$16:$C$65)</f>
        <v>57</v>
      </c>
      <c r="D7" s="46">
        <f>_xlfn.XLOOKUP(B7,价值表!C:C,价值表!F:F)*C7/(25+68)/10</f>
        <v/>
      </c>
      <c r="E7" s="46">
        <f>C7*2/226</f>
        <v>0.504424778761062</v>
      </c>
    </row>
    <row r="8" spans="2:17">
      <c r="B8" s="16" t="s">
        <v>258</v>
      </c>
      <c r="C8" s="38" cm="1">
        <f t="array" ref="C8">SUMPRODUCT(--($M$16:$M$65=$B8),$N$16:$N$65)+SUMPRODUCT(--($G$16:$G$65=$B8),$H$16:$H$65)+SUMPRODUCT(--($B$16:$B$65=$B8),$C$16:$C$65)</f>
        <v>6</v>
      </c>
      <c r="D8" s="46">
        <f>_xlfn.XLOOKUP(B8,价值表!C:C,价值表!F:F)*C8/(25+68)/10</f>
        <v/>
      </c>
      <c r="E8" s="38"/>
    </row>
    <row r="9" spans="2:17">
      <c r="B9" s="16" t="s">
        <v>203</v>
      </c>
      <c r="C9" s="38" cm="1">
        <f t="array" ref="C9">SUMPRODUCT(--($M$16:$M$65=$B9),$N$16:$N$65)+SUMPRODUCT(--($G$16:$G$65=$B9),$H$16:$H$65)+SUMPRODUCT(--($B$16:$B$65=$B9),$C$16:$C$65)</f>
        <v>23</v>
      </c>
      <c r="D9" s="46">
        <f>_xlfn.XLOOKUP(B9,价值表!C:C,价值表!F:F)*C9/(25+68)/10</f>
        <v/>
      </c>
      <c r="E9" s="38"/>
    </row>
    <row r="10" spans="2:17">
      <c r="B10" s="16" t="s">
        <v>209</v>
      </c>
      <c r="C10" s="38" cm="1">
        <f t="array" ref="C10">SUMPRODUCT(--($M$16:$M$65=$B10),$N$16:$N$65)+SUMPRODUCT(--($G$16:$G$65=$B10),$H$16:$H$65)+SUMPRODUCT(--($B$16:$B$65=$B10),$C$16:$C$65)</f>
        <v>950</v>
      </c>
      <c r="D10" s="46">
        <f>_xlfn.XLOOKUP(B10,价值表!C:C,价值表!F:F)*C10/(25+68)/10</f>
        <v/>
      </c>
      <c r="E10" s="38"/>
    </row>
    <row r="11" spans="2:17">
      <c r="B11" s="16" t="s">
        <v>195</v>
      </c>
      <c r="C11" s="38" cm="1">
        <f t="array" ref="C11">SUMPRODUCT(--($M$16:$M$65=$B11),$N$16:$N$65)+SUMPRODUCT(--($G$16:$G$65=$B11),$H$16:$H$65)+SUMPRODUCT(--($B$16:$B$65=$B11),$C$16:$C$65)</f>
        <v>3000</v>
      </c>
      <c r="D11" s="46">
        <f>_xlfn.XLOOKUP(B11,价值表!C:C,价值表!F:F)*C11/(25+68)/10</f>
        <v/>
      </c>
      <c r="E11" s="38"/>
    </row>
    <row r="12" spans="2:17">
      <c r="C12" s="38"/>
      <c r="D12" s="38" t="s">
        <v>1086</v>
      </c>
    </row>
    <row r="13" spans="2:17">
      <c r="C13" s="38"/>
      <c r="D13" s="498">
        <f>SUM(D6,D7,D8,D9,D10,D11)</f>
        <v>28.1770833333333</v>
      </c>
    </row>
    <row r="14" spans="2:17">
      <c r="B14" s="45" t="s">
        <v>1087</v>
      </c>
      <c r="G14" s="45" t="s">
        <v>1088</v>
      </c>
      <c r="K14" s="497"/>
      <c r="L14" s="497"/>
      <c r="M14" s="45" t="s">
        <v>1089</v>
      </c>
      <c r="P14" s="16"/>
    </row>
    <row r="15" spans="2:17">
      <c r="B15" s="16" t="s">
        <v>1090</v>
      </c>
      <c r="G15" s="16" t="s">
        <v>1090</v>
      </c>
      <c r="K15" s="497"/>
      <c r="L15" s="497"/>
      <c r="M15" s="16" t="s">
        <v>1091</v>
      </c>
      <c r="P15" s="16"/>
    </row>
    <row r="16" spans="2:17">
      <c r="B16" s="16" t="s">
        <v>933</v>
      </c>
      <c r="C16" s="16" t="s">
        <v>919</v>
      </c>
      <c r="D16" s="16" t="s">
        <v>1092</v>
      </c>
      <c r="E16" s="16" t="s">
        <v>1093</v>
      </c>
      <c r="G16" s="16" t="s">
        <v>933</v>
      </c>
      <c r="H16" s="16" t="s">
        <v>919</v>
      </c>
      <c r="I16" s="16" t="s">
        <v>1092</v>
      </c>
      <c r="J16" s="16" t="s">
        <v>1093</v>
      </c>
      <c r="K16" s="16" t="s">
        <v>1079</v>
      </c>
      <c r="L16" s="497"/>
      <c r="M16" s="16" t="s">
        <v>933</v>
      </c>
      <c r="N16" s="16" t="s">
        <v>919</v>
      </c>
      <c r="O16" s="16" t="s">
        <v>1092</v>
      </c>
      <c r="P16" s="16" t="s">
        <v>1093</v>
      </c>
      <c r="Q16" s="16" t="s">
        <v>1079</v>
      </c>
    </row>
    <row r="17" spans="2:17">
      <c r="B17" s="16" t="s">
        <v>258</v>
      </c>
      <c r="C17" s="16">
        <v>1</v>
      </c>
      <c r="D17" s="16" t="str">
        <f>"[{"&amp;_xlfn.XLOOKUP(B17,价值表!$C:$C,价值表!$D:$D)&amp;","&amp;C17&amp;"}]"</f>
        <v>[{9,1}]</v>
      </c>
      <c r="E17" s="16">
        <f>_xlfn.XLOOKUP(B17,价值表!$C:$C,价值表!$F:$F)*C17</f>
        <v>50</v>
      </c>
      <c r="G17" s="16" t="s">
        <v>188</v>
      </c>
      <c r="H17" s="16">
        <v>300</v>
      </c>
      <c r="I17" s="16" t="str">
        <f>"[{"&amp;_xlfn.XLOOKUP(G17,价值表!$C:$C,价值表!$D:$D)&amp;","&amp;H17&amp;"}]"</f>
        <v>[{1,300}]</v>
      </c>
      <c r="J17" s="16">
        <f>_xlfn.XLOOKUP(G17,价值表!$C:$C,价值表!$F:$F)*H17</f>
        <v>300</v>
      </c>
      <c r="K17" s="499">
        <f>SUM($J$17:J17)/250</f>
        <v/>
      </c>
      <c r="L17" s="499"/>
      <c r="M17" s="16" t="s">
        <v>188</v>
      </c>
      <c r="N17" s="16">
        <v>680</v>
      </c>
      <c r="O17" s="16" t="str">
        <f>"[{"&amp;_xlfn.XLOOKUP(M17,价值表!$C:$C,价值表!$D:$D)&amp;","&amp;N17&amp;"}]"</f>
        <v>[{1,680}]</v>
      </c>
      <c r="P17" s="16">
        <f>_xlfn.XLOOKUP(M17,价值表!$C:$C,价值表!$F:$F)*N17</f>
        <v>680</v>
      </c>
      <c r="Q17" s="499">
        <f>SUM($J$17:P17)/680</f>
        <v>2.44275210084034</v>
      </c>
    </row>
    <row r="18" spans="2:17">
      <c r="B18" s="16" t="s">
        <v>203</v>
      </c>
      <c r="C18" s="16">
        <v>1</v>
      </c>
      <c r="D18" s="16" t="str">
        <f>"[{"&amp;_xlfn.XLOOKUP(B18,价值表!$C:$C,价值表!$D:$D)&amp;","&amp;C18&amp;"}]"</f>
        <v>[{5800004,1}]</v>
      </c>
      <c r="E18" s="16">
        <f>_xlfn.XLOOKUP(B18,价值表!$C:$C,价值表!$F:$F)*C18</f>
        <v>30</v>
      </c>
      <c r="G18" s="16" t="s">
        <v>213</v>
      </c>
      <c r="H18" s="16">
        <v>5</v>
      </c>
      <c r="I18" s="16" t="str">
        <f>"[{"&amp;_xlfn.XLOOKUP(G18,价值表!$C:$C,价值表!$D:$D)&amp;","&amp;H18&amp;"}]"</f>
        <v>[{11,5}]</v>
      </c>
      <c r="J18" s="16">
        <f>_xlfn.XLOOKUP(G18,价值表!$C:$C,价值表!$F:$F)*H18</f>
        <v>150</v>
      </c>
      <c r="K18" s="499">
        <f>SUM($J$17:J18)/250</f>
        <v/>
      </c>
      <c r="L18" s="499"/>
      <c r="M18" s="16" t="s">
        <v>261</v>
      </c>
      <c r="N18" s="16">
        <v>1</v>
      </c>
      <c r="O18" s="16" t="str">
        <f>"[{"&amp;_xlfn.XLOOKUP(M18,价值表!$C:$C,价值表!$D:$D)&amp;","&amp;N18&amp;"}]"</f>
        <v>[{30,1}]</v>
      </c>
      <c r="P18" s="16">
        <f>_xlfn.XLOOKUP(M18,价值表!$C:$C,价值表!$F:$F)*N18</f>
        <v>280</v>
      </c>
      <c r="Q18" s="499">
        <f>SUM($J$17:P18)/680</f>
        <v>3.07893907563025</v>
      </c>
    </row>
    <row r="19" spans="2:17">
      <c r="B19" s="16" t="s">
        <v>209</v>
      </c>
      <c r="C19" s="16">
        <v>50</v>
      </c>
      <c r="D19" s="16" t="str">
        <f>"[{"&amp;_xlfn.XLOOKUP(B19,价值表!$C:$C,价值表!$D:$D)&amp;","&amp;C19&amp;"}]"</f>
        <v>[{5103001,50}]</v>
      </c>
      <c r="E19" s="16">
        <f>_xlfn.XLOOKUP(B19,价值表!$C:$C,价值表!$F:$F)*C19</f>
        <v>50</v>
      </c>
      <c r="G19" s="16" t="s">
        <v>213</v>
      </c>
      <c r="H19" s="16">
        <v>5</v>
      </c>
      <c r="I19" s="16" t="str">
        <f>"[{"&amp;_xlfn.XLOOKUP(G19,价值表!$C:$C,价值表!$D:$D)&amp;","&amp;H19&amp;"}]"</f>
        <v>[{11,5}]</v>
      </c>
      <c r="J19" s="16">
        <f>_xlfn.XLOOKUP(G19,价值表!$C:$C,价值表!$F:$F)*H19</f>
        <v>150</v>
      </c>
      <c r="K19" s="499">
        <f>SUM($J$17:J19)/250</f>
        <v/>
      </c>
      <c r="L19" s="499"/>
      <c r="M19" s="16" t="s">
        <v>261</v>
      </c>
      <c r="N19" s="16">
        <v>1</v>
      </c>
      <c r="O19" s="16" t="str">
        <f>"[{"&amp;_xlfn.XLOOKUP(M19,价值表!$C:$C,价值表!$D:$D)&amp;","&amp;N19&amp;"}]"</f>
        <v>[{30,1}]</v>
      </c>
      <c r="P19" s="16">
        <f>_xlfn.XLOOKUP(M19,价值表!$C:$C,价值表!$F:$F)*N19</f>
        <v>280</v>
      </c>
      <c r="Q19" s="499">
        <f>SUM($J$17:P19)/680</f>
        <v>3.71591386554622</v>
      </c>
    </row>
    <row r="20" spans="2:17">
      <c r="B20" s="16" t="s">
        <v>203</v>
      </c>
      <c r="C20" s="16">
        <v>1</v>
      </c>
      <c r="D20" s="16" t="str">
        <f>"[{"&amp;_xlfn.XLOOKUP(B20,价值表!$C:$C,价值表!$D:$D)&amp;","&amp;C20&amp;"}]"</f>
        <v>[{5800004,1}]</v>
      </c>
      <c r="E20" s="16">
        <f>_xlfn.XLOOKUP(B20,价值表!$C:$C,价值表!$F:$F)*C20</f>
        <v>30</v>
      </c>
      <c r="G20" s="16" t="s">
        <v>213</v>
      </c>
      <c r="H20" s="16">
        <v>5</v>
      </c>
      <c r="I20" s="16" t="str">
        <f>"[{"&amp;_xlfn.XLOOKUP(G20,价值表!$C:$C,价值表!$D:$D)&amp;","&amp;H20&amp;"}]"</f>
        <v>[{11,5}]</v>
      </c>
      <c r="J20" s="16">
        <f>_xlfn.XLOOKUP(G20,价值表!$C:$C,价值表!$F:$F)*H20</f>
        <v>150</v>
      </c>
      <c r="K20" s="499">
        <f>SUM($J$17:J20)/250</f>
        <v/>
      </c>
      <c r="L20" s="499"/>
      <c r="M20" s="16" t="s">
        <v>261</v>
      </c>
      <c r="N20" s="16">
        <v>1</v>
      </c>
      <c r="O20" s="16" t="str">
        <f>"[{"&amp;_xlfn.XLOOKUP(M20,价值表!$C:$C,价值表!$D:$D)&amp;","&amp;N20&amp;"}]"</f>
        <v>[{30,1}]</v>
      </c>
      <c r="P20" s="16">
        <f>_xlfn.XLOOKUP(M20,价值表!$C:$C,价值表!$F:$F)*N20</f>
        <v>280</v>
      </c>
      <c r="Q20" s="499">
        <f>SUM($J$17:P20)/680</f>
        <v>4.35367647058824</v>
      </c>
    </row>
    <row r="21" spans="2:17">
      <c r="B21" s="16" t="s">
        <v>195</v>
      </c>
      <c r="C21" s="16">
        <v>500</v>
      </c>
      <c r="D21" s="16" t="str">
        <f>"[{"&amp;_xlfn.XLOOKUP(B21,价值表!$C:$C,价值表!$D:$D)&amp;","&amp;C21&amp;"}]"</f>
        <v>[{2,500}]</v>
      </c>
      <c r="E21" s="16">
        <f>_xlfn.XLOOKUP(B21,价值表!$C:$C,价值表!$F:$F)*C21</f>
        <v>25</v>
      </c>
      <c r="G21" s="16" t="s">
        <v>213</v>
      </c>
      <c r="H21" s="16">
        <v>10</v>
      </c>
      <c r="I21" s="16" t="str">
        <f>"[{"&amp;_xlfn.XLOOKUP(G21,价值表!$C:$C,价值表!$D:$D)&amp;","&amp;H21&amp;"}]"</f>
        <v>[{11,10}]</v>
      </c>
      <c r="J21" s="16">
        <f>_xlfn.XLOOKUP(G21,价值表!$C:$C,价值表!$F:$F)*H21</f>
        <v>300</v>
      </c>
      <c r="K21" s="499">
        <f>SUM($J$17:J21)/250</f>
        <v/>
      </c>
      <c r="L21" s="499"/>
      <c r="M21" s="16" t="s">
        <v>261</v>
      </c>
      <c r="N21" s="16">
        <v>2</v>
      </c>
      <c r="O21" s="16" t="str">
        <f>"[{"&amp;_xlfn.XLOOKUP(M21,价值表!$C:$C,价值表!$D:$D)&amp;","&amp;N21&amp;"}]"</f>
        <v>[{30,2}]</v>
      </c>
      <c r="P21" s="16">
        <f>_xlfn.XLOOKUP(M21,价值表!$C:$C,价值表!$F:$F)*N21</f>
        <v>560</v>
      </c>
      <c r="Q21" s="499">
        <f>SUM($J$17:P21)/680</f>
        <v>5.62683823529412</v>
      </c>
    </row>
    <row r="22" spans="2:17">
      <c r="B22" s="16" t="s">
        <v>203</v>
      </c>
      <c r="C22" s="16">
        <v>1</v>
      </c>
      <c r="D22" s="16" t="str">
        <f>"[{"&amp;_xlfn.XLOOKUP(B22,价值表!$C:$C,价值表!$D:$D)&amp;","&amp;C22&amp;"}]"</f>
        <v>[{5800004,1}]</v>
      </c>
      <c r="E22" s="16">
        <f>_xlfn.XLOOKUP(B22,价值表!$C:$C,价值表!$F:$F)*C22</f>
        <v>30</v>
      </c>
      <c r="G22" s="16" t="s">
        <v>213</v>
      </c>
      <c r="H22" s="16">
        <v>5</v>
      </c>
      <c r="I22" s="16" t="str">
        <f>"[{"&amp;_xlfn.XLOOKUP(G22,价值表!$C:$C,价值表!$D:$D)&amp;","&amp;H22&amp;"}]"</f>
        <v>[{11,5}]</v>
      </c>
      <c r="J22" s="16">
        <f>_xlfn.XLOOKUP(G22,价值表!$C:$C,价值表!$F:$F)*H22</f>
        <v>150</v>
      </c>
      <c r="K22" s="499">
        <f>SUM($J$17:J22)/250</f>
        <v/>
      </c>
      <c r="L22" s="499"/>
      <c r="M22" s="16" t="s">
        <v>261</v>
      </c>
      <c r="N22" s="16">
        <v>1</v>
      </c>
      <c r="O22" s="16" t="str">
        <f>"[{"&amp;_xlfn.XLOOKUP(M22,价值表!$C:$C,价值表!$D:$D)&amp;","&amp;N22&amp;"}]"</f>
        <v>[{30,1}]</v>
      </c>
      <c r="P22" s="16">
        <f>_xlfn.XLOOKUP(M22,价值表!$C:$C,价值表!$F:$F)*N22</f>
        <v>280</v>
      </c>
      <c r="Q22" s="499">
        <f>SUM($J$17:P22)/680</f>
        <v>6.26696428571429</v>
      </c>
    </row>
    <row r="23" spans="2:17">
      <c r="B23" s="16" t="s">
        <v>209</v>
      </c>
      <c r="C23" s="16">
        <v>100</v>
      </c>
      <c r="D23" s="16" t="str">
        <f>"[{"&amp;_xlfn.XLOOKUP(B23,价值表!$C:$C,价值表!$D:$D)&amp;","&amp;C23&amp;"}]"</f>
        <v>[{5103001,100}]</v>
      </c>
      <c r="E23" s="16">
        <f>_xlfn.XLOOKUP(B23,价值表!$C:$C,价值表!$F:$F)*C23</f>
        <v>100</v>
      </c>
      <c r="G23" s="16" t="s">
        <v>213</v>
      </c>
      <c r="H23" s="16">
        <v>5</v>
      </c>
      <c r="I23" s="16" t="str">
        <f>"[{"&amp;_xlfn.XLOOKUP(G23,价值表!$C:$C,价值表!$D:$D)&amp;","&amp;H23&amp;"}]"</f>
        <v>[{11,5}]</v>
      </c>
      <c r="J23" s="16">
        <f>_xlfn.XLOOKUP(G23,价值表!$C:$C,价值表!$F:$F)*H23</f>
        <v>150</v>
      </c>
      <c r="K23" s="499">
        <f>SUM($J$17:J23)/250</f>
        <v/>
      </c>
      <c r="L23" s="499"/>
      <c r="M23" s="16" t="s">
        <v>261</v>
      </c>
      <c r="N23" s="16">
        <v>1</v>
      </c>
      <c r="O23" s="16" t="str">
        <f>"[{"&amp;_xlfn.XLOOKUP(M23,价值表!$C:$C,价值表!$D:$D)&amp;","&amp;N23&amp;"}]"</f>
        <v>[{30,1}]</v>
      </c>
      <c r="P23" s="16">
        <f>_xlfn.XLOOKUP(M23,价值表!$C:$C,价值表!$F:$F)*N23</f>
        <v>280</v>
      </c>
      <c r="Q23" s="499">
        <f>SUM($J$17:P23)/680</f>
        <v>6.9078781512605</v>
      </c>
    </row>
    <row r="24" spans="2:17">
      <c r="B24" s="16" t="s">
        <v>203</v>
      </c>
      <c r="C24" s="16">
        <v>1</v>
      </c>
      <c r="D24" s="16" t="str">
        <f>"[{"&amp;_xlfn.XLOOKUP(B24,价值表!$C:$C,价值表!$D:$D)&amp;","&amp;C24&amp;"}]"</f>
        <v>[{5800004,1}]</v>
      </c>
      <c r="E24" s="16">
        <f>_xlfn.XLOOKUP(B24,价值表!$C:$C,价值表!$F:$F)*C24</f>
        <v>30</v>
      </c>
      <c r="G24" s="16" t="s">
        <v>213</v>
      </c>
      <c r="H24" s="16">
        <v>5</v>
      </c>
      <c r="I24" s="16" t="str">
        <f>"[{"&amp;_xlfn.XLOOKUP(G24,价值表!$C:$C,价值表!$D:$D)&amp;","&amp;H24&amp;"}]"</f>
        <v>[{11,5}]</v>
      </c>
      <c r="J24" s="16">
        <f>_xlfn.XLOOKUP(G24,价值表!$C:$C,价值表!$F:$F)*H24</f>
        <v>150</v>
      </c>
      <c r="K24" s="499">
        <f>SUM($J$17:J24)/250</f>
        <v/>
      </c>
      <c r="L24" s="499"/>
      <c r="M24" s="16" t="s">
        <v>261</v>
      </c>
      <c r="N24" s="16">
        <v>1</v>
      </c>
      <c r="O24" s="16" t="str">
        <f>"[{"&amp;_xlfn.XLOOKUP(M24,价值表!$C:$C,价值表!$D:$D)&amp;","&amp;N24&amp;"}]"</f>
        <v>[{30,1}]</v>
      </c>
      <c r="P24" s="16">
        <f>_xlfn.XLOOKUP(M24,价值表!$C:$C,价值表!$F:$F)*N24</f>
        <v>280</v>
      </c>
      <c r="Q24" s="499">
        <f>SUM($J$17:P24)/680</f>
        <v>7.54957983193277</v>
      </c>
    </row>
    <row r="25" spans="2:17">
      <c r="B25" s="16" t="s">
        <v>258</v>
      </c>
      <c r="C25" s="16">
        <v>1</v>
      </c>
      <c r="D25" s="16" t="str">
        <f>"[{"&amp;_xlfn.XLOOKUP(B25,价值表!$C:$C,价值表!$D:$D)&amp;","&amp;C25&amp;"}]"</f>
        <v>[{9,1}]</v>
      </c>
      <c r="E25" s="16">
        <f>_xlfn.XLOOKUP(B25,价值表!$C:$C,价值表!$F:$F)*C25</f>
        <v>50</v>
      </c>
      <c r="G25" s="16" t="s">
        <v>213</v>
      </c>
      <c r="H25" s="16">
        <v>5</v>
      </c>
      <c r="I25" s="16" t="str">
        <f>"[{"&amp;_xlfn.XLOOKUP(G25,价值表!$C:$C,价值表!$D:$D)&amp;","&amp;H25&amp;"}]"</f>
        <v>[{11,5}]</v>
      </c>
      <c r="J25" s="16">
        <f>_xlfn.XLOOKUP(G25,价值表!$C:$C,价值表!$F:$F)*H25</f>
        <v>150</v>
      </c>
      <c r="K25" s="499">
        <f>SUM($J$17:J25)/250</f>
        <v/>
      </c>
      <c r="L25" s="499"/>
      <c r="M25" s="16" t="s">
        <v>261</v>
      </c>
      <c r="N25" s="16">
        <v>1</v>
      </c>
      <c r="O25" s="16" t="str">
        <f>"[{"&amp;_xlfn.XLOOKUP(M25,价值表!$C:$C,价值表!$D:$D)&amp;","&amp;N25&amp;"}]"</f>
        <v>[{30,1}]</v>
      </c>
      <c r="P25" s="16">
        <f>_xlfn.XLOOKUP(M25,价值表!$C:$C,价值表!$F:$F)*N25</f>
        <v>280</v>
      </c>
      <c r="Q25" s="499">
        <f>SUM($J$17:P25)/680</f>
        <v>8.19206932773109</v>
      </c>
    </row>
    <row r="26" spans="2:17">
      <c r="B26" s="16" t="s">
        <v>213</v>
      </c>
      <c r="C26" s="16">
        <v>5</v>
      </c>
      <c r="D26" s="16" t="str">
        <f>"[{"&amp;_xlfn.XLOOKUP(B26,价值表!$C:$C,价值表!$D:$D)&amp;","&amp;C26&amp;"}]"</f>
        <v>[{11,5}]</v>
      </c>
      <c r="E26" s="16">
        <f>_xlfn.XLOOKUP(B26,价值表!$C:$C,价值表!$F:$F)*C26</f>
        <v>150</v>
      </c>
      <c r="G26" s="16" t="s">
        <v>213</v>
      </c>
      <c r="H26" s="16">
        <v>10</v>
      </c>
      <c r="I26" s="16" t="str">
        <f>"[{"&amp;_xlfn.XLOOKUP(G26,价值表!$C:$C,价值表!$D:$D)&amp;","&amp;H26&amp;"}]"</f>
        <v>[{11,10}]</v>
      </c>
      <c r="J26" s="16">
        <f>_xlfn.XLOOKUP(G26,价值表!$C:$C,价值表!$F:$F)*H26</f>
        <v>300</v>
      </c>
      <c r="K26" s="499">
        <f>SUM($J$17:J26)/250</f>
        <v/>
      </c>
      <c r="L26" s="499"/>
      <c r="M26" s="16" t="s">
        <v>261</v>
      </c>
      <c r="N26" s="16">
        <v>2</v>
      </c>
      <c r="O26" s="16" t="str">
        <f>"[{"&amp;_xlfn.XLOOKUP(M26,价值表!$C:$C,价值表!$D:$D)&amp;","&amp;N26&amp;"}]"</f>
        <v>[{30,2}]</v>
      </c>
      <c r="P26" s="16">
        <f>_xlfn.XLOOKUP(M26,价值表!$C:$C,价值表!$F:$F)*N26</f>
        <v>560</v>
      </c>
      <c r="Q26" s="499">
        <f>SUM($J$17:P26)/680</f>
        <v>9.46995798319328</v>
      </c>
    </row>
    <row r="27" spans="2:17">
      <c r="B27" s="16" t="s">
        <v>203</v>
      </c>
      <c r="C27" s="16">
        <v>1</v>
      </c>
      <c r="D27" s="16" t="str">
        <f>"[{"&amp;_xlfn.XLOOKUP(B27,价值表!$C:$C,价值表!$D:$D)&amp;","&amp;C27&amp;"}]"</f>
        <v>[{5800004,1}]</v>
      </c>
      <c r="E27" s="16">
        <f>_xlfn.XLOOKUP(B27,价值表!$C:$C,价值表!$F:$F)*C27</f>
        <v>30</v>
      </c>
      <c r="G27" s="16" t="s">
        <v>213</v>
      </c>
      <c r="H27" s="16">
        <v>5</v>
      </c>
      <c r="I27" s="16" t="str">
        <f>"[{"&amp;_xlfn.XLOOKUP(G27,价值表!$C:$C,价值表!$D:$D)&amp;","&amp;H27&amp;"}]"</f>
        <v>[{11,5}]</v>
      </c>
      <c r="J27" s="16">
        <f>_xlfn.XLOOKUP(G27,价值表!$C:$C,价值表!$F:$F)*H27</f>
        <v>150</v>
      </c>
      <c r="K27" s="499">
        <f>SUM($J$17:J27)/250</f>
        <v/>
      </c>
      <c r="L27" s="499"/>
      <c r="M27" s="16" t="s">
        <v>261</v>
      </c>
      <c r="N27" s="16">
        <v>1</v>
      </c>
      <c r="O27" s="16" t="str">
        <f>"[{"&amp;_xlfn.XLOOKUP(M27,价值表!$C:$C,价值表!$D:$D)&amp;","&amp;N27&amp;"}]"</f>
        <v>[{30,1}]</v>
      </c>
      <c r="P27" s="16">
        <f>_xlfn.XLOOKUP(M27,价值表!$C:$C,价值表!$F:$F)*N27</f>
        <v>280</v>
      </c>
      <c r="Q27" s="499">
        <f>SUM($J$17:P27)/680</f>
        <v>10.1148109243697</v>
      </c>
    </row>
    <row r="28" spans="2:17">
      <c r="B28" s="16" t="s">
        <v>209</v>
      </c>
      <c r="C28" s="16">
        <v>50</v>
      </c>
      <c r="D28" s="16" t="str">
        <f>"[{"&amp;_xlfn.XLOOKUP(B28,价值表!$C:$C,价值表!$D:$D)&amp;","&amp;C28&amp;"}]"</f>
        <v>[{5103001,50}]</v>
      </c>
      <c r="E28" s="16">
        <f>_xlfn.XLOOKUP(B28,价值表!$C:$C,价值表!$F:$F)*C28</f>
        <v>50</v>
      </c>
      <c r="G28" s="16" t="s">
        <v>213</v>
      </c>
      <c r="H28" s="16">
        <v>5</v>
      </c>
      <c r="I28" s="16" t="str">
        <f>"[{"&amp;_xlfn.XLOOKUP(G28,价值表!$C:$C,价值表!$D:$D)&amp;","&amp;H28&amp;"}]"</f>
        <v>[{11,5}]</v>
      </c>
      <c r="J28" s="16">
        <f>_xlfn.XLOOKUP(G28,价值表!$C:$C,价值表!$F:$F)*H28</f>
        <v>150</v>
      </c>
      <c r="K28" s="499">
        <f>SUM($J$17:J28)/250</f>
        <v/>
      </c>
      <c r="L28" s="499"/>
      <c r="M28" s="16" t="s">
        <v>261</v>
      </c>
      <c r="N28" s="16">
        <v>1</v>
      </c>
      <c r="O28" s="16" t="str">
        <f>"[{"&amp;_xlfn.XLOOKUP(M28,价值表!$C:$C,价值表!$D:$D)&amp;","&amp;N28&amp;"}]"</f>
        <v>[{30,1}]</v>
      </c>
      <c r="P28" s="16">
        <f>_xlfn.XLOOKUP(M28,价值表!$C:$C,价值表!$F:$F)*N28</f>
        <v>280</v>
      </c>
      <c r="Q28" s="499">
        <f>SUM($J$17:P28)/680</f>
        <v>10.7604516806723</v>
      </c>
    </row>
    <row r="29" spans="2:17">
      <c r="B29" s="16" t="s">
        <v>203</v>
      </c>
      <c r="C29" s="16">
        <v>1</v>
      </c>
      <c r="D29" s="16" t="str">
        <f>"[{"&amp;_xlfn.XLOOKUP(B29,价值表!$C:$C,价值表!$D:$D)&amp;","&amp;C29&amp;"}]"</f>
        <v>[{5800004,1}]</v>
      </c>
      <c r="E29" s="16">
        <f>_xlfn.XLOOKUP(B29,价值表!$C:$C,价值表!$F:$F)*C29</f>
        <v>30</v>
      </c>
      <c r="G29" s="16" t="s">
        <v>213</v>
      </c>
      <c r="H29" s="16">
        <v>5</v>
      </c>
      <c r="I29" s="16" t="str">
        <f>"[{"&amp;_xlfn.XLOOKUP(G29,价值表!$C:$C,价值表!$D:$D)&amp;","&amp;H29&amp;"}]"</f>
        <v>[{11,5}]</v>
      </c>
      <c r="J29" s="16">
        <f>_xlfn.XLOOKUP(G29,价值表!$C:$C,价值表!$F:$F)*H29</f>
        <v>150</v>
      </c>
      <c r="K29" s="499">
        <f>SUM($J$17:J29)/250</f>
        <v/>
      </c>
      <c r="L29" s="499"/>
      <c r="M29" s="16" t="s">
        <v>261</v>
      </c>
      <c r="N29" s="16">
        <v>1</v>
      </c>
      <c r="O29" s="16" t="str">
        <f>"[{"&amp;_xlfn.XLOOKUP(M29,价值表!$C:$C,价值表!$D:$D)&amp;","&amp;N29&amp;"}]"</f>
        <v>[{30,1}]</v>
      </c>
      <c r="P29" s="16">
        <f>_xlfn.XLOOKUP(M29,价值表!$C:$C,价值表!$F:$F)*N29</f>
        <v>280</v>
      </c>
      <c r="Q29" s="499">
        <f>SUM($J$17:P29)/680</f>
        <v>11.4068802521008</v>
      </c>
    </row>
    <row r="30" spans="2:17">
      <c r="B30" s="16" t="s">
        <v>195</v>
      </c>
      <c r="C30" s="16">
        <v>500</v>
      </c>
      <c r="D30" s="16" t="str">
        <f>"[{"&amp;_xlfn.XLOOKUP(B30,价值表!$C:$C,价值表!$D:$D)&amp;","&amp;C30&amp;"}]"</f>
        <v>[{2,500}]</v>
      </c>
      <c r="E30" s="16">
        <f>_xlfn.XLOOKUP(B30,价值表!$C:$C,价值表!$F:$F)*C30</f>
        <v>25</v>
      </c>
      <c r="G30" s="16" t="s">
        <v>213</v>
      </c>
      <c r="H30" s="16">
        <v>5</v>
      </c>
      <c r="I30" s="16" t="str">
        <f>"[{"&amp;_xlfn.XLOOKUP(G30,价值表!$C:$C,价值表!$D:$D)&amp;","&amp;H30&amp;"}]"</f>
        <v>[{11,5}]</v>
      </c>
      <c r="J30" s="16">
        <f>_xlfn.XLOOKUP(G30,价值表!$C:$C,价值表!$F:$F)*H30</f>
        <v>150</v>
      </c>
      <c r="K30" s="499">
        <f>SUM($J$17:J30)/250</f>
        <v/>
      </c>
      <c r="L30" s="499"/>
      <c r="M30" s="16" t="s">
        <v>261</v>
      </c>
      <c r="N30" s="16">
        <v>1</v>
      </c>
      <c r="O30" s="16" t="str">
        <f>"[{"&amp;_xlfn.XLOOKUP(M30,价值表!$C:$C,价值表!$D:$D)&amp;","&amp;N30&amp;"}]"</f>
        <v>[{30,1}]</v>
      </c>
      <c r="P30" s="16">
        <f>_xlfn.XLOOKUP(M30,价值表!$C:$C,价值表!$F:$F)*N30</f>
        <v>280</v>
      </c>
      <c r="Q30" s="499">
        <f>SUM($J$17:P30)/680</f>
        <v>12.0540966386555</v>
      </c>
    </row>
    <row r="31" spans="2:17">
      <c r="B31" s="16" t="s">
        <v>203</v>
      </c>
      <c r="C31" s="16">
        <v>1</v>
      </c>
      <c r="D31" s="16" t="str">
        <f>"[{"&amp;_xlfn.XLOOKUP(B31,价值表!$C:$C,价值表!$D:$D)&amp;","&amp;C31&amp;"}]"</f>
        <v>[{5800004,1}]</v>
      </c>
      <c r="E31" s="16">
        <f>_xlfn.XLOOKUP(B31,价值表!$C:$C,价值表!$F:$F)*C31</f>
        <v>30</v>
      </c>
      <c r="G31" s="16" t="s">
        <v>213</v>
      </c>
      <c r="H31" s="16">
        <v>10</v>
      </c>
      <c r="I31" s="16" t="str">
        <f>"[{"&amp;_xlfn.XLOOKUP(G31,价值表!$C:$C,价值表!$D:$D)&amp;","&amp;H31&amp;"}]"</f>
        <v>[{11,10}]</v>
      </c>
      <c r="J31" s="16">
        <f>_xlfn.XLOOKUP(G31,价值表!$C:$C,价值表!$F:$F)*H31</f>
        <v>300</v>
      </c>
      <c r="K31" s="499">
        <f>SUM($J$17:J31)/250</f>
        <v/>
      </c>
      <c r="L31" s="499"/>
      <c r="M31" s="16" t="s">
        <v>261</v>
      </c>
      <c r="N31" s="16">
        <v>2</v>
      </c>
      <c r="O31" s="16" t="str">
        <f>"[{"&amp;_xlfn.XLOOKUP(M31,价值表!$C:$C,价值表!$D:$D)&amp;","&amp;N31&amp;"}]"</f>
        <v>[{30,2}]</v>
      </c>
      <c r="P31" s="16">
        <f>_xlfn.XLOOKUP(M31,价值表!$C:$C,价值表!$F:$F)*N31</f>
        <v>560</v>
      </c>
      <c r="Q31" s="499">
        <f>SUM($J$17:P31)/680</f>
        <v>13.3367121848739</v>
      </c>
    </row>
    <row r="32" spans="2:17">
      <c r="B32" s="16" t="s">
        <v>209</v>
      </c>
      <c r="C32" s="16">
        <v>100</v>
      </c>
      <c r="D32" s="16" t="str">
        <f>"[{"&amp;_xlfn.XLOOKUP(B32,价值表!$C:$C,价值表!$D:$D)&amp;","&amp;C32&amp;"}]"</f>
        <v>[{5103001,100}]</v>
      </c>
      <c r="E32" s="16">
        <f>_xlfn.XLOOKUP(B32,价值表!$C:$C,价值表!$F:$F)*C32</f>
        <v>100</v>
      </c>
      <c r="G32" s="16" t="s">
        <v>213</v>
      </c>
      <c r="H32" s="16">
        <v>5</v>
      </c>
      <c r="I32" s="16" t="str">
        <f>"[{"&amp;_xlfn.XLOOKUP(G32,价值表!$C:$C,价值表!$D:$D)&amp;","&amp;H32&amp;"}]"</f>
        <v>[{11,5}]</v>
      </c>
      <c r="J32" s="16">
        <f>_xlfn.XLOOKUP(G32,价值表!$C:$C,价值表!$F:$F)*H32</f>
        <v>150</v>
      </c>
      <c r="K32" s="499">
        <f>SUM($J$17:J32)/250</f>
        <v/>
      </c>
      <c r="L32" s="499"/>
      <c r="M32" s="16" t="s">
        <v>261</v>
      </c>
      <c r="N32" s="16">
        <v>1</v>
      </c>
      <c r="O32" s="16" t="str">
        <f>"[{"&amp;_xlfn.XLOOKUP(M32,价值表!$C:$C,价值表!$D:$D)&amp;","&amp;N32&amp;"}]"</f>
        <v>[{30,1}]</v>
      </c>
      <c r="P32" s="16">
        <f>_xlfn.XLOOKUP(M32,价值表!$C:$C,价值表!$F:$F)*N32</f>
        <v>280</v>
      </c>
      <c r="Q32" s="499">
        <f>SUM($J$17:P32)/680</f>
        <v>13.9862920168067</v>
      </c>
    </row>
    <row r="33" spans="2:17">
      <c r="B33" s="16" t="s">
        <v>203</v>
      </c>
      <c r="C33" s="16">
        <v>1</v>
      </c>
      <c r="D33" s="16" t="str">
        <f>"[{"&amp;_xlfn.XLOOKUP(B33,价值表!$C:$C,价值表!$D:$D)&amp;","&amp;C33&amp;"}]"</f>
        <v>[{5800004,1}]</v>
      </c>
      <c r="E33" s="16">
        <f>_xlfn.XLOOKUP(B33,价值表!$C:$C,价值表!$F:$F)*C33</f>
        <v>30</v>
      </c>
      <c r="G33" s="16" t="s">
        <v>213</v>
      </c>
      <c r="H33" s="16">
        <v>5</v>
      </c>
      <c r="I33" s="16" t="str">
        <f>"[{"&amp;_xlfn.XLOOKUP(G33,价值表!$C:$C,价值表!$D:$D)&amp;","&amp;H33&amp;"}]"</f>
        <v>[{11,5}]</v>
      </c>
      <c r="J33" s="16">
        <f>_xlfn.XLOOKUP(G33,价值表!$C:$C,价值表!$F:$F)*H33</f>
        <v>150</v>
      </c>
      <c r="K33" s="499">
        <f>SUM($J$17:J33)/250</f>
        <v/>
      </c>
      <c r="L33" s="499"/>
      <c r="M33" s="16" t="s">
        <v>261</v>
      </c>
      <c r="N33" s="16">
        <v>1</v>
      </c>
      <c r="O33" s="16" t="str">
        <f>"[{"&amp;_xlfn.XLOOKUP(M33,价值表!$C:$C,价值表!$D:$D)&amp;","&amp;N33&amp;"}]"</f>
        <v>[{30,1}]</v>
      </c>
      <c r="P33" s="16">
        <f>_xlfn.XLOOKUP(M33,价值表!$C:$C,价值表!$F:$F)*N33</f>
        <v>280</v>
      </c>
      <c r="Q33" s="499">
        <f>SUM($J$17:P33)/680</f>
        <v>14.6366596638655</v>
      </c>
    </row>
    <row r="34" spans="2:17">
      <c r="B34" s="16" t="s">
        <v>258</v>
      </c>
      <c r="C34" s="16">
        <v>1</v>
      </c>
      <c r="D34" s="16" t="str">
        <f>"[{"&amp;_xlfn.XLOOKUP(B34,价值表!$C:$C,价值表!$D:$D)&amp;","&amp;C34&amp;"}]"</f>
        <v>[{9,1}]</v>
      </c>
      <c r="E34" s="16">
        <f>_xlfn.XLOOKUP(B34,价值表!$C:$C,价值表!$F:$F)*C34</f>
        <v>50</v>
      </c>
      <c r="G34" s="16" t="s">
        <v>213</v>
      </c>
      <c r="H34" s="16">
        <v>5</v>
      </c>
      <c r="I34" s="16" t="str">
        <f>"[{"&amp;_xlfn.XLOOKUP(G34,价值表!$C:$C,价值表!$D:$D)&amp;","&amp;H34&amp;"}]"</f>
        <v>[{11,5}]</v>
      </c>
      <c r="J34" s="16">
        <f>_xlfn.XLOOKUP(G34,价值表!$C:$C,价值表!$F:$F)*H34</f>
        <v>150</v>
      </c>
      <c r="K34" s="499">
        <f>SUM($J$17:J34)/250</f>
        <v/>
      </c>
      <c r="L34" s="499"/>
      <c r="M34" s="16" t="s">
        <v>261</v>
      </c>
      <c r="N34" s="16">
        <v>1</v>
      </c>
      <c r="O34" s="16" t="str">
        <f>"[{"&amp;_xlfn.XLOOKUP(M34,价值表!$C:$C,价值表!$D:$D)&amp;","&amp;N34&amp;"}]"</f>
        <v>[{30,1}]</v>
      </c>
      <c r="P34" s="16">
        <f>_xlfn.XLOOKUP(M34,价值表!$C:$C,价值表!$F:$F)*N34</f>
        <v>280</v>
      </c>
      <c r="Q34" s="499">
        <f>SUM($J$17:P34)/680</f>
        <v>15.2878151260504</v>
      </c>
    </row>
    <row r="35" spans="2:17">
      <c r="B35" s="16" t="s">
        <v>203</v>
      </c>
      <c r="C35" s="16">
        <v>1</v>
      </c>
      <c r="D35" s="16" t="str">
        <f>"[{"&amp;_xlfn.XLOOKUP(B35,价值表!$C:$C,价值表!$D:$D)&amp;","&amp;C35&amp;"}]"</f>
        <v>[{5800004,1}]</v>
      </c>
      <c r="E35" s="16">
        <f>_xlfn.XLOOKUP(B35,价值表!$C:$C,价值表!$F:$F)*C35</f>
        <v>30</v>
      </c>
      <c r="G35" s="16" t="s">
        <v>213</v>
      </c>
      <c r="H35" s="16">
        <v>5</v>
      </c>
      <c r="I35" s="16" t="str">
        <f>"[{"&amp;_xlfn.XLOOKUP(G35,价值表!$C:$C,价值表!$D:$D)&amp;","&amp;H35&amp;"}]"</f>
        <v>[{11,5}]</v>
      </c>
      <c r="J35" s="16">
        <f>_xlfn.XLOOKUP(G35,价值表!$C:$C,价值表!$F:$F)*H35</f>
        <v>150</v>
      </c>
      <c r="K35" s="499">
        <f>SUM($J$17:J35)/250</f>
        <v/>
      </c>
      <c r="L35" s="499"/>
      <c r="M35" s="16" t="s">
        <v>261</v>
      </c>
      <c r="N35" s="16">
        <v>1</v>
      </c>
      <c r="O35" s="16" t="str">
        <f>"[{"&amp;_xlfn.XLOOKUP(M35,价值表!$C:$C,价值表!$D:$D)&amp;","&amp;N35&amp;"}]"</f>
        <v>[{30,1}]</v>
      </c>
      <c r="P35" s="16">
        <f>_xlfn.XLOOKUP(M35,价值表!$C:$C,价值表!$F:$F)*N35</f>
        <v>280</v>
      </c>
      <c r="Q35" s="499">
        <f>SUM($J$17:P35)/680</f>
        <v>15.9397584033613</v>
      </c>
    </row>
    <row r="36" spans="2:17">
      <c r="B36" s="16" t="s">
        <v>213</v>
      </c>
      <c r="C36" s="16">
        <v>5</v>
      </c>
      <c r="D36" s="16" t="str">
        <f>"[{"&amp;_xlfn.XLOOKUP(B36,价值表!$C:$C,价值表!$D:$D)&amp;","&amp;C36&amp;"}]"</f>
        <v>[{11,5}]</v>
      </c>
      <c r="E36" s="16">
        <f>_xlfn.XLOOKUP(B36,价值表!$C:$C,价值表!$F:$F)*C36</f>
        <v>150</v>
      </c>
      <c r="G36" s="16" t="s">
        <v>213</v>
      </c>
      <c r="H36" s="16">
        <v>10</v>
      </c>
      <c r="I36" s="16" t="str">
        <f>"[{"&amp;_xlfn.XLOOKUP(G36,价值表!$C:$C,价值表!$D:$D)&amp;","&amp;H36&amp;"}]"</f>
        <v>[{11,10}]</v>
      </c>
      <c r="J36" s="16">
        <f>_xlfn.XLOOKUP(G36,价值表!$C:$C,价值表!$F:$F)*H36</f>
        <v>300</v>
      </c>
      <c r="K36" s="499">
        <f>SUM($J$17:J36)/250</f>
        <v/>
      </c>
      <c r="L36" s="499"/>
      <c r="M36" s="16" t="s">
        <v>261</v>
      </c>
      <c r="N36" s="16">
        <v>2</v>
      </c>
      <c r="O36" s="16" t="str">
        <f>"[{"&amp;_xlfn.XLOOKUP(M36,价值表!$C:$C,价值表!$D:$D)&amp;","&amp;N36&amp;"}]"</f>
        <v>[{30,2}]</v>
      </c>
      <c r="P36" s="16">
        <f>_xlfn.XLOOKUP(M36,价值表!$C:$C,价值表!$F:$F)*N36</f>
        <v>560</v>
      </c>
      <c r="Q36" s="499">
        <f>SUM($J$17:P36)/680</f>
        <v>17.2271008403361</v>
      </c>
    </row>
    <row r="37" spans="2:17">
      <c r="B37" s="16" t="s">
        <v>209</v>
      </c>
      <c r="C37" s="16">
        <v>50</v>
      </c>
      <c r="D37" s="16" t="str">
        <f>"[{"&amp;_xlfn.XLOOKUP(B37,价值表!$C:$C,价值表!$D:$D)&amp;","&amp;C37&amp;"}]"</f>
        <v>[{5103001,50}]</v>
      </c>
      <c r="E37" s="16">
        <f>_xlfn.XLOOKUP(B37,价值表!$C:$C,价值表!$F:$F)*C37</f>
        <v>50</v>
      </c>
      <c r="G37" s="16" t="s">
        <v>213</v>
      </c>
      <c r="H37" s="16">
        <v>5</v>
      </c>
      <c r="I37" s="16" t="str">
        <f>"[{"&amp;_xlfn.XLOOKUP(G37,价值表!$C:$C,价值表!$D:$D)&amp;","&amp;H37&amp;"}]"</f>
        <v>[{11,5}]</v>
      </c>
      <c r="J37" s="16">
        <f>_xlfn.XLOOKUP(G37,价值表!$C:$C,价值表!$F:$F)*H37</f>
        <v>150</v>
      </c>
      <c r="K37" s="499">
        <f>SUM($J$17:J37)/250</f>
        <v/>
      </c>
      <c r="L37" s="499"/>
      <c r="M37" s="16" t="s">
        <v>261</v>
      </c>
      <c r="N37" s="16">
        <v>1</v>
      </c>
      <c r="O37" s="16" t="str">
        <f>"[{"&amp;_xlfn.XLOOKUP(M37,价值表!$C:$C,价值表!$D:$D)&amp;","&amp;N37&amp;"}]"</f>
        <v>[{30,1}]</v>
      </c>
      <c r="P37" s="16">
        <f>_xlfn.XLOOKUP(M37,价值表!$C:$C,价值表!$F:$F)*N37</f>
        <v>280</v>
      </c>
      <c r="Q37" s="499">
        <f>SUM($J$17:P37)/680</f>
        <v>17.8814075630252</v>
      </c>
    </row>
    <row r="38" spans="2:17">
      <c r="B38" s="16" t="s">
        <v>203</v>
      </c>
      <c r="C38" s="16">
        <v>1</v>
      </c>
      <c r="D38" s="16" t="str">
        <f>"[{"&amp;_xlfn.XLOOKUP(B38,价值表!$C:$C,价值表!$D:$D)&amp;","&amp;C38&amp;"}]"</f>
        <v>[{5800004,1}]</v>
      </c>
      <c r="E38" s="16">
        <f>_xlfn.XLOOKUP(B38,价值表!$C:$C,价值表!$F:$F)*C38</f>
        <v>30</v>
      </c>
      <c r="G38" s="16" t="s">
        <v>213</v>
      </c>
      <c r="H38" s="16">
        <v>5</v>
      </c>
      <c r="I38" s="16" t="str">
        <f>"[{"&amp;_xlfn.XLOOKUP(G38,价值表!$C:$C,价值表!$D:$D)&amp;","&amp;H38&amp;"}]"</f>
        <v>[{11,5}]</v>
      </c>
      <c r="J38" s="16">
        <f>_xlfn.XLOOKUP(G38,价值表!$C:$C,价值表!$F:$F)*H38</f>
        <v>150</v>
      </c>
      <c r="K38" s="499">
        <f>SUM($J$17:J38)/250</f>
        <v/>
      </c>
      <c r="L38" s="499"/>
      <c r="M38" s="16" t="s">
        <v>261</v>
      </c>
      <c r="N38" s="16">
        <v>1</v>
      </c>
      <c r="O38" s="16" t="str">
        <f>"[{"&amp;_xlfn.XLOOKUP(M38,价值表!$C:$C,价值表!$D:$D)&amp;","&amp;N38&amp;"}]"</f>
        <v>[{30,1}]</v>
      </c>
      <c r="P38" s="16">
        <f>_xlfn.XLOOKUP(M38,价值表!$C:$C,价值表!$F:$F)*N38</f>
        <v>280</v>
      </c>
      <c r="Q38" s="499">
        <f>SUM($J$17:P38)/680</f>
        <v>18.5365021008403</v>
      </c>
    </row>
    <row r="39" spans="2:17">
      <c r="B39" s="16" t="s">
        <v>195</v>
      </c>
      <c r="C39" s="16">
        <v>500</v>
      </c>
      <c r="D39" s="16" t="str">
        <f>"[{"&amp;_xlfn.XLOOKUP(B39,价值表!$C:$C,价值表!$D:$D)&amp;","&amp;C39&amp;"}]"</f>
        <v>[{2,500}]</v>
      </c>
      <c r="E39" s="16">
        <f>_xlfn.XLOOKUP(B39,价值表!$C:$C,价值表!$F:$F)*C39</f>
        <v>25</v>
      </c>
      <c r="G39" s="16" t="s">
        <v>213</v>
      </c>
      <c r="H39" s="16">
        <v>5</v>
      </c>
      <c r="I39" s="16" t="str">
        <f>"[{"&amp;_xlfn.XLOOKUP(G39,价值表!$C:$C,价值表!$D:$D)&amp;","&amp;H39&amp;"}]"</f>
        <v>[{11,5}]</v>
      </c>
      <c r="J39" s="16">
        <f>_xlfn.XLOOKUP(G39,价值表!$C:$C,价值表!$F:$F)*H39</f>
        <v>150</v>
      </c>
      <c r="K39" s="499">
        <f>SUM($J$17:J39)/250</f>
        <v/>
      </c>
      <c r="L39" s="499"/>
      <c r="M39" s="16" t="s">
        <v>261</v>
      </c>
      <c r="N39" s="16">
        <v>1</v>
      </c>
      <c r="O39" s="16" t="str">
        <f>"[{"&amp;_xlfn.XLOOKUP(M39,价值表!$C:$C,价值表!$D:$D)&amp;","&amp;N39&amp;"}]"</f>
        <v>[{30,1}]</v>
      </c>
      <c r="P39" s="16">
        <f>_xlfn.XLOOKUP(M39,价值表!$C:$C,价值表!$F:$F)*N39</f>
        <v>280</v>
      </c>
      <c r="Q39" s="499">
        <f>SUM($J$17:P39)/680</f>
        <v>19.1923844537815</v>
      </c>
    </row>
    <row r="40" spans="2:17">
      <c r="B40" s="16" t="s">
        <v>203</v>
      </c>
      <c r="C40" s="16">
        <v>1</v>
      </c>
      <c r="D40" s="16" t="str">
        <f>"[{"&amp;_xlfn.XLOOKUP(B40,价值表!$C:$C,价值表!$D:$D)&amp;","&amp;C40&amp;"}]"</f>
        <v>[{5800004,1}]</v>
      </c>
      <c r="E40" s="16">
        <f>_xlfn.XLOOKUP(B40,价值表!$C:$C,价值表!$F:$F)*C40</f>
        <v>30</v>
      </c>
      <c r="G40" s="16" t="s">
        <v>213</v>
      </c>
      <c r="H40" s="16">
        <v>5</v>
      </c>
      <c r="I40" s="16" t="str">
        <f>"[{"&amp;_xlfn.XLOOKUP(G40,价值表!$C:$C,价值表!$D:$D)&amp;","&amp;H40&amp;"}]"</f>
        <v>[{11,5}]</v>
      </c>
      <c r="J40" s="16">
        <f>_xlfn.XLOOKUP(G40,价值表!$C:$C,价值表!$F:$F)*H40</f>
        <v>150</v>
      </c>
      <c r="K40" s="499">
        <f>SUM($J$17:J40)/250</f>
        <v/>
      </c>
      <c r="L40" s="499"/>
      <c r="M40" s="16" t="s">
        <v>261</v>
      </c>
      <c r="N40" s="16">
        <v>1</v>
      </c>
      <c r="O40" s="16" t="str">
        <f>"[{"&amp;_xlfn.XLOOKUP(M40,价值表!$C:$C,价值表!$D:$D)&amp;","&amp;N40&amp;"}]"</f>
        <v>[{30,1}]</v>
      </c>
      <c r="P40" s="16">
        <f>_xlfn.XLOOKUP(M40,价值表!$C:$C,价值表!$F:$F)*N40</f>
        <v>280</v>
      </c>
      <c r="Q40" s="499">
        <f>SUM($J$17:P40)/680</f>
        <v>19.8490546218487</v>
      </c>
    </row>
    <row r="41" spans="2:17">
      <c r="B41" s="16" t="s">
        <v>209</v>
      </c>
      <c r="C41" s="16">
        <v>100</v>
      </c>
      <c r="D41" s="16" t="str">
        <f>"[{"&amp;_xlfn.XLOOKUP(B41,价值表!$C:$C,价值表!$D:$D)&amp;","&amp;C41&amp;"}]"</f>
        <v>[{5103001,100}]</v>
      </c>
      <c r="E41" s="16">
        <f>_xlfn.XLOOKUP(B41,价值表!$C:$C,价值表!$F:$F)*C41</f>
        <v>100</v>
      </c>
      <c r="G41" s="16" t="s">
        <v>213</v>
      </c>
      <c r="H41" s="16">
        <v>10</v>
      </c>
      <c r="I41" s="16" t="str">
        <f>"[{"&amp;_xlfn.XLOOKUP(G41,价值表!$C:$C,价值表!$D:$D)&amp;","&amp;H41&amp;"}]"</f>
        <v>[{11,10}]</v>
      </c>
      <c r="J41" s="16">
        <f>_xlfn.XLOOKUP(G41,价值表!$C:$C,价值表!$F:$F)*H41</f>
        <v>300</v>
      </c>
      <c r="K41" s="499">
        <f>SUM($J$17:J41)/250</f>
        <v/>
      </c>
      <c r="L41" s="499"/>
      <c r="M41" s="16" t="s">
        <v>261</v>
      </c>
      <c r="N41" s="16">
        <v>2</v>
      </c>
      <c r="O41" s="16" t="str">
        <f>"[{"&amp;_xlfn.XLOOKUP(M41,价值表!$C:$C,价值表!$D:$D)&amp;","&amp;N41&amp;"}]"</f>
        <v>[{30,2}]</v>
      </c>
      <c r="P41" s="16">
        <f>_xlfn.XLOOKUP(M41,价值表!$C:$C,价值表!$F:$F)*N41</f>
        <v>560</v>
      </c>
      <c r="Q41" s="499">
        <f>SUM($J$17:P41)/680</f>
        <v>21.1411239495798</v>
      </c>
    </row>
    <row r="42" spans="2:17">
      <c r="B42" s="16" t="s">
        <v>203</v>
      </c>
      <c r="C42" s="16">
        <v>1</v>
      </c>
      <c r="D42" s="16" t="str">
        <f>"[{"&amp;_xlfn.XLOOKUP(B42,价值表!$C:$C,价值表!$D:$D)&amp;","&amp;C42&amp;"}]"</f>
        <v>[{5800004,1}]</v>
      </c>
      <c r="E42" s="16">
        <f>_xlfn.XLOOKUP(B42,价值表!$C:$C,价值表!$F:$F)*C42</f>
        <v>30</v>
      </c>
      <c r="G42" s="16" t="s">
        <v>213</v>
      </c>
      <c r="H42" s="16">
        <v>5</v>
      </c>
      <c r="I42" s="16" t="str">
        <f>"[{"&amp;_xlfn.XLOOKUP(G42,价值表!$C:$C,价值表!$D:$D)&amp;","&amp;H42&amp;"}]"</f>
        <v>[{11,5}]</v>
      </c>
      <c r="J42" s="16">
        <f>_xlfn.XLOOKUP(G42,价值表!$C:$C,价值表!$F:$F)*H42</f>
        <v>150</v>
      </c>
      <c r="K42" s="499">
        <f>SUM($J$17:J42)/250</f>
        <v/>
      </c>
      <c r="L42" s="499"/>
      <c r="M42" s="16" t="s">
        <v>261</v>
      </c>
      <c r="N42" s="16">
        <v>1</v>
      </c>
      <c r="O42" s="16" t="str">
        <f>"[{"&amp;_xlfn.XLOOKUP(M42,价值表!$C:$C,价值表!$D:$D)&amp;","&amp;N42&amp;"}]"</f>
        <v>[{30,1}]</v>
      </c>
      <c r="P42" s="16">
        <f>_xlfn.XLOOKUP(M42,价值表!$C:$C,价值表!$F:$F)*N42</f>
        <v>280</v>
      </c>
      <c r="Q42" s="499">
        <f>SUM($J$17:P42)/680</f>
        <v>21.8001575630252</v>
      </c>
    </row>
    <row r="43" spans="2:17">
      <c r="B43" s="16" t="s">
        <v>258</v>
      </c>
      <c r="C43" s="16">
        <v>1</v>
      </c>
      <c r="D43" s="16" t="str">
        <f>"[{"&amp;_xlfn.XLOOKUP(B43,价值表!$C:$C,价值表!$D:$D)&amp;","&amp;C43&amp;"}]"</f>
        <v>[{9,1}]</v>
      </c>
      <c r="E43" s="16">
        <f>_xlfn.XLOOKUP(B43,价值表!$C:$C,价值表!$F:$F)*C43</f>
        <v>50</v>
      </c>
      <c r="G43" s="16" t="s">
        <v>213</v>
      </c>
      <c r="H43" s="16">
        <v>5</v>
      </c>
      <c r="I43" s="16" t="str">
        <f>"[{"&amp;_xlfn.XLOOKUP(G43,价值表!$C:$C,价值表!$D:$D)&amp;","&amp;H43&amp;"}]"</f>
        <v>[{11,5}]</v>
      </c>
      <c r="J43" s="16">
        <f>_xlfn.XLOOKUP(G43,价值表!$C:$C,价值表!$F:$F)*H43</f>
        <v>150</v>
      </c>
      <c r="K43" s="499">
        <f>SUM($J$17:J43)/250</f>
        <v/>
      </c>
      <c r="L43" s="499"/>
      <c r="M43" s="16" t="s">
        <v>261</v>
      </c>
      <c r="N43" s="16">
        <v>1</v>
      </c>
      <c r="O43" s="16" t="str">
        <f>"[{"&amp;_xlfn.XLOOKUP(M43,价值表!$C:$C,价值表!$D:$D)&amp;","&amp;N43&amp;"}]"</f>
        <v>[{30,1}]</v>
      </c>
      <c r="P43" s="16">
        <f>_xlfn.XLOOKUP(M43,价值表!$C:$C,价值表!$F:$F)*N43</f>
        <v>280</v>
      </c>
      <c r="Q43" s="499">
        <f>SUM($J$17:P43)/680</f>
        <v>22.4599789915966</v>
      </c>
    </row>
    <row r="44" spans="2:17">
      <c r="B44" s="16" t="s">
        <v>203</v>
      </c>
      <c r="C44" s="16">
        <v>1</v>
      </c>
      <c r="D44" s="16" t="str">
        <f>"[{"&amp;_xlfn.XLOOKUP(B44,价值表!$C:$C,价值表!$D:$D)&amp;","&amp;C44&amp;"}]"</f>
        <v>[{5800004,1}]</v>
      </c>
      <c r="E44" s="16">
        <f>_xlfn.XLOOKUP(B44,价值表!$C:$C,价值表!$F:$F)*C44</f>
        <v>30</v>
      </c>
      <c r="G44" s="16" t="s">
        <v>213</v>
      </c>
      <c r="H44" s="16">
        <v>5</v>
      </c>
      <c r="I44" s="16" t="str">
        <f>"[{"&amp;_xlfn.XLOOKUP(G44,价值表!$C:$C,价值表!$D:$D)&amp;","&amp;H44&amp;"}]"</f>
        <v>[{11,5}]</v>
      </c>
      <c r="J44" s="16">
        <f>_xlfn.XLOOKUP(G44,价值表!$C:$C,价值表!$F:$F)*H44</f>
        <v>150</v>
      </c>
      <c r="K44" s="499">
        <f>SUM($J$17:J44)/250</f>
        <v/>
      </c>
      <c r="L44" s="499"/>
      <c r="M44" s="16" t="s">
        <v>261</v>
      </c>
      <c r="N44" s="16">
        <v>1</v>
      </c>
      <c r="O44" s="16" t="str">
        <f>"[{"&amp;_xlfn.XLOOKUP(M44,价值表!$C:$C,价值表!$D:$D)&amp;","&amp;N44&amp;"}]"</f>
        <v>[{30,1}]</v>
      </c>
      <c r="P44" s="16">
        <f>_xlfn.XLOOKUP(M44,价值表!$C:$C,价值表!$F:$F)*N44</f>
        <v>280</v>
      </c>
      <c r="Q44" s="499">
        <f>SUM($J$17:P44)/680</f>
        <v>23.1205882352941</v>
      </c>
    </row>
    <row r="45" spans="2:17">
      <c r="B45" s="16" t="s">
        <v>209</v>
      </c>
      <c r="C45" s="16">
        <v>50</v>
      </c>
      <c r="D45" s="16" t="str">
        <f>"[{"&amp;_xlfn.XLOOKUP(B45,价值表!$C:$C,价值表!$D:$D)&amp;","&amp;C45&amp;"}]"</f>
        <v>[{5103001,50}]</v>
      </c>
      <c r="E45" s="16">
        <f>_xlfn.XLOOKUP(B45,价值表!$C:$C,价值表!$F:$F)*C45</f>
        <v>50</v>
      </c>
      <c r="G45" s="16" t="s">
        <v>213</v>
      </c>
      <c r="H45" s="16">
        <v>5</v>
      </c>
      <c r="I45" s="16" t="str">
        <f>"[{"&amp;_xlfn.XLOOKUP(G45,价值表!$C:$C,价值表!$D:$D)&amp;","&amp;H45&amp;"}]"</f>
        <v>[{11,5}]</v>
      </c>
      <c r="J45" s="16">
        <f>_xlfn.XLOOKUP(G45,价值表!$C:$C,价值表!$F:$F)*H45</f>
        <v>150</v>
      </c>
      <c r="K45" s="499">
        <f>SUM($J$17:J45)/250</f>
        <v/>
      </c>
      <c r="L45" s="499"/>
      <c r="M45" s="16" t="s">
        <v>261</v>
      </c>
      <c r="N45" s="16">
        <v>1</v>
      </c>
      <c r="O45" s="16" t="str">
        <f>"[{"&amp;_xlfn.XLOOKUP(M45,价值表!$C:$C,价值表!$D:$D)&amp;","&amp;N45&amp;"}]"</f>
        <v>[{30,1}]</v>
      </c>
      <c r="P45" s="16">
        <f>_xlfn.XLOOKUP(M45,价值表!$C:$C,价值表!$F:$F)*N45</f>
        <v>280</v>
      </c>
      <c r="Q45" s="499">
        <f>SUM($J$17:P45)/680</f>
        <v>23.7819852941176</v>
      </c>
    </row>
    <row r="46" spans="2:17">
      <c r="B46" s="16" t="s">
        <v>203</v>
      </c>
      <c r="C46" s="16">
        <v>1</v>
      </c>
      <c r="D46" s="16" t="str">
        <f>"[{"&amp;_xlfn.XLOOKUP(B46,价值表!$C:$C,价值表!$D:$D)&amp;","&amp;C46&amp;"}]"</f>
        <v>[{5800004,1}]</v>
      </c>
      <c r="E46" s="16">
        <f>_xlfn.XLOOKUP(B46,价值表!$C:$C,价值表!$F:$F)*C46</f>
        <v>30</v>
      </c>
      <c r="G46" s="16" t="s">
        <v>213</v>
      </c>
      <c r="H46" s="16">
        <v>10</v>
      </c>
      <c r="I46" s="16" t="str">
        <f>"[{"&amp;_xlfn.XLOOKUP(G46,价值表!$C:$C,价值表!$D:$D)&amp;","&amp;H46&amp;"}]"</f>
        <v>[{11,10}]</v>
      </c>
      <c r="J46" s="16">
        <f>_xlfn.XLOOKUP(G46,价值表!$C:$C,价值表!$F:$F)*H46</f>
        <v>300</v>
      </c>
      <c r="K46" s="499">
        <f>SUM($J$17:J46)/250</f>
        <v/>
      </c>
      <c r="L46" s="499"/>
      <c r="M46" s="16" t="s">
        <v>261</v>
      </c>
      <c r="N46" s="16">
        <v>2</v>
      </c>
      <c r="O46" s="16" t="str">
        <f>"[{"&amp;_xlfn.XLOOKUP(M46,价值表!$C:$C,价值表!$D:$D)&amp;","&amp;N46&amp;"}]"</f>
        <v>[{30,2}]</v>
      </c>
      <c r="P46" s="16">
        <f>_xlfn.XLOOKUP(M46,价值表!$C:$C,价值表!$F:$F)*N46</f>
        <v>560</v>
      </c>
      <c r="Q46" s="499">
        <f>SUM($J$17:P46)/680</f>
        <v>25.078781512605</v>
      </c>
    </row>
    <row r="47" spans="2:17">
      <c r="B47" s="16" t="s">
        <v>195</v>
      </c>
      <c r="C47" s="16">
        <v>500</v>
      </c>
      <c r="D47" s="16" t="str">
        <f>"[{"&amp;_xlfn.XLOOKUP(B47,价值表!$C:$C,价值表!$D:$D)&amp;","&amp;C47&amp;"}]"</f>
        <v>[{2,500}]</v>
      </c>
      <c r="E47" s="16">
        <f>_xlfn.XLOOKUP(B47,价值表!$C:$C,价值表!$F:$F)*C47</f>
        <v>25</v>
      </c>
      <c r="G47" s="16" t="s">
        <v>213</v>
      </c>
      <c r="H47" s="16">
        <v>5</v>
      </c>
      <c r="I47" s="16" t="str">
        <f>"[{"&amp;_xlfn.XLOOKUP(G47,价值表!$C:$C,价值表!$D:$D)&amp;","&amp;H47&amp;"}]"</f>
        <v>[{11,5}]</v>
      </c>
      <c r="J47" s="16">
        <f>_xlfn.XLOOKUP(G47,价值表!$C:$C,价值表!$F:$F)*H47</f>
        <v>150</v>
      </c>
      <c r="K47" s="499">
        <f>SUM($J$17:J47)/250</f>
        <v/>
      </c>
      <c r="L47" s="499"/>
      <c r="M47" s="16" t="s">
        <v>261</v>
      </c>
      <c r="N47" s="16">
        <v>1</v>
      </c>
      <c r="O47" s="16" t="str">
        <f>"[{"&amp;_xlfn.XLOOKUP(M47,价值表!$C:$C,价值表!$D:$D)&amp;","&amp;N47&amp;"}]"</f>
        <v>[{30,1}]</v>
      </c>
      <c r="P47" s="16">
        <f>_xlfn.XLOOKUP(M47,价值表!$C:$C,价值表!$F:$F)*N47</f>
        <v>280</v>
      </c>
      <c r="Q47" s="499">
        <f>SUM($J$17:P47)/680</f>
        <v>25.7425420168067</v>
      </c>
    </row>
    <row r="48" spans="2:17">
      <c r="B48" s="16" t="s">
        <v>203</v>
      </c>
      <c r="C48" s="16">
        <v>1</v>
      </c>
      <c r="D48" s="16" t="str">
        <f>"[{"&amp;_xlfn.XLOOKUP(B48,价值表!$C:$C,价值表!$D:$D)&amp;","&amp;C48&amp;"}]"</f>
        <v>[{5800004,1}]</v>
      </c>
      <c r="E48" s="16">
        <f>_xlfn.XLOOKUP(B48,价值表!$C:$C,价值表!$F:$F)*C48</f>
        <v>30</v>
      </c>
      <c r="G48" s="16" t="s">
        <v>213</v>
      </c>
      <c r="H48" s="16">
        <v>5</v>
      </c>
      <c r="I48" s="16" t="str">
        <f>"[{"&amp;_xlfn.XLOOKUP(G48,价值表!$C:$C,价值表!$D:$D)&amp;","&amp;H48&amp;"}]"</f>
        <v>[{11,5}]</v>
      </c>
      <c r="J48" s="16">
        <f>_xlfn.XLOOKUP(G48,价值表!$C:$C,价值表!$F:$F)*H48</f>
        <v>150</v>
      </c>
      <c r="K48" s="499">
        <f>SUM($J$17:J48)/250</f>
        <v/>
      </c>
      <c r="L48" s="499"/>
      <c r="M48" s="16" t="s">
        <v>261</v>
      </c>
      <c r="N48" s="16">
        <v>1</v>
      </c>
      <c r="O48" s="16" t="str">
        <f>"[{"&amp;_xlfn.XLOOKUP(M48,价值表!$C:$C,价值表!$D:$D)&amp;","&amp;N48&amp;"}]"</f>
        <v>[{30,1}]</v>
      </c>
      <c r="P48" s="16">
        <f>_xlfn.XLOOKUP(M48,价值表!$C:$C,价值表!$F:$F)*N48</f>
        <v>280</v>
      </c>
      <c r="Q48" s="499">
        <f>SUM($J$17:P48)/680</f>
        <v>26.4070903361345</v>
      </c>
    </row>
    <row r="49" spans="2:17">
      <c r="B49" s="16" t="s">
        <v>209</v>
      </c>
      <c r="C49" s="16">
        <v>100</v>
      </c>
      <c r="D49" s="16" t="str">
        <f>"[{"&amp;_xlfn.XLOOKUP(B49,价值表!$C:$C,价值表!$D:$D)&amp;","&amp;C49&amp;"}]"</f>
        <v>[{5103001,100}]</v>
      </c>
      <c r="E49" s="16">
        <f>_xlfn.XLOOKUP(B49,价值表!$C:$C,价值表!$F:$F)*C49</f>
        <v>100</v>
      </c>
      <c r="G49" s="16" t="s">
        <v>213</v>
      </c>
      <c r="H49" s="16">
        <v>5</v>
      </c>
      <c r="I49" s="16" t="str">
        <f>"[{"&amp;_xlfn.XLOOKUP(G49,价值表!$C:$C,价值表!$D:$D)&amp;","&amp;H49&amp;"}]"</f>
        <v>[{11,5}]</v>
      </c>
      <c r="J49" s="16">
        <f>_xlfn.XLOOKUP(G49,价值表!$C:$C,价值表!$F:$F)*H49</f>
        <v>150</v>
      </c>
      <c r="K49" s="499">
        <f>SUM($J$17:J49)/250</f>
        <v/>
      </c>
      <c r="L49" s="499"/>
      <c r="M49" s="16" t="s">
        <v>261</v>
      </c>
      <c r="N49" s="16">
        <v>1</v>
      </c>
      <c r="O49" s="16" t="str">
        <f>"[{"&amp;_xlfn.XLOOKUP(M49,价值表!$C:$C,价值表!$D:$D)&amp;","&amp;N49&amp;"}]"</f>
        <v>[{30,1}]</v>
      </c>
      <c r="P49" s="16">
        <f>_xlfn.XLOOKUP(M49,价值表!$C:$C,价值表!$F:$F)*N49</f>
        <v>280</v>
      </c>
      <c r="Q49" s="499">
        <f>SUM($J$17:P49)/680</f>
        <v>27.0724264705882</v>
      </c>
    </row>
    <row r="50" spans="2:17">
      <c r="B50" s="16" t="s">
        <v>203</v>
      </c>
      <c r="C50" s="16">
        <v>1</v>
      </c>
      <c r="D50" s="16" t="str">
        <f>"[{"&amp;_xlfn.XLOOKUP(B50,价值表!$C:$C,价值表!$D:$D)&amp;","&amp;C50&amp;"}]"</f>
        <v>[{5800004,1}]</v>
      </c>
      <c r="E50" s="16">
        <f>_xlfn.XLOOKUP(B50,价值表!$C:$C,价值表!$F:$F)*C50</f>
        <v>30</v>
      </c>
      <c r="G50" s="16" t="s">
        <v>213</v>
      </c>
      <c r="H50" s="16">
        <v>5</v>
      </c>
      <c r="I50" s="16" t="str">
        <f>"[{"&amp;_xlfn.XLOOKUP(G50,价值表!$C:$C,价值表!$D:$D)&amp;","&amp;H50&amp;"}]"</f>
        <v>[{11,5}]</v>
      </c>
      <c r="J50" s="16">
        <f>_xlfn.XLOOKUP(G50,价值表!$C:$C,价值表!$F:$F)*H50</f>
        <v>150</v>
      </c>
      <c r="K50" s="499">
        <f>SUM($J$17:J50)/250</f>
        <v/>
      </c>
      <c r="L50" s="499"/>
      <c r="M50" s="16" t="s">
        <v>261</v>
      </c>
      <c r="N50" s="16">
        <v>1</v>
      </c>
      <c r="O50" s="16" t="str">
        <f>"[{"&amp;_xlfn.XLOOKUP(M50,价值表!$C:$C,价值表!$D:$D)&amp;","&amp;N50&amp;"}]"</f>
        <v>[{30,1}]</v>
      </c>
      <c r="P50" s="16">
        <f>_xlfn.XLOOKUP(M50,价值表!$C:$C,价值表!$F:$F)*N50</f>
        <v>280</v>
      </c>
      <c r="Q50" s="499">
        <f>SUM($J$17:P50)/680</f>
        <v>27.7385504201681</v>
      </c>
    </row>
    <row r="51" spans="2:17">
      <c r="B51" s="16" t="s">
        <v>213</v>
      </c>
      <c r="C51" s="16">
        <v>5</v>
      </c>
      <c r="D51" s="16" t="str">
        <f>"[{"&amp;_xlfn.XLOOKUP(B51,价值表!$C:$C,价值表!$D:$D)&amp;","&amp;C51&amp;"}]"</f>
        <v>[{11,5}]</v>
      </c>
      <c r="E51" s="16">
        <f>_xlfn.XLOOKUP(B51,价值表!$C:$C,价值表!$F:$F)*C51</f>
        <v>150</v>
      </c>
      <c r="G51" s="16" t="s">
        <v>213</v>
      </c>
      <c r="H51" s="16">
        <v>10</v>
      </c>
      <c r="I51" s="16" t="str">
        <f>"[{"&amp;_xlfn.XLOOKUP(G51,价值表!$C:$C,价值表!$D:$D)&amp;","&amp;H51&amp;"}]"</f>
        <v>[{11,10}]</v>
      </c>
      <c r="J51" s="16">
        <f>_xlfn.XLOOKUP(G51,价值表!$C:$C,价值表!$F:$F)*H51</f>
        <v>300</v>
      </c>
      <c r="K51" s="499">
        <f>SUM($J$17:J51)/250</f>
        <v/>
      </c>
      <c r="L51" s="499"/>
      <c r="M51" s="16" t="s">
        <v>261</v>
      </c>
      <c r="N51" s="16">
        <v>2</v>
      </c>
      <c r="O51" s="16" t="str">
        <f>"[{"&amp;_xlfn.XLOOKUP(M51,价值表!$C:$C,价值表!$D:$D)&amp;","&amp;N51&amp;"}]"</f>
        <v>[{30,2}]</v>
      </c>
      <c r="P51" s="16">
        <f>_xlfn.XLOOKUP(M51,价值表!$C:$C,价值表!$F:$F)*N51</f>
        <v>560</v>
      </c>
      <c r="Q51" s="499">
        <f>SUM($J$17:P51)/680</f>
        <v>29.0400735294118</v>
      </c>
    </row>
    <row r="52" spans="2:17">
      <c r="B52" s="16" t="s">
        <v>258</v>
      </c>
      <c r="C52" s="16">
        <v>1</v>
      </c>
      <c r="D52" s="16" t="str">
        <f>"[{"&amp;_xlfn.XLOOKUP(B52,价值表!$C:$C,价值表!$D:$D)&amp;","&amp;C52&amp;"}]"</f>
        <v>[{9,1}]</v>
      </c>
      <c r="E52" s="16">
        <f>_xlfn.XLOOKUP(B52,价值表!$C:$C,价值表!$F:$F)*C52</f>
        <v>50</v>
      </c>
      <c r="G52" s="16" t="s">
        <v>213</v>
      </c>
      <c r="H52" s="16">
        <v>5</v>
      </c>
      <c r="I52" s="16" t="str">
        <f>"[{"&amp;_xlfn.XLOOKUP(G52,价值表!$C:$C,价值表!$D:$D)&amp;","&amp;H52&amp;"}]"</f>
        <v>[{11,5}]</v>
      </c>
      <c r="J52" s="16">
        <f>_xlfn.XLOOKUP(G52,价值表!$C:$C,价值表!$F:$F)*H52</f>
        <v>150</v>
      </c>
      <c r="K52" s="499">
        <f>SUM($J$17:J52)/250</f>
        <v/>
      </c>
      <c r="L52" s="499"/>
      <c r="M52" s="16" t="s">
        <v>261</v>
      </c>
      <c r="N52" s="16">
        <v>1</v>
      </c>
      <c r="O52" s="16" t="str">
        <f>"[{"&amp;_xlfn.XLOOKUP(M52,价值表!$C:$C,价值表!$D:$D)&amp;","&amp;N52&amp;"}]"</f>
        <v>[{30,1}]</v>
      </c>
      <c r="P52" s="16">
        <f>_xlfn.XLOOKUP(M52,价值表!$C:$C,价值表!$F:$F)*N52</f>
        <v>280</v>
      </c>
      <c r="Q52" s="499">
        <f>SUM($J$17:P52)/680</f>
        <v>29.7085609243697</v>
      </c>
    </row>
    <row r="53" spans="2:17">
      <c r="B53" s="16" t="s">
        <v>203</v>
      </c>
      <c r="C53" s="16">
        <v>1</v>
      </c>
      <c r="D53" s="16" t="str">
        <f>"[{"&amp;_xlfn.XLOOKUP(B53,价值表!$C:$C,价值表!$D:$D)&amp;","&amp;C53&amp;"}]"</f>
        <v>[{5800004,1}]</v>
      </c>
      <c r="E53" s="16">
        <f>_xlfn.XLOOKUP(B53,价值表!$C:$C,价值表!$F:$F)*C53</f>
        <v>30</v>
      </c>
      <c r="G53" s="16" t="s">
        <v>213</v>
      </c>
      <c r="H53" s="16">
        <v>5</v>
      </c>
      <c r="I53" s="16" t="str">
        <f>"[{"&amp;_xlfn.XLOOKUP(G53,价值表!$C:$C,价值表!$D:$D)&amp;","&amp;H53&amp;"}]"</f>
        <v>[{11,5}]</v>
      </c>
      <c r="J53" s="16">
        <f>_xlfn.XLOOKUP(G53,价值表!$C:$C,价值表!$F:$F)*H53</f>
        <v>150</v>
      </c>
      <c r="K53" s="499">
        <f>SUM($J$17:J53)/250</f>
        <v/>
      </c>
      <c r="L53" s="499"/>
      <c r="M53" s="16" t="s">
        <v>261</v>
      </c>
      <c r="N53" s="16">
        <v>1</v>
      </c>
      <c r="O53" s="16" t="str">
        <f>"[{"&amp;_xlfn.XLOOKUP(M53,价值表!$C:$C,价值表!$D:$D)&amp;","&amp;N53&amp;"}]"</f>
        <v>[{30,1}]</v>
      </c>
      <c r="P53" s="16">
        <f>_xlfn.XLOOKUP(M53,价值表!$C:$C,价值表!$F:$F)*N53</f>
        <v>280</v>
      </c>
      <c r="Q53" s="499">
        <f>SUM($J$17:P53)/680</f>
        <v>30.3778361344538</v>
      </c>
    </row>
    <row r="54" spans="2:17">
      <c r="B54" s="16" t="s">
        <v>209</v>
      </c>
      <c r="C54" s="16">
        <v>50</v>
      </c>
      <c r="D54" s="16" t="str">
        <f>"[{"&amp;_xlfn.XLOOKUP(B54,价值表!$C:$C,价值表!$D:$D)&amp;","&amp;C54&amp;"}]"</f>
        <v>[{5103001,50}]</v>
      </c>
      <c r="E54" s="16">
        <f>_xlfn.XLOOKUP(B54,价值表!$C:$C,价值表!$F:$F)*C54</f>
        <v>50</v>
      </c>
      <c r="G54" s="16" t="s">
        <v>213</v>
      </c>
      <c r="H54" s="16">
        <v>5</v>
      </c>
      <c r="I54" s="16" t="str">
        <f>"[{"&amp;_xlfn.XLOOKUP(G54,价值表!$C:$C,价值表!$D:$D)&amp;","&amp;H54&amp;"}]"</f>
        <v>[{11,5}]</v>
      </c>
      <c r="J54" s="16">
        <f>_xlfn.XLOOKUP(G54,价值表!$C:$C,价值表!$F:$F)*H54</f>
        <v>150</v>
      </c>
      <c r="K54" s="499">
        <f>SUM($J$17:J54)/250</f>
        <v/>
      </c>
      <c r="L54" s="499"/>
      <c r="M54" s="16" t="s">
        <v>261</v>
      </c>
      <c r="N54" s="16">
        <v>1</v>
      </c>
      <c r="O54" s="16" t="str">
        <f>"[{"&amp;_xlfn.XLOOKUP(M54,价值表!$C:$C,价值表!$D:$D)&amp;","&amp;N54&amp;"}]"</f>
        <v>[{30,1}]</v>
      </c>
      <c r="P54" s="16">
        <f>_xlfn.XLOOKUP(M54,价值表!$C:$C,价值表!$F:$F)*N54</f>
        <v>280</v>
      </c>
      <c r="Q54" s="499">
        <f>SUM($J$17:P54)/680</f>
        <v>31.0478991596639</v>
      </c>
    </row>
    <row r="55" spans="2:17">
      <c r="B55" s="16" t="s">
        <v>203</v>
      </c>
      <c r="C55" s="16">
        <v>1</v>
      </c>
      <c r="D55" s="16" t="str">
        <f>"[{"&amp;_xlfn.XLOOKUP(B55,价值表!$C:$C,价值表!$D:$D)&amp;","&amp;C55&amp;"}]"</f>
        <v>[{5800004,1}]</v>
      </c>
      <c r="E55" s="16">
        <f>_xlfn.XLOOKUP(B55,价值表!$C:$C,价值表!$F:$F)*C55</f>
        <v>30</v>
      </c>
      <c r="G55" s="16" t="s">
        <v>213</v>
      </c>
      <c r="H55" s="16">
        <v>5</v>
      </c>
      <c r="I55" s="16" t="str">
        <f>"[{"&amp;_xlfn.XLOOKUP(G55,价值表!$C:$C,价值表!$D:$D)&amp;","&amp;H55&amp;"}]"</f>
        <v>[{11,5}]</v>
      </c>
      <c r="J55" s="16">
        <f>_xlfn.XLOOKUP(G55,价值表!$C:$C,价值表!$F:$F)*H55</f>
        <v>150</v>
      </c>
      <c r="K55" s="499">
        <f>SUM($J$17:J55)/250</f>
        <v/>
      </c>
      <c r="L55" s="499"/>
      <c r="M55" s="16" t="s">
        <v>261</v>
      </c>
      <c r="N55" s="16">
        <v>1</v>
      </c>
      <c r="O55" s="16" t="str">
        <f>"[{"&amp;_xlfn.XLOOKUP(M55,价值表!$C:$C,价值表!$D:$D)&amp;","&amp;N55&amp;"}]"</f>
        <v>[{30,1}]</v>
      </c>
      <c r="P55" s="16">
        <f>_xlfn.XLOOKUP(M55,价值表!$C:$C,价值表!$F:$F)*N55</f>
        <v>280</v>
      </c>
      <c r="Q55" s="499">
        <f>SUM($J$17:P55)/680</f>
        <v>31.71875</v>
      </c>
    </row>
    <row r="56" spans="2:17">
      <c r="B56" s="16" t="s">
        <v>195</v>
      </c>
      <c r="C56" s="16">
        <v>500</v>
      </c>
      <c r="D56" s="16" t="str">
        <f>"[{"&amp;_xlfn.XLOOKUP(B56,价值表!$C:$C,价值表!$D:$D)&amp;","&amp;C56&amp;"}]"</f>
        <v>[{2,500}]</v>
      </c>
      <c r="E56" s="16">
        <f>_xlfn.XLOOKUP(B56,价值表!$C:$C,价值表!$F:$F)*C56</f>
        <v>25</v>
      </c>
      <c r="G56" s="16" t="s">
        <v>213</v>
      </c>
      <c r="H56" s="16">
        <v>10</v>
      </c>
      <c r="I56" s="16" t="str">
        <f>"[{"&amp;_xlfn.XLOOKUP(G56,价值表!$C:$C,价值表!$D:$D)&amp;","&amp;H56&amp;"}]"</f>
        <v>[{11,10}]</v>
      </c>
      <c r="J56" s="16">
        <f>_xlfn.XLOOKUP(G56,价值表!$C:$C,价值表!$F:$F)*H56</f>
        <v>300</v>
      </c>
      <c r="K56" s="499">
        <f>SUM($J$17:J56)/250</f>
        <v/>
      </c>
      <c r="L56" s="499"/>
      <c r="M56" s="16" t="s">
        <v>261</v>
      </c>
      <c r="N56" s="16">
        <v>2</v>
      </c>
      <c r="O56" s="16" t="str">
        <f>"[{"&amp;_xlfn.XLOOKUP(M56,价值表!$C:$C,价值表!$D:$D)&amp;","&amp;N56&amp;"}]"</f>
        <v>[{30,2}]</v>
      </c>
      <c r="P56" s="16">
        <f>_xlfn.XLOOKUP(M56,价值表!$C:$C,价值表!$F:$F)*N56</f>
        <v>560</v>
      </c>
      <c r="Q56" s="499">
        <f>SUM($J$17:P56)/680</f>
        <v>33.025</v>
      </c>
    </row>
    <row r="57" spans="2:17">
      <c r="B57" s="16" t="s">
        <v>203</v>
      </c>
      <c r="C57" s="16">
        <v>1</v>
      </c>
      <c r="D57" s="16" t="str">
        <f>"[{"&amp;_xlfn.XLOOKUP(B57,价值表!$C:$C,价值表!$D:$D)&amp;","&amp;C57&amp;"}]"</f>
        <v>[{5800004,1}]</v>
      </c>
      <c r="E57" s="16">
        <f>_xlfn.XLOOKUP(B57,价值表!$C:$C,价值表!$F:$F)*C57</f>
        <v>30</v>
      </c>
      <c r="G57" s="16" t="s">
        <v>213</v>
      </c>
      <c r="H57" s="16">
        <v>5</v>
      </c>
      <c r="I57" s="16" t="str">
        <f>"[{"&amp;_xlfn.XLOOKUP(G57,价值表!$C:$C,价值表!$D:$D)&amp;","&amp;H57&amp;"}]"</f>
        <v>[{11,5}]</v>
      </c>
      <c r="J57" s="16">
        <f>_xlfn.XLOOKUP(G57,价值表!$C:$C,价值表!$F:$F)*H57</f>
        <v>150</v>
      </c>
      <c r="K57" s="499">
        <f>SUM($J$17:J57)/250</f>
        <v/>
      </c>
      <c r="L57" s="499"/>
      <c r="M57" s="16" t="s">
        <v>261</v>
      </c>
      <c r="N57" s="16">
        <v>1</v>
      </c>
      <c r="O57" s="16" t="str">
        <f>"[{"&amp;_xlfn.XLOOKUP(M57,价值表!$C:$C,价值表!$D:$D)&amp;","&amp;N57&amp;"}]"</f>
        <v>[{30,1}]</v>
      </c>
      <c r="P57" s="16">
        <f>_xlfn.XLOOKUP(M57,价值表!$C:$C,价值表!$F:$F)*N57</f>
        <v>280</v>
      </c>
      <c r="Q57" s="499">
        <f>SUM($J$17:P57)/680</f>
        <v>33.6982142857143</v>
      </c>
    </row>
    <row r="58" spans="2:17">
      <c r="B58" s="16" t="s">
        <v>209</v>
      </c>
      <c r="C58" s="16">
        <v>100</v>
      </c>
      <c r="D58" s="16" t="str">
        <f>"[{"&amp;_xlfn.XLOOKUP(B58,价值表!$C:$C,价值表!$D:$D)&amp;","&amp;C58&amp;"}]"</f>
        <v>[{5103001,100}]</v>
      </c>
      <c r="E58" s="16">
        <f>_xlfn.XLOOKUP(B58,价值表!$C:$C,价值表!$F:$F)*C58</f>
        <v>100</v>
      </c>
      <c r="G58" s="16" t="s">
        <v>213</v>
      </c>
      <c r="H58" s="16">
        <v>5</v>
      </c>
      <c r="I58" s="16" t="str">
        <f>"[{"&amp;_xlfn.XLOOKUP(G58,价值表!$C:$C,价值表!$D:$D)&amp;","&amp;H58&amp;"}]"</f>
        <v>[{11,5}]</v>
      </c>
      <c r="J58" s="16">
        <f>_xlfn.XLOOKUP(G58,价值表!$C:$C,价值表!$F:$F)*H58</f>
        <v>150</v>
      </c>
      <c r="K58" s="499">
        <f>SUM($J$17:J58)/250</f>
        <v/>
      </c>
      <c r="L58" s="499"/>
      <c r="M58" s="16" t="s">
        <v>261</v>
      </c>
      <c r="N58" s="16">
        <v>1</v>
      </c>
      <c r="O58" s="16" t="str">
        <f>"[{"&amp;_xlfn.XLOOKUP(M58,价值表!$C:$C,价值表!$D:$D)&amp;","&amp;N58&amp;"}]"</f>
        <v>[{30,1}]</v>
      </c>
      <c r="P58" s="16">
        <f>_xlfn.XLOOKUP(M58,价值表!$C:$C,价值表!$F:$F)*N58</f>
        <v>280</v>
      </c>
      <c r="Q58" s="499">
        <f>SUM($J$17:P58)/680</f>
        <v>34.3722163865546</v>
      </c>
    </row>
    <row r="59" spans="2:17">
      <c r="B59" s="16" t="s">
        <v>203</v>
      </c>
      <c r="C59" s="16">
        <v>1</v>
      </c>
      <c r="D59" s="16" t="str">
        <f>"[{"&amp;_xlfn.XLOOKUP(B59,价值表!$C:$C,价值表!$D:$D)&amp;","&amp;C59&amp;"}]"</f>
        <v>[{5800004,1}]</v>
      </c>
      <c r="E59" s="16">
        <f>_xlfn.XLOOKUP(B59,价值表!$C:$C,价值表!$F:$F)*C59</f>
        <v>30</v>
      </c>
      <c r="G59" s="16" t="s">
        <v>213</v>
      </c>
      <c r="H59" s="16">
        <v>5</v>
      </c>
      <c r="I59" s="16" t="str">
        <f>"[{"&amp;_xlfn.XLOOKUP(G59,价值表!$C:$C,价值表!$D:$D)&amp;","&amp;H59&amp;"}]"</f>
        <v>[{11,5}]</v>
      </c>
      <c r="J59" s="16">
        <f>_xlfn.XLOOKUP(G59,价值表!$C:$C,价值表!$F:$F)*H59</f>
        <v>150</v>
      </c>
      <c r="K59" s="499">
        <f>SUM($J$17:J59)/250</f>
        <v/>
      </c>
      <c r="L59" s="499"/>
      <c r="M59" s="16" t="s">
        <v>261</v>
      </c>
      <c r="N59" s="16">
        <v>1</v>
      </c>
      <c r="O59" s="16" t="str">
        <f>"[{"&amp;_xlfn.XLOOKUP(M59,价值表!$C:$C,价值表!$D:$D)&amp;","&amp;N59&amp;"}]"</f>
        <v>[{30,1}]</v>
      </c>
      <c r="P59" s="16">
        <f>_xlfn.XLOOKUP(M59,价值表!$C:$C,价值表!$F:$F)*N59</f>
        <v>280</v>
      </c>
      <c r="Q59" s="499">
        <f>SUM($J$17:P59)/680</f>
        <v>35.047006302521</v>
      </c>
    </row>
    <row r="60" spans="2:17">
      <c r="B60" s="16" t="s">
        <v>258</v>
      </c>
      <c r="C60" s="16">
        <v>1</v>
      </c>
      <c r="D60" s="16" t="str">
        <f>"[{"&amp;_xlfn.XLOOKUP(B60,价值表!$C:$C,价值表!$D:$D)&amp;","&amp;C60&amp;"}]"</f>
        <v>[{9,1}]</v>
      </c>
      <c r="E60" s="16">
        <f>_xlfn.XLOOKUP(B60,价值表!$C:$C,价值表!$F:$F)*C60</f>
        <v>50</v>
      </c>
      <c r="G60" s="16" t="s">
        <v>213</v>
      </c>
      <c r="H60" s="16">
        <v>5</v>
      </c>
      <c r="I60" s="16" t="str">
        <f>"[{"&amp;_xlfn.XLOOKUP(G60,价值表!$C:$C,价值表!$D:$D)&amp;","&amp;H60&amp;"}]"</f>
        <v>[{11,5}]</v>
      </c>
      <c r="J60" s="16">
        <f>_xlfn.XLOOKUP(G60,价值表!$C:$C,价值表!$F:$F)*H60</f>
        <v>150</v>
      </c>
      <c r="K60" s="499">
        <f>SUM($J$17:J60)/250</f>
        <v/>
      </c>
      <c r="L60" s="499"/>
      <c r="M60" s="16" t="s">
        <v>261</v>
      </c>
      <c r="N60" s="16">
        <v>1</v>
      </c>
      <c r="O60" s="16" t="str">
        <f>"[{"&amp;_xlfn.XLOOKUP(M60,价值表!$C:$C,价值表!$D:$D)&amp;","&amp;N60&amp;"}]"</f>
        <v>[{30,1}]</v>
      </c>
      <c r="P60" s="16">
        <f>_xlfn.XLOOKUP(M60,价值表!$C:$C,价值表!$F:$F)*N60</f>
        <v>280</v>
      </c>
      <c r="Q60" s="499">
        <f>SUM($J$17:P60)/680</f>
        <v>35.7225840336134</v>
      </c>
    </row>
    <row r="61" spans="2:17">
      <c r="B61" s="16" t="s">
        <v>203</v>
      </c>
      <c r="C61" s="16">
        <v>1</v>
      </c>
      <c r="D61" s="16" t="str">
        <f>"[{"&amp;_xlfn.XLOOKUP(B61,价值表!$C:$C,价值表!$D:$D)&amp;","&amp;C61&amp;"}]"</f>
        <v>[{5800004,1}]</v>
      </c>
      <c r="E61" s="16">
        <f>_xlfn.XLOOKUP(B61,价值表!$C:$C,价值表!$F:$F)*C61</f>
        <v>30</v>
      </c>
      <c r="G61" s="16" t="s">
        <v>213</v>
      </c>
      <c r="H61" s="16">
        <v>10</v>
      </c>
      <c r="I61" s="16" t="str">
        <f>"[{"&amp;_xlfn.XLOOKUP(G61,价值表!$C:$C,价值表!$D:$D)&amp;","&amp;H61&amp;"}]"</f>
        <v>[{11,10}]</v>
      </c>
      <c r="J61" s="16">
        <f>_xlfn.XLOOKUP(G61,价值表!$C:$C,价值表!$F:$F)*H61</f>
        <v>300</v>
      </c>
      <c r="K61" s="499">
        <f>SUM($J$17:J61)/250</f>
        <v/>
      </c>
      <c r="L61" s="499"/>
      <c r="M61" s="16" t="s">
        <v>261</v>
      </c>
      <c r="N61" s="16">
        <v>2</v>
      </c>
      <c r="O61" s="16" t="str">
        <f>"[{"&amp;_xlfn.XLOOKUP(M61,价值表!$C:$C,价值表!$D:$D)&amp;","&amp;N61&amp;"}]"</f>
        <v>[{30,2}]</v>
      </c>
      <c r="P61" s="16">
        <f>_xlfn.XLOOKUP(M61,价值表!$C:$C,价值表!$F:$F)*N61</f>
        <v>560</v>
      </c>
      <c r="Q61" s="499">
        <f>SUM($J$17:P61)/680</f>
        <v>37.0335609243697</v>
      </c>
    </row>
    <row r="62" spans="2:17">
      <c r="B62" s="16" t="s">
        <v>209</v>
      </c>
      <c r="C62" s="16">
        <v>200</v>
      </c>
      <c r="D62" s="16" t="str">
        <f>"[{"&amp;_xlfn.XLOOKUP(B62,价值表!$C:$C,价值表!$D:$D)&amp;","&amp;C62&amp;"}]"</f>
        <v>[{5103001,200}]</v>
      </c>
      <c r="E62" s="16">
        <f>_xlfn.XLOOKUP(B62,价值表!$C:$C,价值表!$F:$F)*C62</f>
        <v>200</v>
      </c>
      <c r="G62" s="16" t="s">
        <v>213</v>
      </c>
      <c r="H62" s="16">
        <v>5</v>
      </c>
      <c r="I62" s="16" t="str">
        <f>"[{"&amp;_xlfn.XLOOKUP(G62,价值表!$C:$C,价值表!$D:$D)&amp;","&amp;H62&amp;"}]"</f>
        <v>[{11,5}]</v>
      </c>
      <c r="J62" s="16">
        <f>_xlfn.XLOOKUP(G62,价值表!$C:$C,价值表!$F:$F)*H62</f>
        <v>150</v>
      </c>
      <c r="K62" s="499">
        <f>SUM($J$17:J62)/250</f>
        <v/>
      </c>
      <c r="L62" s="499"/>
      <c r="M62" s="16" t="s">
        <v>261</v>
      </c>
      <c r="N62" s="16">
        <v>1</v>
      </c>
      <c r="O62" s="16" t="str">
        <f>"[{"&amp;_xlfn.XLOOKUP(M62,价值表!$C:$C,价值表!$D:$D)&amp;","&amp;N62&amp;"}]"</f>
        <v>[{30,1}]</v>
      </c>
      <c r="P62" s="16">
        <f>_xlfn.XLOOKUP(M62,价值表!$C:$C,价值表!$F:$F)*N62</f>
        <v>280</v>
      </c>
      <c r="Q62" s="499">
        <f>SUM($J$17:P62)/680</f>
        <v>37.7115021008403</v>
      </c>
    </row>
    <row r="63" spans="2:17">
      <c r="B63" s="16" t="s">
        <v>203</v>
      </c>
      <c r="C63" s="16">
        <v>1</v>
      </c>
      <c r="D63" s="16" t="str">
        <f>"[{"&amp;_xlfn.XLOOKUP(B63,价值表!$C:$C,价值表!$D:$D)&amp;","&amp;C63&amp;"}]"</f>
        <v>[{5800004,1}]</v>
      </c>
      <c r="E63" s="16">
        <f>_xlfn.XLOOKUP(B63,价值表!$C:$C,价值表!$F:$F)*C63</f>
        <v>30</v>
      </c>
      <c r="G63" s="16" t="s">
        <v>213</v>
      </c>
      <c r="H63" s="16">
        <v>5</v>
      </c>
      <c r="I63" s="16" t="str">
        <f>"[{"&amp;_xlfn.XLOOKUP(G63,价值表!$C:$C,价值表!$D:$D)&amp;","&amp;H63&amp;"}]"</f>
        <v>[{11,5}]</v>
      </c>
      <c r="J63" s="16">
        <f>_xlfn.XLOOKUP(G63,价值表!$C:$C,价值表!$F:$F)*H63</f>
        <v>150</v>
      </c>
      <c r="K63" s="499">
        <f>SUM($J$17:J63)/250</f>
        <v/>
      </c>
      <c r="L63" s="499"/>
      <c r="M63" s="16" t="s">
        <v>261</v>
      </c>
      <c r="N63" s="16">
        <v>1</v>
      </c>
      <c r="O63" s="16" t="str">
        <f>"[{"&amp;_xlfn.XLOOKUP(M63,价值表!$C:$C,价值表!$D:$D)&amp;","&amp;N63&amp;"}]"</f>
        <v>[{30,1}]</v>
      </c>
      <c r="P63" s="16">
        <f>_xlfn.XLOOKUP(M63,价值表!$C:$C,价值表!$F:$F)*N63</f>
        <v>280</v>
      </c>
      <c r="Q63" s="499">
        <f>SUM($J$17:P63)/680</f>
        <v>38.390231092437</v>
      </c>
    </row>
    <row r="64" spans="2:17">
      <c r="B64" s="16" t="s">
        <v>195</v>
      </c>
      <c r="C64" s="16">
        <v>500</v>
      </c>
      <c r="D64" s="16" t="str">
        <f>"[{"&amp;_xlfn.XLOOKUP(B64,价值表!$C:$C,价值表!$D:$D)&amp;","&amp;C64&amp;"}]"</f>
        <v>[{2,500}]</v>
      </c>
      <c r="E64" s="16">
        <f>_xlfn.XLOOKUP(B64,价值表!$C:$C,价值表!$F:$F)*C64</f>
        <v>25</v>
      </c>
      <c r="G64" s="16" t="s">
        <v>213</v>
      </c>
      <c r="H64" s="16">
        <v>5</v>
      </c>
      <c r="I64" s="16" t="str">
        <f>"[{"&amp;_xlfn.XLOOKUP(G64,价值表!$C:$C,价值表!$D:$D)&amp;","&amp;H64&amp;"}]"</f>
        <v>[{11,5}]</v>
      </c>
      <c r="J64" s="16">
        <f>_xlfn.XLOOKUP(G64,价值表!$C:$C,价值表!$F:$F)*H64</f>
        <v>150</v>
      </c>
      <c r="K64" s="499">
        <f>SUM($J$17:J64)/250</f>
        <v/>
      </c>
      <c r="L64" s="499"/>
      <c r="M64" s="16" t="s">
        <v>261</v>
      </c>
      <c r="N64" s="16">
        <v>1</v>
      </c>
      <c r="O64" s="16" t="str">
        <f>"[{"&amp;_xlfn.XLOOKUP(M64,价值表!$C:$C,价值表!$D:$D)&amp;","&amp;N64&amp;"}]"</f>
        <v>[{30,1}]</v>
      </c>
      <c r="P64" s="16">
        <f>_xlfn.XLOOKUP(M64,价值表!$C:$C,价值表!$F:$F)*N64</f>
        <v>280</v>
      </c>
      <c r="Q64" s="499">
        <f>SUM($J$17:P64)/680</f>
        <v>39.0697478991597</v>
      </c>
    </row>
    <row r="65" spans="2:17">
      <c r="B65" s="16" t="s">
        <v>203</v>
      </c>
      <c r="C65" s="16">
        <v>1</v>
      </c>
      <c r="D65" s="16" t="str">
        <f>"[{"&amp;_xlfn.XLOOKUP(B65,价值表!$C:$C,价值表!$D:$D)&amp;","&amp;C65&amp;"}]"</f>
        <v>[{5800004,1}]</v>
      </c>
      <c r="E65" s="16">
        <f>_xlfn.XLOOKUP(B65,价值表!$C:$C,价值表!$F:$F)*C65</f>
        <v>30</v>
      </c>
      <c r="G65" s="16" t="s">
        <v>213</v>
      </c>
      <c r="H65" s="16">
        <v>5</v>
      </c>
      <c r="I65" s="16" t="str">
        <f>"[{"&amp;_xlfn.XLOOKUP(G65,价值表!$C:$C,价值表!$D:$D)&amp;","&amp;H65&amp;"}]"</f>
        <v>[{11,5}]</v>
      </c>
      <c r="J65" s="16">
        <f>_xlfn.XLOOKUP(G65,价值表!$C:$C,价值表!$F:$F)*H65</f>
        <v>150</v>
      </c>
      <c r="K65" s="499">
        <f>SUM($J$17:J65)/250</f>
        <v/>
      </c>
      <c r="L65" s="499"/>
      <c r="M65" s="16" t="s">
        <v>261</v>
      </c>
      <c r="N65" s="16">
        <v>1</v>
      </c>
      <c r="O65" s="16" t="str">
        <f>"[{"&amp;_xlfn.XLOOKUP(M65,价值表!$C:$C,价值表!$D:$D)&amp;","&amp;N65&amp;"}]"</f>
        <v>[{30,1}]</v>
      </c>
      <c r="P65" s="16">
        <f>_xlfn.XLOOKUP(M65,价值表!$C:$C,价值表!$F:$F)*N65</f>
        <v>280</v>
      </c>
      <c r="Q65" s="499">
        <f>SUM($J$17:P65)/680</f>
        <v>39.7500525210084</v>
      </c>
    </row>
    <row r="66" spans="2:17">
      <c r="B66" s="16" t="s">
        <v>261</v>
      </c>
      <c r="C66" s="16">
        <v>2</v>
      </c>
      <c r="D66" s="16" t="str">
        <f>"[{"&amp;_xlfn.XLOOKUP(B66,价值表!$C:$C,价值表!$D:$D)&amp;","&amp;C66&amp;"}]"</f>
        <v>[{30,2}]</v>
      </c>
      <c r="E66" s="16">
        <f>_xlfn.XLOOKUP(B66,价值表!$C:$C,价值表!$F:$F)*C66</f>
        <v>560</v>
      </c>
      <c r="G66" s="16" t="s">
        <v>213</v>
      </c>
      <c r="H66" s="16">
        <v>10</v>
      </c>
      <c r="I66" s="16" t="str">
        <f>"[{"&amp;_xlfn.XLOOKUP(G66,价值表!$C:$C,价值表!$D:$D)&amp;","&amp;H66&amp;"}]"</f>
        <v>[{11,10}]</v>
      </c>
      <c r="J66" s="16">
        <f>_xlfn.XLOOKUP(G66,价值表!$C:$C,价值表!$F:$F)*H66</f>
        <v>300</v>
      </c>
      <c r="K66" s="499">
        <f>SUM($J$17:J66)/250</f>
        <v/>
      </c>
      <c r="L66" s="499"/>
      <c r="M66" s="16" t="s">
        <v>261</v>
      </c>
      <c r="N66" s="16">
        <v>2</v>
      </c>
      <c r="O66" s="16" t="str">
        <f>"[{"&amp;_xlfn.XLOOKUP(M66,价值表!$C:$C,价值表!$D:$D)&amp;","&amp;N66&amp;"}]"</f>
        <v>[{30,2}]</v>
      </c>
      <c r="P66" s="16">
        <f>_xlfn.XLOOKUP(M66,价值表!$C:$C,价值表!$F:$F)*N66</f>
        <v>560</v>
      </c>
      <c r="Q66" s="499">
        <f>SUM($J$17:P66)/680</f>
        <v>41.065756302521</v>
      </c>
    </row>
    <row r="67" spans="2:17">
      <c r="B67" s="16" t="s">
        <v>946</v>
      </c>
      <c r="E67" s="16">
        <f>SUM(E17:E66)</f>
        <v>3100</v>
      </c>
      <c r="J67" s="16">
        <f>SUM(J17:J66)</f>
        <v>9150</v>
      </c>
      <c r="K67" s="497"/>
      <c r="L67" s="497"/>
      <c r="M67" s="497"/>
      <c r="P67" s="16">
        <f>SUM(P17:P66)</f>
        <v>17200</v>
      </c>
    </row>
    <row r="68" spans="2:17">
      <c r="K68" s="497"/>
      <c r="L68" s="497"/>
      <c r="M68" s="497"/>
      <c r="P68" s="16"/>
    </row>
    <row r="69" spans="2:17">
      <c r="K69" s="497"/>
      <c r="L69" s="497"/>
      <c r="M69" s="497"/>
      <c r="P69" s="16"/>
    </row>
    <row r="70" spans="2:17">
      <c r="K70" s="497"/>
      <c r="L70" s="497"/>
      <c r="M70" s="497"/>
      <c r="P70" s="16"/>
    </row>
    <row r="71" spans="2:17">
      <c r="K71" s="497"/>
      <c r="L71" s="497"/>
      <c r="M71" s="497"/>
      <c r="P71" s="16"/>
    </row>
    <row r="72" spans="2:17">
      <c r="K72" s="497"/>
      <c r="L72" s="497"/>
      <c r="M72" s="497"/>
      <c r="P72" s="16"/>
    </row>
    <row r="76" spans="2:17">
      <c r="C76"/>
      <c r="D76"/>
      <c r="E76"/>
    </row>
    <row r="77" spans="2:17">
      <c r="C77"/>
      <c r="D77"/>
      <c r="E77"/>
    </row>
    <row r="78" spans="2:17">
      <c r="C78"/>
      <c r="D78"/>
      <c r="E78"/>
    </row>
    <row r="79" spans="2:17">
      <c r="C79"/>
      <c r="D79"/>
      <c r="E79"/>
    </row>
    <row r="80" spans="2:17">
      <c r="C80"/>
      <c r="D80"/>
      <c r="E80"/>
    </row>
    <row r="81" spans="3:5">
      <c r="C81"/>
      <c r="D81"/>
      <c r="E81"/>
    </row>
    <row r="82" spans="3:5">
      <c r="C82"/>
      <c r="D82"/>
      <c r="E82"/>
    </row>
    <row r="83" spans="3:5">
      <c r="C83"/>
      <c r="D83"/>
      <c r="E83"/>
    </row>
    <row r="84" spans="3:5">
      <c r="C84"/>
      <c r="D84"/>
      <c r="E84"/>
    </row>
    <row r="85" spans="3:5">
      <c r="C85"/>
      <c r="D85"/>
      <c r="E85"/>
    </row>
    <row r="86" spans="3:5">
      <c r="C86"/>
      <c r="D86"/>
      <c r="E86"/>
    </row>
    <row r="87" spans="3:5">
      <c r="C87"/>
      <c r="D87"/>
      <c r="E87"/>
    </row>
    <row r="88" spans="3:5">
      <c r="C88"/>
      <c r="D88"/>
      <c r="E88"/>
    </row>
    <row r="89" spans="3:5">
      <c r="C89"/>
      <c r="D89"/>
      <c r="E89"/>
    </row>
    <row r="90" spans="3:5">
      <c r="C90"/>
      <c r="D90"/>
      <c r="E90"/>
    </row>
    <row r="91" spans="3:5">
      <c r="C91"/>
      <c r="D91"/>
      <c r="E91"/>
    </row>
    <row r="92" spans="3:5">
      <c r="C92"/>
      <c r="D92"/>
      <c r="E92"/>
    </row>
    <row r="93" spans="3:5">
      <c r="C93"/>
      <c r="D93"/>
      <c r="E93"/>
    </row>
    <row r="94" spans="3:5">
      <c r="C94"/>
      <c r="D94"/>
      <c r="E94"/>
    </row>
    <row r="95" spans="3:5">
      <c r="C95"/>
      <c r="D95"/>
      <c r="E95"/>
    </row>
    <row r="96" spans="3:5">
      <c r="C96"/>
      <c r="D96"/>
      <c r="E96"/>
    </row>
    <row r="97" spans="3:5">
      <c r="C97"/>
      <c r="D97"/>
      <c r="E97"/>
    </row>
    <row r="98" spans="3:5">
      <c r="C98"/>
      <c r="D98"/>
      <c r="E98"/>
    </row>
    <row r="99" spans="3:5">
      <c r="C99"/>
      <c r="D99"/>
      <c r="E99"/>
    </row>
    <row r="100" spans="3:5">
      <c r="C100"/>
      <c r="D100"/>
      <c r="E100"/>
    </row>
    <row r="101" spans="3:5">
      <c r="C101"/>
      <c r="D101"/>
      <c r="E101"/>
    </row>
    <row r="102" spans="3:5">
      <c r="C102"/>
      <c r="D102"/>
      <c r="E102"/>
    </row>
    <row r="103" spans="3:5">
      <c r="C103"/>
      <c r="D103"/>
      <c r="E103"/>
    </row>
    <row r="104" spans="3:5">
      <c r="C104"/>
      <c r="D104"/>
      <c r="E104"/>
    </row>
    <row r="105" spans="3:5">
      <c r="C105"/>
      <c r="D105"/>
      <c r="E105"/>
    </row>
    <row r="106" spans="3:5">
      <c r="C106"/>
      <c r="D106"/>
      <c r="E106"/>
    </row>
    <row r="107" spans="3:5">
      <c r="C107"/>
      <c r="D107"/>
      <c r="E107"/>
    </row>
    <row r="108" spans="3:5">
      <c r="C108"/>
      <c r="D108"/>
      <c r="E108"/>
    </row>
    <row r="109" spans="3:5">
      <c r="C109"/>
      <c r="D109"/>
      <c r="E109"/>
    </row>
    <row r="110" spans="3:5">
      <c r="C110"/>
      <c r="D110"/>
      <c r="E110"/>
    </row>
    <row r="111" spans="3:5">
      <c r="C111"/>
      <c r="D111"/>
      <c r="E111"/>
    </row>
    <row r="112" spans="3:5">
      <c r="C112"/>
      <c r="D112"/>
      <c r="E112"/>
    </row>
    <row r="113" spans="3:5">
      <c r="C113"/>
      <c r="D113"/>
      <c r="E113"/>
    </row>
    <row r="114" spans="3:5">
      <c r="C114"/>
      <c r="D114"/>
      <c r="E114"/>
    </row>
    <row r="115" spans="3:5">
      <c r="C115"/>
      <c r="D115"/>
      <c r="E115"/>
    </row>
    <row r="116" spans="3:5">
      <c r="C116"/>
      <c r="D116"/>
      <c r="E116"/>
    </row>
    <row r="117" spans="3:5">
      <c r="C117"/>
      <c r="D117"/>
      <c r="E117"/>
    </row>
    <row r="118" spans="3:5">
      <c r="C118"/>
      <c r="D118"/>
      <c r="E118"/>
    </row>
    <row r="119" spans="3:5">
      <c r="C119"/>
      <c r="D119"/>
      <c r="E119"/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5"/>
  </sheetPr>
  <dimension ref="A1:AA117"/>
  <sheetViews>
    <sheetView showGridLines="0" workbookViewId="0">
      <selection activeCell="B95" sqref="B95:L100"/>
    </sheetView>
  </sheetViews>
  <sheetFormatPr defaultColWidth="9" defaultRowHeight="16.5"/>
  <cols>
    <col min="1" max="5" width="9" style="4"/>
    <col min="6" max="6" width="9.25" style="4"/>
    <col min="7" max="7" width="14.125" style="4"/>
    <col min="8" max="9" width="12.625" style="4"/>
    <col min="10" max="10" width="14.125" style="4"/>
    <col min="11" max="13" width="9" style="4"/>
    <col min="14" max="14" width="9.25" style="4"/>
    <col min="15" max="16" width="9" style="4"/>
    <col min="17" max="17" width="12.625" style="4"/>
    <col min="18" max="19" width="14.125" style="4"/>
    <col min="20" max="16384" width="9" style="4"/>
    <col min="21" max="21" width="14" customWidth="1"/>
    <col min="22" max="22" width="19" customWidth="1"/>
    <col min="23" max="23" width="11" customWidth="1"/>
    <col min="24" max="24" width="15" customWidth="1"/>
    <col min="25" max="25" width="19" customWidth="1"/>
    <col min="26" max="26" width="11" customWidth="1"/>
    <col min="27" max="27" width="15" customWidth="1"/>
  </cols>
  <sheetData>
    <row r="1" customHeight="1"/>
    <row r="2" customHeight="1" spans="2:19">
      <c r="C2" s="45" t="s">
        <v>933</v>
      </c>
      <c r="D2" s="32" t="s">
        <v>919</v>
      </c>
      <c r="E2" s="32" t="s">
        <v>1084</v>
      </c>
      <c r="F2" s="473" t="s">
        <v>1085</v>
      </c>
    </row>
    <row r="3" customHeight="1" spans="2:19">
      <c r="C3" s="89" t="s">
        <v>188</v>
      </c>
      <c r="D3" s="90">
        <f>SUM(H12:H31)</f>
        <v>10455</v>
      </c>
      <c r="E3" s="91">
        <f>_xlfn.XLOOKUP(C3,价值表!C:C,价值表!F:F)*D3/98/10</f>
        <v>10.6683673469388</v>
      </c>
      <c r="F3" s="475"/>
    </row>
    <row r="4" customHeight="1" spans="2:19">
      <c r="C4" s="89"/>
      <c r="D4" s="90"/>
      <c r="E4" s="91"/>
      <c r="F4" s="475"/>
    </row>
    <row r="5" customHeight="1" spans="2:19">
      <c r="C5" s="89"/>
      <c r="D5" s="90"/>
      <c r="E5" s="91"/>
      <c r="F5" s="474"/>
    </row>
    <row r="6" customHeight="1" spans="2:19">
      <c r="C6" s="89"/>
      <c r="D6" s="90"/>
      <c r="E6" s="91"/>
      <c r="F6" s="474"/>
    </row>
    <row r="8" spans="2:19">
      <c r="C8" s="215"/>
      <c r="D8" s="215"/>
      <c r="E8" s="215"/>
      <c r="F8" s="215"/>
      <c r="G8" s="215"/>
      <c r="H8" s="215" t="s">
        <v>1094</v>
      </c>
      <c r="I8" s="215" t="s">
        <v>1095</v>
      </c>
      <c r="K8" s="215"/>
      <c r="L8" s="215"/>
      <c r="M8" s="215"/>
      <c r="N8" s="215"/>
      <c r="O8" s="215"/>
      <c r="P8" s="215" t="s">
        <v>1094</v>
      </c>
      <c r="Q8" s="215" t="s">
        <v>1095</v>
      </c>
      <c r="U8" s="215" t="inlineStr">
        <is>
          <t>钻石基金Ⅲ（type 205）</t>
        </is>
      </c>
      <c r="Z8" s="215" t="inlineStr">
        <is>
          <t>售价</t>
        </is>
      </c>
      <c r="AA8" s="215" t="inlineStr">
        <is>
          <t>返利比</t>
        </is>
      </c>
    </row>
    <row r="9" spans="2:19">
      <c r="C9" s="215"/>
      <c r="D9" s="215"/>
      <c r="E9" s="215"/>
      <c r="F9" s="215"/>
      <c r="G9" s="215"/>
      <c r="H9" s="215">
        <v>98</v>
      </c>
      <c r="I9" s="215">
        <f>I32/H9/10</f>
        <v>10.6683673469388</v>
      </c>
      <c r="K9" s="215"/>
      <c r="L9" s="215"/>
      <c r="M9" s="215"/>
      <c r="N9" s="215"/>
      <c r="O9" s="215"/>
      <c r="P9" s="215">
        <v>98</v>
      </c>
      <c r="Q9" s="215">
        <f>Q32/10/P9</f>
        <v>12.169387755102</v>
      </c>
      <c r="R9" s="86">
        <f>Q9/I9</f>
        <v>1.14069823051172</v>
      </c>
      <c r="Z9" s="215">
        <v>98</v>
      </c>
      <c r="AA9" s="215">
        <f>AA32/Z9/10</f>
        <v/>
      </c>
    </row>
    <row r="10" spans="2:19">
      <c r="B10" s="480"/>
      <c r="C10" s="481"/>
      <c r="D10" s="482" t="s">
        <v>1096</v>
      </c>
      <c r="E10" s="482"/>
      <c r="F10" s="482"/>
      <c r="G10" s="482" t="s">
        <v>1097</v>
      </c>
      <c r="H10" s="482"/>
      <c r="I10" s="482"/>
      <c r="J10" s="190"/>
      <c r="K10" s="481"/>
      <c r="L10" s="482" t="s">
        <v>1096</v>
      </c>
      <c r="M10" s="482"/>
      <c r="N10" s="482"/>
      <c r="O10" s="482" t="s">
        <v>1097</v>
      </c>
      <c r="P10" s="482"/>
      <c r="Q10" s="482"/>
      <c r="S10" s="4">
        <f>S32/I32</f>
        <v>1.0909612625538</v>
      </c>
      <c r="U10" s="481" t="inlineStr">
        <is>
          <t>基础奖励</t>
        </is>
      </c>
      <c r="Y10" s="482" t="inlineStr">
        <is>
          <t>高级奖励</t>
        </is>
      </c>
    </row>
    <row r="11" spans="2:19">
      <c r="C11" s="32" t="s">
        <v>1098</v>
      </c>
      <c r="D11" s="32" t="s">
        <v>1099</v>
      </c>
      <c r="E11" s="32" t="s">
        <v>919</v>
      </c>
      <c r="F11" s="32" t="s">
        <v>922</v>
      </c>
      <c r="G11" s="32" t="s">
        <v>1100</v>
      </c>
      <c r="H11" s="32" t="s">
        <v>1101</v>
      </c>
      <c r="I11" s="32" t="s">
        <v>1102</v>
      </c>
      <c r="K11" s="483" t="s">
        <v>1098</v>
      </c>
      <c r="L11" s="32" t="s">
        <v>1099</v>
      </c>
      <c r="M11" s="32" t="s">
        <v>919</v>
      </c>
      <c r="N11" s="32" t="s">
        <v>922</v>
      </c>
      <c r="O11" s="32" t="s">
        <v>1100</v>
      </c>
      <c r="P11" s="32" t="s">
        <v>1101</v>
      </c>
      <c r="Q11" s="484" t="s">
        <v>1102</v>
      </c>
      <c r="S11" s="4" t="s">
        <v>1103</v>
      </c>
      <c r="U11" s="483" t="inlineStr">
        <is>
          <t>章节</t>
        </is>
      </c>
      <c r="V11" s="32" t="inlineStr">
        <is>
          <t>物品类型</t>
        </is>
      </c>
      <c r="W11" s="32" t="inlineStr">
        <is>
          <t>数量</t>
        </is>
      </c>
      <c r="X11" s="32" t="inlineStr">
        <is>
          <t>价值</t>
        </is>
      </c>
      <c r="Y11" s="32" t="inlineStr">
        <is>
          <t>物品类型2</t>
        </is>
      </c>
      <c r="Z11" s="32" t="inlineStr">
        <is>
          <t>数量2</t>
        </is>
      </c>
      <c r="AA11" s="484" t="inlineStr">
        <is>
          <t>价值2</t>
        </is>
      </c>
    </row>
    <row r="12" spans="2:19">
      <c r="C12" s="204">
        <v>5</v>
      </c>
      <c r="D12" s="196" t="s">
        <v>195</v>
      </c>
      <c r="E12" s="196">
        <v>500</v>
      </c>
      <c r="F12" s="196">
        <f>_xlfn.XLOOKUP(D12,价值表!$C:$C,价值表!$F:$F)*E12</f>
        <v>25</v>
      </c>
      <c r="G12" s="196" t="s">
        <v>188</v>
      </c>
      <c r="H12" s="196">
        <v>980</v>
      </c>
      <c r="I12" s="196">
        <f>_xlfn.XLOOKUP(G12,价值表!$C:$C,价值表!$F:$F)*H12</f>
        <v>980</v>
      </c>
      <c r="K12" s="204">
        <v>105</v>
      </c>
      <c r="L12" s="196" t="s">
        <v>195</v>
      </c>
      <c r="M12" s="196">
        <v>700</v>
      </c>
      <c r="N12" s="196">
        <f>_xlfn.XLOOKUP(L12,价值表!$C:$C,价值表!$F:$F)*M12</f>
        <v>35</v>
      </c>
      <c r="O12" s="196" t="s">
        <v>188</v>
      </c>
      <c r="P12" s="196">
        <v>1080</v>
      </c>
      <c r="Q12" s="196">
        <f>_xlfn.XLOOKUP(O12,价值表!$C:$C,价值表!$F:$F)*P12</f>
        <v>1080</v>
      </c>
      <c r="S12" s="4">
        <v>980</v>
      </c>
      <c r="U12" s="204">
        <v>205</v>
      </c>
      <c r="V12" s="196" t="inlineStr">
        <is>
          <t>金币</t>
        </is>
      </c>
      <c r="W12" s="196">
        <v>800</v>
      </c>
      <c r="X12" s="196">
        <f>_xlfn.XLOOKUP(V12,价值表!$C:$C,价值表!$F:$F)*W12</f>
        <v/>
      </c>
      <c r="Y12" s="196" t="inlineStr">
        <is>
          <t>钻石</t>
        </is>
      </c>
      <c r="Z12" s="196">
        <v>1200</v>
      </c>
      <c r="AA12" s="196">
        <f>_xlfn.XLOOKUP(Y12,价值表!$C:$C,价值表!$F:$F)*Z12</f>
        <v/>
      </c>
    </row>
    <row r="13" spans="2:19">
      <c r="C13" s="204">
        <v>10</v>
      </c>
      <c r="D13" s="196" t="s">
        <v>195</v>
      </c>
      <c r="E13" s="196">
        <v>500</v>
      </c>
      <c r="F13" s="196">
        <f>_xlfn.XLOOKUP(D13,价值表!$C:$C,价值表!$F:$F)*E13</f>
        <v>25</v>
      </c>
      <c r="G13" s="196" t="s">
        <v>188</v>
      </c>
      <c r="H13" s="204">
        <v>150</v>
      </c>
      <c r="I13" s="196">
        <f>_xlfn.XLOOKUP(G13,价值表!$C:$C,价值表!$F:$F)*H13</f>
        <v>150</v>
      </c>
      <c r="K13" s="204">
        <v>110</v>
      </c>
      <c r="L13" s="196" t="s">
        <v>195</v>
      </c>
      <c r="M13" s="196">
        <v>700</v>
      </c>
      <c r="N13" s="196">
        <f>_xlfn.XLOOKUP(L13,价值表!$C:$C,价值表!$F:$F)*M13</f>
        <v>35</v>
      </c>
      <c r="O13" s="196" t="s">
        <v>188</v>
      </c>
      <c r="P13" s="204">
        <v>160</v>
      </c>
      <c r="Q13" s="196">
        <f>_xlfn.XLOOKUP(O13,价值表!$C:$C,价值表!$F:$F)*P13</f>
        <v>160</v>
      </c>
      <c r="S13" s="4">
        <v>160</v>
      </c>
      <c r="U13" s="204">
        <v>210</v>
      </c>
      <c r="V13" s="196" t="inlineStr">
        <is>
          <t>金币</t>
        </is>
      </c>
      <c r="W13" s="196">
        <v>800</v>
      </c>
      <c r="X13" s="196">
        <f>_xlfn.XLOOKUP(V13,价值表!$C:$C,价值表!$F:$F)*W13</f>
        <v/>
      </c>
      <c r="Y13" s="196" t="inlineStr">
        <is>
          <t>钻石</t>
        </is>
      </c>
      <c r="Z13" s="204">
        <v>180</v>
      </c>
      <c r="AA13" s="196">
        <f>_xlfn.XLOOKUP(Y13,价值表!$C:$C,价值表!$F:$F)*Z13</f>
        <v/>
      </c>
    </row>
    <row r="14" spans="2:19">
      <c r="C14" s="204">
        <v>15</v>
      </c>
      <c r="D14" s="196" t="s">
        <v>195</v>
      </c>
      <c r="E14" s="196">
        <v>500</v>
      </c>
      <c r="F14" s="196">
        <f>_xlfn.XLOOKUP(D14,价值表!$C:$C,价值表!$F:$F)*E14</f>
        <v>25</v>
      </c>
      <c r="G14" s="196" t="s">
        <v>188</v>
      </c>
      <c r="H14" s="204">
        <v>150</v>
      </c>
      <c r="I14" s="196">
        <f>_xlfn.XLOOKUP(G14,价值表!$C:$C,价值表!$F:$F)*H14</f>
        <v>150</v>
      </c>
      <c r="K14" s="204">
        <v>115</v>
      </c>
      <c r="L14" s="196" t="s">
        <v>195</v>
      </c>
      <c r="M14" s="196">
        <v>700</v>
      </c>
      <c r="N14" s="196">
        <f>_xlfn.XLOOKUP(L14,价值表!$C:$C,价值表!$F:$F)*M14</f>
        <v>35</v>
      </c>
      <c r="O14" s="196" t="s">
        <v>188</v>
      </c>
      <c r="P14" s="204">
        <v>160</v>
      </c>
      <c r="Q14" s="196">
        <f>_xlfn.XLOOKUP(O14,价值表!$C:$C,价值表!$F:$F)*P14</f>
        <v>160</v>
      </c>
      <c r="S14" s="4">
        <v>160</v>
      </c>
      <c r="U14" s="204">
        <v>215</v>
      </c>
      <c r="V14" s="196" t="inlineStr">
        <is>
          <t>金币</t>
        </is>
      </c>
      <c r="W14" s="196">
        <v>800</v>
      </c>
      <c r="X14" s="196">
        <f>_xlfn.XLOOKUP(V14,价值表!$C:$C,价值表!$F:$F)*W14</f>
        <v/>
      </c>
      <c r="Y14" s="196" t="inlineStr">
        <is>
          <t>钻石</t>
        </is>
      </c>
      <c r="Z14" s="204">
        <v>180</v>
      </c>
      <c r="AA14" s="196">
        <f>_xlfn.XLOOKUP(Y14,价值表!$C:$C,价值表!$F:$F)*Z14</f>
        <v/>
      </c>
    </row>
    <row r="15" spans="2:19">
      <c r="C15" s="204">
        <v>20</v>
      </c>
      <c r="D15" s="196" t="s">
        <v>195</v>
      </c>
      <c r="E15" s="196">
        <v>500</v>
      </c>
      <c r="F15" s="196">
        <f>_xlfn.XLOOKUP(D15,价值表!$C:$C,价值表!$F:$F)*E15</f>
        <v>25</v>
      </c>
      <c r="G15" s="196" t="s">
        <v>188</v>
      </c>
      <c r="H15" s="204">
        <v>150</v>
      </c>
      <c r="I15" s="196">
        <f>_xlfn.XLOOKUP(G15,价值表!$C:$C,价值表!$F:$F)*H15</f>
        <v>150</v>
      </c>
      <c r="K15" s="204">
        <v>120</v>
      </c>
      <c r="L15" s="196" t="s">
        <v>195</v>
      </c>
      <c r="M15" s="196">
        <v>700</v>
      </c>
      <c r="N15" s="196">
        <f>_xlfn.XLOOKUP(L15,价值表!$C:$C,价值表!$F:$F)*M15</f>
        <v>35</v>
      </c>
      <c r="O15" s="196" t="s">
        <v>188</v>
      </c>
      <c r="P15" s="204">
        <v>160</v>
      </c>
      <c r="Q15" s="196">
        <f>_xlfn.XLOOKUP(O15,价值表!$C:$C,价值表!$F:$F)*P15</f>
        <v>160</v>
      </c>
      <c r="S15" s="4">
        <v>160</v>
      </c>
      <c r="U15" s="204">
        <v>220</v>
      </c>
      <c r="V15" s="196" t="inlineStr">
        <is>
          <t>金币</t>
        </is>
      </c>
      <c r="W15" s="196">
        <v>800</v>
      </c>
      <c r="X15" s="196">
        <f>_xlfn.XLOOKUP(V15,价值表!$C:$C,价值表!$F:$F)*W15</f>
        <v/>
      </c>
      <c r="Y15" s="196" t="inlineStr">
        <is>
          <t>钻石</t>
        </is>
      </c>
      <c r="Z15" s="204">
        <v>180</v>
      </c>
      <c r="AA15" s="196">
        <f>_xlfn.XLOOKUP(Y15,价值表!$C:$C,价值表!$F:$F)*Z15</f>
        <v/>
      </c>
    </row>
    <row r="16" spans="2:19">
      <c r="C16" s="204">
        <v>25</v>
      </c>
      <c r="D16" s="196" t="s">
        <v>188</v>
      </c>
      <c r="E16" s="196">
        <v>50</v>
      </c>
      <c r="F16" s="196">
        <f>_xlfn.XLOOKUP(D16,价值表!$C:$C,价值表!$F:$F)*E16</f>
        <v>50</v>
      </c>
      <c r="G16" s="196" t="s">
        <v>188</v>
      </c>
      <c r="H16" s="204">
        <v>1080</v>
      </c>
      <c r="I16" s="196">
        <f>_xlfn.XLOOKUP(G16,价值表!$C:$C,价值表!$F:$F)*H16</f>
        <v>1080</v>
      </c>
      <c r="K16" s="204">
        <v>125</v>
      </c>
      <c r="L16" s="196" t="s">
        <v>188</v>
      </c>
      <c r="M16" s="196">
        <v>70</v>
      </c>
      <c r="N16" s="196">
        <f>_xlfn.XLOOKUP(L16,价值表!$C:$C,价值表!$F:$F)*M16</f>
        <v>70</v>
      </c>
      <c r="O16" s="196" t="s">
        <v>188</v>
      </c>
      <c r="P16" s="204">
        <v>1280</v>
      </c>
      <c r="Q16" s="196">
        <f>_xlfn.XLOOKUP(O16,价值表!$C:$C,价值表!$F:$F)*P16</f>
        <v>1280</v>
      </c>
      <c r="S16" s="4">
        <v>1280</v>
      </c>
      <c r="U16" s="204">
        <v>225</v>
      </c>
      <c r="V16" s="196" t="inlineStr">
        <is>
          <t>钻石</t>
        </is>
      </c>
      <c r="W16" s="196">
        <v>80</v>
      </c>
      <c r="X16" s="196">
        <f>_xlfn.XLOOKUP(V16,价值表!$C:$C,价值表!$F:$F)*W16</f>
        <v/>
      </c>
      <c r="Y16" s="196" t="inlineStr">
        <is>
          <t>钻石</t>
        </is>
      </c>
      <c r="Z16" s="204">
        <v>1400</v>
      </c>
      <c r="AA16" s="196">
        <f>_xlfn.XLOOKUP(Y16,价值表!$C:$C,价值表!$F:$F)*Z16</f>
        <v/>
      </c>
    </row>
    <row r="17" spans="3:19">
      <c r="C17" s="204">
        <v>30</v>
      </c>
      <c r="D17" s="196" t="s">
        <v>195</v>
      </c>
      <c r="E17" s="196">
        <v>1000</v>
      </c>
      <c r="F17" s="196">
        <f>_xlfn.XLOOKUP(D17,价值表!$C:$C,价值表!$F:$F)*E17</f>
        <v>50</v>
      </c>
      <c r="G17" s="196" t="s">
        <v>188</v>
      </c>
      <c r="H17" s="204">
        <v>200</v>
      </c>
      <c r="I17" s="196">
        <f>_xlfn.XLOOKUP(G17,价值表!$C:$C,价值表!$F:$F)*H17</f>
        <v>200</v>
      </c>
      <c r="K17" s="204">
        <v>130</v>
      </c>
      <c r="L17" s="196" t="s">
        <v>195</v>
      </c>
      <c r="M17" s="196">
        <v>1200</v>
      </c>
      <c r="N17" s="196">
        <f>_xlfn.XLOOKUP(L17,价值表!$C:$C,价值表!$F:$F)*M17</f>
        <v>60</v>
      </c>
      <c r="O17" s="196" t="s">
        <v>188</v>
      </c>
      <c r="P17" s="204">
        <v>220</v>
      </c>
      <c r="Q17" s="196">
        <f>_xlfn.XLOOKUP(O17,价值表!$C:$C,价值表!$F:$F)*P17</f>
        <v>220</v>
      </c>
      <c r="S17" s="4">
        <v>210</v>
      </c>
      <c r="U17" s="204">
        <v>230</v>
      </c>
      <c r="V17" s="196" t="inlineStr">
        <is>
          <t>金币</t>
        </is>
      </c>
      <c r="W17" s="196">
        <v>1300</v>
      </c>
      <c r="X17" s="196">
        <f>_xlfn.XLOOKUP(V17,价值表!$C:$C,价值表!$F:$F)*W17</f>
        <v/>
      </c>
      <c r="Y17" s="196" t="inlineStr">
        <is>
          <t>钻石</t>
        </is>
      </c>
      <c r="Z17" s="204">
        <v>250</v>
      </c>
      <c r="AA17" s="196">
        <f>_xlfn.XLOOKUP(Y17,价值表!$C:$C,价值表!$F:$F)*Z17</f>
        <v/>
      </c>
    </row>
    <row r="18" spans="3:19">
      <c r="C18" s="204">
        <v>35</v>
      </c>
      <c r="D18" s="196" t="s">
        <v>195</v>
      </c>
      <c r="E18" s="196">
        <v>1000</v>
      </c>
      <c r="F18" s="196">
        <f>_xlfn.XLOOKUP(D18,价值表!$C:$C,价值表!$F:$F)*E18</f>
        <v>50</v>
      </c>
      <c r="G18" s="196" t="s">
        <v>188</v>
      </c>
      <c r="H18" s="204">
        <v>200</v>
      </c>
      <c r="I18" s="196">
        <f>_xlfn.XLOOKUP(G18,价值表!$C:$C,价值表!$F:$F)*H18</f>
        <v>200</v>
      </c>
      <c r="K18" s="204">
        <v>135</v>
      </c>
      <c r="L18" s="196" t="s">
        <v>195</v>
      </c>
      <c r="M18" s="196">
        <v>1200</v>
      </c>
      <c r="N18" s="196">
        <f>_xlfn.XLOOKUP(L18,价值表!$C:$C,价值表!$F:$F)*M18</f>
        <v>60</v>
      </c>
      <c r="O18" s="196" t="s">
        <v>188</v>
      </c>
      <c r="P18" s="204">
        <v>220</v>
      </c>
      <c r="Q18" s="196">
        <f>_xlfn.XLOOKUP(O18,价值表!$C:$C,价值表!$F:$F)*P18</f>
        <v>220</v>
      </c>
      <c r="S18" s="4">
        <v>210</v>
      </c>
      <c r="U18" s="204">
        <v>235</v>
      </c>
      <c r="V18" s="196" t="inlineStr">
        <is>
          <t>金币</t>
        </is>
      </c>
      <c r="W18" s="196">
        <v>1300</v>
      </c>
      <c r="X18" s="196">
        <f>_xlfn.XLOOKUP(V18,价值表!$C:$C,价值表!$F:$F)*W18</f>
        <v/>
      </c>
      <c r="Y18" s="196" t="inlineStr">
        <is>
          <t>钻石</t>
        </is>
      </c>
      <c r="Z18" s="204">
        <v>250</v>
      </c>
      <c r="AA18" s="196">
        <f>_xlfn.XLOOKUP(Y18,价值表!$C:$C,价值表!$F:$F)*Z18</f>
        <v/>
      </c>
    </row>
    <row r="19" spans="3:19">
      <c r="C19" s="204">
        <v>40</v>
      </c>
      <c r="D19" s="196" t="s">
        <v>195</v>
      </c>
      <c r="E19" s="196">
        <v>1000</v>
      </c>
      <c r="F19" s="196">
        <f>_xlfn.XLOOKUP(D19,价值表!$C:$C,价值表!$F:$F)*E19</f>
        <v>50</v>
      </c>
      <c r="G19" s="196" t="s">
        <v>188</v>
      </c>
      <c r="H19" s="204">
        <v>200</v>
      </c>
      <c r="I19" s="196">
        <f>_xlfn.XLOOKUP(G19,价值表!$C:$C,价值表!$F:$F)*H19</f>
        <v>200</v>
      </c>
      <c r="K19" s="204">
        <v>140</v>
      </c>
      <c r="L19" s="196" t="s">
        <v>195</v>
      </c>
      <c r="M19" s="196">
        <v>1200</v>
      </c>
      <c r="N19" s="196">
        <f>_xlfn.XLOOKUP(L19,价值表!$C:$C,价值表!$F:$F)*M19</f>
        <v>60</v>
      </c>
      <c r="O19" s="196" t="s">
        <v>188</v>
      </c>
      <c r="P19" s="204">
        <v>220</v>
      </c>
      <c r="Q19" s="196">
        <f>_xlfn.XLOOKUP(O19,价值表!$C:$C,价值表!$F:$F)*P19</f>
        <v>220</v>
      </c>
      <c r="S19" s="4">
        <v>210</v>
      </c>
      <c r="U19" s="204">
        <v>240</v>
      </c>
      <c r="V19" s="196" t="inlineStr">
        <is>
          <t>金币</t>
        </is>
      </c>
      <c r="W19" s="196">
        <v>1300</v>
      </c>
      <c r="X19" s="196">
        <f>_xlfn.XLOOKUP(V19,价值表!$C:$C,价值表!$F:$F)*W19</f>
        <v/>
      </c>
      <c r="Y19" s="196" t="inlineStr">
        <is>
          <t>钻石</t>
        </is>
      </c>
      <c r="Z19" s="204">
        <v>250</v>
      </c>
      <c r="AA19" s="196">
        <f>_xlfn.XLOOKUP(Y19,价值表!$C:$C,价值表!$F:$F)*Z19</f>
        <v/>
      </c>
    </row>
    <row r="20" spans="3:19">
      <c r="C20" s="204">
        <v>45</v>
      </c>
      <c r="D20" s="196" t="s">
        <v>195</v>
      </c>
      <c r="E20" s="196">
        <v>1000</v>
      </c>
      <c r="F20" s="196">
        <f>_xlfn.XLOOKUP(D20,价值表!$C:$C,价值表!$F:$F)*E20</f>
        <v>50</v>
      </c>
      <c r="G20" s="196" t="s">
        <v>188</v>
      </c>
      <c r="H20" s="204">
        <v>200</v>
      </c>
      <c r="I20" s="196">
        <f>_xlfn.XLOOKUP(G20,价值表!$C:$C,价值表!$F:$F)*H20</f>
        <v>200</v>
      </c>
      <c r="K20" s="204">
        <v>145</v>
      </c>
      <c r="L20" s="196" t="s">
        <v>195</v>
      </c>
      <c r="M20" s="196">
        <v>1200</v>
      </c>
      <c r="N20" s="196">
        <f>_xlfn.XLOOKUP(L20,价值表!$C:$C,价值表!$F:$F)*M20</f>
        <v>60</v>
      </c>
      <c r="O20" s="196" t="s">
        <v>188</v>
      </c>
      <c r="P20" s="204">
        <v>220</v>
      </c>
      <c r="Q20" s="196">
        <f>_xlfn.XLOOKUP(O20,价值表!$C:$C,价值表!$F:$F)*P20</f>
        <v>220</v>
      </c>
      <c r="S20" s="4">
        <v>210</v>
      </c>
      <c r="U20" s="204">
        <v>245</v>
      </c>
      <c r="V20" s="196" t="inlineStr">
        <is>
          <t>金币</t>
        </is>
      </c>
      <c r="W20" s="196">
        <v>1300</v>
      </c>
      <c r="X20" s="196">
        <f>_xlfn.XLOOKUP(V20,价值表!$C:$C,价值表!$F:$F)*W20</f>
        <v/>
      </c>
      <c r="Y20" s="196" t="inlineStr">
        <is>
          <t>钻石</t>
        </is>
      </c>
      <c r="Z20" s="204">
        <v>250</v>
      </c>
      <c r="AA20" s="196">
        <f>_xlfn.XLOOKUP(Y20,价值表!$C:$C,价值表!$F:$F)*Z20</f>
        <v/>
      </c>
    </row>
    <row r="21" spans="3:19">
      <c r="C21" s="204">
        <v>50</v>
      </c>
      <c r="D21" s="196" t="s">
        <v>188</v>
      </c>
      <c r="E21" s="196">
        <v>100</v>
      </c>
      <c r="F21" s="196">
        <f>_xlfn.XLOOKUP(D21,价值表!$C:$C,价值表!$F:$F)*E21</f>
        <v>100</v>
      </c>
      <c r="G21" s="196" t="s">
        <v>188</v>
      </c>
      <c r="H21" s="204">
        <v>1280</v>
      </c>
      <c r="I21" s="196">
        <f>_xlfn.XLOOKUP(G21,价值表!$C:$C,价值表!$F:$F)*H21</f>
        <v>1280</v>
      </c>
      <c r="K21" s="204">
        <v>150</v>
      </c>
      <c r="L21" s="196" t="s">
        <v>188</v>
      </c>
      <c r="M21" s="196">
        <v>120</v>
      </c>
      <c r="N21" s="196">
        <f>_xlfn.XLOOKUP(L21,价值表!$C:$C,价值表!$F:$F)*M21</f>
        <v>120</v>
      </c>
      <c r="O21" s="196" t="s">
        <v>188</v>
      </c>
      <c r="P21" s="204">
        <v>1580</v>
      </c>
      <c r="Q21" s="196">
        <f>_xlfn.XLOOKUP(O21,价值表!$C:$C,价值表!$F:$F)*P21</f>
        <v>1580</v>
      </c>
      <c r="S21" s="4">
        <v>1480</v>
      </c>
      <c r="U21" s="204">
        <v>250</v>
      </c>
      <c r="V21" s="196" t="inlineStr">
        <is>
          <t>钻石</t>
        </is>
      </c>
      <c r="W21" s="196">
        <v>130</v>
      </c>
      <c r="X21" s="196">
        <f>_xlfn.XLOOKUP(V21,价值表!$C:$C,价值表!$F:$F)*W21</f>
        <v/>
      </c>
      <c r="Y21" s="196" t="inlineStr">
        <is>
          <t>钻石</t>
        </is>
      </c>
      <c r="Z21" s="204">
        <v>1688</v>
      </c>
      <c r="AA21" s="196">
        <f>_xlfn.XLOOKUP(Y21,价值表!$C:$C,价值表!$F:$F)*Z21</f>
        <v/>
      </c>
    </row>
    <row r="22" spans="3:19">
      <c r="C22" s="204">
        <v>55</v>
      </c>
      <c r="D22" s="196" t="s">
        <v>195</v>
      </c>
      <c r="E22" s="196">
        <v>1500</v>
      </c>
      <c r="F22" s="196">
        <f>_xlfn.XLOOKUP(D22,价值表!$C:$C,价值表!$F:$F)*E22</f>
        <v>75</v>
      </c>
      <c r="G22" s="196" t="s">
        <v>188</v>
      </c>
      <c r="H22" s="204">
        <v>240</v>
      </c>
      <c r="I22" s="196">
        <f>_xlfn.XLOOKUP(G22,价值表!$C:$C,价值表!$F:$F)*H22</f>
        <v>240</v>
      </c>
      <c r="K22" s="204">
        <v>155</v>
      </c>
      <c r="L22" s="196" t="s">
        <v>195</v>
      </c>
      <c r="M22" s="196">
        <v>1700</v>
      </c>
      <c r="N22" s="196">
        <f>_xlfn.XLOOKUP(L22,价值表!$C:$C,价值表!$F:$F)*M22</f>
        <v>85</v>
      </c>
      <c r="O22" s="196" t="s">
        <v>188</v>
      </c>
      <c r="P22" s="204">
        <v>260</v>
      </c>
      <c r="Q22" s="196">
        <f>_xlfn.XLOOKUP(O22,价值表!$C:$C,价值表!$F:$F)*P22</f>
        <v>260</v>
      </c>
      <c r="S22" s="4">
        <v>250</v>
      </c>
      <c r="U22" s="204">
        <v>255</v>
      </c>
      <c r="V22" s="196" t="inlineStr">
        <is>
          <t>金币</t>
        </is>
      </c>
      <c r="W22" s="196">
        <v>1800</v>
      </c>
      <c r="X22" s="196">
        <f>_xlfn.XLOOKUP(V22,价值表!$C:$C,价值表!$F:$F)*W22</f>
        <v/>
      </c>
      <c r="Y22" s="196" t="inlineStr">
        <is>
          <t>钻石</t>
        </is>
      </c>
      <c r="Z22" s="204">
        <v>280</v>
      </c>
      <c r="AA22" s="196">
        <f>_xlfn.XLOOKUP(Y22,价值表!$C:$C,价值表!$F:$F)*Z22</f>
        <v/>
      </c>
    </row>
    <row r="23" spans="3:19">
      <c r="C23" s="204">
        <v>60</v>
      </c>
      <c r="D23" s="196" t="s">
        <v>195</v>
      </c>
      <c r="E23" s="196">
        <v>1500</v>
      </c>
      <c r="F23" s="196">
        <f>_xlfn.XLOOKUP(D23,价值表!$C:$C,价值表!$F:$F)*E23</f>
        <v>75</v>
      </c>
      <c r="G23" s="196" t="s">
        <v>188</v>
      </c>
      <c r="H23" s="204">
        <v>240</v>
      </c>
      <c r="I23" s="196">
        <f>_xlfn.XLOOKUP(G23,价值表!$C:$C,价值表!$F:$F)*H23</f>
        <v>240</v>
      </c>
      <c r="K23" s="204">
        <v>160</v>
      </c>
      <c r="L23" s="196" t="s">
        <v>195</v>
      </c>
      <c r="M23" s="196">
        <v>1700</v>
      </c>
      <c r="N23" s="196">
        <f>_xlfn.XLOOKUP(L23,价值表!$C:$C,价值表!$F:$F)*M23</f>
        <v>85</v>
      </c>
      <c r="O23" s="196" t="s">
        <v>188</v>
      </c>
      <c r="P23" s="204">
        <v>260</v>
      </c>
      <c r="Q23" s="196">
        <f>_xlfn.XLOOKUP(O23,价值表!$C:$C,价值表!$F:$F)*P23</f>
        <v>260</v>
      </c>
      <c r="S23" s="4">
        <v>250</v>
      </c>
      <c r="U23" s="204">
        <v>260</v>
      </c>
      <c r="V23" s="196" t="inlineStr">
        <is>
          <t>金币</t>
        </is>
      </c>
      <c r="W23" s="196">
        <v>1800</v>
      </c>
      <c r="X23" s="196">
        <f>_xlfn.XLOOKUP(V23,价值表!$C:$C,价值表!$F:$F)*W23</f>
        <v/>
      </c>
      <c r="Y23" s="196" t="inlineStr">
        <is>
          <t>钻石</t>
        </is>
      </c>
      <c r="Z23" s="204">
        <v>280</v>
      </c>
      <c r="AA23" s="196">
        <f>_xlfn.XLOOKUP(Y23,价值表!$C:$C,价值表!$F:$F)*Z23</f>
        <v/>
      </c>
    </row>
    <row r="24" spans="3:19">
      <c r="C24" s="204">
        <v>65</v>
      </c>
      <c r="D24" s="196" t="s">
        <v>195</v>
      </c>
      <c r="E24" s="196">
        <v>1500</v>
      </c>
      <c r="F24" s="196">
        <f>_xlfn.XLOOKUP(D24,价值表!$C:$C,价值表!$F:$F)*E24</f>
        <v>75</v>
      </c>
      <c r="G24" s="196" t="s">
        <v>188</v>
      </c>
      <c r="H24" s="204">
        <v>240</v>
      </c>
      <c r="I24" s="196">
        <f>_xlfn.XLOOKUP(G24,价值表!$C:$C,价值表!$F:$F)*H24</f>
        <v>240</v>
      </c>
      <c r="K24" s="204">
        <v>165</v>
      </c>
      <c r="L24" s="196" t="s">
        <v>195</v>
      </c>
      <c r="M24" s="196">
        <v>1700</v>
      </c>
      <c r="N24" s="196">
        <f>_xlfn.XLOOKUP(L24,价值表!$C:$C,价值表!$F:$F)*M24</f>
        <v>85</v>
      </c>
      <c r="O24" s="196" t="s">
        <v>188</v>
      </c>
      <c r="P24" s="204">
        <v>260</v>
      </c>
      <c r="Q24" s="196">
        <f>_xlfn.XLOOKUP(O24,价值表!$C:$C,价值表!$F:$F)*P24</f>
        <v>260</v>
      </c>
      <c r="S24" s="4">
        <v>250</v>
      </c>
      <c r="U24" s="204">
        <v>265</v>
      </c>
      <c r="V24" s="196" t="inlineStr">
        <is>
          <t>金币</t>
        </is>
      </c>
      <c r="W24" s="196">
        <v>1800</v>
      </c>
      <c r="X24" s="196">
        <f>_xlfn.XLOOKUP(V24,价值表!$C:$C,价值表!$F:$F)*W24</f>
        <v/>
      </c>
      <c r="Y24" s="196" t="inlineStr">
        <is>
          <t>钻石</t>
        </is>
      </c>
      <c r="Z24" s="204">
        <v>280</v>
      </c>
      <c r="AA24" s="196">
        <f>_xlfn.XLOOKUP(Y24,价值表!$C:$C,价值表!$F:$F)*Z24</f>
        <v/>
      </c>
    </row>
    <row r="25" spans="3:19">
      <c r="C25" s="204">
        <v>70</v>
      </c>
      <c r="D25" s="196" t="s">
        <v>195</v>
      </c>
      <c r="E25" s="196">
        <v>1500</v>
      </c>
      <c r="F25" s="196">
        <f>_xlfn.XLOOKUP(D25,价值表!$C:$C,价值表!$F:$F)*E25</f>
        <v>75</v>
      </c>
      <c r="G25" s="196" t="s">
        <v>188</v>
      </c>
      <c r="H25" s="204">
        <v>240</v>
      </c>
      <c r="I25" s="196">
        <f>_xlfn.XLOOKUP(G25,价值表!$C:$C,价值表!$F:$F)*H25</f>
        <v>240</v>
      </c>
      <c r="K25" s="204">
        <v>170</v>
      </c>
      <c r="L25" s="196" t="s">
        <v>195</v>
      </c>
      <c r="M25" s="196">
        <v>1700</v>
      </c>
      <c r="N25" s="196">
        <f>_xlfn.XLOOKUP(L25,价值表!$C:$C,价值表!$F:$F)*M25</f>
        <v>85</v>
      </c>
      <c r="O25" s="196" t="s">
        <v>188</v>
      </c>
      <c r="P25" s="204">
        <v>260</v>
      </c>
      <c r="Q25" s="196">
        <f>_xlfn.XLOOKUP(O25,价值表!$C:$C,价值表!$F:$F)*P25</f>
        <v>260</v>
      </c>
      <c r="S25" s="4">
        <v>250</v>
      </c>
      <c r="U25" s="204">
        <v>270</v>
      </c>
      <c r="V25" s="196" t="inlineStr">
        <is>
          <t>金币</t>
        </is>
      </c>
      <c r="W25" s="196">
        <v>1800</v>
      </c>
      <c r="X25" s="196">
        <f>_xlfn.XLOOKUP(V25,价值表!$C:$C,价值表!$F:$F)*W25</f>
        <v/>
      </c>
      <c r="Y25" s="196" t="inlineStr">
        <is>
          <t>钻石</t>
        </is>
      </c>
      <c r="Z25" s="204">
        <v>280</v>
      </c>
      <c r="AA25" s="196">
        <f>_xlfn.XLOOKUP(Y25,价值表!$C:$C,价值表!$F:$F)*Z25</f>
        <v/>
      </c>
    </row>
    <row r="26" spans="3:19">
      <c r="C26" s="204">
        <v>75</v>
      </c>
      <c r="D26" s="196" t="s">
        <v>188</v>
      </c>
      <c r="E26" s="196">
        <v>150</v>
      </c>
      <c r="F26" s="196">
        <f>_xlfn.XLOOKUP(D26,价值表!$C:$C,价值表!$F:$F)*E26</f>
        <v>150</v>
      </c>
      <c r="G26" s="196" t="s">
        <v>188</v>
      </c>
      <c r="H26" s="204">
        <v>1680</v>
      </c>
      <c r="I26" s="196">
        <f>_xlfn.XLOOKUP(G26,价值表!$C:$C,价值表!$F:$F)*H26</f>
        <v>1680</v>
      </c>
      <c r="K26" s="204">
        <v>175</v>
      </c>
      <c r="L26" s="196" t="s">
        <v>188</v>
      </c>
      <c r="M26" s="196">
        <v>170</v>
      </c>
      <c r="N26" s="196">
        <f>_xlfn.XLOOKUP(L26,价值表!$C:$C,价值表!$F:$F)*M26</f>
        <v>170</v>
      </c>
      <c r="O26" s="196" t="s">
        <v>188</v>
      </c>
      <c r="P26" s="204">
        <v>1980</v>
      </c>
      <c r="Q26" s="196">
        <f>_xlfn.XLOOKUP(O26,价值表!$C:$C,价值表!$F:$F)*P26</f>
        <v>1980</v>
      </c>
      <c r="S26" s="4">
        <v>1880</v>
      </c>
      <c r="U26" s="204">
        <v>275</v>
      </c>
      <c r="V26" s="196" t="inlineStr">
        <is>
          <t>钻石</t>
        </is>
      </c>
      <c r="W26" s="196">
        <v>180</v>
      </c>
      <c r="X26" s="196">
        <f>_xlfn.XLOOKUP(V26,价值表!$C:$C,价值表!$F:$F)*W26</f>
        <v/>
      </c>
      <c r="Y26" s="196" t="inlineStr">
        <is>
          <t>钻石</t>
        </is>
      </c>
      <c r="Z26" s="204">
        <v>2180</v>
      </c>
      <c r="AA26" s="196">
        <f>_xlfn.XLOOKUP(Y26,价值表!$C:$C,价值表!$F:$F)*Z26</f>
        <v/>
      </c>
    </row>
    <row r="27" spans="3:19">
      <c r="C27" s="204">
        <v>80</v>
      </c>
      <c r="D27" s="196" t="s">
        <v>195</v>
      </c>
      <c r="E27" s="196">
        <v>2000</v>
      </c>
      <c r="F27" s="196">
        <f>_xlfn.XLOOKUP(D27,价值表!$C:$C,价值表!$F:$F)*E27</f>
        <v>100</v>
      </c>
      <c r="G27" s="196" t="s">
        <v>188</v>
      </c>
      <c r="H27" s="204">
        <v>300</v>
      </c>
      <c r="I27" s="196">
        <f>_xlfn.XLOOKUP(G27,价值表!$C:$C,价值表!$F:$F)*H27</f>
        <v>300</v>
      </c>
      <c r="K27" s="204">
        <v>180</v>
      </c>
      <c r="L27" s="196" t="s">
        <v>195</v>
      </c>
      <c r="M27" s="196">
        <v>2200</v>
      </c>
      <c r="N27" s="196">
        <f>_xlfn.XLOOKUP(L27,价值表!$C:$C,价值表!$F:$F)*M27</f>
        <v>110</v>
      </c>
      <c r="O27" s="196" t="s">
        <v>188</v>
      </c>
      <c r="P27" s="204">
        <v>320</v>
      </c>
      <c r="Q27" s="196">
        <f>_xlfn.XLOOKUP(O27,价值表!$C:$C,价值表!$F:$F)*P27</f>
        <v>320</v>
      </c>
      <c r="S27" s="4">
        <v>310</v>
      </c>
      <c r="U27" s="204">
        <v>280</v>
      </c>
      <c r="V27" s="196" t="inlineStr">
        <is>
          <t>金币</t>
        </is>
      </c>
      <c r="W27" s="196">
        <v>2300</v>
      </c>
      <c r="X27" s="196">
        <f>_xlfn.XLOOKUP(V27,价值表!$C:$C,价值表!$F:$F)*W27</f>
        <v/>
      </c>
      <c r="Y27" s="196" t="inlineStr">
        <is>
          <t>钻石</t>
        </is>
      </c>
      <c r="Z27" s="204">
        <v>350</v>
      </c>
      <c r="AA27" s="196">
        <f>_xlfn.XLOOKUP(Y27,价值表!$C:$C,价值表!$F:$F)*Z27</f>
        <v/>
      </c>
    </row>
    <row r="28" spans="3:19">
      <c r="C28" s="204">
        <v>85</v>
      </c>
      <c r="D28" s="196" t="s">
        <v>195</v>
      </c>
      <c r="E28" s="196">
        <v>2000</v>
      </c>
      <c r="F28" s="196">
        <f>_xlfn.XLOOKUP(D28,价值表!$C:$C,价值表!$F:$F)*E28</f>
        <v>100</v>
      </c>
      <c r="G28" s="196" t="s">
        <v>188</v>
      </c>
      <c r="H28" s="204">
        <v>300</v>
      </c>
      <c r="I28" s="196">
        <f>_xlfn.XLOOKUP(G28,价值表!$C:$C,价值表!$F:$F)*H28</f>
        <v>300</v>
      </c>
      <c r="K28" s="204">
        <v>185</v>
      </c>
      <c r="L28" s="196" t="s">
        <v>195</v>
      </c>
      <c r="M28" s="196">
        <v>2200</v>
      </c>
      <c r="N28" s="196">
        <f>_xlfn.XLOOKUP(L28,价值表!$C:$C,价值表!$F:$F)*M28</f>
        <v>110</v>
      </c>
      <c r="O28" s="196" t="s">
        <v>188</v>
      </c>
      <c r="P28" s="204">
        <v>320</v>
      </c>
      <c r="Q28" s="196">
        <f>_xlfn.XLOOKUP(O28,价值表!$C:$C,价值表!$F:$F)*P28</f>
        <v>320</v>
      </c>
      <c r="S28" s="4">
        <v>310</v>
      </c>
      <c r="U28" s="204">
        <v>285</v>
      </c>
      <c r="V28" s="196" t="inlineStr">
        <is>
          <t>金币</t>
        </is>
      </c>
      <c r="W28" s="196">
        <v>2300</v>
      </c>
      <c r="X28" s="196">
        <f>_xlfn.XLOOKUP(V28,价值表!$C:$C,价值表!$F:$F)*W28</f>
        <v/>
      </c>
      <c r="Y28" s="196" t="inlineStr">
        <is>
          <t>钻石</t>
        </is>
      </c>
      <c r="Z28" s="204">
        <v>350</v>
      </c>
      <c r="AA28" s="196">
        <f>_xlfn.XLOOKUP(Y28,价值表!$C:$C,价值表!$F:$F)*Z28</f>
        <v/>
      </c>
    </row>
    <row r="29" spans="3:19">
      <c r="C29" s="204">
        <v>90</v>
      </c>
      <c r="D29" s="196" t="s">
        <v>195</v>
      </c>
      <c r="E29" s="196">
        <v>2000</v>
      </c>
      <c r="F29" s="196">
        <f>_xlfn.XLOOKUP(D29,价值表!$C:$C,价值表!$F:$F)*E29</f>
        <v>100</v>
      </c>
      <c r="G29" s="196" t="s">
        <v>188</v>
      </c>
      <c r="H29" s="204">
        <v>300</v>
      </c>
      <c r="I29" s="196">
        <f>_xlfn.XLOOKUP(G29,价值表!$C:$C,价值表!$F:$F)*H29</f>
        <v>300</v>
      </c>
      <c r="K29" s="204">
        <v>190</v>
      </c>
      <c r="L29" s="196" t="s">
        <v>195</v>
      </c>
      <c r="M29" s="196">
        <v>2200</v>
      </c>
      <c r="N29" s="196">
        <f>_xlfn.XLOOKUP(L29,价值表!$C:$C,价值表!$F:$F)*M29</f>
        <v>110</v>
      </c>
      <c r="O29" s="196" t="s">
        <v>188</v>
      </c>
      <c r="P29" s="204">
        <v>320</v>
      </c>
      <c r="Q29" s="196">
        <f>_xlfn.XLOOKUP(O29,价值表!$C:$C,价值表!$F:$F)*P29</f>
        <v>320</v>
      </c>
      <c r="S29" s="4">
        <v>310</v>
      </c>
      <c r="U29" s="204">
        <v>290</v>
      </c>
      <c r="V29" s="196" t="inlineStr">
        <is>
          <t>金币</t>
        </is>
      </c>
      <c r="W29" s="196">
        <v>2300</v>
      </c>
      <c r="X29" s="196">
        <f>_xlfn.XLOOKUP(V29,价值表!$C:$C,价值表!$F:$F)*W29</f>
        <v/>
      </c>
      <c r="Y29" s="196" t="inlineStr">
        <is>
          <t>钻石</t>
        </is>
      </c>
      <c r="Z29" s="204">
        <v>350</v>
      </c>
      <c r="AA29" s="196">
        <f>_xlfn.XLOOKUP(Y29,价值表!$C:$C,价值表!$F:$F)*Z29</f>
        <v/>
      </c>
    </row>
    <row r="30" spans="3:19">
      <c r="C30" s="204">
        <v>95</v>
      </c>
      <c r="D30" s="196" t="s">
        <v>195</v>
      </c>
      <c r="E30" s="196">
        <v>2000</v>
      </c>
      <c r="F30" s="196">
        <f>_xlfn.XLOOKUP(D30,价值表!$C:$C,价值表!$F:$F)*E30</f>
        <v>100</v>
      </c>
      <c r="G30" s="196" t="s">
        <v>188</v>
      </c>
      <c r="H30" s="204">
        <v>300</v>
      </c>
      <c r="I30" s="196">
        <f>_xlfn.XLOOKUP(G30,价值表!$C:$C,价值表!$F:$F)*H30</f>
        <v>300</v>
      </c>
      <c r="K30" s="204">
        <v>195</v>
      </c>
      <c r="L30" s="196" t="s">
        <v>195</v>
      </c>
      <c r="M30" s="196">
        <v>2200</v>
      </c>
      <c r="N30" s="196">
        <f>_xlfn.XLOOKUP(L30,价值表!$C:$C,价值表!$F:$F)*M30</f>
        <v>110</v>
      </c>
      <c r="O30" s="196" t="s">
        <v>188</v>
      </c>
      <c r="P30" s="204">
        <v>320</v>
      </c>
      <c r="Q30" s="196">
        <f>_xlfn.XLOOKUP(O30,价值表!$C:$C,价值表!$F:$F)*P30</f>
        <v>320</v>
      </c>
      <c r="S30" s="4">
        <v>310</v>
      </c>
      <c r="U30" s="204">
        <v>295</v>
      </c>
      <c r="V30" s="196" t="inlineStr">
        <is>
          <t>金币</t>
        </is>
      </c>
      <c r="W30" s="196">
        <v>2300</v>
      </c>
      <c r="X30" s="196">
        <f>_xlfn.XLOOKUP(V30,价值表!$C:$C,价值表!$F:$F)*W30</f>
        <v/>
      </c>
      <c r="Y30" s="196" t="inlineStr">
        <is>
          <t>钻石</t>
        </is>
      </c>
      <c r="Z30" s="204">
        <v>350</v>
      </c>
      <c r="AA30" s="196">
        <f>_xlfn.XLOOKUP(Y30,价值表!$C:$C,价值表!$F:$F)*Z30</f>
        <v/>
      </c>
    </row>
    <row r="31" spans="3:19">
      <c r="C31" s="204">
        <v>100</v>
      </c>
      <c r="D31" s="196" t="s">
        <v>188</v>
      </c>
      <c r="E31" s="196">
        <v>200</v>
      </c>
      <c r="F31" s="196">
        <f>_xlfn.XLOOKUP(D31,价值表!$C:$C,价值表!$F:$F)*E31</f>
        <v>200</v>
      </c>
      <c r="G31" s="196" t="s">
        <v>188</v>
      </c>
      <c r="H31" s="204">
        <v>2025</v>
      </c>
      <c r="I31" s="196">
        <f>_xlfn.XLOOKUP(G31,价值表!$C:$C,价值表!$F:$F)*H31</f>
        <v>2025</v>
      </c>
      <c r="K31" s="204">
        <v>200</v>
      </c>
      <c r="L31" s="196" t="s">
        <v>188</v>
      </c>
      <c r="M31" s="196">
        <v>220</v>
      </c>
      <c r="N31" s="196">
        <f>_xlfn.XLOOKUP(L31,价值表!$C:$C,价值表!$F:$F)*M31</f>
        <v>220</v>
      </c>
      <c r="O31" s="196" t="s">
        <v>188</v>
      </c>
      <c r="P31" s="204">
        <v>2326</v>
      </c>
      <c r="Q31" s="196">
        <f>_xlfn.XLOOKUP(O31,价值表!$C:$C,价值表!$F:$F)*P31</f>
        <v>2326</v>
      </c>
      <c r="S31" s="4">
        <v>2226</v>
      </c>
      <c r="U31" s="204">
        <v>300</v>
      </c>
      <c r="V31" s="196" t="inlineStr">
        <is>
          <t>钻石</t>
        </is>
      </c>
      <c r="W31" s="196">
        <v>250</v>
      </c>
      <c r="X31" s="196">
        <f>_xlfn.XLOOKUP(V31,价值表!$C:$C,价值表!$F:$F)*W31</f>
        <v/>
      </c>
      <c r="Y31" s="196" t="inlineStr">
        <is>
          <t>钻石</t>
        </is>
      </c>
      <c r="Z31" s="204">
        <v>2600</v>
      </c>
      <c r="AA31" s="196">
        <f>_xlfn.XLOOKUP(Y31,价值表!$C:$C,价值表!$F:$F)*Z31</f>
        <v/>
      </c>
    </row>
    <row r="32" spans="3:19">
      <c r="C32" s="215"/>
      <c r="D32" s="215"/>
      <c r="E32" s="215"/>
      <c r="F32" s="215"/>
      <c r="G32" s="215"/>
      <c r="H32" s="215"/>
      <c r="I32" s="215">
        <f>SUM(I12:I31)</f>
        <v>10455</v>
      </c>
      <c r="K32" s="215"/>
      <c r="L32" s="215"/>
      <c r="M32" s="215"/>
      <c r="N32" s="215"/>
      <c r="O32" s="215"/>
      <c r="P32" s="215"/>
      <c r="Q32" s="215">
        <f>SUM(Q12:Q31)</f>
        <v>11926</v>
      </c>
      <c r="S32" s="4">
        <f>SUM(S12:S31)</f>
        <v>11406</v>
      </c>
      <c r="AA32" s="215">
        <f>SUM(AA12:AA31)</f>
        <v/>
      </c>
    </row>
    <row r="33" spans="3:18">
      <c r="C33" s="485"/>
      <c r="D33" s="197"/>
      <c r="E33" s="486"/>
      <c r="F33" s="487"/>
      <c r="H33" s="486"/>
    </row>
    <row r="34" spans="3:18">
      <c r="C34" s="485"/>
      <c r="D34" s="197"/>
      <c r="E34" s="486"/>
      <c r="F34" s="487"/>
      <c r="H34" s="486"/>
      <c r="K34" s="215"/>
      <c r="L34" s="215"/>
      <c r="M34" s="215"/>
      <c r="N34" s="215"/>
      <c r="O34" s="215"/>
      <c r="P34" s="215"/>
      <c r="Q34" s="215"/>
    </row>
    <row r="35" spans="3:18">
      <c r="K35" s="215"/>
      <c r="L35" s="215"/>
      <c r="M35" s="215"/>
      <c r="N35" s="215"/>
      <c r="O35" s="215"/>
      <c r="P35" s="215"/>
      <c r="Q35" s="215"/>
    </row>
    <row r="37" spans="3:18">
      <c r="J37" s="114"/>
    </row>
    <row r="38" spans="3:18">
      <c r="K38" s="488"/>
      <c r="L38" s="488"/>
    </row>
    <row r="39" spans="3:18">
      <c r="C39" s="4" t="s">
        <v>1104</v>
      </c>
      <c r="D39" s="4" t="s">
        <v>1105</v>
      </c>
      <c r="E39" s="4" t="s">
        <v>188</v>
      </c>
      <c r="F39" s="4" t="s">
        <v>1106</v>
      </c>
      <c r="H39" s="489" t="s">
        <v>1107</v>
      </c>
      <c r="I39" s="489" t="s">
        <v>1108</v>
      </c>
      <c r="J39" s="489" t="s">
        <v>1109</v>
      </c>
      <c r="K39" s="489"/>
      <c r="L39" s="489"/>
      <c r="M39" s="489" t="s">
        <v>1110</v>
      </c>
      <c r="N39" s="489"/>
      <c r="O39" s="489"/>
      <c r="P39" s="489" t="s">
        <v>1111</v>
      </c>
      <c r="Q39" s="489"/>
      <c r="R39" s="489"/>
    </row>
    <row r="40" spans="3:18">
      <c r="C40" s="197">
        <v>4</v>
      </c>
      <c r="D40" s="4">
        <f>_xlfn.XLOOKUP(C40,$H$41:$H$117,$K$41:$K$117)</f>
        <v>30</v>
      </c>
      <c r="E40" s="486">
        <v>980</v>
      </c>
      <c r="F40" s="4" t="e">
        <f ca="1">OFFSET(#REF!,D40,0)</f>
        <v>#REF!</v>
      </c>
      <c r="H40" s="489"/>
      <c r="I40" s="489"/>
      <c r="J40" s="489" t="s">
        <v>1112</v>
      </c>
      <c r="K40" s="489" t="s">
        <v>1113</v>
      </c>
      <c r="L40" s="489" t="s">
        <v>1114</v>
      </c>
      <c r="M40" s="489" t="s">
        <v>1112</v>
      </c>
      <c r="N40" s="489" t="s">
        <v>1113</v>
      </c>
      <c r="O40" s="489" t="s">
        <v>1114</v>
      </c>
      <c r="P40" s="490" t="s">
        <v>1112</v>
      </c>
      <c r="Q40" s="490" t="s">
        <v>1113</v>
      </c>
      <c r="R40" s="490" t="s">
        <v>1114</v>
      </c>
    </row>
    <row r="41" spans="3:18">
      <c r="C41" s="197">
        <v>8</v>
      </c>
      <c r="D41" s="4">
        <f t="shared" ref="D41:D64" si="0">_xlfn.XLOOKUP(C41,$H$41:$H$117,$K$41:$K$117)</f>
        <v>123</v>
      </c>
      <c r="E41" s="486">
        <v>240</v>
      </c>
      <c r="F41" s="4" t="e">
        <f ca="1">OFFSET(#REF!,D41,0)</f>
        <v>#REF!</v>
      </c>
      <c r="H41" s="272">
        <v>1</v>
      </c>
      <c r="I41" s="272">
        <v>7263</v>
      </c>
      <c r="J41" s="272">
        <v>0</v>
      </c>
      <c r="K41" s="272">
        <v>0</v>
      </c>
      <c r="L41" s="272">
        <v>0</v>
      </c>
      <c r="M41" s="491">
        <v>0</v>
      </c>
      <c r="N41" s="491">
        <v>0</v>
      </c>
      <c r="O41" s="492">
        <v>0</v>
      </c>
      <c r="P41" s="272">
        <v>1</v>
      </c>
      <c r="Q41" s="272">
        <v>1</v>
      </c>
      <c r="R41" s="272">
        <v>4</v>
      </c>
    </row>
    <row r="42" spans="3:18">
      <c r="C42" s="197">
        <v>12</v>
      </c>
      <c r="D42" s="4">
        <f t="shared" si="0"/>
        <v>270</v>
      </c>
      <c r="E42" s="486">
        <v>240</v>
      </c>
      <c r="F42" s="4" t="e">
        <f ca="1">OFFSET(#REF!,D42,0)</f>
        <v>#REF!</v>
      </c>
      <c r="H42" s="272">
        <v>2</v>
      </c>
      <c r="I42" s="272">
        <v>6556</v>
      </c>
      <c r="J42" s="272">
        <v>0</v>
      </c>
      <c r="K42" s="272">
        <v>0</v>
      </c>
      <c r="L42" s="272">
        <v>0</v>
      </c>
      <c r="M42" s="491">
        <v>0</v>
      </c>
      <c r="N42" s="491">
        <v>0</v>
      </c>
      <c r="O42" s="492">
        <v>0</v>
      </c>
      <c r="P42" s="272">
        <v>2</v>
      </c>
      <c r="Q42" s="272">
        <v>2</v>
      </c>
      <c r="R42" s="272">
        <v>4</v>
      </c>
    </row>
    <row r="43" spans="3:18">
      <c r="C43" s="197">
        <v>16</v>
      </c>
      <c r="D43" s="4">
        <f t="shared" si="0"/>
        <v>491</v>
      </c>
      <c r="E43" s="486">
        <v>240</v>
      </c>
      <c r="F43" s="4" t="e">
        <f ca="1">OFFSET(#REF!,D43,0)</f>
        <v>#REF!</v>
      </c>
      <c r="H43" s="272">
        <v>3</v>
      </c>
      <c r="I43" s="272">
        <v>6020</v>
      </c>
      <c r="J43" s="272">
        <v>10</v>
      </c>
      <c r="K43" s="272">
        <v>10</v>
      </c>
      <c r="L43" s="272">
        <v>50</v>
      </c>
      <c r="M43" s="491">
        <v>0</v>
      </c>
      <c r="N43" s="491">
        <v>0</v>
      </c>
      <c r="O43" s="492">
        <v>0</v>
      </c>
      <c r="P43" s="272">
        <v>3</v>
      </c>
      <c r="Q43" s="272">
        <v>4</v>
      </c>
      <c r="R43" s="272">
        <v>6</v>
      </c>
    </row>
    <row r="44" spans="3:18">
      <c r="C44" s="197">
        <v>20</v>
      </c>
      <c r="D44" s="4">
        <f t="shared" si="0"/>
        <v>650</v>
      </c>
      <c r="E44" s="486">
        <v>240</v>
      </c>
      <c r="F44" s="4" t="e">
        <f ca="1">OFFSET(#REF!,D44,0)</f>
        <v>#REF!</v>
      </c>
      <c r="H44" s="272">
        <v>4</v>
      </c>
      <c r="I44" s="272">
        <v>5350</v>
      </c>
      <c r="J44" s="272">
        <v>20</v>
      </c>
      <c r="K44" s="272">
        <v>30</v>
      </c>
      <c r="L44" s="272">
        <v>90</v>
      </c>
      <c r="M44" s="491">
        <v>0</v>
      </c>
      <c r="N44" s="491">
        <v>0</v>
      </c>
      <c r="O44" s="492">
        <v>0</v>
      </c>
      <c r="P44" s="272">
        <v>4</v>
      </c>
      <c r="Q44" s="272">
        <v>4</v>
      </c>
      <c r="R44" s="272">
        <v>8</v>
      </c>
    </row>
    <row r="45" spans="3:18">
      <c r="C45" s="197">
        <v>24</v>
      </c>
      <c r="D45" s="4">
        <f t="shared" si="0"/>
        <v>794</v>
      </c>
      <c r="E45" s="486">
        <v>1280</v>
      </c>
      <c r="F45" s="4" t="e">
        <f ca="1">OFFSET(#REF!,D45,0)</f>
        <v>#REF!</v>
      </c>
      <c r="H45" s="493">
        <v>5</v>
      </c>
      <c r="I45" s="493">
        <v>4721</v>
      </c>
      <c r="J45" s="493">
        <v>31</v>
      </c>
      <c r="K45" s="493">
        <v>40</v>
      </c>
      <c r="L45" s="493">
        <v>230</v>
      </c>
      <c r="M45" s="494">
        <v>0</v>
      </c>
      <c r="N45" s="494">
        <v>0</v>
      </c>
      <c r="O45" s="495">
        <v>0</v>
      </c>
      <c r="P45" s="493">
        <v>5</v>
      </c>
      <c r="Q45" s="493">
        <v>6</v>
      </c>
      <c r="R45" s="493">
        <v>12</v>
      </c>
    </row>
    <row r="46" spans="3:18">
      <c r="C46" s="197">
        <v>28</v>
      </c>
      <c r="D46" s="4">
        <f t="shared" si="0"/>
        <v>957</v>
      </c>
      <c r="E46" s="486">
        <v>280</v>
      </c>
      <c r="F46" s="4" t="e">
        <f ca="1">OFFSET(#REF!,D46,0)</f>
        <v>#REF!</v>
      </c>
      <c r="H46" s="272">
        <v>6</v>
      </c>
      <c r="I46" s="272">
        <v>4405</v>
      </c>
      <c r="J46" s="272">
        <v>60</v>
      </c>
      <c r="K46" s="272">
        <v>80</v>
      </c>
      <c r="L46" s="272">
        <v>230</v>
      </c>
      <c r="M46" s="491">
        <v>0</v>
      </c>
      <c r="N46" s="491">
        <v>0</v>
      </c>
      <c r="O46" s="492">
        <v>0</v>
      </c>
      <c r="P46" s="272">
        <v>6</v>
      </c>
      <c r="Q46" s="272">
        <v>7</v>
      </c>
      <c r="R46" s="272">
        <v>15</v>
      </c>
    </row>
    <row r="47" spans="3:18">
      <c r="C47" s="197">
        <v>32</v>
      </c>
      <c r="D47" s="4">
        <f t="shared" si="0"/>
        <v>1140</v>
      </c>
      <c r="E47" s="486">
        <v>280</v>
      </c>
      <c r="F47" s="4" t="e">
        <f ca="1">OFFSET(#REF!,D47,0)</f>
        <v>#REF!</v>
      </c>
      <c r="H47" s="272">
        <v>7</v>
      </c>
      <c r="I47" s="272">
        <v>4123</v>
      </c>
      <c r="J47" s="272">
        <v>80</v>
      </c>
      <c r="K47" s="272">
        <v>100</v>
      </c>
      <c r="L47" s="272">
        <v>380</v>
      </c>
      <c r="M47" s="491">
        <v>0</v>
      </c>
      <c r="N47" s="491">
        <v>0</v>
      </c>
      <c r="O47" s="492">
        <v>1</v>
      </c>
      <c r="P47" s="272">
        <v>7</v>
      </c>
      <c r="Q47" s="272">
        <v>8</v>
      </c>
      <c r="R47" s="272">
        <v>16</v>
      </c>
    </row>
    <row r="48" spans="3:18">
      <c r="C48" s="197">
        <v>36</v>
      </c>
      <c r="D48" s="4">
        <f t="shared" si="0"/>
        <v>1356</v>
      </c>
      <c r="E48" s="486">
        <v>280</v>
      </c>
      <c r="F48" s="4" t="e">
        <f ca="1">OFFSET(#REF!,D48,0)</f>
        <v>#REF!</v>
      </c>
      <c r="H48" s="272">
        <v>8</v>
      </c>
      <c r="I48" s="272">
        <v>3918</v>
      </c>
      <c r="J48" s="272">
        <v>100</v>
      </c>
      <c r="K48" s="272">
        <v>123</v>
      </c>
      <c r="L48" s="272">
        <v>380</v>
      </c>
      <c r="M48" s="496">
        <v>1</v>
      </c>
      <c r="N48" s="491">
        <v>1</v>
      </c>
      <c r="O48" s="492">
        <v>2</v>
      </c>
      <c r="P48" s="272">
        <v>7</v>
      </c>
      <c r="Q48" s="272">
        <v>8</v>
      </c>
      <c r="R48" s="272">
        <v>22</v>
      </c>
    </row>
    <row r="49" spans="3:18">
      <c r="C49" s="197">
        <v>40</v>
      </c>
      <c r="D49" s="4">
        <f t="shared" si="0"/>
        <v>1540</v>
      </c>
      <c r="E49" s="486">
        <v>280</v>
      </c>
      <c r="F49" s="4" t="e">
        <f ca="1">OFFSET(#REF!,D49,0)</f>
        <v>#REF!</v>
      </c>
      <c r="H49" s="272">
        <v>9</v>
      </c>
      <c r="I49" s="272">
        <v>3698</v>
      </c>
      <c r="J49" s="272">
        <v>130</v>
      </c>
      <c r="K49" s="272">
        <v>160</v>
      </c>
      <c r="L49" s="272">
        <v>583</v>
      </c>
      <c r="M49" s="491">
        <v>1</v>
      </c>
      <c r="N49" s="491">
        <v>2</v>
      </c>
      <c r="O49" s="492">
        <v>2</v>
      </c>
      <c r="P49" s="272">
        <v>8</v>
      </c>
      <c r="Q49" s="272">
        <v>9</v>
      </c>
      <c r="R49" s="272">
        <v>23</v>
      </c>
    </row>
    <row r="50" spans="3:18">
      <c r="C50" s="197">
        <v>44</v>
      </c>
      <c r="D50" s="4">
        <f t="shared" si="0"/>
        <v>1790</v>
      </c>
      <c r="E50" s="486">
        <v>280</v>
      </c>
      <c r="F50" s="4" t="e">
        <f ca="1">OFFSET(#REF!,D50,0)</f>
        <v>#REF!</v>
      </c>
      <c r="H50" s="493">
        <v>10</v>
      </c>
      <c r="I50" s="493">
        <v>3551</v>
      </c>
      <c r="J50" s="493">
        <v>160</v>
      </c>
      <c r="K50" s="493">
        <v>190</v>
      </c>
      <c r="L50" s="493">
        <v>583</v>
      </c>
      <c r="M50" s="494">
        <v>2</v>
      </c>
      <c r="N50" s="494">
        <v>2</v>
      </c>
      <c r="O50" s="495">
        <v>2</v>
      </c>
      <c r="P50" s="493">
        <v>9</v>
      </c>
      <c r="Q50" s="493">
        <v>10</v>
      </c>
      <c r="R50" s="493">
        <v>23</v>
      </c>
    </row>
    <row r="51" spans="3:18">
      <c r="C51" s="197">
        <v>48</v>
      </c>
      <c r="D51" s="4">
        <f t="shared" si="0"/>
        <v>2139</v>
      </c>
      <c r="E51" s="486">
        <v>1380</v>
      </c>
      <c r="F51" s="4" t="e">
        <f ca="1">OFFSET(#REF!,D51,0)</f>
        <v>#REF!</v>
      </c>
      <c r="H51" s="272">
        <v>11</v>
      </c>
      <c r="I51" s="272">
        <v>3338</v>
      </c>
      <c r="J51" s="272">
        <v>200</v>
      </c>
      <c r="K51" s="272">
        <v>240</v>
      </c>
      <c r="L51" s="272">
        <v>1530</v>
      </c>
      <c r="M51" s="491">
        <v>2</v>
      </c>
      <c r="N51" s="491">
        <v>2</v>
      </c>
      <c r="O51" s="492">
        <v>3</v>
      </c>
      <c r="P51" s="272">
        <v>10</v>
      </c>
      <c r="Q51" s="272">
        <v>11</v>
      </c>
      <c r="R51" s="272">
        <v>25</v>
      </c>
    </row>
    <row r="52" spans="3:18">
      <c r="C52" s="197">
        <v>52</v>
      </c>
      <c r="D52" s="4">
        <f t="shared" si="0"/>
        <v>2503</v>
      </c>
      <c r="E52" s="486">
        <v>320</v>
      </c>
      <c r="F52" s="4" t="e">
        <f ca="1">OFFSET(#REF!,D52,0)</f>
        <v>#REF!</v>
      </c>
      <c r="H52" s="272">
        <v>12</v>
      </c>
      <c r="I52" s="272">
        <v>3261</v>
      </c>
      <c r="J52" s="272">
        <v>220</v>
      </c>
      <c r="K52" s="272">
        <v>270</v>
      </c>
      <c r="L52" s="272">
        <v>1560</v>
      </c>
      <c r="M52" s="491">
        <v>2</v>
      </c>
      <c r="N52" s="491">
        <v>2</v>
      </c>
      <c r="O52" s="492">
        <v>3</v>
      </c>
      <c r="P52" s="272">
        <v>10</v>
      </c>
      <c r="Q52" s="272">
        <v>11</v>
      </c>
      <c r="R52" s="272">
        <v>25</v>
      </c>
    </row>
    <row r="53" spans="3:18">
      <c r="C53" s="197">
        <v>56</v>
      </c>
      <c r="D53" s="4">
        <f t="shared" si="0"/>
        <v>3160</v>
      </c>
      <c r="E53" s="486">
        <v>320</v>
      </c>
      <c r="F53" s="4" t="e">
        <f ca="1">OFFSET(#REF!,D53,0)</f>
        <v>#REF!</v>
      </c>
      <c r="H53" s="272">
        <v>13</v>
      </c>
      <c r="I53" s="272">
        <v>3150</v>
      </c>
      <c r="J53" s="272">
        <v>260</v>
      </c>
      <c r="K53" s="272">
        <v>310</v>
      </c>
      <c r="L53" s="272">
        <v>1570</v>
      </c>
      <c r="M53" s="491">
        <v>2</v>
      </c>
      <c r="N53" s="491">
        <v>3</v>
      </c>
      <c r="O53" s="492">
        <v>3</v>
      </c>
      <c r="P53" s="272">
        <v>11</v>
      </c>
      <c r="Q53" s="272">
        <v>12</v>
      </c>
      <c r="R53" s="272">
        <v>27</v>
      </c>
    </row>
    <row r="54" spans="3:18">
      <c r="C54" s="197">
        <v>60</v>
      </c>
      <c r="D54" s="4">
        <f t="shared" si="0"/>
        <v>3555</v>
      </c>
      <c r="E54" s="486">
        <v>320</v>
      </c>
      <c r="F54" s="4" t="e">
        <f ca="1">OFFSET(#REF!,D54,0)</f>
        <v>#REF!</v>
      </c>
      <c r="H54" s="272">
        <v>14</v>
      </c>
      <c r="I54" s="272">
        <v>3020</v>
      </c>
      <c r="J54" s="272">
        <v>290</v>
      </c>
      <c r="K54" s="272">
        <v>340</v>
      </c>
      <c r="L54" s="272">
        <v>1570</v>
      </c>
      <c r="M54" s="491">
        <v>2</v>
      </c>
      <c r="N54" s="491">
        <v>3</v>
      </c>
      <c r="O54" s="492">
        <v>3</v>
      </c>
      <c r="P54" s="272">
        <v>11</v>
      </c>
      <c r="Q54" s="272">
        <v>12</v>
      </c>
      <c r="R54" s="272">
        <v>25</v>
      </c>
    </row>
    <row r="55" spans="3:18">
      <c r="C55" s="197">
        <v>64</v>
      </c>
      <c r="D55" s="4">
        <f t="shared" si="0"/>
        <v>4438</v>
      </c>
      <c r="E55" s="486">
        <v>320</v>
      </c>
      <c r="F55" s="4" t="e">
        <f ca="1">OFFSET(#REF!,D55,0)</f>
        <v>#REF!</v>
      </c>
      <c r="H55" s="493">
        <v>15</v>
      </c>
      <c r="I55" s="493">
        <v>2827</v>
      </c>
      <c r="J55" s="493">
        <v>340</v>
      </c>
      <c r="K55" s="493">
        <v>395</v>
      </c>
      <c r="L55" s="493">
        <v>1670</v>
      </c>
      <c r="M55" s="494">
        <v>3</v>
      </c>
      <c r="N55" s="494">
        <v>3</v>
      </c>
      <c r="O55" s="495">
        <v>3</v>
      </c>
      <c r="P55" s="493">
        <v>12</v>
      </c>
      <c r="Q55" s="493">
        <v>13</v>
      </c>
      <c r="R55" s="493">
        <v>26</v>
      </c>
    </row>
    <row r="56" spans="3:18">
      <c r="C56" s="197">
        <v>68</v>
      </c>
      <c r="D56" s="4">
        <f t="shared" si="0"/>
        <v>4990</v>
      </c>
      <c r="E56" s="486">
        <v>320</v>
      </c>
      <c r="F56" s="4" t="e">
        <f ca="1">OFFSET(#REF!,D56,0)</f>
        <v>#REF!</v>
      </c>
      <c r="H56" s="272">
        <v>16</v>
      </c>
      <c r="I56" s="272">
        <v>2734</v>
      </c>
      <c r="J56" s="272">
        <v>440</v>
      </c>
      <c r="K56" s="272">
        <v>491</v>
      </c>
      <c r="L56" s="272">
        <v>1730</v>
      </c>
      <c r="M56" s="491">
        <v>3</v>
      </c>
      <c r="N56" s="491">
        <v>3</v>
      </c>
      <c r="O56" s="492">
        <v>4</v>
      </c>
      <c r="P56" s="272">
        <v>13</v>
      </c>
      <c r="Q56" s="272">
        <v>14</v>
      </c>
      <c r="R56" s="272">
        <v>27</v>
      </c>
    </row>
    <row r="57" spans="3:18">
      <c r="C57" s="197">
        <v>72</v>
      </c>
      <c r="D57" s="4">
        <f t="shared" si="0"/>
        <v>5719</v>
      </c>
      <c r="E57" s="486">
        <v>320</v>
      </c>
      <c r="F57" s="4" t="e">
        <f ca="1">OFFSET(#REF!,D57,0)</f>
        <v>#REF!</v>
      </c>
      <c r="H57" s="272">
        <v>17</v>
      </c>
      <c r="I57" s="272">
        <v>2655</v>
      </c>
      <c r="J57" s="272">
        <v>460</v>
      </c>
      <c r="K57" s="272">
        <v>520</v>
      </c>
      <c r="L57" s="272">
        <v>1730</v>
      </c>
      <c r="M57" s="491">
        <v>3</v>
      </c>
      <c r="N57" s="491">
        <v>3</v>
      </c>
      <c r="O57" s="492">
        <v>4</v>
      </c>
      <c r="P57" s="272">
        <v>13</v>
      </c>
      <c r="Q57" s="272">
        <v>14</v>
      </c>
      <c r="R57" s="272">
        <v>28</v>
      </c>
    </row>
    <row r="58" spans="3:18">
      <c r="C58" s="197">
        <v>76</v>
      </c>
      <c r="D58" s="4">
        <f t="shared" si="0"/>
        <v>6000</v>
      </c>
      <c r="E58" s="486">
        <v>1680</v>
      </c>
      <c r="F58" s="4" t="e">
        <f ca="1">OFFSET(#REF!,D58,0)</f>
        <v>#REF!</v>
      </c>
      <c r="H58" s="272">
        <v>18</v>
      </c>
      <c r="I58" s="272">
        <v>2588</v>
      </c>
      <c r="J58" s="272">
        <v>490</v>
      </c>
      <c r="K58" s="272">
        <v>550</v>
      </c>
      <c r="L58" s="272">
        <v>1750</v>
      </c>
      <c r="M58" s="491">
        <v>3</v>
      </c>
      <c r="N58" s="491">
        <v>3</v>
      </c>
      <c r="O58" s="492">
        <v>4</v>
      </c>
      <c r="P58" s="272">
        <v>13</v>
      </c>
      <c r="Q58" s="272">
        <v>15</v>
      </c>
      <c r="R58" s="272">
        <v>28</v>
      </c>
    </row>
    <row r="59" spans="3:18">
      <c r="C59" s="197">
        <v>80</v>
      </c>
      <c r="D59" s="4" t="e">
        <f t="shared" si="0"/>
        <v>#N/A</v>
      </c>
      <c r="E59" s="486">
        <v>360</v>
      </c>
      <c r="F59" s="4" t="e">
        <f ca="1">OFFSET(#REF!,D59,0)</f>
        <v>#REF!</v>
      </c>
      <c r="H59" s="272">
        <v>19</v>
      </c>
      <c r="I59" s="272">
        <v>2529</v>
      </c>
      <c r="J59" s="272">
        <v>510</v>
      </c>
      <c r="K59" s="272">
        <v>584</v>
      </c>
      <c r="L59" s="272">
        <v>1760</v>
      </c>
      <c r="M59" s="491">
        <v>3</v>
      </c>
      <c r="N59" s="491">
        <v>4</v>
      </c>
      <c r="O59" s="492">
        <v>4</v>
      </c>
      <c r="P59" s="272">
        <v>14</v>
      </c>
      <c r="Q59" s="272">
        <v>15</v>
      </c>
      <c r="R59" s="272">
        <v>28</v>
      </c>
    </row>
    <row r="60" spans="3:18">
      <c r="C60" s="197">
        <v>84</v>
      </c>
      <c r="D60" s="4" t="e">
        <f t="shared" si="0"/>
        <v>#N/A</v>
      </c>
      <c r="E60" s="486">
        <v>360</v>
      </c>
      <c r="F60" s="4" t="e">
        <f ca="1">OFFSET(#REF!,D60,0)</f>
        <v>#REF!</v>
      </c>
      <c r="H60" s="493">
        <v>20</v>
      </c>
      <c r="I60" s="493">
        <v>2390</v>
      </c>
      <c r="J60" s="493">
        <v>570</v>
      </c>
      <c r="K60" s="493">
        <v>650</v>
      </c>
      <c r="L60" s="493">
        <v>1880</v>
      </c>
      <c r="M60" s="494">
        <v>3</v>
      </c>
      <c r="N60" s="494">
        <v>4</v>
      </c>
      <c r="O60" s="495">
        <v>4</v>
      </c>
      <c r="P60" s="493">
        <v>15</v>
      </c>
      <c r="Q60" s="493">
        <v>16</v>
      </c>
      <c r="R60" s="493">
        <v>28</v>
      </c>
    </row>
    <row r="61" spans="3:18">
      <c r="C61" s="197">
        <v>88</v>
      </c>
      <c r="D61" s="4" t="e">
        <f t="shared" si="0"/>
        <v>#N/A</v>
      </c>
      <c r="E61" s="486">
        <v>360</v>
      </c>
      <c r="F61" s="4" t="e">
        <f ca="1">OFFSET(#REF!,D61,0)</f>
        <v>#REF!</v>
      </c>
      <c r="H61" s="272">
        <v>21</v>
      </c>
      <c r="I61" s="272">
        <v>2262</v>
      </c>
      <c r="J61" s="272">
        <v>620</v>
      </c>
      <c r="K61" s="272">
        <v>700</v>
      </c>
      <c r="L61" s="272">
        <v>2018</v>
      </c>
      <c r="M61" s="496">
        <v>4</v>
      </c>
      <c r="N61" s="491">
        <v>4</v>
      </c>
      <c r="O61" s="492">
        <v>5</v>
      </c>
      <c r="P61" s="272">
        <v>16</v>
      </c>
      <c r="Q61" s="272">
        <v>17</v>
      </c>
      <c r="R61" s="272">
        <v>31</v>
      </c>
    </row>
    <row r="62" spans="3:18">
      <c r="C62" s="197">
        <v>92</v>
      </c>
      <c r="D62" s="4" t="e">
        <f t="shared" si="0"/>
        <v>#N/A</v>
      </c>
      <c r="E62" s="486">
        <v>360</v>
      </c>
      <c r="F62" s="4" t="e">
        <f ca="1">OFFSET(#REF!,D62,0)</f>
        <v>#REF!</v>
      </c>
      <c r="H62" s="272">
        <v>22</v>
      </c>
      <c r="I62" s="272">
        <v>2165</v>
      </c>
      <c r="J62" s="272">
        <v>645</v>
      </c>
      <c r="K62" s="272">
        <v>737</v>
      </c>
      <c r="L62" s="272">
        <v>2028</v>
      </c>
      <c r="M62" s="491">
        <v>4</v>
      </c>
      <c r="N62" s="491">
        <v>4</v>
      </c>
      <c r="O62" s="492">
        <v>5</v>
      </c>
      <c r="P62" s="272">
        <v>16</v>
      </c>
      <c r="Q62" s="272">
        <v>18</v>
      </c>
      <c r="R62" s="272">
        <v>29</v>
      </c>
    </row>
    <row r="63" spans="3:18">
      <c r="C63" s="197">
        <v>96</v>
      </c>
      <c r="D63" s="4" t="e">
        <f t="shared" si="0"/>
        <v>#N/A</v>
      </c>
      <c r="E63" s="486">
        <v>360</v>
      </c>
      <c r="F63" s="4" t="e">
        <f ca="1">OFFSET(#REF!,D63,0)</f>
        <v>#REF!</v>
      </c>
      <c r="H63" s="272">
        <v>23</v>
      </c>
      <c r="I63" s="272">
        <v>2099</v>
      </c>
      <c r="J63" s="272">
        <v>670</v>
      </c>
      <c r="K63" s="272">
        <v>767</v>
      </c>
      <c r="L63" s="272">
        <v>2028</v>
      </c>
      <c r="M63" s="491">
        <v>4</v>
      </c>
      <c r="N63" s="491">
        <v>4</v>
      </c>
      <c r="O63" s="492">
        <v>5</v>
      </c>
      <c r="P63" s="272">
        <v>16</v>
      </c>
      <c r="Q63" s="272">
        <v>18</v>
      </c>
      <c r="R63" s="272">
        <v>29</v>
      </c>
    </row>
    <row r="64" spans="3:18">
      <c r="C64" s="197">
        <v>100</v>
      </c>
      <c r="D64" s="4" t="e">
        <f t="shared" si="0"/>
        <v>#N/A</v>
      </c>
      <c r="E64" s="486">
        <v>2025</v>
      </c>
      <c r="F64" s="4" t="e">
        <f ca="1">OFFSET(#REF!,D64,0)</f>
        <v>#REF!</v>
      </c>
      <c r="H64" s="272">
        <v>24</v>
      </c>
      <c r="I64" s="272">
        <v>2042</v>
      </c>
      <c r="J64" s="272">
        <v>700</v>
      </c>
      <c r="K64" s="272">
        <v>794</v>
      </c>
      <c r="L64" s="272">
        <v>2048</v>
      </c>
      <c r="M64" s="491">
        <v>4</v>
      </c>
      <c r="N64" s="491">
        <v>4</v>
      </c>
      <c r="O64" s="492">
        <v>5</v>
      </c>
      <c r="P64" s="272">
        <v>17</v>
      </c>
      <c r="Q64" s="272">
        <v>18</v>
      </c>
      <c r="R64" s="272">
        <v>29</v>
      </c>
    </row>
    <row r="65" spans="8:18">
      <c r="H65" s="493">
        <v>25</v>
      </c>
      <c r="I65" s="493">
        <v>1951</v>
      </c>
      <c r="J65" s="493">
        <v>753</v>
      </c>
      <c r="K65" s="493">
        <v>840</v>
      </c>
      <c r="L65" s="493">
        <v>2288</v>
      </c>
      <c r="M65" s="494">
        <v>4</v>
      </c>
      <c r="N65" s="494">
        <v>5</v>
      </c>
      <c r="O65" s="495">
        <v>5</v>
      </c>
      <c r="P65" s="493">
        <v>18</v>
      </c>
      <c r="Q65" s="493">
        <v>19</v>
      </c>
      <c r="R65" s="493">
        <v>30</v>
      </c>
    </row>
    <row r="66" spans="8:18">
      <c r="H66" s="272">
        <v>26</v>
      </c>
      <c r="I66" s="272">
        <v>1885</v>
      </c>
      <c r="J66" s="272">
        <v>780</v>
      </c>
      <c r="K66" s="272">
        <v>877</v>
      </c>
      <c r="L66" s="272">
        <v>2988</v>
      </c>
      <c r="M66" s="491">
        <v>4</v>
      </c>
      <c r="N66" s="491">
        <v>5</v>
      </c>
      <c r="O66" s="492">
        <v>6</v>
      </c>
      <c r="P66" s="272">
        <v>18</v>
      </c>
      <c r="Q66" s="272">
        <v>19</v>
      </c>
      <c r="R66" s="272">
        <v>30</v>
      </c>
    </row>
    <row r="67" spans="8:18">
      <c r="H67" s="272">
        <v>27</v>
      </c>
      <c r="I67" s="272">
        <v>1833</v>
      </c>
      <c r="J67" s="272">
        <v>808</v>
      </c>
      <c r="K67" s="272">
        <v>920</v>
      </c>
      <c r="L67" s="272">
        <v>3257</v>
      </c>
      <c r="M67" s="496">
        <v>5</v>
      </c>
      <c r="N67" s="491">
        <v>5</v>
      </c>
      <c r="O67" s="492">
        <v>6</v>
      </c>
      <c r="P67" s="272">
        <v>19</v>
      </c>
      <c r="Q67" s="272">
        <v>20</v>
      </c>
      <c r="R67" s="272">
        <v>30</v>
      </c>
    </row>
    <row r="68" spans="8:18">
      <c r="H68" s="272">
        <v>28</v>
      </c>
      <c r="I68" s="272">
        <v>1772</v>
      </c>
      <c r="J68" s="272">
        <v>840</v>
      </c>
      <c r="K68" s="272">
        <v>957</v>
      </c>
      <c r="L68" s="272">
        <v>3257</v>
      </c>
      <c r="M68" s="491">
        <v>5</v>
      </c>
      <c r="N68" s="491">
        <v>5</v>
      </c>
      <c r="O68" s="492">
        <v>6</v>
      </c>
      <c r="P68" s="272">
        <v>19</v>
      </c>
      <c r="Q68" s="272">
        <v>20</v>
      </c>
      <c r="R68" s="272">
        <v>30</v>
      </c>
    </row>
    <row r="69" spans="8:18">
      <c r="H69" s="272">
        <v>29</v>
      </c>
      <c r="I69" s="272">
        <v>1675</v>
      </c>
      <c r="J69" s="272">
        <v>870</v>
      </c>
      <c r="K69" s="272">
        <v>998</v>
      </c>
      <c r="L69" s="272">
        <v>3327</v>
      </c>
      <c r="M69" s="491">
        <v>5</v>
      </c>
      <c r="N69" s="491">
        <v>5</v>
      </c>
      <c r="O69" s="492">
        <v>6</v>
      </c>
      <c r="P69" s="272">
        <v>19</v>
      </c>
      <c r="Q69" s="272">
        <v>21</v>
      </c>
      <c r="R69" s="272">
        <v>31</v>
      </c>
    </row>
    <row r="70" spans="8:18">
      <c r="H70" s="493">
        <v>30</v>
      </c>
      <c r="I70" s="493">
        <v>1589</v>
      </c>
      <c r="J70" s="493">
        <v>925</v>
      </c>
      <c r="K70" s="493">
        <v>1059</v>
      </c>
      <c r="L70" s="493">
        <v>3467</v>
      </c>
      <c r="M70" s="494">
        <v>5</v>
      </c>
      <c r="N70" s="494">
        <v>5</v>
      </c>
      <c r="O70" s="495">
        <v>6</v>
      </c>
      <c r="P70" s="493">
        <v>20</v>
      </c>
      <c r="Q70" s="493">
        <v>21</v>
      </c>
      <c r="R70" s="493">
        <v>33</v>
      </c>
    </row>
    <row r="71" spans="8:18">
      <c r="H71" s="272">
        <v>31</v>
      </c>
      <c r="I71" s="272">
        <v>1486</v>
      </c>
      <c r="J71" s="272">
        <v>964</v>
      </c>
      <c r="K71" s="272">
        <v>1094</v>
      </c>
      <c r="L71" s="272">
        <v>3467</v>
      </c>
      <c r="M71" s="491">
        <v>5</v>
      </c>
      <c r="N71" s="491">
        <v>6</v>
      </c>
      <c r="O71" s="492">
        <v>7</v>
      </c>
      <c r="P71" s="272">
        <v>21</v>
      </c>
      <c r="Q71" s="272">
        <v>22</v>
      </c>
      <c r="R71" s="272">
        <v>33</v>
      </c>
    </row>
    <row r="72" spans="8:18">
      <c r="H72" s="272">
        <v>32</v>
      </c>
      <c r="I72" s="272">
        <v>1329</v>
      </c>
      <c r="J72" s="272">
        <v>1035</v>
      </c>
      <c r="K72" s="272">
        <v>1140</v>
      </c>
      <c r="L72" s="272">
        <v>3547</v>
      </c>
      <c r="M72" s="491">
        <v>5</v>
      </c>
      <c r="N72" s="491">
        <v>6</v>
      </c>
      <c r="O72" s="492">
        <v>7</v>
      </c>
      <c r="P72" s="272">
        <v>21</v>
      </c>
      <c r="Q72" s="272">
        <v>23</v>
      </c>
      <c r="R72" s="272">
        <v>33</v>
      </c>
    </row>
    <row r="73" spans="8:18">
      <c r="H73" s="272">
        <v>33</v>
      </c>
      <c r="I73" s="272">
        <v>1244</v>
      </c>
      <c r="J73" s="272">
        <v>1074</v>
      </c>
      <c r="K73" s="272">
        <v>1194</v>
      </c>
      <c r="L73" s="272">
        <v>2880</v>
      </c>
      <c r="M73" s="496">
        <v>6</v>
      </c>
      <c r="N73" s="491">
        <v>6</v>
      </c>
      <c r="O73" s="492">
        <v>7</v>
      </c>
      <c r="P73" s="272">
        <v>22</v>
      </c>
      <c r="Q73" s="272">
        <v>23</v>
      </c>
      <c r="R73" s="272">
        <v>32</v>
      </c>
    </row>
    <row r="74" spans="8:18">
      <c r="H74" s="272">
        <v>34</v>
      </c>
      <c r="I74" s="272">
        <v>1140</v>
      </c>
      <c r="J74" s="272">
        <v>1140</v>
      </c>
      <c r="K74" s="272">
        <v>1258</v>
      </c>
      <c r="L74" s="272">
        <v>2890</v>
      </c>
      <c r="M74" s="491">
        <v>6</v>
      </c>
      <c r="N74" s="491">
        <v>6</v>
      </c>
      <c r="O74" s="492">
        <v>7</v>
      </c>
      <c r="P74" s="272">
        <v>23</v>
      </c>
      <c r="Q74" s="272">
        <v>24</v>
      </c>
      <c r="R74" s="272">
        <v>33</v>
      </c>
    </row>
    <row r="75" spans="8:18">
      <c r="H75" s="493">
        <v>35</v>
      </c>
      <c r="I75" s="493">
        <v>972</v>
      </c>
      <c r="J75" s="493">
        <v>1240</v>
      </c>
      <c r="K75" s="493">
        <v>1332</v>
      </c>
      <c r="L75" s="493">
        <v>2900</v>
      </c>
      <c r="M75" s="494">
        <v>6</v>
      </c>
      <c r="N75" s="494">
        <v>7</v>
      </c>
      <c r="O75" s="495">
        <v>7</v>
      </c>
      <c r="P75" s="493">
        <v>24</v>
      </c>
      <c r="Q75" s="493">
        <v>25</v>
      </c>
      <c r="R75" s="493">
        <v>34</v>
      </c>
    </row>
    <row r="76" spans="8:18">
      <c r="H76" s="272">
        <v>36</v>
      </c>
      <c r="I76" s="272">
        <v>911</v>
      </c>
      <c r="J76" s="272">
        <v>1260</v>
      </c>
      <c r="K76" s="272">
        <v>1356</v>
      </c>
      <c r="L76" s="272">
        <v>2900</v>
      </c>
      <c r="M76" s="496">
        <v>7</v>
      </c>
      <c r="N76" s="491">
        <v>7</v>
      </c>
      <c r="O76" s="492">
        <v>8</v>
      </c>
      <c r="P76" s="272">
        <v>24</v>
      </c>
      <c r="Q76" s="272">
        <v>26</v>
      </c>
      <c r="R76" s="272">
        <v>34</v>
      </c>
    </row>
    <row r="77" spans="8:18">
      <c r="H77" s="272">
        <v>37</v>
      </c>
      <c r="I77" s="272">
        <v>852</v>
      </c>
      <c r="J77" s="272">
        <v>1293</v>
      </c>
      <c r="K77" s="272">
        <v>1390</v>
      </c>
      <c r="L77" s="272">
        <v>3010</v>
      </c>
      <c r="M77" s="491">
        <v>7</v>
      </c>
      <c r="N77" s="491">
        <v>7</v>
      </c>
      <c r="O77" s="492">
        <v>8</v>
      </c>
      <c r="P77" s="272">
        <v>25</v>
      </c>
      <c r="Q77" s="272">
        <v>26</v>
      </c>
      <c r="R77" s="272">
        <v>34</v>
      </c>
    </row>
    <row r="78" spans="8:18">
      <c r="H78" s="272">
        <v>38</v>
      </c>
      <c r="I78" s="272">
        <v>797</v>
      </c>
      <c r="J78" s="272">
        <v>1322</v>
      </c>
      <c r="K78" s="272">
        <v>1430</v>
      </c>
      <c r="L78" s="272">
        <v>3020</v>
      </c>
      <c r="M78" s="491">
        <v>7</v>
      </c>
      <c r="N78" s="491">
        <v>7</v>
      </c>
      <c r="O78" s="492">
        <v>8</v>
      </c>
      <c r="P78" s="272">
        <v>25</v>
      </c>
      <c r="Q78" s="272">
        <v>27</v>
      </c>
      <c r="R78" s="272">
        <v>35</v>
      </c>
    </row>
    <row r="79" spans="8:18">
      <c r="H79" s="272">
        <v>39</v>
      </c>
      <c r="I79" s="272">
        <v>703</v>
      </c>
      <c r="J79" s="272">
        <v>1368</v>
      </c>
      <c r="K79" s="272">
        <v>1490</v>
      </c>
      <c r="L79" s="272">
        <v>3020</v>
      </c>
      <c r="M79" s="491">
        <v>7</v>
      </c>
      <c r="N79" s="491">
        <v>7</v>
      </c>
      <c r="O79" s="492">
        <v>8</v>
      </c>
      <c r="P79" s="272">
        <v>26</v>
      </c>
      <c r="Q79" s="272">
        <v>27</v>
      </c>
      <c r="R79" s="272">
        <v>35</v>
      </c>
    </row>
    <row r="80" spans="8:18">
      <c r="H80" s="493">
        <v>40</v>
      </c>
      <c r="I80" s="493">
        <v>635</v>
      </c>
      <c r="J80" s="493">
        <v>1400</v>
      </c>
      <c r="K80" s="493">
        <v>1540</v>
      </c>
      <c r="L80" s="493">
        <v>3030</v>
      </c>
      <c r="M80" s="494">
        <v>7</v>
      </c>
      <c r="N80" s="494">
        <v>7</v>
      </c>
      <c r="O80" s="495">
        <v>8</v>
      </c>
      <c r="P80" s="493">
        <v>26</v>
      </c>
      <c r="Q80" s="493">
        <v>28</v>
      </c>
      <c r="R80" s="493">
        <v>41</v>
      </c>
    </row>
    <row r="81" spans="8:18">
      <c r="H81" s="272">
        <v>41</v>
      </c>
      <c r="I81" s="272">
        <v>559</v>
      </c>
      <c r="J81" s="272">
        <v>1430</v>
      </c>
      <c r="K81" s="272">
        <v>1610</v>
      </c>
      <c r="L81" s="272">
        <v>3040</v>
      </c>
      <c r="M81" s="491">
        <v>7</v>
      </c>
      <c r="N81" s="491">
        <v>8</v>
      </c>
      <c r="O81" s="492">
        <v>9</v>
      </c>
      <c r="P81" s="272">
        <v>27</v>
      </c>
      <c r="Q81" s="272">
        <v>29</v>
      </c>
      <c r="R81" s="272">
        <v>36</v>
      </c>
    </row>
    <row r="82" spans="8:18">
      <c r="H82" s="272">
        <v>42</v>
      </c>
      <c r="I82" s="272">
        <v>516</v>
      </c>
      <c r="J82" s="272">
        <v>1460</v>
      </c>
      <c r="K82" s="272">
        <v>1660</v>
      </c>
      <c r="L82" s="272">
        <v>3040</v>
      </c>
      <c r="M82" s="491">
        <v>7</v>
      </c>
      <c r="N82" s="491">
        <v>8</v>
      </c>
      <c r="O82" s="492">
        <v>9</v>
      </c>
      <c r="P82" s="272">
        <v>27</v>
      </c>
      <c r="Q82" s="272">
        <v>29</v>
      </c>
      <c r="R82" s="272">
        <v>36</v>
      </c>
    </row>
    <row r="83" spans="8:18">
      <c r="H83" s="272">
        <v>43</v>
      </c>
      <c r="I83" s="272">
        <v>471</v>
      </c>
      <c r="J83" s="272">
        <v>1490</v>
      </c>
      <c r="K83" s="272">
        <v>1698</v>
      </c>
      <c r="L83" s="272">
        <v>3182</v>
      </c>
      <c r="M83" s="491">
        <v>7</v>
      </c>
      <c r="N83" s="491">
        <v>8</v>
      </c>
      <c r="O83" s="492">
        <v>9</v>
      </c>
      <c r="P83" s="272">
        <v>28</v>
      </c>
      <c r="Q83" s="272">
        <v>29</v>
      </c>
      <c r="R83" s="272">
        <v>35</v>
      </c>
    </row>
    <row r="84" spans="8:18">
      <c r="H84" s="272">
        <v>44</v>
      </c>
      <c r="I84" s="272">
        <v>398</v>
      </c>
      <c r="J84" s="272">
        <v>1590</v>
      </c>
      <c r="K84" s="272">
        <v>1790</v>
      </c>
      <c r="L84" s="272">
        <v>3492</v>
      </c>
      <c r="M84" s="496">
        <v>8</v>
      </c>
      <c r="N84" s="491">
        <v>8</v>
      </c>
      <c r="O84" s="492">
        <v>9</v>
      </c>
      <c r="P84" s="272">
        <v>29</v>
      </c>
      <c r="Q84" s="272">
        <v>30</v>
      </c>
      <c r="R84" s="272">
        <v>37</v>
      </c>
    </row>
    <row r="85" spans="8:18">
      <c r="H85" s="493">
        <v>45</v>
      </c>
      <c r="I85" s="493">
        <v>271</v>
      </c>
      <c r="J85" s="493">
        <v>1740</v>
      </c>
      <c r="K85" s="493">
        <v>1993</v>
      </c>
      <c r="L85" s="493">
        <v>3522</v>
      </c>
      <c r="M85" s="494">
        <v>8</v>
      </c>
      <c r="N85" s="494">
        <v>8</v>
      </c>
      <c r="O85" s="495">
        <v>9</v>
      </c>
      <c r="P85" s="493">
        <v>30</v>
      </c>
      <c r="Q85" s="493">
        <v>31</v>
      </c>
      <c r="R85" s="493">
        <v>38</v>
      </c>
    </row>
    <row r="86" spans="8:18">
      <c r="H86" s="272">
        <v>46</v>
      </c>
      <c r="I86" s="272">
        <v>231</v>
      </c>
      <c r="J86" s="272">
        <v>1837</v>
      </c>
      <c r="K86" s="272">
        <v>2080</v>
      </c>
      <c r="L86" s="272">
        <v>4010</v>
      </c>
      <c r="M86" s="491">
        <v>8</v>
      </c>
      <c r="N86" s="491">
        <v>9</v>
      </c>
      <c r="O86" s="492">
        <v>10</v>
      </c>
      <c r="P86" s="272">
        <v>30</v>
      </c>
      <c r="Q86" s="272">
        <v>32</v>
      </c>
      <c r="R86" s="272">
        <v>38</v>
      </c>
    </row>
    <row r="87" spans="8:18">
      <c r="H87" s="272">
        <v>47</v>
      </c>
      <c r="I87" s="272">
        <v>209</v>
      </c>
      <c r="J87" s="272">
        <v>1893</v>
      </c>
      <c r="K87" s="272">
        <v>2102</v>
      </c>
      <c r="L87" s="272">
        <v>4020</v>
      </c>
      <c r="M87" s="491">
        <v>8</v>
      </c>
      <c r="N87" s="491">
        <v>9</v>
      </c>
      <c r="O87" s="492">
        <v>10</v>
      </c>
      <c r="P87" s="272">
        <v>31</v>
      </c>
      <c r="Q87" s="272">
        <v>32</v>
      </c>
      <c r="R87" s="272">
        <v>38</v>
      </c>
    </row>
    <row r="88" spans="8:18">
      <c r="H88" s="272">
        <v>48</v>
      </c>
      <c r="I88" s="272">
        <v>199</v>
      </c>
      <c r="J88" s="272">
        <v>1960</v>
      </c>
      <c r="K88" s="272">
        <v>2139</v>
      </c>
      <c r="L88" s="272">
        <v>4020</v>
      </c>
      <c r="M88" s="491">
        <v>8</v>
      </c>
      <c r="N88" s="491">
        <v>9</v>
      </c>
      <c r="O88" s="492">
        <v>10</v>
      </c>
      <c r="P88" s="272">
        <v>31</v>
      </c>
      <c r="Q88" s="272">
        <v>32</v>
      </c>
      <c r="R88" s="272">
        <v>38</v>
      </c>
    </row>
    <row r="89" spans="8:18">
      <c r="H89" s="272">
        <v>49</v>
      </c>
      <c r="I89" s="272">
        <v>170</v>
      </c>
      <c r="J89" s="272">
        <v>2078</v>
      </c>
      <c r="K89" s="272">
        <v>2280</v>
      </c>
      <c r="L89" s="272">
        <v>4120</v>
      </c>
      <c r="M89" s="491">
        <v>8</v>
      </c>
      <c r="N89" s="491">
        <v>9</v>
      </c>
      <c r="O89" s="492">
        <v>10</v>
      </c>
      <c r="P89" s="272">
        <v>31</v>
      </c>
      <c r="Q89" s="272">
        <v>33</v>
      </c>
      <c r="R89" s="272">
        <v>39</v>
      </c>
    </row>
    <row r="90" spans="8:18">
      <c r="H90" s="493">
        <v>50</v>
      </c>
      <c r="I90" s="493">
        <v>139</v>
      </c>
      <c r="J90" s="493">
        <v>2148</v>
      </c>
      <c r="K90" s="493">
        <v>2374</v>
      </c>
      <c r="L90" s="493">
        <v>4120</v>
      </c>
      <c r="M90" s="494">
        <v>8</v>
      </c>
      <c r="N90" s="494">
        <v>9</v>
      </c>
      <c r="O90" s="495">
        <v>10</v>
      </c>
      <c r="P90" s="493">
        <v>32</v>
      </c>
      <c r="Q90" s="493">
        <v>33</v>
      </c>
      <c r="R90" s="493">
        <v>38</v>
      </c>
    </row>
    <row r="91" spans="8:18">
      <c r="H91" s="272">
        <v>51</v>
      </c>
      <c r="I91" s="272">
        <v>120</v>
      </c>
      <c r="J91" s="272">
        <v>2221</v>
      </c>
      <c r="K91" s="272">
        <v>2425</v>
      </c>
      <c r="L91" s="272">
        <v>4489</v>
      </c>
      <c r="M91" s="491">
        <v>8</v>
      </c>
      <c r="N91" s="491">
        <v>9</v>
      </c>
      <c r="O91" s="492">
        <v>10</v>
      </c>
      <c r="P91" s="272">
        <v>32</v>
      </c>
      <c r="Q91" s="272">
        <v>33</v>
      </c>
      <c r="R91" s="272">
        <v>38</v>
      </c>
    </row>
    <row r="92" spans="8:18">
      <c r="H92" s="272">
        <v>52</v>
      </c>
      <c r="I92" s="272">
        <v>109</v>
      </c>
      <c r="J92" s="272">
        <v>2250</v>
      </c>
      <c r="K92" s="272">
        <v>2503</v>
      </c>
      <c r="L92" s="272">
        <v>4509</v>
      </c>
      <c r="M92" s="491">
        <v>8</v>
      </c>
      <c r="N92" s="491">
        <v>9</v>
      </c>
      <c r="O92" s="492">
        <v>10</v>
      </c>
      <c r="P92" s="272">
        <v>32</v>
      </c>
      <c r="Q92" s="272">
        <v>33</v>
      </c>
      <c r="R92" s="272">
        <v>39</v>
      </c>
    </row>
    <row r="93" spans="8:18">
      <c r="H93" s="272">
        <v>53</v>
      </c>
      <c r="I93" s="272">
        <v>99</v>
      </c>
      <c r="J93" s="272">
        <v>2280</v>
      </c>
      <c r="K93" s="272">
        <v>2618</v>
      </c>
      <c r="L93" s="272">
        <v>4509</v>
      </c>
      <c r="M93" s="496">
        <v>9</v>
      </c>
      <c r="N93" s="491">
        <v>9</v>
      </c>
      <c r="O93" s="492">
        <v>11</v>
      </c>
      <c r="P93" s="272">
        <v>32</v>
      </c>
      <c r="Q93" s="272">
        <v>34</v>
      </c>
      <c r="R93" s="272">
        <v>39</v>
      </c>
    </row>
    <row r="94" spans="8:18">
      <c r="H94" s="272">
        <v>54</v>
      </c>
      <c r="I94" s="272">
        <v>91</v>
      </c>
      <c r="J94" s="272">
        <v>2368</v>
      </c>
      <c r="K94" s="272">
        <v>2811</v>
      </c>
      <c r="L94" s="272">
        <v>4509</v>
      </c>
      <c r="M94" s="491">
        <v>9</v>
      </c>
      <c r="N94" s="491">
        <v>9</v>
      </c>
      <c r="O94" s="492">
        <v>11</v>
      </c>
      <c r="P94" s="272">
        <v>32</v>
      </c>
      <c r="Q94" s="272">
        <v>34</v>
      </c>
      <c r="R94" s="272">
        <v>39</v>
      </c>
    </row>
    <row r="95" spans="8:18">
      <c r="H95" s="493">
        <v>55</v>
      </c>
      <c r="I95" s="493">
        <v>70</v>
      </c>
      <c r="J95" s="493">
        <v>2625</v>
      </c>
      <c r="K95" s="493">
        <v>3070</v>
      </c>
      <c r="L95" s="493">
        <v>4509</v>
      </c>
      <c r="M95" s="494">
        <v>9</v>
      </c>
      <c r="N95" s="494">
        <v>10</v>
      </c>
      <c r="O95" s="495">
        <v>11</v>
      </c>
      <c r="P95" s="493">
        <v>33</v>
      </c>
      <c r="Q95" s="493">
        <v>35</v>
      </c>
      <c r="R95" s="493">
        <v>41</v>
      </c>
    </row>
    <row r="96" spans="8:18">
      <c r="H96" s="272">
        <v>56</v>
      </c>
      <c r="I96" s="272">
        <v>62</v>
      </c>
      <c r="J96" s="272">
        <v>2705</v>
      </c>
      <c r="K96" s="272">
        <v>3160</v>
      </c>
      <c r="L96" s="272">
        <v>4669</v>
      </c>
      <c r="M96" s="491">
        <v>9</v>
      </c>
      <c r="N96" s="491">
        <v>10</v>
      </c>
      <c r="O96" s="492">
        <v>11</v>
      </c>
      <c r="P96" s="272">
        <v>33</v>
      </c>
      <c r="Q96" s="272">
        <v>35</v>
      </c>
      <c r="R96" s="272">
        <v>41</v>
      </c>
    </row>
    <row r="97" spans="8:18">
      <c r="H97" s="272">
        <v>57</v>
      </c>
      <c r="I97" s="272">
        <v>54</v>
      </c>
      <c r="J97" s="272">
        <v>2835</v>
      </c>
      <c r="K97" s="272">
        <v>3259</v>
      </c>
      <c r="L97" s="272">
        <v>4669</v>
      </c>
      <c r="M97" s="491">
        <v>9</v>
      </c>
      <c r="N97" s="491">
        <v>10</v>
      </c>
      <c r="O97" s="492">
        <v>12</v>
      </c>
      <c r="P97" s="272">
        <v>33</v>
      </c>
      <c r="Q97" s="272">
        <v>35</v>
      </c>
      <c r="R97" s="272">
        <v>42</v>
      </c>
    </row>
    <row r="98" spans="8:18">
      <c r="H98" s="272">
        <v>58</v>
      </c>
      <c r="I98" s="272">
        <v>47</v>
      </c>
      <c r="J98" s="272">
        <v>2990</v>
      </c>
      <c r="K98" s="272">
        <v>3379</v>
      </c>
      <c r="L98" s="272">
        <v>4669</v>
      </c>
      <c r="M98" s="491">
        <v>9</v>
      </c>
      <c r="N98" s="491">
        <v>10</v>
      </c>
      <c r="O98" s="492">
        <v>12</v>
      </c>
      <c r="P98" s="272">
        <v>34</v>
      </c>
      <c r="Q98" s="272">
        <v>36</v>
      </c>
      <c r="R98" s="272">
        <v>42</v>
      </c>
    </row>
    <row r="99" spans="8:18">
      <c r="H99" s="272">
        <v>59</v>
      </c>
      <c r="I99" s="272">
        <v>46</v>
      </c>
      <c r="J99" s="272">
        <v>3015</v>
      </c>
      <c r="K99" s="272">
        <v>3516</v>
      </c>
      <c r="L99" s="272">
        <v>4700</v>
      </c>
      <c r="M99" s="491">
        <v>9</v>
      </c>
      <c r="N99" s="491">
        <v>10</v>
      </c>
      <c r="O99" s="492">
        <v>12</v>
      </c>
      <c r="P99" s="272">
        <v>34</v>
      </c>
      <c r="Q99" s="272">
        <v>37</v>
      </c>
      <c r="R99" s="272">
        <v>43</v>
      </c>
    </row>
    <row r="100" spans="8:18">
      <c r="H100" s="493">
        <v>60</v>
      </c>
      <c r="I100" s="493">
        <v>45</v>
      </c>
      <c r="J100" s="493">
        <v>3020</v>
      </c>
      <c r="K100" s="493">
        <v>3555</v>
      </c>
      <c r="L100" s="493">
        <v>4700</v>
      </c>
      <c r="M100" s="494">
        <v>9</v>
      </c>
      <c r="N100" s="494">
        <v>10</v>
      </c>
      <c r="O100" s="495">
        <v>12</v>
      </c>
      <c r="P100" s="493">
        <v>34</v>
      </c>
      <c r="Q100" s="493">
        <v>38</v>
      </c>
      <c r="R100" s="493">
        <v>43</v>
      </c>
    </row>
    <row r="101" spans="8:18">
      <c r="H101" s="272">
        <v>61</v>
      </c>
      <c r="I101" s="272">
        <v>42</v>
      </c>
      <c r="J101" s="272">
        <v>3184</v>
      </c>
      <c r="K101" s="272">
        <v>3890</v>
      </c>
      <c r="L101" s="272">
        <v>4789</v>
      </c>
      <c r="M101" s="496">
        <v>10</v>
      </c>
      <c r="N101" s="491">
        <v>10</v>
      </c>
      <c r="O101" s="492">
        <v>12</v>
      </c>
      <c r="P101" s="272">
        <v>35</v>
      </c>
      <c r="Q101" s="272">
        <v>38</v>
      </c>
      <c r="R101" s="272">
        <v>43</v>
      </c>
    </row>
    <row r="102" spans="8:18">
      <c r="H102" s="272">
        <v>62</v>
      </c>
      <c r="I102" s="272">
        <v>40</v>
      </c>
      <c r="J102" s="272">
        <v>3295</v>
      </c>
      <c r="K102" s="272">
        <v>3837</v>
      </c>
      <c r="L102" s="272">
        <v>4789</v>
      </c>
      <c r="M102" s="491">
        <v>10</v>
      </c>
      <c r="N102" s="491">
        <v>10</v>
      </c>
      <c r="O102" s="492">
        <v>12</v>
      </c>
      <c r="P102" s="272">
        <v>35</v>
      </c>
      <c r="Q102" s="272">
        <v>38</v>
      </c>
      <c r="R102" s="272">
        <v>43</v>
      </c>
    </row>
    <row r="103" spans="8:18">
      <c r="H103" s="272">
        <v>63</v>
      </c>
      <c r="I103" s="272">
        <v>31</v>
      </c>
      <c r="J103" s="272">
        <v>3389</v>
      </c>
      <c r="K103" s="272">
        <v>4248</v>
      </c>
      <c r="L103" s="272">
        <v>5220</v>
      </c>
      <c r="M103" s="491">
        <v>10</v>
      </c>
      <c r="N103" s="491">
        <v>10</v>
      </c>
      <c r="O103" s="492">
        <v>12</v>
      </c>
      <c r="P103" s="272">
        <v>36</v>
      </c>
      <c r="Q103" s="272">
        <v>39</v>
      </c>
      <c r="R103" s="272">
        <v>44</v>
      </c>
    </row>
    <row r="104" spans="8:18">
      <c r="H104" s="272">
        <v>64</v>
      </c>
      <c r="I104" s="272">
        <v>28</v>
      </c>
      <c r="J104" s="272">
        <v>3472</v>
      </c>
      <c r="K104" s="272">
        <v>4438</v>
      </c>
      <c r="L104" s="272">
        <v>5250</v>
      </c>
      <c r="M104" s="491">
        <v>10</v>
      </c>
      <c r="N104" s="491">
        <v>11</v>
      </c>
      <c r="O104" s="492">
        <v>12</v>
      </c>
      <c r="P104" s="272">
        <v>37</v>
      </c>
      <c r="Q104" s="272">
        <v>39</v>
      </c>
      <c r="R104" s="272">
        <v>45</v>
      </c>
    </row>
    <row r="105" spans="8:18">
      <c r="H105" s="493">
        <v>65</v>
      </c>
      <c r="I105" s="493">
        <v>24</v>
      </c>
      <c r="J105" s="493">
        <v>3810</v>
      </c>
      <c r="K105" s="493">
        <v>4613</v>
      </c>
      <c r="L105" s="493">
        <v>5310</v>
      </c>
      <c r="M105" s="494">
        <v>10</v>
      </c>
      <c r="N105" s="494">
        <v>11</v>
      </c>
      <c r="O105" s="495">
        <v>12</v>
      </c>
      <c r="P105" s="493">
        <v>38</v>
      </c>
      <c r="Q105" s="493">
        <v>40</v>
      </c>
      <c r="R105" s="493">
        <v>45</v>
      </c>
    </row>
    <row r="106" spans="8:18">
      <c r="H106" s="272">
        <v>66</v>
      </c>
      <c r="I106" s="272">
        <v>18</v>
      </c>
      <c r="J106" s="272">
        <v>4180</v>
      </c>
      <c r="K106" s="272">
        <v>4799</v>
      </c>
      <c r="L106" s="272">
        <v>5320</v>
      </c>
      <c r="M106" s="491">
        <v>10</v>
      </c>
      <c r="N106" s="491">
        <v>11</v>
      </c>
      <c r="O106" s="492">
        <v>13</v>
      </c>
      <c r="P106" s="272">
        <v>38</v>
      </c>
      <c r="Q106" s="272">
        <v>40</v>
      </c>
      <c r="R106" s="272">
        <v>44</v>
      </c>
    </row>
    <row r="107" spans="8:18">
      <c r="H107" s="272">
        <v>67</v>
      </c>
      <c r="I107" s="272">
        <v>16</v>
      </c>
      <c r="J107" s="272">
        <v>4725</v>
      </c>
      <c r="K107" s="272">
        <v>4940</v>
      </c>
      <c r="L107" s="272">
        <v>5460</v>
      </c>
      <c r="M107" s="491">
        <v>10</v>
      </c>
      <c r="N107" s="491">
        <v>11</v>
      </c>
      <c r="O107" s="492">
        <v>13</v>
      </c>
      <c r="P107" s="272">
        <v>38</v>
      </c>
      <c r="Q107" s="272">
        <v>40</v>
      </c>
      <c r="R107" s="272">
        <v>44</v>
      </c>
    </row>
    <row r="108" spans="8:18">
      <c r="H108" s="272">
        <v>68</v>
      </c>
      <c r="I108" s="272">
        <v>14</v>
      </c>
      <c r="J108" s="272">
        <v>4910</v>
      </c>
      <c r="K108" s="272">
        <v>4990</v>
      </c>
      <c r="L108" s="272">
        <v>5760</v>
      </c>
      <c r="M108" s="491">
        <v>10</v>
      </c>
      <c r="N108" s="491">
        <v>11</v>
      </c>
      <c r="O108" s="492">
        <v>13</v>
      </c>
      <c r="P108" s="272">
        <v>38</v>
      </c>
      <c r="Q108" s="272">
        <v>40</v>
      </c>
      <c r="R108" s="272">
        <v>44</v>
      </c>
    </row>
    <row r="109" spans="8:18">
      <c r="H109" s="272">
        <v>69</v>
      </c>
      <c r="I109" s="272">
        <v>12</v>
      </c>
      <c r="J109" s="272">
        <v>4980</v>
      </c>
      <c r="K109" s="272">
        <v>5148</v>
      </c>
      <c r="L109" s="272">
        <v>5950</v>
      </c>
      <c r="M109" s="491">
        <v>10</v>
      </c>
      <c r="N109" s="491">
        <v>11</v>
      </c>
      <c r="O109" s="492">
        <v>12</v>
      </c>
      <c r="P109" s="272">
        <v>38</v>
      </c>
      <c r="Q109" s="272">
        <v>41</v>
      </c>
      <c r="R109" s="272">
        <v>43</v>
      </c>
    </row>
    <row r="110" spans="8:18">
      <c r="H110" s="493">
        <v>70</v>
      </c>
      <c r="I110" s="493">
        <v>9</v>
      </c>
      <c r="J110" s="493">
        <v>4899</v>
      </c>
      <c r="K110" s="493">
        <v>5089</v>
      </c>
      <c r="L110" s="493">
        <v>5960</v>
      </c>
      <c r="M110" s="494">
        <v>10</v>
      </c>
      <c r="N110" s="494">
        <v>11</v>
      </c>
      <c r="O110" s="495">
        <v>12</v>
      </c>
      <c r="P110" s="493">
        <v>39</v>
      </c>
      <c r="Q110" s="493">
        <v>41</v>
      </c>
      <c r="R110" s="493">
        <v>42</v>
      </c>
    </row>
    <row r="111" spans="8:18">
      <c r="H111" s="272">
        <v>71</v>
      </c>
      <c r="I111" s="272">
        <v>9</v>
      </c>
      <c r="J111" s="272">
        <v>5010</v>
      </c>
      <c r="K111" s="272">
        <v>5164</v>
      </c>
      <c r="L111" s="272">
        <v>6010</v>
      </c>
      <c r="M111" s="491">
        <v>10</v>
      </c>
      <c r="N111" s="491">
        <v>11</v>
      </c>
      <c r="O111" s="492">
        <v>12</v>
      </c>
      <c r="P111" s="272">
        <v>40</v>
      </c>
      <c r="Q111" s="272">
        <v>42</v>
      </c>
      <c r="R111" s="272">
        <v>45</v>
      </c>
    </row>
    <row r="112" spans="8:18">
      <c r="H112" s="272">
        <v>72</v>
      </c>
      <c r="I112" s="272">
        <v>6</v>
      </c>
      <c r="J112" s="272">
        <v>5185</v>
      </c>
      <c r="K112" s="272">
        <v>5719</v>
      </c>
      <c r="L112" s="272">
        <v>6140</v>
      </c>
      <c r="M112" s="496">
        <v>11</v>
      </c>
      <c r="N112" s="491">
        <v>11</v>
      </c>
      <c r="O112" s="492">
        <v>12</v>
      </c>
      <c r="P112" s="272">
        <v>41</v>
      </c>
      <c r="Q112" s="272">
        <v>43</v>
      </c>
      <c r="R112" s="272">
        <v>46</v>
      </c>
    </row>
    <row r="113" spans="8:18">
      <c r="H113" s="272">
        <v>73</v>
      </c>
      <c r="I113" s="272">
        <v>6</v>
      </c>
      <c r="J113" s="272">
        <v>5190</v>
      </c>
      <c r="K113" s="272">
        <v>5719</v>
      </c>
      <c r="L113" s="272">
        <v>6170</v>
      </c>
      <c r="M113" s="491">
        <v>11</v>
      </c>
      <c r="N113" s="491">
        <v>11</v>
      </c>
      <c r="O113" s="492">
        <v>12</v>
      </c>
      <c r="P113" s="272">
        <v>42</v>
      </c>
      <c r="Q113" s="272">
        <v>44</v>
      </c>
      <c r="R113" s="272">
        <v>46</v>
      </c>
    </row>
    <row r="114" spans="8:18">
      <c r="H114" s="272">
        <v>74</v>
      </c>
      <c r="I114" s="272">
        <v>3</v>
      </c>
      <c r="J114" s="272">
        <v>6000</v>
      </c>
      <c r="K114" s="272">
        <v>6128</v>
      </c>
      <c r="L114" s="272">
        <v>6170</v>
      </c>
      <c r="M114" s="491">
        <v>11</v>
      </c>
      <c r="N114" s="491">
        <v>13</v>
      </c>
      <c r="O114" s="492">
        <v>13</v>
      </c>
      <c r="P114" s="272">
        <v>44</v>
      </c>
      <c r="Q114" s="272">
        <v>46</v>
      </c>
      <c r="R114" s="272">
        <v>47</v>
      </c>
    </row>
    <row r="115" spans="8:18">
      <c r="H115" s="493">
        <v>75</v>
      </c>
      <c r="I115" s="493">
        <v>2</v>
      </c>
      <c r="J115" s="493">
        <v>5270</v>
      </c>
      <c r="K115" s="493">
        <v>6000</v>
      </c>
      <c r="L115" s="493">
        <v>6000</v>
      </c>
      <c r="M115" s="494">
        <v>13</v>
      </c>
      <c r="N115" s="494">
        <v>13</v>
      </c>
      <c r="O115" s="495">
        <v>13</v>
      </c>
      <c r="P115" s="493">
        <v>46</v>
      </c>
      <c r="Q115" s="493">
        <v>48</v>
      </c>
      <c r="R115" s="493">
        <v>48</v>
      </c>
    </row>
    <row r="116" spans="8:18">
      <c r="H116" s="272">
        <v>76</v>
      </c>
      <c r="I116" s="272">
        <v>1</v>
      </c>
      <c r="J116" s="272">
        <v>6000</v>
      </c>
      <c r="K116" s="272">
        <v>6000</v>
      </c>
      <c r="L116" s="272">
        <v>6000</v>
      </c>
      <c r="M116" s="491">
        <v>13</v>
      </c>
      <c r="N116" s="491">
        <v>13</v>
      </c>
      <c r="O116" s="492">
        <v>13</v>
      </c>
      <c r="P116" s="272">
        <v>44</v>
      </c>
      <c r="Q116" s="272">
        <v>44</v>
      </c>
      <c r="R116" s="272">
        <v>44</v>
      </c>
    </row>
    <row r="117" spans="8:18">
      <c r="H117" s="272">
        <v>77</v>
      </c>
      <c r="I117" s="272">
        <v>1</v>
      </c>
      <c r="J117" s="272">
        <v>6000</v>
      </c>
      <c r="K117" s="272">
        <v>6000</v>
      </c>
      <c r="L117" s="272">
        <v>6000</v>
      </c>
      <c r="M117" s="491">
        <v>13</v>
      </c>
      <c r="N117" s="491">
        <v>13</v>
      </c>
      <c r="O117" s="492">
        <v>13</v>
      </c>
      <c r="P117" s="272">
        <v>44</v>
      </c>
      <c r="Q117" s="272">
        <v>44</v>
      </c>
      <c r="R117" s="272">
        <v>44</v>
      </c>
    </row>
  </sheetData>
  <mergeCells count="9">
    <mergeCell ref="D10:F10"/>
    <mergeCell ref="G10:I10"/>
    <mergeCell ref="L10:N10"/>
    <mergeCell ref="O10:Q10"/>
    <mergeCell ref="J39:L39"/>
    <mergeCell ref="M39:O39"/>
    <mergeCell ref="P39:R39"/>
    <mergeCell ref="H39:H40"/>
    <mergeCell ref="I39:I40"/>
  </mergeCells>
  <pageMargins left="0.75" right="0.75" top="1" bottom="1" header="0.5" footer="0.5"/>
  <headerFooter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5"/>
  </sheetPr>
  <dimension ref="B2:N25"/>
  <sheetViews>
    <sheetView showGridLines="0" zoomScale="130" zoomScaleNormal="130" workbookViewId="0">
      <selection activeCell="B14" sqref="B14:H25"/>
    </sheetView>
  </sheetViews>
  <sheetFormatPr defaultColWidth="9" defaultRowHeight="16.5"/>
  <cols>
    <col min="1" max="1" width="9" style="472"/>
    <col min="2" max="2" width="12.875" style="472" customWidth="1"/>
    <col min="3" max="3" width="12" style="472" customWidth="1"/>
    <col min="4" max="4" width="12.875" style="472" customWidth="1"/>
    <col min="5" max="5" width="9" style="472"/>
    <col min="6" max="6" width="9.25" style="472"/>
    <col min="7" max="16384" width="9" style="472"/>
  </cols>
  <sheetData>
    <row r="2" spans="2:14">
      <c r="B2" s="45" t="s">
        <v>933</v>
      </c>
      <c r="C2" s="32" t="s">
        <v>919</v>
      </c>
      <c r="D2" s="32" t="s">
        <v>1084</v>
      </c>
      <c r="E2" s="473" t="s">
        <v>1085</v>
      </c>
    </row>
    <row r="3" spans="2:14">
      <c r="B3" s="474" t="s">
        <v>197</v>
      </c>
      <c r="C3" s="90" cm="1">
        <f t="array" ref="C3">SUMPRODUCT(--($D$12:$D$25=B3),$E$12:$E$25)</f>
        <v>24</v>
      </c>
      <c r="D3" s="91">
        <f>_xlfn.XLOOKUP(B3,价值表!C:C,价值表!F:F)*C3/25/10</f>
        <v>0.96</v>
      </c>
      <c r="E3" s="475"/>
    </row>
    <row r="4" spans="2:14">
      <c r="B4" s="474" t="s">
        <v>242</v>
      </c>
      <c r="C4" s="90" cm="1">
        <f t="array" ref="C4">SUMPRODUCT(--($D$12:$D$25=B4),$E$12:$E$25)</f>
        <v>10</v>
      </c>
      <c r="D4" s="91">
        <f>_xlfn.XLOOKUP(B4,价值表!C:C,价值表!F:F)*C4/25/10</f>
        <v>0.12</v>
      </c>
      <c r="E4" s="475"/>
    </row>
    <row r="5" spans="2:14">
      <c r="B5" s="474" t="s">
        <v>193</v>
      </c>
      <c r="C5" s="90" cm="1">
        <f t="array" ref="C5">SUMPRODUCT(--($D$12:$D$25=B5),$E$12:$E$25)</f>
        <v>50</v>
      </c>
      <c r="D5" s="91">
        <f>_xlfn.XLOOKUP(B5,价值表!C:C,价值表!F:F)*C5/25/10</f>
        <v>0.4</v>
      </c>
      <c r="E5" s="474"/>
    </row>
    <row r="6" spans="2:14">
      <c r="B6" s="474" t="s">
        <v>213</v>
      </c>
      <c r="C6" s="90" cm="1">
        <f t="array" ref="C6">SUMPRODUCT(--($D$12:$D$25=B6),$E$12:$E$25)</f>
        <v>15</v>
      </c>
      <c r="D6" s="91">
        <f>_xlfn.XLOOKUP(B6,价值表!C:C,价值表!F:F)*C6/25/10</f>
        <v>1.8</v>
      </c>
      <c r="E6" s="474"/>
    </row>
    <row r="7" spans="2:14">
      <c r="B7" s="474" t="s">
        <v>202</v>
      </c>
      <c r="C7" s="90" cm="1">
        <f t="array" ref="C7">SUMPRODUCT(--($D$12:$D$25=B7),$E$12:$E$25)</f>
        <v>6</v>
      </c>
      <c r="D7" s="91">
        <f>_xlfn.XLOOKUP(B7,价值表!C:C,价值表!F:F)*C7/25/10</f>
        <v>0.96</v>
      </c>
      <c r="E7" s="474"/>
    </row>
    <row r="8" spans="2:14">
      <c r="B8" s="474" t="s">
        <v>261</v>
      </c>
      <c r="C8" s="90" cm="1">
        <f t="array" ref="C8">SUMPRODUCT(--($D$12:$D$25=B8),$E$12:$E$25)</f>
        <v>2</v>
      </c>
      <c r="D8" s="91">
        <f>_xlfn.XLOOKUP(B8,价值表!C:C,价值表!F:F)*C8/25/10</f>
        <v>2.24</v>
      </c>
      <c r="E8" s="474"/>
    </row>
    <row r="11" spans="2:14">
      <c r="B11" s="476" t="s">
        <v>1115</v>
      </c>
      <c r="C11" s="476" t="s">
        <v>179</v>
      </c>
      <c r="D11" s="476" t="s">
        <v>918</v>
      </c>
      <c r="E11" s="476" t="s">
        <v>919</v>
      </c>
      <c r="F11" s="476" t="s">
        <v>922</v>
      </c>
      <c r="G11" s="476" t="s">
        <v>935</v>
      </c>
      <c r="H11" s="476" t="s">
        <v>923</v>
      </c>
    </row>
    <row r="12" spans="2:14">
      <c r="B12" s="476" t="s">
        <v>1116</v>
      </c>
      <c r="C12" s="477">
        <v>44</v>
      </c>
      <c r="D12" s="477" t="str">
        <f>_xlfn.XLOOKUP(C12,价值表!D:D,价值表!C:C)</f>
        <v>心梦宝石</v>
      </c>
      <c r="E12" s="476">
        <v>1</v>
      </c>
      <c r="F12" s="476">
        <f>_xlfn.XLOOKUP(C12,价值表!D:D,价值表!F:F)*E12</f>
        <v>10</v>
      </c>
      <c r="G12" s="476"/>
      <c r="H12" s="476"/>
    </row>
    <row r="13" spans="2:14">
      <c r="B13" s="476"/>
      <c r="C13" s="476">
        <v>50002</v>
      </c>
      <c r="D13" s="477" t="str">
        <f>_xlfn.XLOOKUP(C13,价值表!D:D,价值表!C:C)</f>
        <v>装备图纸</v>
      </c>
      <c r="E13" s="476">
        <v>10</v>
      </c>
      <c r="F13" s="476">
        <f>_xlfn.XLOOKUP(C13,价值表!D:D,价值表!F:F)*E13</f>
        <v>30</v>
      </c>
      <c r="G13" s="476"/>
      <c r="H13" s="476"/>
      <c r="N13"/>
    </row>
    <row r="14" spans="2:14">
      <c r="B14" s="476" t="s">
        <v>1117</v>
      </c>
      <c r="C14" s="476">
        <v>44</v>
      </c>
      <c r="D14" s="477" t="str">
        <f>_xlfn.XLOOKUP(C14,价值表!D:D,价值表!C:C)</f>
        <v>心梦宝石</v>
      </c>
      <c r="E14" s="476">
        <v>2</v>
      </c>
      <c r="F14" s="476">
        <f>_xlfn.XLOOKUP(C14,价值表!D:D,价值表!F:F)*E14</f>
        <v>20</v>
      </c>
      <c r="G14" s="476">
        <v>10</v>
      </c>
      <c r="H14" s="478">
        <f>SUM(F14:F17)/G14</f>
        <v>23</v>
      </c>
      <c r="N14"/>
    </row>
    <row r="15" spans="2:14">
      <c r="B15" s="476"/>
      <c r="C15" s="476">
        <v>13</v>
      </c>
      <c r="D15" s="477" t="str">
        <f>_xlfn.XLOOKUP(C15,价值表!D:D,价值表!C:C)</f>
        <v>体力</v>
      </c>
      <c r="E15" s="476">
        <v>10</v>
      </c>
      <c r="F15" s="476">
        <f>_xlfn.XLOOKUP(C15,价值表!D:D,价值表!F:F)*E15</f>
        <v>20</v>
      </c>
      <c r="G15" s="476"/>
      <c r="H15" s="479"/>
      <c r="N15"/>
    </row>
    <row r="16" spans="2:14">
      <c r="B16" s="476"/>
      <c r="C16" s="476">
        <v>11</v>
      </c>
      <c r="D16" s="477" t="str">
        <f>_xlfn.XLOOKUP(C16,价值表!D:D,价值表!C:C)</f>
        <v>梦境招募器</v>
      </c>
      <c r="E16" s="476">
        <v>5</v>
      </c>
      <c r="F16" s="476">
        <f>_xlfn.XLOOKUP(C16,价值表!D:D,价值表!F:F)*E16</f>
        <v>150</v>
      </c>
      <c r="G16" s="476"/>
      <c r="H16" s="479"/>
      <c r="N16"/>
    </row>
    <row r="17" spans="2:14">
      <c r="B17" s="476"/>
      <c r="C17" s="476">
        <v>20038</v>
      </c>
      <c r="D17" s="477" t="str">
        <f>_xlfn.XLOOKUP(C17,价值表!D:D,价值表!C:C)</f>
        <v>每日特惠宝箱</v>
      </c>
      <c r="E17" s="476">
        <v>1</v>
      </c>
      <c r="F17" s="476">
        <f>_xlfn.XLOOKUP(C17,价值表!D:D,价值表!F:F)*E17</f>
        <v>40</v>
      </c>
      <c r="G17" s="476"/>
      <c r="H17" s="479"/>
      <c r="N17"/>
    </row>
    <row r="18" spans="2:14">
      <c r="B18" s="476" t="s">
        <v>1118</v>
      </c>
      <c r="C18" s="476">
        <v>44</v>
      </c>
      <c r="D18" s="477" t="str">
        <f>_xlfn.XLOOKUP(C18,价值表!D:D,价值表!C:C)</f>
        <v>心梦宝石</v>
      </c>
      <c r="E18" s="476">
        <v>6</v>
      </c>
      <c r="F18" s="476">
        <f>_xlfn.XLOOKUP(C18,价值表!D:D,价值表!F:F)*E18</f>
        <v>60</v>
      </c>
      <c r="G18" s="476">
        <v>60</v>
      </c>
      <c r="H18" s="478">
        <f>SUM(F18:F21)/G18</f>
        <v>7.83333333333333</v>
      </c>
      <c r="N18"/>
    </row>
    <row r="19" spans="2:14">
      <c r="B19" s="476"/>
      <c r="C19" s="476">
        <v>13</v>
      </c>
      <c r="D19" s="477" t="str">
        <f>_xlfn.XLOOKUP(C19,价值表!D:D,价值表!C:C)</f>
        <v>体力</v>
      </c>
      <c r="E19" s="476">
        <v>15</v>
      </c>
      <c r="F19" s="476">
        <f>_xlfn.XLOOKUP(C19,价值表!D:D,价值表!F:F)*E19</f>
        <v>30</v>
      </c>
      <c r="G19" s="476"/>
      <c r="H19" s="479"/>
      <c r="N19"/>
    </row>
    <row r="20" spans="2:14">
      <c r="B20" s="476"/>
      <c r="C20" s="476">
        <v>11</v>
      </c>
      <c r="D20" s="477" t="str">
        <f>_xlfn.XLOOKUP(C20,价值表!D:D,价值表!C:C)</f>
        <v>梦境招募器</v>
      </c>
      <c r="E20" s="476">
        <v>15</v>
      </c>
      <c r="F20" s="476">
        <f>_xlfn.XLOOKUP(C20,价值表!D:D,价值表!F:F)*E20</f>
        <v>300</v>
      </c>
      <c r="G20" s="476"/>
      <c r="H20" s="479"/>
      <c r="N20"/>
    </row>
    <row r="21" spans="2:14">
      <c r="B21" s="476"/>
      <c r="C21" s="476">
        <v>20038</v>
      </c>
      <c r="D21" s="477" t="str">
        <f>_xlfn.XLOOKUP(C21,价值表!D:D,价值表!C:C)</f>
        <v>每日特惠宝箱</v>
      </c>
      <c r="E21" s="476">
        <v>2</v>
      </c>
      <c r="F21" s="476">
        <f>_xlfn.XLOOKUP(C21,价值表!D:D,价值表!F:F)*E21</f>
        <v>80</v>
      </c>
      <c r="G21" s="476"/>
      <c r="H21" s="479"/>
    </row>
    <row r="22" spans="2:14">
      <c r="B22" s="476" t="s">
        <v>1119</v>
      </c>
      <c r="C22" s="476">
        <v>44</v>
      </c>
      <c r="D22" s="477" t="str">
        <f>_xlfn.XLOOKUP(C22,价值表!D:D,价值表!C:C)</f>
        <v>心梦宝石</v>
      </c>
      <c r="E22" s="476">
        <v>15</v>
      </c>
      <c r="F22" s="476">
        <f>_xlfn.XLOOKUP(C22,价值表!D:D,价值表!F:F)*E22</f>
        <v>150</v>
      </c>
      <c r="G22" s="476">
        <v>180</v>
      </c>
      <c r="H22" s="478">
        <f>SUM(F22:F25)/G22</f>
        <v>4.88888888888889</v>
      </c>
    </row>
    <row r="23" spans="2:14">
      <c r="B23" s="476"/>
      <c r="C23" s="476">
        <v>13</v>
      </c>
      <c r="D23" s="477" t="str">
        <f>_xlfn.XLOOKUP(C23,价值表!D:D,价值表!C:C)</f>
        <v>体力</v>
      </c>
      <c r="E23" s="476">
        <v>25</v>
      </c>
      <c r="F23" s="476">
        <f>_xlfn.XLOOKUP(C23,价值表!D:D,价值表!F:F)*E23</f>
        <v>50</v>
      </c>
      <c r="G23" s="476"/>
      <c r="H23" s="479"/>
    </row>
    <row r="24" spans="2:14">
      <c r="B24" s="476"/>
      <c r="C24" s="476">
        <v>30</v>
      </c>
      <c r="D24" s="477" t="str">
        <f>_xlfn.XLOOKUP(C24,价值表!D:D,价值表!C:C)</f>
        <v>星辉秘契</v>
      </c>
      <c r="E24" s="476">
        <v>2</v>
      </c>
      <c r="F24" s="476">
        <f>_xlfn.XLOOKUP(C24,价值表!D:D,价值表!F:F)*E24</f>
        <v>560</v>
      </c>
      <c r="G24" s="476"/>
      <c r="H24" s="479"/>
    </row>
    <row r="25" spans="2:14">
      <c r="B25" s="476"/>
      <c r="C25" s="476">
        <v>20038</v>
      </c>
      <c r="D25" s="477" t="str">
        <f>_xlfn.XLOOKUP(C25,价值表!D:D,价值表!C:C)</f>
        <v>每日特惠宝箱</v>
      </c>
      <c r="E25" s="476">
        <v>3</v>
      </c>
      <c r="F25" s="476">
        <f>_xlfn.XLOOKUP(C25,价值表!D:D,价值表!F:F)*E25</f>
        <v>120</v>
      </c>
      <c r="G25" s="476"/>
      <c r="H25" s="476"/>
    </row>
  </sheetData>
  <mergeCells count="4">
    <mergeCell ref="B12:B13"/>
    <mergeCell ref="B14:B17"/>
    <mergeCell ref="B18:B21"/>
    <mergeCell ref="B22:B2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5"/>
  </sheetPr>
  <dimension ref="B2:Q22"/>
  <sheetViews>
    <sheetView showGridLines="0" zoomScale="115" zoomScaleNormal="115" workbookViewId="0">
      <selection activeCell="J25" sqref="J25"/>
    </sheetView>
  </sheetViews>
  <sheetFormatPr defaultColWidth="9" defaultRowHeight="16.5"/>
  <cols>
    <col min="1" max="3" width="9" style="4"/>
    <col min="4" max="4" width="13.475" style="4" customWidth="1"/>
    <col min="5" max="6" width="9" style="4"/>
    <col min="7" max="7" width="19.75" style="4" customWidth="1"/>
    <col min="8" max="8" width="41.125" style="4" customWidth="1"/>
    <col min="9" max="9" width="9" style="4"/>
    <col min="10" max="10" width="14.125" style="4"/>
    <col min="11" max="12" width="9" style="4"/>
    <col min="13" max="14" width="12.625" style="4"/>
    <col min="15" max="16" width="9" style="4"/>
    <col min="17" max="17" width="12.625" style="4"/>
    <col min="18" max="18" width="9" style="4"/>
    <col min="19" max="19" width="12.625" style="4"/>
    <col min="20" max="16384" width="9" style="4"/>
  </cols>
  <sheetData>
    <row r="2" spans="2:17">
      <c r="B2" s="4" t="s">
        <v>933</v>
      </c>
      <c r="C2" s="4" t="s">
        <v>919</v>
      </c>
    </row>
    <row r="3" spans="2:17">
      <c r="B3" s="4" t="s">
        <v>209</v>
      </c>
      <c r="C3" s="4" cm="1">
        <f ca="1" t="array" ref="C3">SUMPRODUCT(OFFSET($I$13:$I$22,0,MATCH(B3,$B$3:$B$9,0)))</f>
        <v>6000</v>
      </c>
    </row>
    <row r="4" spans="2:17">
      <c r="B4" s="4" t="s">
        <v>265</v>
      </c>
      <c r="C4" s="4" cm="1">
        <f ca="1" t="array" ref="C4">SUMPRODUCT(OFFSET($I$13:$I$22,0,MATCH(B4,$B$3:$B$9,0)))</f>
        <v>42</v>
      </c>
    </row>
    <row r="5" spans="2:17">
      <c r="B5" s="4" t="s">
        <v>242</v>
      </c>
      <c r="C5" s="4" cm="1">
        <f ca="1" t="array" ref="C5">SUMPRODUCT(OFFSET($I$13:$I$22,0,MATCH(B5,$B$3:$B$9,0)))</f>
        <v>3890</v>
      </c>
    </row>
    <row r="6" spans="2:17">
      <c r="B6" s="4" t="s">
        <v>213</v>
      </c>
      <c r="C6" s="4" cm="1">
        <f ca="1" t="array" ref="C6">SUMPRODUCT(OFFSET($I$13:$I$22,0,MATCH(B6,$B$3:$B$9,0)))</f>
        <v>260</v>
      </c>
    </row>
    <row r="7" spans="2:17">
      <c r="B7" s="4" t="s">
        <v>261</v>
      </c>
      <c r="C7" s="4" cm="1">
        <f ca="1" t="array" ref="C7">SUMPRODUCT(OFFSET($I$13:$I$22,0,MATCH(B7,$B$3:$B$9,0)))</f>
        <v>20</v>
      </c>
    </row>
    <row r="8" spans="2:17">
      <c r="B8" s="4" t="s">
        <v>276</v>
      </c>
      <c r="C8" s="4" cm="1">
        <f ca="1" t="array" ref="C8">SUMPRODUCT(OFFSET($I$13:$I$22,0,MATCH(B8,$B$3:$B$9,0)))</f>
        <v>3</v>
      </c>
    </row>
    <row r="9" spans="2:17">
      <c r="B9" s="4" t="s">
        <v>278</v>
      </c>
      <c r="C9" s="4" cm="1">
        <f ca="1" t="array" ref="C9">SUMPRODUCT(OFFSET($I$13:$I$22,0,MATCH(B9,$B$3:$B$9,0)))</f>
        <v>1</v>
      </c>
    </row>
    <row r="12" spans="2:17">
      <c r="J12" s="4">
        <f>_xlfn.XLOOKUP(J13,价值表!$C:$C,价值表!$F:$F)</f>
        <v>1</v>
      </c>
      <c r="K12" s="4">
        <f>_xlfn.XLOOKUP(K13,价值表!$C:$C,价值表!$F:$F)</f>
        <v>60</v>
      </c>
      <c r="L12" s="4">
        <f>_xlfn.XLOOKUP(L13,价值表!$C:$C,价值表!$F:$F)</f>
        <v>3</v>
      </c>
      <c r="M12" s="4">
        <f>_xlfn.XLOOKUP(M13,价值表!$C:$C,价值表!$F:$F)</f>
        <v>30</v>
      </c>
      <c r="N12" s="4">
        <f>_xlfn.XLOOKUP(N13,价值表!$C:$C,价值表!$F:$F)</f>
        <v>280</v>
      </c>
      <c r="O12" s="4">
        <f>_xlfn.XLOOKUP(O13,价值表!$C:$C,价值表!$F:$F)</f>
        <v>4096</v>
      </c>
      <c r="P12" s="4">
        <f>_xlfn.XLOOKUP(P13,价值表!$C:$C,价值表!$F:$F)</f>
        <v>16384</v>
      </c>
      <c r="Q12" s="4" t="s">
        <v>923</v>
      </c>
    </row>
    <row r="13" spans="2:17">
      <c r="B13" s="466" t="s">
        <v>1120</v>
      </c>
      <c r="C13" s="466" t="s">
        <v>1121</v>
      </c>
      <c r="D13" s="467" t="s">
        <v>1122</v>
      </c>
      <c r="E13" s="467" t="s">
        <v>1123</v>
      </c>
      <c r="F13" s="467" t="s">
        <v>1124</v>
      </c>
      <c r="G13" s="467" t="s">
        <v>1125</v>
      </c>
      <c r="H13" s="466" t="s">
        <v>1126</v>
      </c>
      <c r="J13" s="4" t="s">
        <v>209</v>
      </c>
      <c r="K13" s="4" t="s">
        <v>265</v>
      </c>
      <c r="L13" s="4" t="s">
        <v>242</v>
      </c>
      <c r="M13" s="4" t="s">
        <v>213</v>
      </c>
      <c r="N13" s="4" t="s">
        <v>261</v>
      </c>
      <c r="O13" s="4" t="s">
        <v>276</v>
      </c>
      <c r="P13" s="4" t="s">
        <v>278</v>
      </c>
    </row>
    <row r="14" spans="2:17">
      <c r="B14" s="468">
        <v>1001</v>
      </c>
      <c r="C14" s="468" t="s">
        <v>188</v>
      </c>
      <c r="D14" s="468" t="s">
        <v>1127</v>
      </c>
      <c r="E14" s="469" t="inlineStr">
        <is>
          <t>第5章礼包</t>
        </is>
      </c>
      <c r="F14" s="197">
        <v>400</v>
      </c>
      <c r="G14" s="468">
        <v>4</v>
      </c>
      <c r="H14" s="468" t="s">
        <v>1129</v>
      </c>
      <c r="I14" s="4">
        <v>680</v>
      </c>
      <c r="J14" s="4">
        <v>400</v>
      </c>
      <c r="L14" s="4">
        <v>120</v>
      </c>
      <c r="M14" s="4">
        <v>30</v>
      </c>
      <c r="Q14" s="470" cm="1">
        <f t="array" ref="Q14">SUMPRODUCT(J14:P14,$J$12:$P$12)/I14</f>
        <v>2.44117647058824</v>
      </c>
    </row>
    <row r="15" spans="2:17">
      <c r="B15" s="468">
        <v>1002</v>
      </c>
      <c r="C15" s="468" t="s">
        <v>188</v>
      </c>
      <c r="D15" s="468" t="s">
        <v>1021</v>
      </c>
      <c r="E15" s="471" t="inlineStr">
        <is>
          <t>第8章礼包</t>
        </is>
      </c>
      <c r="F15" s="197">
        <v>400</v>
      </c>
      <c r="G15" s="468">
        <v>7</v>
      </c>
      <c r="H15" s="468" t="s">
        <v>1131</v>
      </c>
      <c r="I15" s="4">
        <v>980</v>
      </c>
      <c r="J15" s="4">
        <v>600</v>
      </c>
      <c r="L15" s="4">
        <v>200</v>
      </c>
      <c r="Q15" s="470" cm="1">
        <f t="array" ref="Q15">(SUMPRODUCT(J15:P15,$J$12:$P$12)+980)/I15</f>
        <v>2.22448979591837</v>
      </c>
    </row>
    <row r="16" spans="2:17">
      <c r="B16" s="468">
        <v>1003</v>
      </c>
      <c r="C16" s="468" t="s">
        <v>188</v>
      </c>
      <c r="D16" s="468" t="s">
        <v>1021</v>
      </c>
      <c r="E16" s="469" t="inlineStr">
        <is>
          <t>第10章礼包</t>
        </is>
      </c>
      <c r="F16" s="197">
        <v>400</v>
      </c>
      <c r="G16" s="468">
        <v>9</v>
      </c>
      <c r="H16" s="468" t="s">
        <v>1133</v>
      </c>
      <c r="I16" s="4">
        <v>980</v>
      </c>
      <c r="J16" s="4">
        <v>800</v>
      </c>
      <c r="L16" s="4">
        <v>240</v>
      </c>
      <c r="M16" s="4">
        <v>50</v>
      </c>
      <c r="Q16" s="470" cm="1">
        <f t="array" ref="Q16">SUMPRODUCT(J16:P16,$J$12:$P$12)/I16</f>
        <v>3.08163265306122</v>
      </c>
    </row>
    <row r="17" spans="2:17">
      <c r="B17" s="468">
        <v>1004</v>
      </c>
      <c r="C17" s="468" t="s">
        <v>188</v>
      </c>
      <c r="D17" s="468" t="s">
        <v>1134</v>
      </c>
      <c r="E17" s="469" t="inlineStr">
        <is>
          <t>第15章礼包</t>
        </is>
      </c>
      <c r="F17" s="197">
        <v>400</v>
      </c>
      <c r="G17" s="468">
        <v>14</v>
      </c>
      <c r="H17" s="468" t="s">
        <v>1136</v>
      </c>
      <c r="I17" s="4">
        <v>1280</v>
      </c>
      <c r="J17" s="4">
        <v>1000</v>
      </c>
      <c r="L17" s="4">
        <v>280</v>
      </c>
      <c r="M17" s="4">
        <v>80</v>
      </c>
      <c r="Q17" s="470" cm="1">
        <f t="array" ref="Q17">SUMPRODUCT(J17:P17,$J$12:$P$12)/I17</f>
        <v>3.3125</v>
      </c>
    </row>
    <row r="18" spans="2:17">
      <c r="B18" s="468">
        <v>1005</v>
      </c>
      <c r="C18" s="468" t="s">
        <v>188</v>
      </c>
      <c r="D18" s="468" t="s">
        <v>1137</v>
      </c>
      <c r="E18" s="469" t="inlineStr">
        <is>
          <t>第20章礼包</t>
        </is>
      </c>
      <c r="F18" s="197">
        <v>400</v>
      </c>
      <c r="G18" s="468">
        <v>19</v>
      </c>
      <c r="H18" s="468" t="s">
        <v>1139</v>
      </c>
      <c r="I18" s="4">
        <v>1680</v>
      </c>
      <c r="J18" s="4">
        <v>1200</v>
      </c>
      <c r="L18" s="4">
        <v>350</v>
      </c>
      <c r="M18" s="4">
        <v>100</v>
      </c>
      <c r="Q18" s="470" cm="1">
        <f t="array" ref="Q18">SUMPRODUCT(J18:P18,$J$12:$P$12)/I18</f>
        <v>3.125</v>
      </c>
    </row>
    <row r="19" spans="2:17">
      <c r="B19" s="468">
        <v>1006</v>
      </c>
      <c r="C19" s="468" t="s">
        <v>188</v>
      </c>
      <c r="D19" s="468" t="s">
        <v>1005</v>
      </c>
      <c r="E19" s="469" t="inlineStr">
        <is>
          <t>第24章礼包</t>
        </is>
      </c>
      <c r="F19" s="197">
        <v>400</v>
      </c>
      <c r="G19" s="468">
        <v>23</v>
      </c>
      <c r="H19" s="468" t="s">
        <v>1141</v>
      </c>
      <c r="I19" s="4">
        <v>1800</v>
      </c>
      <c r="K19" s="4">
        <v>6</v>
      </c>
      <c r="L19" s="4">
        <v>400</v>
      </c>
      <c r="N19" s="4">
        <v>20</v>
      </c>
      <c r="Q19" s="470" cm="1">
        <f t="array" ref="Q19">SUMPRODUCT(J19:P19,$J$12:$P$12)/I19</f>
        <v>3.97777777777778</v>
      </c>
    </row>
    <row r="20" spans="2:17">
      <c r="B20" s="468">
        <v>1007</v>
      </c>
      <c r="C20" s="468" t="s">
        <v>188</v>
      </c>
      <c r="D20" s="468" t="s">
        <v>1142</v>
      </c>
      <c r="E20" s="469" t="inlineStr">
        <is>
          <t>第28章礼包</t>
        </is>
      </c>
      <c r="F20" s="197">
        <v>300</v>
      </c>
      <c r="G20" s="468">
        <v>27</v>
      </c>
      <c r="H20" s="468" t="s">
        <v>1144</v>
      </c>
      <c r="I20" s="4">
        <v>1980</v>
      </c>
      <c r="K20" s="4">
        <v>12</v>
      </c>
      <c r="L20" s="4">
        <v>500</v>
      </c>
      <c r="O20" s="4">
        <v>1</v>
      </c>
      <c r="Q20" s="470" cm="1">
        <f t="array" ref="Q20">SUMPRODUCT(J20:P20,$J$12:$P$12)/I20</f>
        <v>3.18989898989899</v>
      </c>
    </row>
    <row r="21" spans="2:17">
      <c r="B21" s="468">
        <v>1008</v>
      </c>
      <c r="C21" s="468" t="s">
        <v>188</v>
      </c>
      <c r="D21" s="468" t="s">
        <v>1037</v>
      </c>
      <c r="E21" s="469" t="inlineStr">
        <is>
          <t>第32章礼包</t>
        </is>
      </c>
      <c r="F21" s="197">
        <v>300</v>
      </c>
      <c r="G21" s="468">
        <v>31</v>
      </c>
      <c r="H21" s="468" t="s">
        <v>1145</v>
      </c>
      <c r="I21" s="4">
        <v>3280</v>
      </c>
      <c r="K21" s="4">
        <v>24</v>
      </c>
      <c r="L21" s="4">
        <v>600</v>
      </c>
      <c r="O21" s="4">
        <v>2</v>
      </c>
      <c r="Q21" s="470" cm="1">
        <f t="array" ref="Q21">SUMPRODUCT(J21:P21,$J$12:$P$12)/I21</f>
        <v>3.48536585365854</v>
      </c>
    </row>
    <row r="22" spans="2:17">
      <c r="B22" s="468">
        <v>1009</v>
      </c>
      <c r="C22" s="468" t="s">
        <v>188</v>
      </c>
      <c r="D22" s="468" t="s">
        <v>1043</v>
      </c>
      <c r="E22" s="469" t="inlineStr">
        <is>
          <t>第36章礼包</t>
        </is>
      </c>
      <c r="F22" s="468">
        <v>300</v>
      </c>
      <c r="G22" s="468">
        <v>35</v>
      </c>
      <c r="H22" s="468" t="s">
        <v>1146</v>
      </c>
      <c r="I22" s="4">
        <v>6480</v>
      </c>
      <c r="J22" s="4">
        <v>2000</v>
      </c>
      <c r="L22" s="4">
        <v>1200</v>
      </c>
      <c r="P22" s="4">
        <v>1</v>
      </c>
      <c r="Q22" s="470" cm="1">
        <f t="array" ref="Q22">SUMPRODUCT(J22:P22,$J$12:$P$12)/I22</f>
        <v>3.39259259259259</v>
      </c>
    </row>
  </sheetData>
  <dataValidations count="2">
    <dataValidation type="textLength" operator="between" allowBlank="1" showInputMessage="1" showErrorMessage="1" errorTitle="输入有误" error="文本内容大长(0 ~ 9999999999)" sqref="E16 E19">
      <formula1>0</formula1>
      <formula2>65535</formula2>
    </dataValidation>
    <dataValidation type="list" allowBlank="1" showInputMessage="1" showErrorMessage="1" sqref="C14:C22">
      <formula1>"直购,钻石"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17">
    <tabColor theme="8" tint="0.8"/>
  </sheetPr>
  <dimension ref="A1:AB91"/>
  <sheetViews>
    <sheetView zoomScale="130" zoomScaleNormal="130" workbookViewId="0">
      <selection activeCell="F29" sqref="F29"/>
    </sheetView>
  </sheetViews>
  <sheetFormatPr defaultColWidth="9" defaultRowHeight="13.5"/>
  <cols>
    <col min="3" max="9" width="12.3" customWidth="1"/>
    <col min="12" max="12" width="13.175" customWidth="1"/>
  </cols>
  <sheetData>
    <row r="1" spans="1:28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 t="s">
        <v>1147</v>
      </c>
      <c r="E3" s="20" t="s">
        <v>1148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 t="s">
        <v>1149</v>
      </c>
      <c r="E4" s="447">
        <v>120</v>
      </c>
      <c r="F4" s="20" t="s">
        <v>188</v>
      </c>
      <c r="G4" s="20"/>
      <c r="H4" s="20"/>
      <c r="I4" s="20"/>
      <c r="J4" s="20"/>
      <c r="K4" s="20"/>
      <c r="L4" s="20"/>
      <c r="M4" s="20"/>
      <c r="N4" s="20"/>
      <c r="O4" s="27" t="s">
        <v>824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 t="s">
        <v>1150</v>
      </c>
      <c r="E5" s="20">
        <v>246.1278195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 t="s">
        <v>1151</v>
      </c>
      <c r="R5" s="20" t="s">
        <v>1152</v>
      </c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 t="s">
        <v>1153</v>
      </c>
      <c r="E6" s="448">
        <v>1.26</v>
      </c>
      <c r="F6" s="20"/>
      <c r="G6" s="20"/>
      <c r="H6" s="20"/>
      <c r="I6" s="20"/>
      <c r="J6" s="20"/>
      <c r="K6" s="20"/>
      <c r="L6" s="449"/>
      <c r="M6" s="20"/>
      <c r="N6" s="20"/>
      <c r="O6" s="20"/>
      <c r="P6" s="20"/>
      <c r="Q6" s="20"/>
      <c r="R6" s="20" t="s">
        <v>1154</v>
      </c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5" t="s">
        <v>1155</v>
      </c>
      <c r="E7" s="448"/>
      <c r="F7" s="20"/>
      <c r="G7" s="20"/>
      <c r="H7" s="20"/>
      <c r="I7" s="20"/>
      <c r="J7" s="20"/>
      <c r="K7" s="20"/>
      <c r="L7" s="20" t="s">
        <v>1156</v>
      </c>
      <c r="M7" s="20"/>
      <c r="N7" s="20"/>
      <c r="O7" s="20"/>
      <c r="P7" s="20">
        <v>100042</v>
      </c>
      <c r="Q7" s="20" t="s">
        <v>1157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6" t="s">
        <v>640</v>
      </c>
      <c r="M8" s="6" t="s">
        <v>919</v>
      </c>
      <c r="N8" s="6" t="s">
        <v>922</v>
      </c>
      <c r="O8" s="20"/>
      <c r="P8" s="20"/>
      <c r="Q8" s="6" t="s">
        <v>640</v>
      </c>
      <c r="R8" s="6" t="s">
        <v>919</v>
      </c>
      <c r="S8" s="6" t="s">
        <v>922</v>
      </c>
      <c r="T8" s="6" t="s">
        <v>1158</v>
      </c>
      <c r="U8" s="6" t="s">
        <v>1159</v>
      </c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6" t="s">
        <v>1160</v>
      </c>
      <c r="D9" s="6" t="s">
        <v>640</v>
      </c>
      <c r="E9" s="6" t="s">
        <v>919</v>
      </c>
      <c r="F9" s="6" t="s">
        <v>922</v>
      </c>
      <c r="G9" s="6" t="s">
        <v>1158</v>
      </c>
      <c r="H9" s="6" t="s">
        <v>1159</v>
      </c>
      <c r="I9" s="20"/>
      <c r="J9" s="20"/>
      <c r="K9" s="20">
        <v>5600109</v>
      </c>
      <c r="L9" s="27" t="s">
        <v>232</v>
      </c>
      <c r="M9" s="27">
        <v>60</v>
      </c>
      <c r="N9" s="27">
        <v>2880</v>
      </c>
      <c r="O9" s="20"/>
      <c r="P9" s="20"/>
      <c r="Q9" s="27" t="s">
        <v>839</v>
      </c>
      <c r="R9" s="27">
        <v>1</v>
      </c>
      <c r="S9" s="27">
        <v>8000</v>
      </c>
      <c r="T9" s="450">
        <v>300</v>
      </c>
      <c r="U9" s="27"/>
      <c r="V9" s="20">
        <v>30</v>
      </c>
      <c r="W9" s="20"/>
      <c r="X9" s="20"/>
      <c r="Y9" s="20"/>
      <c r="Z9" s="20"/>
      <c r="AA9" s="20"/>
      <c r="AB9" s="20"/>
    </row>
    <row r="10" spans="1:28">
      <c r="A10" s="20"/>
      <c r="B10" s="451"/>
      <c r="C10" s="452" t="s">
        <v>1161</v>
      </c>
      <c r="D10" s="453" t="s">
        <v>1157</v>
      </c>
      <c r="E10" s="454">
        <v>1</v>
      </c>
      <c r="F10" s="452">
        <v>7142.857143</v>
      </c>
      <c r="G10" s="452">
        <v>20</v>
      </c>
      <c r="H10" s="452">
        <v>7</v>
      </c>
      <c r="I10" s="451"/>
      <c r="J10" s="451"/>
      <c r="K10" s="20">
        <v>100018</v>
      </c>
      <c r="L10" s="27" t="s">
        <v>824</v>
      </c>
      <c r="M10" s="27">
        <v>1</v>
      </c>
      <c r="N10" s="27">
        <v>4000</v>
      </c>
      <c r="O10" s="20"/>
      <c r="P10" s="20"/>
      <c r="Q10" s="27" t="s">
        <v>839</v>
      </c>
      <c r="R10" s="27">
        <v>1</v>
      </c>
      <c r="S10" s="27">
        <v>8000</v>
      </c>
      <c r="T10" s="450">
        <v>30</v>
      </c>
      <c r="U10" s="27"/>
      <c r="V10" s="20"/>
      <c r="W10" s="20"/>
      <c r="X10" s="20"/>
      <c r="Y10" s="455" t="s">
        <v>839</v>
      </c>
      <c r="Z10" s="20">
        <v>4</v>
      </c>
      <c r="AA10" s="27">
        <v>32000</v>
      </c>
      <c r="AB10" s="20"/>
    </row>
    <row r="11" customHeight="1" spans="1:28">
      <c r="A11" s="20"/>
      <c r="B11" s="455" t="s">
        <v>1162</v>
      </c>
      <c r="C11" s="27" t="s">
        <v>1163</v>
      </c>
      <c r="D11" s="23" t="s">
        <v>666</v>
      </c>
      <c r="E11" s="23">
        <v>1</v>
      </c>
      <c r="F11" s="27">
        <v>480</v>
      </c>
      <c r="G11" s="27">
        <v>80</v>
      </c>
      <c r="H11" s="27"/>
      <c r="I11" s="20"/>
      <c r="J11" s="20"/>
      <c r="K11" s="20">
        <v>5305001</v>
      </c>
      <c r="L11" s="27" t="s">
        <v>265</v>
      </c>
      <c r="M11" s="27">
        <v>60</v>
      </c>
      <c r="N11" s="27">
        <v>3600</v>
      </c>
      <c r="O11" s="20"/>
      <c r="P11" s="20"/>
      <c r="Q11" s="27" t="s">
        <v>839</v>
      </c>
      <c r="R11" s="27">
        <v>1</v>
      </c>
      <c r="S11" s="27">
        <v>8000</v>
      </c>
      <c r="T11" s="450">
        <v>30</v>
      </c>
      <c r="U11" s="27"/>
      <c r="V11" s="20"/>
      <c r="W11" s="20"/>
      <c r="X11" s="20"/>
      <c r="Y11" s="455" t="s">
        <v>1156</v>
      </c>
      <c r="Z11" s="20">
        <v>1</v>
      </c>
      <c r="AA11" s="27">
        <v>4000</v>
      </c>
      <c r="AB11" s="20"/>
    </row>
    <row r="12" spans="1:28">
      <c r="A12" s="20"/>
      <c r="B12" s="20"/>
      <c r="C12" s="27"/>
      <c r="D12" s="418" t="s">
        <v>213</v>
      </c>
      <c r="E12" s="418">
        <v>15</v>
      </c>
      <c r="F12" s="27">
        <v>450</v>
      </c>
      <c r="G12" s="27">
        <v>120</v>
      </c>
      <c r="H12" s="27"/>
      <c r="I12" s="20"/>
      <c r="J12" s="20"/>
      <c r="K12" s="20">
        <v>11</v>
      </c>
      <c r="L12" s="27" t="s">
        <v>213</v>
      </c>
      <c r="M12" s="27">
        <v>100</v>
      </c>
      <c r="N12" s="27">
        <v>3000</v>
      </c>
      <c r="O12" s="20"/>
      <c r="P12" s="20"/>
      <c r="Q12" s="27" t="s">
        <v>839</v>
      </c>
      <c r="R12" s="27">
        <v>1</v>
      </c>
      <c r="S12" s="27">
        <v>8000</v>
      </c>
      <c r="T12" s="450">
        <v>30</v>
      </c>
      <c r="U12" s="27"/>
      <c r="V12" s="20"/>
      <c r="W12" s="20"/>
      <c r="X12" s="20"/>
      <c r="Y12" s="455" t="s">
        <v>801</v>
      </c>
      <c r="Z12" s="20">
        <v>1</v>
      </c>
      <c r="AA12" s="27">
        <v>4000</v>
      </c>
      <c r="AB12" s="20"/>
    </row>
    <row r="13" customHeight="1" spans="1:28">
      <c r="A13" s="20"/>
      <c r="B13" s="20"/>
      <c r="C13" s="27" t="s">
        <v>1164</v>
      </c>
      <c r="D13" s="418" t="s">
        <v>265</v>
      </c>
      <c r="E13" s="418">
        <v>6</v>
      </c>
      <c r="F13" s="27">
        <v>360</v>
      </c>
      <c r="G13" s="27">
        <v>160</v>
      </c>
      <c r="H13" s="27"/>
      <c r="I13" s="20"/>
      <c r="J13" s="20"/>
      <c r="K13" s="20">
        <v>5505009</v>
      </c>
      <c r="L13" s="27" t="s">
        <v>945</v>
      </c>
      <c r="M13" s="27">
        <v>1</v>
      </c>
      <c r="N13" s="27">
        <v>4000</v>
      </c>
      <c r="O13" s="20"/>
      <c r="P13" s="20"/>
      <c r="Q13" s="27" t="s">
        <v>1156</v>
      </c>
      <c r="R13" s="27">
        <v>1</v>
      </c>
      <c r="S13" s="27">
        <v>4000</v>
      </c>
      <c r="T13" s="450">
        <v>400</v>
      </c>
      <c r="U13" s="27"/>
      <c r="V13" s="20"/>
      <c r="W13" s="20"/>
      <c r="X13" s="20"/>
      <c r="Y13" s="455" t="s">
        <v>827</v>
      </c>
      <c r="Z13" s="20">
        <v>1</v>
      </c>
      <c r="AA13" s="27">
        <v>8000</v>
      </c>
      <c r="AB13" s="20"/>
    </row>
    <row r="14" spans="1:28">
      <c r="A14" s="20"/>
      <c r="B14" s="20"/>
      <c r="C14" s="27"/>
      <c r="D14" s="23" t="s">
        <v>258</v>
      </c>
      <c r="E14" s="23">
        <v>5</v>
      </c>
      <c r="F14" s="27">
        <v>250</v>
      </c>
      <c r="G14" s="27">
        <v>170</v>
      </c>
      <c r="H14" s="27"/>
      <c r="I14" s="20"/>
      <c r="J14" s="20"/>
      <c r="K14" s="20"/>
      <c r="L14" s="20"/>
      <c r="M14" s="20"/>
      <c r="N14" s="20"/>
      <c r="O14" s="20"/>
      <c r="P14" s="20" t="s">
        <v>1165</v>
      </c>
      <c r="Q14" s="27" t="s">
        <v>801</v>
      </c>
      <c r="R14" s="27">
        <v>1</v>
      </c>
      <c r="S14" s="27">
        <v>6000</v>
      </c>
      <c r="T14" s="450">
        <v>200</v>
      </c>
      <c r="U14" s="27"/>
      <c r="V14" s="20"/>
      <c r="W14" s="20"/>
      <c r="X14" s="20"/>
      <c r="Y14" s="455" t="s">
        <v>227</v>
      </c>
      <c r="Z14" s="20">
        <v>7</v>
      </c>
      <c r="AA14" s="27">
        <v>3360</v>
      </c>
      <c r="AB14" s="20"/>
    </row>
    <row r="15" spans="1:28">
      <c r="A15" s="20"/>
      <c r="B15" s="20"/>
      <c r="C15" s="27"/>
      <c r="D15" s="23" t="s">
        <v>193</v>
      </c>
      <c r="E15" s="23">
        <v>60</v>
      </c>
      <c r="F15" s="27">
        <v>120</v>
      </c>
      <c r="G15" s="27">
        <v>290</v>
      </c>
      <c r="H15" s="27"/>
      <c r="I15" s="20"/>
      <c r="J15" s="20"/>
      <c r="K15" s="20"/>
      <c r="L15" s="20"/>
      <c r="M15" s="20"/>
      <c r="N15" s="20"/>
      <c r="O15" s="20"/>
      <c r="P15" s="20" t="s">
        <v>1165</v>
      </c>
      <c r="Q15" s="456" t="s">
        <v>827</v>
      </c>
      <c r="R15" s="456">
        <v>1</v>
      </c>
      <c r="S15" s="27">
        <v>8000</v>
      </c>
      <c r="T15" s="450">
        <v>10</v>
      </c>
      <c r="U15" s="450">
        <v>4</v>
      </c>
      <c r="V15" s="20"/>
      <c r="W15" s="20"/>
      <c r="X15" s="20"/>
      <c r="Y15" s="20" t="s">
        <v>213</v>
      </c>
      <c r="Z15" s="20">
        <v>105</v>
      </c>
      <c r="AA15" s="27">
        <v>3150</v>
      </c>
      <c r="AB15" s="20"/>
    </row>
    <row r="16" customHeight="1" spans="1:28">
      <c r="A16" s="20"/>
      <c r="B16" s="20"/>
      <c r="C16" s="27" t="s">
        <v>1166</v>
      </c>
      <c r="D16" s="23" t="s">
        <v>208</v>
      </c>
      <c r="E16" s="23">
        <v>100</v>
      </c>
      <c r="F16" s="27">
        <v>200</v>
      </c>
      <c r="G16" s="27">
        <v>290</v>
      </c>
      <c r="H16" s="27"/>
      <c r="I16" s="20"/>
      <c r="J16" s="20"/>
      <c r="K16" s="20"/>
      <c r="L16" s="20" t="s">
        <v>232</v>
      </c>
      <c r="M16" s="20" t="s">
        <v>1167</v>
      </c>
      <c r="N16" s="20"/>
      <c r="O16" s="20"/>
      <c r="P16" s="20"/>
      <c r="Q16" s="20" t="s">
        <v>227</v>
      </c>
      <c r="R16" s="20">
        <v>7</v>
      </c>
      <c r="S16" s="20">
        <v>7142.857143</v>
      </c>
      <c r="T16" s="20">
        <v>1000</v>
      </c>
      <c r="U16" s="20"/>
      <c r="V16" s="20"/>
      <c r="W16" s="20"/>
      <c r="X16" s="20"/>
      <c r="Y16" s="20" t="s">
        <v>265</v>
      </c>
      <c r="Z16" s="20">
        <v>42</v>
      </c>
      <c r="AA16" s="27">
        <v>2520</v>
      </c>
      <c r="AB16" s="20"/>
    </row>
    <row r="17" spans="1:28">
      <c r="A17" s="20"/>
      <c r="B17" s="20"/>
      <c r="C17" s="27"/>
      <c r="D17" s="23" t="s">
        <v>242</v>
      </c>
      <c r="E17" s="23">
        <v>50</v>
      </c>
      <c r="F17" s="27">
        <v>150</v>
      </c>
      <c r="G17" s="27">
        <v>290</v>
      </c>
      <c r="H17" s="27"/>
      <c r="I17" s="20"/>
      <c r="J17" s="20"/>
      <c r="K17" s="20"/>
      <c r="L17" s="20"/>
      <c r="M17" s="20" t="s">
        <v>1168</v>
      </c>
      <c r="N17" s="20"/>
      <c r="O17" s="20"/>
      <c r="P17" s="20"/>
      <c r="Q17" s="20" t="s">
        <v>213</v>
      </c>
      <c r="R17" s="20">
        <v>105</v>
      </c>
      <c r="S17" s="20"/>
      <c r="T17" s="20"/>
      <c r="U17" s="20"/>
      <c r="V17" s="20"/>
      <c r="W17" s="20"/>
      <c r="X17" s="20"/>
      <c r="Y17" s="20" t="s">
        <v>258</v>
      </c>
      <c r="Z17" s="20">
        <v>35</v>
      </c>
      <c r="AA17" s="27">
        <v>1750</v>
      </c>
      <c r="AB17" s="20"/>
    </row>
    <row r="18" spans="1:28">
      <c r="A18" s="20"/>
      <c r="B18" s="20"/>
      <c r="C18" s="27"/>
      <c r="D18" s="23" t="s">
        <v>237</v>
      </c>
      <c r="E18" s="23">
        <v>300</v>
      </c>
      <c r="F18" s="27">
        <v>100</v>
      </c>
      <c r="G18" s="27">
        <v>290</v>
      </c>
      <c r="H18" s="27"/>
      <c r="I18" s="20"/>
      <c r="J18" s="20"/>
      <c r="K18" s="20"/>
      <c r="L18" s="20"/>
      <c r="M18" s="20" t="s">
        <v>1169</v>
      </c>
      <c r="N18" s="20"/>
      <c r="O18" s="20"/>
      <c r="P18" s="20"/>
      <c r="Q18" s="20" t="s">
        <v>265</v>
      </c>
      <c r="R18" s="20">
        <v>42</v>
      </c>
      <c r="S18" s="20"/>
      <c r="T18" s="20"/>
      <c r="U18" s="20"/>
      <c r="V18" s="20"/>
      <c r="W18" s="20"/>
      <c r="X18" s="20"/>
      <c r="Y18" s="20" t="s">
        <v>193</v>
      </c>
      <c r="Z18" s="20">
        <v>420</v>
      </c>
      <c r="AA18" s="27">
        <v>840</v>
      </c>
      <c r="AB18" s="20"/>
    </row>
    <row r="19" spans="1:28">
      <c r="A19" s="20"/>
      <c r="B19" s="20"/>
      <c r="C19" s="27"/>
      <c r="D19" s="23" t="s">
        <v>195</v>
      </c>
      <c r="E19" s="23">
        <v>2000</v>
      </c>
      <c r="F19" s="27">
        <v>100</v>
      </c>
      <c r="G19" s="27">
        <v>290</v>
      </c>
      <c r="H19" s="27"/>
      <c r="I19" s="20"/>
      <c r="J19" s="20"/>
      <c r="K19" s="20"/>
      <c r="L19" s="20"/>
      <c r="M19" s="20" t="s">
        <v>489</v>
      </c>
      <c r="N19" s="20"/>
      <c r="O19" s="20"/>
      <c r="P19" s="20"/>
      <c r="Q19" s="20" t="s">
        <v>258</v>
      </c>
      <c r="R19" s="20">
        <v>35</v>
      </c>
      <c r="S19" s="20"/>
      <c r="T19" s="20"/>
      <c r="U19" s="20"/>
      <c r="V19" s="20"/>
      <c r="W19" s="20"/>
      <c r="X19" s="20"/>
      <c r="Y19" s="20" t="s">
        <v>208</v>
      </c>
      <c r="Z19" s="20">
        <v>700</v>
      </c>
      <c r="AA19" s="27">
        <v>1400</v>
      </c>
      <c r="AB19" s="20"/>
    </row>
    <row r="20" spans="1:28">
      <c r="A20" s="20"/>
      <c r="B20" s="20"/>
      <c r="C20" s="20"/>
      <c r="D20" s="20"/>
      <c r="E20" s="20" t="s">
        <v>1170</v>
      </c>
      <c r="F20" s="20">
        <v>9352.857143</v>
      </c>
      <c r="G20" s="20">
        <v>2000</v>
      </c>
      <c r="H20" s="20"/>
      <c r="I20" s="20"/>
      <c r="J20" s="20"/>
      <c r="K20" s="20"/>
      <c r="L20" s="20"/>
      <c r="M20" s="20"/>
      <c r="N20" s="20"/>
      <c r="O20" s="20"/>
      <c r="P20" s="20"/>
      <c r="Q20" s="20" t="s">
        <v>193</v>
      </c>
      <c r="R20" s="20">
        <v>420</v>
      </c>
      <c r="S20" s="20"/>
      <c r="T20" s="20"/>
      <c r="U20" s="20"/>
      <c r="V20" s="20"/>
      <c r="W20" s="20"/>
      <c r="X20" s="20"/>
      <c r="Y20" s="20" t="s">
        <v>242</v>
      </c>
      <c r="Z20" s="20">
        <v>350</v>
      </c>
      <c r="AA20" s="27">
        <v>1050</v>
      </c>
      <c r="AB20" s="20"/>
    </row>
    <row r="21" spans="1:28">
      <c r="A21" s="20"/>
      <c r="B21" s="20"/>
      <c r="C21" s="20"/>
      <c r="D21" s="20"/>
      <c r="E21" s="20" t="s">
        <v>1150</v>
      </c>
      <c r="F21" s="20">
        <v>246.1278195</v>
      </c>
      <c r="G21" s="20"/>
      <c r="H21" s="20"/>
      <c r="I21" s="448"/>
      <c r="J21" s="20"/>
      <c r="K21" s="20"/>
      <c r="L21" s="20"/>
      <c r="M21" s="20"/>
      <c r="N21" s="20"/>
      <c r="O21" s="20"/>
      <c r="P21" s="20"/>
      <c r="Q21" s="20" t="s">
        <v>208</v>
      </c>
      <c r="R21" s="20">
        <v>700</v>
      </c>
      <c r="S21" s="20"/>
      <c r="T21" s="20"/>
      <c r="U21" s="20"/>
      <c r="V21" s="20"/>
      <c r="W21" s="20"/>
      <c r="X21" s="20"/>
      <c r="Y21" s="20" t="s">
        <v>237</v>
      </c>
      <c r="Z21" s="20">
        <v>2100</v>
      </c>
      <c r="AA21" s="27">
        <v>700</v>
      </c>
      <c r="AB21" s="20"/>
    </row>
    <row r="22" spans="1:28">
      <c r="A22" s="20"/>
      <c r="B22" s="457" t="s">
        <v>1171</v>
      </c>
      <c r="C22" s="25" t="s">
        <v>1172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 t="s">
        <v>242</v>
      </c>
      <c r="R22" s="20">
        <v>350</v>
      </c>
      <c r="S22" s="20"/>
      <c r="T22" s="20"/>
      <c r="U22" s="20"/>
      <c r="V22" s="20"/>
      <c r="W22" s="20"/>
      <c r="X22" s="20"/>
      <c r="Y22" s="20" t="s">
        <v>195</v>
      </c>
      <c r="Z22" s="20">
        <v>14000</v>
      </c>
      <c r="AA22" s="27">
        <v>700</v>
      </c>
      <c r="AB22" s="20"/>
    </row>
    <row r="23" spans="1:28">
      <c r="A23" s="20"/>
      <c r="B23" s="20"/>
      <c r="C23" s="25" t="s">
        <v>1173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 t="s">
        <v>237</v>
      </c>
      <c r="R23" s="20">
        <v>2100</v>
      </c>
      <c r="S23" s="20"/>
      <c r="T23" s="20"/>
      <c r="U23" s="20"/>
      <c r="V23" s="20"/>
      <c r="W23" s="20"/>
      <c r="X23" s="20"/>
      <c r="Y23" s="20"/>
      <c r="Z23" s="20"/>
      <c r="AA23" s="27"/>
      <c r="AB23" s="20"/>
    </row>
    <row r="24" spans="1:2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 t="s">
        <v>195</v>
      </c>
      <c r="R24" s="20">
        <v>14000</v>
      </c>
      <c r="S24" s="20"/>
      <c r="T24" s="20"/>
      <c r="U24" s="20"/>
      <c r="V24" s="20"/>
      <c r="W24" s="20"/>
      <c r="X24" s="20"/>
      <c r="Y24" s="20"/>
      <c r="Z24" s="20"/>
      <c r="AA24" s="20">
        <v>63470</v>
      </c>
      <c r="AB24" s="20">
        <v>52080</v>
      </c>
    </row>
    <row r="25" spans="1:28">
      <c r="A25" s="20"/>
      <c r="B25" s="20"/>
      <c r="C25" s="20" t="s">
        <v>1174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>
        <v>1.218701997</v>
      </c>
    </row>
    <row r="26" spans="1:2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>
      <c r="A28" s="20"/>
      <c r="B28" s="458" t="s">
        <v>1175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>
      <c r="A29" s="20"/>
      <c r="B29" s="20"/>
      <c r="C29" s="20" t="s">
        <v>1176</v>
      </c>
      <c r="D29" s="459" t="s">
        <v>1177</v>
      </c>
      <c r="E29" s="459">
        <v>10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>
      <c r="A30" s="20"/>
      <c r="B30" s="20"/>
      <c r="C30" s="6" t="s">
        <v>1178</v>
      </c>
      <c r="D30" s="6" t="s">
        <v>1179</v>
      </c>
      <c r="E30" s="6" t="s">
        <v>919</v>
      </c>
      <c r="F30" s="6" t="s">
        <v>1180</v>
      </c>
      <c r="G30" s="6" t="s">
        <v>1181</v>
      </c>
      <c r="H30" s="6" t="s">
        <v>1182</v>
      </c>
      <c r="I30" s="20"/>
      <c r="J30" s="20"/>
      <c r="K30" s="20"/>
      <c r="L30" s="460" t="s">
        <v>1183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>
      <c r="A31" s="20"/>
      <c r="B31" s="27" t="s">
        <v>1184</v>
      </c>
      <c r="C31" s="27" t="s">
        <v>1185</v>
      </c>
      <c r="D31" s="461" t="s">
        <v>1186</v>
      </c>
      <c r="E31" s="462"/>
      <c r="F31" s="463" t="s">
        <v>1148</v>
      </c>
      <c r="G31" s="27">
        <v>1</v>
      </c>
      <c r="H31" s="27">
        <v>120</v>
      </c>
      <c r="I31" s="20">
        <v>3</v>
      </c>
      <c r="J31" s="20"/>
      <c r="K31" s="20"/>
      <c r="L31" s="269" t="s">
        <v>1187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customHeight="1" spans="1:28">
      <c r="A32" s="20"/>
      <c r="B32" s="27" t="s">
        <v>1188</v>
      </c>
      <c r="C32" s="27" t="s">
        <v>1189</v>
      </c>
      <c r="D32" s="27" t="s">
        <v>1190</v>
      </c>
      <c r="E32" s="27">
        <v>5</v>
      </c>
      <c r="F32" s="463" t="s">
        <v>1148</v>
      </c>
      <c r="G32" s="27">
        <v>1</v>
      </c>
      <c r="H32" s="27">
        <v>120</v>
      </c>
      <c r="I32" s="20"/>
      <c r="J32" s="20"/>
      <c r="K32" s="20"/>
      <c r="L32" s="269" t="s">
        <v>1191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>
      <c r="A33" s="20"/>
      <c r="B33" s="27"/>
      <c r="C33" s="27" t="s">
        <v>1189</v>
      </c>
      <c r="D33" s="27" t="s">
        <v>1190</v>
      </c>
      <c r="E33" s="27">
        <v>10</v>
      </c>
      <c r="F33" s="463" t="s">
        <v>1148</v>
      </c>
      <c r="G33" s="27">
        <v>1</v>
      </c>
      <c r="H33" s="27">
        <v>120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>
      <c r="A34" s="20"/>
      <c r="B34" s="27"/>
      <c r="C34" s="27" t="s">
        <v>1189</v>
      </c>
      <c r="D34" s="27" t="s">
        <v>1190</v>
      </c>
      <c r="E34" s="27">
        <v>15</v>
      </c>
      <c r="F34" s="463" t="s">
        <v>1148</v>
      </c>
      <c r="G34" s="27">
        <v>1</v>
      </c>
      <c r="H34" s="27">
        <v>120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>
      <c r="A35" s="20"/>
      <c r="B35" s="27" t="s">
        <v>1192</v>
      </c>
      <c r="C35" s="27" t="s">
        <v>1189</v>
      </c>
      <c r="D35" s="27" t="s">
        <v>1193</v>
      </c>
      <c r="E35" s="27">
        <v>3</v>
      </c>
      <c r="F35" s="463" t="s">
        <v>1148</v>
      </c>
      <c r="G35" s="27">
        <v>1</v>
      </c>
      <c r="H35" s="27">
        <v>120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customHeight="1" spans="1:28">
      <c r="A36" s="20"/>
      <c r="B36" s="27" t="s">
        <v>1188</v>
      </c>
      <c r="C36" s="27" t="s">
        <v>1189</v>
      </c>
      <c r="D36" s="27" t="s">
        <v>1194</v>
      </c>
      <c r="E36" s="27">
        <v>5</v>
      </c>
      <c r="F36" s="463" t="s">
        <v>1148</v>
      </c>
      <c r="G36" s="27">
        <v>1</v>
      </c>
      <c r="H36" s="27">
        <v>120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>
      <c r="A37" s="20"/>
      <c r="B37" s="27"/>
      <c r="C37" s="27" t="s">
        <v>1189</v>
      </c>
      <c r="D37" s="27" t="s">
        <v>1194</v>
      </c>
      <c r="E37" s="27">
        <v>10</v>
      </c>
      <c r="F37" s="463" t="s">
        <v>1148</v>
      </c>
      <c r="G37" s="27">
        <v>1</v>
      </c>
      <c r="H37" s="27">
        <v>120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>
      <c r="A38" s="20"/>
      <c r="B38" s="27"/>
      <c r="C38" s="27" t="s">
        <v>1189</v>
      </c>
      <c r="D38" s="27" t="s">
        <v>1194</v>
      </c>
      <c r="E38" s="27">
        <v>15</v>
      </c>
      <c r="F38" s="463" t="s">
        <v>1148</v>
      </c>
      <c r="G38" s="27">
        <v>1</v>
      </c>
      <c r="H38" s="27">
        <v>120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>
      <c r="A41" s="20"/>
      <c r="B41" s="458" t="s">
        <v>1174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>
      <c r="A42" s="20"/>
      <c r="B42" s="20"/>
      <c r="C42" s="6" t="s">
        <v>1195</v>
      </c>
      <c r="D42" s="6" t="s">
        <v>1196</v>
      </c>
      <c r="E42" s="6" t="s">
        <v>1197</v>
      </c>
      <c r="F42" s="6" t="s">
        <v>1099</v>
      </c>
      <c r="G42" s="6" t="s">
        <v>919</v>
      </c>
      <c r="H42" s="6" t="s">
        <v>922</v>
      </c>
      <c r="I42" s="6" t="s">
        <v>1099</v>
      </c>
      <c r="J42" s="6" t="s">
        <v>919</v>
      </c>
      <c r="K42" s="6" t="s">
        <v>922</v>
      </c>
      <c r="L42" s="6" t="s">
        <v>965</v>
      </c>
      <c r="M42" s="6" t="s">
        <v>1095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>
      <c r="A43" s="20"/>
      <c r="B43" s="20">
        <v>6</v>
      </c>
      <c r="C43" s="27" t="s">
        <v>1198</v>
      </c>
      <c r="D43" s="27">
        <v>12</v>
      </c>
      <c r="E43" s="27">
        <v>3</v>
      </c>
      <c r="F43" s="23" t="s">
        <v>188</v>
      </c>
      <c r="G43" s="23">
        <v>120</v>
      </c>
      <c r="H43" s="27">
        <v>120</v>
      </c>
      <c r="I43" s="463" t="s">
        <v>1148</v>
      </c>
      <c r="J43" s="23">
        <v>5</v>
      </c>
      <c r="K43" s="27">
        <v>600</v>
      </c>
      <c r="L43" s="27">
        <v>720</v>
      </c>
      <c r="M43" s="464">
        <v>6</v>
      </c>
      <c r="N43" s="448">
        <v>0.17</v>
      </c>
      <c r="O43" s="20"/>
      <c r="P43" s="20"/>
      <c r="Q43" s="20"/>
      <c r="R43" s="20"/>
      <c r="S43" s="20"/>
      <c r="T43" s="20"/>
      <c r="U43" s="465"/>
      <c r="V43" s="20"/>
      <c r="W43" s="20"/>
      <c r="X43" s="20"/>
      <c r="Y43" s="20"/>
      <c r="Z43" s="20"/>
      <c r="AA43" s="20"/>
      <c r="AB43" s="20"/>
    </row>
    <row r="44" spans="1:28">
      <c r="A44" s="20"/>
      <c r="B44" s="20">
        <v>10.5</v>
      </c>
      <c r="C44" s="27" t="s">
        <v>1199</v>
      </c>
      <c r="D44" s="27">
        <v>30</v>
      </c>
      <c r="E44" s="27">
        <v>5</v>
      </c>
      <c r="F44" s="23" t="s">
        <v>188</v>
      </c>
      <c r="G44" s="23">
        <v>300</v>
      </c>
      <c r="H44" s="27">
        <v>300</v>
      </c>
      <c r="I44" s="463" t="s">
        <v>1148</v>
      </c>
      <c r="J44" s="23">
        <v>8</v>
      </c>
      <c r="K44" s="27">
        <v>960</v>
      </c>
      <c r="L44" s="27">
        <v>1260</v>
      </c>
      <c r="M44" s="464">
        <v>4.2</v>
      </c>
      <c r="N44" s="448">
        <v>0.24</v>
      </c>
      <c r="O44" s="20"/>
      <c r="P44" s="20"/>
      <c r="Q44" s="20"/>
      <c r="R44" s="20"/>
      <c r="S44" s="20"/>
      <c r="T44" s="20"/>
      <c r="U44" s="465"/>
      <c r="V44" s="20"/>
      <c r="W44" s="20"/>
      <c r="X44" s="20"/>
      <c r="Y44" s="20"/>
      <c r="Z44" s="20"/>
      <c r="AA44" s="20"/>
      <c r="AB44" s="20"/>
    </row>
    <row r="45" spans="1:28">
      <c r="A45" s="20"/>
      <c r="B45" s="20">
        <v>23.16666667</v>
      </c>
      <c r="C45" s="27" t="s">
        <v>1200</v>
      </c>
      <c r="D45" s="27">
        <v>98</v>
      </c>
      <c r="E45" s="27">
        <v>5</v>
      </c>
      <c r="F45" s="23" t="s">
        <v>188</v>
      </c>
      <c r="G45" s="23">
        <v>980</v>
      </c>
      <c r="H45" s="27">
        <v>980</v>
      </c>
      <c r="I45" s="463" t="s">
        <v>1148</v>
      </c>
      <c r="J45" s="23">
        <v>15</v>
      </c>
      <c r="K45" s="27">
        <v>1800</v>
      </c>
      <c r="L45" s="27">
        <v>2780</v>
      </c>
      <c r="M45" s="464">
        <v>2.84</v>
      </c>
      <c r="N45" s="448">
        <v>0.35</v>
      </c>
      <c r="O45" s="20"/>
      <c r="P45" s="20"/>
      <c r="Q45" s="20"/>
      <c r="R45" s="20"/>
      <c r="S45" s="20"/>
      <c r="T45" s="20"/>
      <c r="U45" s="465"/>
      <c r="V45" s="20"/>
      <c r="W45" s="20"/>
      <c r="X45" s="20"/>
      <c r="Y45" s="20"/>
      <c r="Z45" s="20"/>
      <c r="AA45" s="20"/>
      <c r="AB45" s="20"/>
    </row>
    <row r="46" spans="1:28">
      <c r="A46" s="20"/>
      <c r="B46" s="20"/>
      <c r="C46" s="20"/>
      <c r="D46" s="20"/>
      <c r="E46" s="20"/>
      <c r="F46" s="20"/>
      <c r="G46" s="20"/>
      <c r="H46" s="20"/>
      <c r="I46" s="20"/>
      <c r="J46" s="20">
        <v>130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>
      <c r="A47" s="20"/>
      <c r="B47" s="20"/>
      <c r="C47" s="20"/>
      <c r="D47" s="20"/>
      <c r="E47" s="20"/>
      <c r="F47" s="20">
        <v>186.3333333</v>
      </c>
      <c r="G47" s="20"/>
      <c r="H47" s="20"/>
      <c r="I47" s="20"/>
      <c r="J47" s="20">
        <v>676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>
      <c r="A50" s="20"/>
      <c r="B50" s="20"/>
      <c r="C50" s="27" t="s">
        <v>836</v>
      </c>
      <c r="D50" s="27" t="s">
        <v>801</v>
      </c>
      <c r="E50" s="27" t="s">
        <v>824</v>
      </c>
      <c r="F50" s="27" t="s">
        <v>839</v>
      </c>
      <c r="G50" s="27" t="s">
        <v>839</v>
      </c>
      <c r="H50" s="27" t="s">
        <v>839</v>
      </c>
      <c r="I50" s="27" t="s">
        <v>839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>
      <c r="A51" s="20"/>
      <c r="B51" s="6" t="s">
        <v>1201</v>
      </c>
      <c r="C51" s="6" t="s">
        <v>1202</v>
      </c>
      <c r="D51" s="6" t="s">
        <v>1203</v>
      </c>
      <c r="E51" s="6" t="s">
        <v>1204</v>
      </c>
      <c r="F51" s="6" t="s">
        <v>1205</v>
      </c>
      <c r="G51" s="6" t="s">
        <v>1206</v>
      </c>
      <c r="H51" s="6" t="s">
        <v>1207</v>
      </c>
      <c r="I51" s="6" t="s">
        <v>1208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>
      <c r="A52" s="20"/>
      <c r="B52" s="27">
        <v>1</v>
      </c>
      <c r="C52" s="450">
        <v>1</v>
      </c>
      <c r="D52" s="450">
        <v>2</v>
      </c>
      <c r="E52" s="450">
        <v>3</v>
      </c>
      <c r="F52" s="450">
        <v>4</v>
      </c>
      <c r="G52" s="450">
        <v>5</v>
      </c>
      <c r="H52" s="450">
        <v>6</v>
      </c>
      <c r="I52" s="450">
        <v>7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>
      <c r="A53" s="20"/>
      <c r="B53" s="27">
        <v>2</v>
      </c>
      <c r="C53" s="450">
        <v>2</v>
      </c>
      <c r="D53" s="450">
        <v>3</v>
      </c>
      <c r="E53" s="450">
        <v>3</v>
      </c>
      <c r="F53" s="450">
        <v>4</v>
      </c>
      <c r="G53" s="450">
        <v>5</v>
      </c>
      <c r="H53" s="450">
        <v>6</v>
      </c>
      <c r="I53" s="450">
        <v>7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>
      <c r="A54" s="20"/>
      <c r="B54" s="27">
        <v>3</v>
      </c>
      <c r="C54" s="450">
        <v>2</v>
      </c>
      <c r="D54" s="450">
        <v>3</v>
      </c>
      <c r="E54" s="450">
        <v>4</v>
      </c>
      <c r="F54" s="450">
        <v>5</v>
      </c>
      <c r="G54" s="450">
        <v>6</v>
      </c>
      <c r="H54" s="450">
        <v>7</v>
      </c>
      <c r="I54" s="450">
        <v>8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>
      <c r="A55" s="20"/>
      <c r="B55" s="27">
        <v>4</v>
      </c>
      <c r="C55" s="450">
        <v>3</v>
      </c>
      <c r="D55" s="450">
        <v>4</v>
      </c>
      <c r="E55" s="450">
        <v>4</v>
      </c>
      <c r="F55" s="450">
        <v>5</v>
      </c>
      <c r="G55" s="450">
        <v>6</v>
      </c>
      <c r="H55" s="450">
        <v>7</v>
      </c>
      <c r="I55" s="450">
        <v>8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>
      <c r="A56" s="20"/>
      <c r="B56" s="27">
        <v>5</v>
      </c>
      <c r="C56" s="450">
        <v>3</v>
      </c>
      <c r="D56" s="450">
        <v>4</v>
      </c>
      <c r="E56" s="450">
        <v>5</v>
      </c>
      <c r="F56" s="450">
        <v>6</v>
      </c>
      <c r="G56" s="450">
        <v>7</v>
      </c>
      <c r="H56" s="450">
        <v>8</v>
      </c>
      <c r="I56" s="450">
        <v>8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>
      <c r="A57" s="20"/>
      <c r="B57" s="27">
        <v>6</v>
      </c>
      <c r="C57" s="450">
        <v>4</v>
      </c>
      <c r="D57" s="450">
        <v>5</v>
      </c>
      <c r="E57" s="450">
        <v>5</v>
      </c>
      <c r="F57" s="450">
        <v>6</v>
      </c>
      <c r="G57" s="450">
        <v>7</v>
      </c>
      <c r="H57" s="450">
        <v>8</v>
      </c>
      <c r="I57" s="450">
        <v>9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>
      <c r="A58" s="20"/>
      <c r="B58" s="27">
        <v>7</v>
      </c>
      <c r="C58" s="450">
        <v>5</v>
      </c>
      <c r="D58" s="450">
        <v>5</v>
      </c>
      <c r="E58" s="450">
        <v>6</v>
      </c>
      <c r="F58" s="450">
        <v>7</v>
      </c>
      <c r="G58" s="450">
        <v>8</v>
      </c>
      <c r="H58" s="450">
        <v>9</v>
      </c>
      <c r="I58" s="450">
        <v>9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>
      <c r="A59" s="20"/>
      <c r="B59" s="27">
        <v>8</v>
      </c>
      <c r="C59" s="450">
        <v>5</v>
      </c>
      <c r="D59" s="450">
        <v>6</v>
      </c>
      <c r="E59" s="450">
        <v>7</v>
      </c>
      <c r="F59" s="450">
        <v>8</v>
      </c>
      <c r="G59" s="450">
        <v>8</v>
      </c>
      <c r="H59" s="450">
        <v>9</v>
      </c>
      <c r="I59" s="450">
        <v>10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>
      <c r="A60" s="20"/>
      <c r="B60" s="27">
        <v>9</v>
      </c>
      <c r="C60" s="450">
        <v>6</v>
      </c>
      <c r="D60" s="450">
        <v>7</v>
      </c>
      <c r="E60" s="450">
        <v>8</v>
      </c>
      <c r="F60" s="450">
        <v>8</v>
      </c>
      <c r="G60" s="450">
        <v>9</v>
      </c>
      <c r="H60" s="450">
        <v>9</v>
      </c>
      <c r="I60" s="450">
        <v>10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>
      <c r="A61" s="20"/>
      <c r="B61" s="27">
        <v>10</v>
      </c>
      <c r="C61" s="450">
        <v>7</v>
      </c>
      <c r="D61" s="450">
        <v>7</v>
      </c>
      <c r="E61" s="450">
        <v>9</v>
      </c>
      <c r="F61" s="450">
        <v>9</v>
      </c>
      <c r="G61" s="450">
        <v>9</v>
      </c>
      <c r="H61" s="450">
        <v>9</v>
      </c>
      <c r="I61" s="450">
        <v>10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>
      <c r="A62" s="20"/>
      <c r="B62" s="20"/>
      <c r="C62" s="20">
        <v>38</v>
      </c>
      <c r="D62" s="20">
        <v>46</v>
      </c>
      <c r="E62" s="20">
        <v>54</v>
      </c>
      <c r="F62" s="20">
        <v>62</v>
      </c>
      <c r="G62" s="20">
        <v>70</v>
      </c>
      <c r="H62" s="20">
        <v>78</v>
      </c>
      <c r="I62" s="20">
        <v>86</v>
      </c>
      <c r="J62" s="20">
        <v>434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>
      <c r="A63" s="20"/>
      <c r="B63" s="20"/>
      <c r="C63" s="20">
        <v>4560</v>
      </c>
      <c r="D63" s="20">
        <v>5520</v>
      </c>
      <c r="E63" s="20">
        <v>6480</v>
      </c>
      <c r="F63" s="20">
        <v>7440</v>
      </c>
      <c r="G63" s="20">
        <v>8400</v>
      </c>
      <c r="H63" s="20">
        <v>9360</v>
      </c>
      <c r="I63" s="20">
        <v>10320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>
      <c r="A64" s="20"/>
      <c r="B64" s="20"/>
      <c r="C64" s="448">
        <v>2.05</v>
      </c>
      <c r="D64" s="448">
        <v>1.69</v>
      </c>
      <c r="E64" s="448">
        <v>1.44</v>
      </c>
      <c r="F64" s="448">
        <v>1.26</v>
      </c>
      <c r="G64" s="448">
        <v>1.11</v>
      </c>
      <c r="H64" s="448">
        <v>1</v>
      </c>
      <c r="I64" s="448">
        <v>0.91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>
      <c r="A68" s="20"/>
      <c r="B68" s="20"/>
      <c r="C68" s="20">
        <v>476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>
      <c r="A69" s="266"/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</row>
    <row r="70" spans="1:28">
      <c r="A70" s="266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6"/>
      <c r="Z70" s="266"/>
      <c r="AA70" s="266"/>
      <c r="AB70" s="266"/>
    </row>
    <row r="71" spans="1:28">
      <c r="A71" s="266"/>
      <c r="B71" s="266"/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</row>
    <row r="72" spans="1:28">
      <c r="A72" s="266"/>
      <c r="B72" s="266"/>
      <c r="C72" s="269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6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</row>
    <row r="73" spans="1:28">
      <c r="A73" s="266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</row>
    <row r="74" spans="1:28">
      <c r="A74" s="266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  <c r="W74" s="266"/>
      <c r="X74" s="266"/>
      <c r="Y74" s="266"/>
      <c r="Z74" s="266"/>
      <c r="AA74" s="266"/>
      <c r="AB74" s="266"/>
    </row>
    <row r="75" spans="1:28">
      <c r="A75" s="266"/>
      <c r="B75" s="266"/>
      <c r="C75" s="266"/>
      <c r="D75" s="266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66"/>
      <c r="V75" s="266"/>
      <c r="W75" s="266"/>
      <c r="X75" s="266"/>
      <c r="Y75" s="266"/>
      <c r="Z75" s="266"/>
      <c r="AA75" s="266"/>
      <c r="AB75" s="266"/>
    </row>
    <row r="76" spans="1:28">
      <c r="A76" s="266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266"/>
      <c r="W76" s="266"/>
      <c r="X76" s="266"/>
      <c r="Y76" s="266"/>
      <c r="Z76" s="266"/>
      <c r="AA76" s="266"/>
      <c r="AB76" s="266"/>
    </row>
    <row r="77" spans="1:28">
      <c r="A77" s="266"/>
      <c r="B77" s="266"/>
      <c r="C77" s="266"/>
      <c r="D77" s="266"/>
      <c r="E77" s="266"/>
      <c r="F77" s="266"/>
      <c r="G77" s="266"/>
      <c r="H77" s="266"/>
      <c r="I77" s="266"/>
      <c r="J77" s="266"/>
      <c r="K77" s="266"/>
      <c r="L77" s="266"/>
      <c r="M77" s="266"/>
      <c r="N77" s="266"/>
      <c r="O77" s="266"/>
      <c r="P77" s="266"/>
      <c r="Q77" s="266"/>
      <c r="R77" s="266"/>
      <c r="S77" s="266"/>
      <c r="T77" s="266"/>
      <c r="U77" s="266"/>
      <c r="V77" s="266"/>
      <c r="W77" s="266"/>
      <c r="X77" s="266"/>
      <c r="Y77" s="266"/>
      <c r="Z77" s="266"/>
      <c r="AA77" s="266"/>
      <c r="AB77" s="266"/>
    </row>
    <row r="78" spans="1:28">
      <c r="A78" s="266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</row>
    <row r="79" spans="1:28">
      <c r="A79" s="266"/>
      <c r="B79" s="266"/>
      <c r="C79" s="26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  <c r="W79" s="266"/>
      <c r="X79" s="266"/>
      <c r="Y79" s="266"/>
      <c r="Z79" s="266"/>
      <c r="AA79" s="266"/>
      <c r="AB79" s="266"/>
    </row>
    <row r="80" spans="1:28">
      <c r="A80" s="266"/>
      <c r="B80" s="266"/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</row>
    <row r="81" spans="1:28">
      <c r="A81" s="266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  <c r="W81" s="266"/>
      <c r="X81" s="266"/>
      <c r="Y81" s="266"/>
      <c r="Z81" s="266"/>
      <c r="AA81" s="266"/>
      <c r="AB81" s="266"/>
    </row>
    <row r="82" spans="1:28">
      <c r="A82" s="266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</row>
    <row r="83" spans="1:28">
      <c r="A83" s="266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6"/>
      <c r="Z83" s="266"/>
      <c r="AA83" s="266"/>
      <c r="AB83" s="266"/>
    </row>
    <row r="84" spans="1:28">
      <c r="A84" s="266"/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</row>
    <row r="85" spans="1:28">
      <c r="A85" s="266"/>
      <c r="B85" s="266"/>
      <c r="C85" s="266"/>
      <c r="D85" s="266"/>
      <c r="E85" s="266"/>
      <c r="F85" s="266"/>
      <c r="G85" s="266"/>
    </row>
    <row r="86" spans="1:28">
      <c r="A86" s="266"/>
      <c r="B86" s="266"/>
      <c r="C86" s="266"/>
      <c r="D86" s="266"/>
      <c r="E86" s="266"/>
      <c r="F86" s="266"/>
      <c r="G86" s="266"/>
    </row>
    <row r="87" spans="1:28">
      <c r="A87" s="266"/>
      <c r="B87" s="266"/>
      <c r="C87" s="266"/>
      <c r="D87" s="266"/>
      <c r="E87" s="266"/>
      <c r="F87" s="266"/>
      <c r="G87" s="266"/>
    </row>
    <row r="88" spans="1:28">
      <c r="A88" s="266"/>
      <c r="B88" s="266"/>
      <c r="C88" s="266"/>
      <c r="D88" s="266"/>
      <c r="E88" s="266"/>
      <c r="F88" s="266"/>
      <c r="G88" s="266"/>
    </row>
    <row r="89" spans="1:28">
      <c r="A89" s="266"/>
      <c r="B89" s="266"/>
      <c r="C89" s="266"/>
      <c r="D89" s="266"/>
      <c r="E89" s="266"/>
      <c r="F89" s="266"/>
      <c r="G89" s="266"/>
    </row>
    <row r="90" spans="1:28">
      <c r="A90" s="266"/>
      <c r="B90" s="266"/>
      <c r="C90" s="266"/>
      <c r="D90" s="266"/>
      <c r="E90" s="266"/>
      <c r="F90" s="266"/>
      <c r="G90" s="266"/>
    </row>
    <row r="91" spans="1:28">
      <c r="A91" s="266"/>
      <c r="B91" s="266"/>
      <c r="C91" s="266"/>
      <c r="D91" s="266"/>
      <c r="E91" s="266"/>
      <c r="F91" s="266"/>
      <c r="G91" s="266"/>
    </row>
  </sheetData>
  <mergeCells count="5">
    <mergeCell ref="B32:B34"/>
    <mergeCell ref="B36:B38"/>
    <mergeCell ref="C11:C12"/>
    <mergeCell ref="C13:C15"/>
    <mergeCell ref="C16:C19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B2:Y234"/>
  <sheetViews>
    <sheetView topLeftCell="A25" workbookViewId="0">
      <selection activeCell="H24" sqref="H24"/>
    </sheetView>
  </sheetViews>
  <sheetFormatPr defaultColWidth="9" defaultRowHeight="13.5"/>
  <cols>
    <col min="1" max="2" width="9" style="16"/>
    <col min="3" max="12" width="13.625" style="16" customWidth="1"/>
    <col min="13" max="13" width="22.875" style="16" customWidth="1"/>
    <col min="14" max="15" width="12.625" style="16"/>
    <col min="16" max="23" width="9" style="16"/>
    <col min="24" max="25" width="12.625" style="16"/>
    <col min="26" max="16384" width="9" style="16"/>
  </cols>
  <sheetData>
    <row r="2" s="16" customFormat="1" spans="2:12">
      <c r="B2" s="31" t="s">
        <v>907</v>
      </c>
    </row>
    <row r="3" s="16" customFormat="1" spans="2:12">
      <c r="B3" s="16" t="s">
        <v>195</v>
      </c>
      <c r="C3" s="439" t="s">
        <v>908</v>
      </c>
      <c r="D3" s="440"/>
      <c r="E3" s="440"/>
      <c r="F3" s="440"/>
      <c r="G3" s="440"/>
      <c r="H3" s="440"/>
    </row>
    <row r="5" s="16" customFormat="1" spans="2:12">
      <c r="E5" s="16">
        <v>1001</v>
      </c>
      <c r="F5" s="16">
        <f t="shared" ref="F5:J5" si="0">E5+1000</f>
        <v>2001</v>
      </c>
      <c r="G5" s="16">
        <f t="shared" si="0"/>
        <v>3001</v>
      </c>
      <c r="H5" s="16">
        <f t="shared" si="0"/>
        <v>4001</v>
      </c>
      <c r="I5" s="16">
        <f t="shared" si="0"/>
        <v>5001</v>
      </c>
      <c r="J5" s="16">
        <f t="shared" si="0"/>
        <v>6001</v>
      </c>
      <c r="K5" s="16">
        <v>7002</v>
      </c>
      <c r="L5" s="16">
        <v>8001</v>
      </c>
    </row>
    <row r="6" s="16" customFormat="1" spans="2:12">
      <c r="B6" s="16" t="s">
        <v>136</v>
      </c>
      <c r="C6" s="16" t="s">
        <v>566</v>
      </c>
      <c r="D6" s="16" t="s">
        <v>586</v>
      </c>
      <c r="E6" s="16" t="str">
        <f ca="1">_xlfn.XLOOKUP(E5,$C$30:$C$85,$E$30:$E$85)</f>
        <v>梦境招募器</v>
      </c>
      <c r="F6" s="16" t="str">
        <f ca="1" t="shared" ref="E6:L6" si="1">_xlfn.XLOOKUP(F5,$C$30:$C$85,$E$30:$E$85)</f>
        <v>星之初愿</v>
      </c>
      <c r="G6" s="16" t="str">
        <f ca="1" t="shared" si="1"/>
        <v>星辉秘契</v>
      </c>
      <c r="H6" s="16" t="str">
        <f ca="1" t="shared" si="1"/>
        <v>幻梦晶核</v>
      </c>
      <c r="I6" s="16" t="str">
        <f ca="1" t="shared" si="1"/>
        <v>装备图纸</v>
      </c>
      <c r="J6" s="16" t="str">
        <f ca="1" t="shared" si="1"/>
        <v>织梦微尘</v>
      </c>
      <c r="K6" s="16" t="str">
        <f ca="1" t="shared" si="1"/>
        <v>能量特饮</v>
      </c>
      <c r="L6" s="16" t="str">
        <f ca="1" t="shared" si="1"/>
        <v>稀有梦灵</v>
      </c>
    </row>
    <row r="7" s="16" customFormat="1" spans="2:12">
      <c r="B7" s="16">
        <v>1</v>
      </c>
      <c r="C7" s="16">
        <f ca="1">SUMIF($B$30:$B$86,$B7,N$30:N$86)</f>
        <v>11400</v>
      </c>
      <c r="D7" s="16">
        <f ca="1" t="shared" ref="D7:D13" si="2">SUMIF($B$30:$B$86,$B7,O$30:O$86)</f>
        <v>16640</v>
      </c>
      <c r="E7" s="16">
        <v>1001</v>
      </c>
      <c r="F7" s="16">
        <v>2001</v>
      </c>
      <c r="G7" s="16">
        <v>3001</v>
      </c>
      <c r="H7" s="16">
        <v>4001</v>
      </c>
      <c r="I7" s="16">
        <v>5001</v>
      </c>
      <c r="J7" s="16">
        <v>6001</v>
      </c>
      <c r="K7" s="441">
        <v>7002</v>
      </c>
      <c r="L7" s="16">
        <v>8001</v>
      </c>
    </row>
    <row r="8" s="16" customFormat="1" spans="2:12">
      <c r="B8" s="16">
        <v>2</v>
      </c>
      <c r="C8" s="16">
        <f ca="1" t="shared" ref="C7:C13" si="3">SUMIF($B$30:$B$86,$B8,N$30:N$86)</f>
        <v>14160</v>
      </c>
      <c r="D8" s="16">
        <f ca="1" t="shared" si="2"/>
        <v>21936</v>
      </c>
      <c r="E8" s="16">
        <v>1001</v>
      </c>
      <c r="F8" s="16">
        <v>2001</v>
      </c>
      <c r="G8" s="16">
        <v>3001</v>
      </c>
      <c r="H8" s="16">
        <v>4001</v>
      </c>
      <c r="I8" s="441">
        <v>5002</v>
      </c>
      <c r="J8" s="16">
        <v>6001</v>
      </c>
      <c r="K8" s="16">
        <v>7002</v>
      </c>
      <c r="L8" s="16">
        <v>8001</v>
      </c>
    </row>
    <row r="9" s="16" customFormat="1" spans="2:12">
      <c r="B9" s="16">
        <v>3</v>
      </c>
      <c r="C9" s="16">
        <f ca="1" t="shared" si="3"/>
        <v>6600</v>
      </c>
      <c r="D9" s="16">
        <f ca="1" t="shared" si="2"/>
        <v>13520</v>
      </c>
      <c r="E9" s="16">
        <v>1001</v>
      </c>
      <c r="F9" s="16">
        <v>2001</v>
      </c>
      <c r="G9" s="16">
        <v>3001</v>
      </c>
      <c r="H9" s="16">
        <v>4001</v>
      </c>
      <c r="I9" s="16">
        <v>5002</v>
      </c>
      <c r="J9" s="441">
        <v>6002</v>
      </c>
      <c r="K9" s="16">
        <v>7002</v>
      </c>
      <c r="L9" s="16">
        <v>8001</v>
      </c>
    </row>
    <row r="10" s="16" customFormat="1" spans="2:12">
      <c r="B10" s="16">
        <v>4</v>
      </c>
      <c r="C10" s="16">
        <f ca="1" t="shared" si="3"/>
        <v>12600</v>
      </c>
      <c r="D10" s="16">
        <f ca="1" t="shared" si="2"/>
        <v>19320</v>
      </c>
      <c r="E10" s="441">
        <v>1002</v>
      </c>
      <c r="F10" s="16">
        <v>2001</v>
      </c>
      <c r="G10" s="16">
        <v>3001</v>
      </c>
      <c r="H10" s="16">
        <v>4001</v>
      </c>
      <c r="I10" s="16">
        <v>5002</v>
      </c>
      <c r="J10" s="16">
        <v>6002</v>
      </c>
      <c r="K10" s="441">
        <v>7003</v>
      </c>
      <c r="L10" s="16">
        <v>8001</v>
      </c>
    </row>
    <row r="11" s="16" customFormat="1" spans="2:12">
      <c r="B11" s="16">
        <v>5</v>
      </c>
      <c r="C11" s="16">
        <f ca="1" t="shared" si="3"/>
        <v>9960</v>
      </c>
      <c r="D11" s="16">
        <f ca="1" t="shared" si="2"/>
        <v>21696</v>
      </c>
      <c r="E11" s="16">
        <v>1002</v>
      </c>
      <c r="F11" s="16">
        <v>2001</v>
      </c>
      <c r="G11" s="16">
        <v>3001</v>
      </c>
      <c r="H11" s="16">
        <v>4001</v>
      </c>
      <c r="I11" s="16">
        <v>5002</v>
      </c>
      <c r="J11" s="441">
        <v>6003</v>
      </c>
      <c r="K11" s="16">
        <v>7003</v>
      </c>
      <c r="L11" s="16">
        <v>8001</v>
      </c>
    </row>
    <row r="12" s="16" customFormat="1" spans="2:12">
      <c r="B12" s="16">
        <v>6</v>
      </c>
      <c r="C12" s="16">
        <f ca="1" t="shared" si="3"/>
        <v>12360</v>
      </c>
      <c r="D12" s="16">
        <f ca="1" t="shared" si="2"/>
        <v>25536</v>
      </c>
      <c r="E12" s="16">
        <v>1002</v>
      </c>
      <c r="F12" s="16">
        <v>2001</v>
      </c>
      <c r="G12" s="16">
        <v>3001</v>
      </c>
      <c r="H12" s="16">
        <v>4001</v>
      </c>
      <c r="I12" s="441">
        <v>5003</v>
      </c>
      <c r="J12" s="16">
        <v>6003</v>
      </c>
      <c r="K12" s="16">
        <v>7003</v>
      </c>
      <c r="L12" s="16">
        <v>8001</v>
      </c>
    </row>
    <row r="13" s="16" customFormat="1" spans="2:12">
      <c r="B13" s="16">
        <v>7</v>
      </c>
      <c r="C13" s="16">
        <f ca="1" t="shared" si="3"/>
        <v>26060</v>
      </c>
      <c r="D13" s="16">
        <f ca="1" t="shared" si="2"/>
        <v>40856</v>
      </c>
      <c r="E13" s="441">
        <v>1003</v>
      </c>
      <c r="F13" s="16">
        <v>2001</v>
      </c>
      <c r="G13" s="16">
        <v>3001</v>
      </c>
      <c r="H13" s="16">
        <v>4001</v>
      </c>
      <c r="I13" s="16">
        <v>5003</v>
      </c>
      <c r="J13" s="16">
        <v>6003</v>
      </c>
      <c r="K13" s="16">
        <v>7003</v>
      </c>
      <c r="L13" s="16">
        <v>8001</v>
      </c>
    </row>
    <row r="14" s="16" customFormat="1" spans="2:12">
      <c r="C14" s="16">
        <f ca="1">AVERAGE(C7:C12)</f>
        <v>11180</v>
      </c>
      <c r="D14" s="16">
        <f ca="1">AVERAGE(D7:D12)</f>
        <v>19774.6666666667</v>
      </c>
    </row>
    <row r="15" s="16" customFormat="1" spans="2:12">
      <c r="E15" s="16">
        <v>1001</v>
      </c>
      <c r="F15" s="16">
        <f t="shared" ref="F15:J15" si="4">E15+1000</f>
        <v>2001</v>
      </c>
      <c r="G15" s="16">
        <f t="shared" si="4"/>
        <v>3001</v>
      </c>
      <c r="H15" s="16">
        <f t="shared" si="4"/>
        <v>4001</v>
      </c>
      <c r="I15" s="16">
        <f t="shared" si="4"/>
        <v>5001</v>
      </c>
      <c r="J15" s="16">
        <f t="shared" si="4"/>
        <v>6001</v>
      </c>
      <c r="K15" s="16">
        <v>7002</v>
      </c>
      <c r="L15" s="16">
        <v>8001</v>
      </c>
    </row>
    <row r="16" s="16" customFormat="1" spans="2:12">
      <c r="B16" s="16" t="s">
        <v>136</v>
      </c>
      <c r="C16" s="16" t="s">
        <v>566</v>
      </c>
      <c r="D16" s="16" t="s">
        <v>586</v>
      </c>
      <c r="E16" s="16" t="str">
        <f ca="1" t="shared" ref="E16:L16" si="5">_xlfn.XLOOKUP(E15,$C$30:$C$85,$E$30:$E$85)</f>
        <v>梦境招募器</v>
      </c>
      <c r="F16" s="16" t="str">
        <f ca="1" t="shared" si="5"/>
        <v>星之初愿</v>
      </c>
      <c r="G16" s="16" t="str">
        <f ca="1" t="shared" si="5"/>
        <v>星辉秘契</v>
      </c>
      <c r="H16" s="16" t="str">
        <f ca="1" t="shared" si="5"/>
        <v>幻梦晶核</v>
      </c>
      <c r="I16" s="16" t="str">
        <f ca="1" t="shared" si="5"/>
        <v>装备图纸</v>
      </c>
      <c r="J16" s="16" t="str">
        <f ca="1" t="shared" si="5"/>
        <v>织梦微尘</v>
      </c>
      <c r="K16" s="16" t="str">
        <f ca="1" t="shared" si="5"/>
        <v>能量特饮</v>
      </c>
      <c r="L16" s="16" t="str">
        <f ca="1" t="shared" si="5"/>
        <v>稀有梦灵</v>
      </c>
    </row>
    <row r="17" s="16" customFormat="1" spans="2:25">
      <c r="B17" s="16">
        <v>1</v>
      </c>
      <c r="E17" s="16">
        <v>1</v>
      </c>
      <c r="F17" s="16">
        <v>1</v>
      </c>
      <c r="G17" s="16">
        <v>0</v>
      </c>
      <c r="H17" s="16">
        <v>0</v>
      </c>
    </row>
    <row r="18" s="16" customFormat="1" spans="2:25">
      <c r="B18" s="16">
        <v>2</v>
      </c>
      <c r="E18" s="16">
        <v>1</v>
      </c>
      <c r="F18" s="16">
        <v>0</v>
      </c>
      <c r="G18" s="16">
        <v>1</v>
      </c>
      <c r="H18" s="16">
        <v>0</v>
      </c>
    </row>
    <row r="19" s="16" customFormat="1" spans="2:25">
      <c r="B19" s="16">
        <v>3</v>
      </c>
      <c r="E19" s="16">
        <v>0</v>
      </c>
      <c r="F19" s="16">
        <v>1</v>
      </c>
      <c r="G19" s="16">
        <v>0</v>
      </c>
      <c r="H19" s="16">
        <v>0</v>
      </c>
    </row>
    <row r="20" s="16" customFormat="1" spans="2:25">
      <c r="B20" s="16">
        <v>4</v>
      </c>
      <c r="E20" s="16">
        <v>1</v>
      </c>
      <c r="F20" s="16">
        <v>0</v>
      </c>
      <c r="G20" s="16">
        <v>0</v>
      </c>
      <c r="H20" s="16">
        <v>0</v>
      </c>
    </row>
    <row r="21" s="16" customFormat="1" spans="2:25">
      <c r="B21" s="16">
        <v>5</v>
      </c>
      <c r="E21" s="16">
        <v>0</v>
      </c>
      <c r="H21" s="16">
        <v>0</v>
      </c>
    </row>
    <row r="22" s="16" customFormat="1" spans="2:25">
      <c r="B22" s="16">
        <v>6</v>
      </c>
      <c r="E22" s="16">
        <v>0</v>
      </c>
      <c r="H22" s="16">
        <v>0</v>
      </c>
    </row>
    <row r="23" s="16" customFormat="1" spans="2:25">
      <c r="B23" s="16">
        <v>7</v>
      </c>
      <c r="E23" s="16">
        <v>1</v>
      </c>
      <c r="H23" s="16">
        <v>1</v>
      </c>
    </row>
    <row r="28" s="16" customFormat="1" spans="2:25">
      <c r="H28" s="16">
        <v>5</v>
      </c>
      <c r="I28" s="16">
        <f>H28+3</f>
        <v>8</v>
      </c>
      <c r="N28" s="16">
        <v>1</v>
      </c>
      <c r="O28" s="16">
        <v>2</v>
      </c>
    </row>
    <row r="29" s="16" customFormat="1" ht="16.5" spans="2:25">
      <c r="B29" s="442" t="s">
        <v>909</v>
      </c>
      <c r="C29" s="443" t="s">
        <v>641</v>
      </c>
      <c r="D29" s="443" t="s">
        <v>639</v>
      </c>
      <c r="E29" s="443" t="s">
        <v>910</v>
      </c>
      <c r="F29" s="442" t="s">
        <v>642</v>
      </c>
      <c r="G29" s="442" t="s">
        <v>911</v>
      </c>
      <c r="H29" s="442" t="s">
        <v>912</v>
      </c>
      <c r="I29" s="442" t="s">
        <v>913</v>
      </c>
      <c r="J29" s="442" t="s">
        <v>914</v>
      </c>
      <c r="K29" s="442" t="s">
        <v>915</v>
      </c>
      <c r="L29" s="442" t="s">
        <v>916</v>
      </c>
      <c r="M29" s="442" t="s">
        <v>917</v>
      </c>
      <c r="N29" s="442" t="s">
        <v>568</v>
      </c>
      <c r="O29" s="442" t="s">
        <v>586</v>
      </c>
      <c r="P29" s="16" t="s">
        <v>568</v>
      </c>
      <c r="Q29" s="16" t="s">
        <v>586</v>
      </c>
    </row>
    <row r="30" s="16" customFormat="1" spans="2:25">
      <c r="B30" s="16">
        <v>1</v>
      </c>
      <c r="C30" s="16">
        <f ca="1">OFFSET($D$6,B30,COUNTIF($B$29:B30,B30))</f>
        <v>1001</v>
      </c>
      <c r="D30" s="16">
        <v>11</v>
      </c>
      <c r="E30" s="16" t="str">
        <f>_xlfn.XLOOKUP(D30,价值表!D:D,价值表!C:C)</f>
        <v>梦境招募器</v>
      </c>
      <c r="F30" s="16">
        <v>700</v>
      </c>
      <c r="G30" s="41">
        <v>0.5</v>
      </c>
      <c r="H30" s="16">
        <f t="shared" ref="H30:H85" si="6">$F30/10000*6*H$28*(1-$G30)</f>
        <v>1.05</v>
      </c>
      <c r="I30" s="16">
        <f t="shared" ref="I30:I85" si="7">$F30/10000*6*I$28*(1-$G30)</f>
        <v>1.68</v>
      </c>
      <c r="J30" s="16">
        <v>1</v>
      </c>
      <c r="K30" s="16">
        <v>2</v>
      </c>
      <c r="L30" s="16">
        <f ca="1" t="shared" ref="L30:L85" si="8">IF(OFFSET($D$16,B30,MATCH(E30,$E$16:$L$16,0))="","",OFFSET($D$16,B30,MATCH(E30,$E$16:$L$16,0)))</f>
        <v>1</v>
      </c>
      <c r="M30" s="16" t="s">
        <v>566</v>
      </c>
      <c r="N30" s="16" cm="1">
        <f ca="1" t="array" ref="N30">IF(_xlfn.XLOOKUP($M30,$X$30:$X$34,$Y$30:$Y$34)&lt;=MATCH(N$29,$N$29:$O$29,0),SUMPRODUCT(--($C$91:$C$234=$C30),$G$91:$G$234,$J$91:$J$234)/SUMPRODUCT(--($J$91:$J$234&gt;0),$G$91:$G$234,--($C$91:$C$234=$C30))*MIN(H30,$L30),0)</f>
        <v>6000</v>
      </c>
      <c r="O30" s="16" cm="1">
        <f ca="1" t="array" ref="O30">IF(_xlfn.XLOOKUP($M30,$X$30:$X$34,$Y$30:$Y$34)&lt;=MATCH(O$29,$N$29:$O$29,0),SUMPRODUCT(--($C$91:$C$234=$C30),$G$91:$G$234,$J$91:$J$234)/SUMPRODUCT(--($J$91:$J$234&gt;0),$G$91:$G$234,--($C$91:$C$234=$C30))*MIN(I30,$L30),0)</f>
        <v>6000</v>
      </c>
      <c r="P30" s="16" cm="1">
        <f ca="1" t="array" ref="P30">IF(_xlfn.XLOOKUP($M30,$X$30:$X$34,$Y$30:$Y$34)&lt;=MATCH(N$29,$N$29:$O$29,0),SUMPRODUCT(--($C$91:$C$234=$C30),$G$91:$G$234,$F$91:$F$234,--($J$91:$J$234&gt;0))/SUMPRODUCT(--($J$91:$J$234&gt;0),$G$91:$G$234,--($C$91:$C$234=$C30))*MIN(H30,$L30),0)</f>
        <v>5</v>
      </c>
      <c r="Q30" s="16" cm="1">
        <f ca="1" t="array" ref="Q30">IF(_xlfn.XLOOKUP($M30,$X$30:$X$34,$Y$30:$Y$34)&lt;=MATCH(O$29,$N$29:$O$29,0),SUMPRODUCT(--($C$91:$C$234=$C30),$G$91:$G$234,$F$91:$F$234,--($J$91:$J$234&gt;0))/SUMPRODUCT(--($J$91:$J$234&gt;0),$G$91:$G$234,--($C$91:$C$234=$C30))*MIN(I30,$L30),0)</f>
        <v>5</v>
      </c>
      <c r="U30" s="441">
        <v>1001</v>
      </c>
      <c r="V30" s="16" t="str">
        <f ca="1" t="shared" ref="V30:V41" si="9">_xlfn.XLOOKUP(INT(U30/1000)*1000+1,$C$29:$C$85,$E$29:$E$85)</f>
        <v>梦境招募器</v>
      </c>
      <c r="X30" s="16" t="s">
        <v>566</v>
      </c>
      <c r="Y30" s="16">
        <v>1</v>
      </c>
    </row>
    <row r="31" s="16" customFormat="1" spans="2:25">
      <c r="B31" s="16">
        <v>1</v>
      </c>
      <c r="C31" s="16">
        <f ca="1">OFFSET($D$6,B31,COUNTIF($B$29:B31,B31))</f>
        <v>2001</v>
      </c>
      <c r="D31" s="16">
        <v>9</v>
      </c>
      <c r="E31" s="16" t="str">
        <f>_xlfn.XLOOKUP(D31,价值表!D:D,价值表!C:C)</f>
        <v>星之初愿</v>
      </c>
      <c r="F31" s="16">
        <v>600</v>
      </c>
      <c r="G31" s="41">
        <v>0.5</v>
      </c>
      <c r="H31" s="16">
        <f t="shared" si="6"/>
        <v>0.9</v>
      </c>
      <c r="I31" s="16">
        <f t="shared" si="7"/>
        <v>1.44</v>
      </c>
      <c r="J31" s="16">
        <v>1</v>
      </c>
      <c r="K31" s="16">
        <v>2</v>
      </c>
      <c r="L31" s="16">
        <f ca="1" t="shared" si="8"/>
        <v>1</v>
      </c>
      <c r="M31" s="16" t="s">
        <v>566</v>
      </c>
      <c r="N31" s="16" cm="1">
        <f ca="1" t="array" ref="N31">IF(_xlfn.XLOOKUP($M31,$X$30:$X$34,$Y$30:$Y$34)&lt;=MATCH(N$29,$N$29:$O$29,0),SUMPRODUCT(--($C$91:$C$234=$C31),$G$91:$G$234,$J$91:$J$234)/SUMPRODUCT(--($J$91:$J$234&gt;0),$G$91:$G$234,--($C$91:$C$234=$C31))*MIN(H31,$L31),0)</f>
        <v>1800</v>
      </c>
      <c r="O31" s="16" cm="1">
        <f ca="1" t="array" ref="O31">IF(_xlfn.XLOOKUP($M31,$X$30:$X$34,$Y$30:$Y$34)&lt;=MATCH(O$29,$N$29:$O$29,0),SUMPRODUCT(--($C$91:$C$234=$C31),$G$91:$G$234,$J$91:$J$234)/SUMPRODUCT(--($J$91:$J$234&gt;0),$G$91:$G$234,--($C$91:$C$234=$C31))*MIN(I31,$L31),0)</f>
        <v>2000</v>
      </c>
      <c r="P31" s="16" cm="1">
        <f ca="1" t="array" ref="P31">IF(_xlfn.XLOOKUP($M31,$X$30:$X$34,$Y$30:$Y$34)&lt;=MATCH(N$29,$N$29:$O$29,0),SUMPRODUCT(--($C$91:$C$234=$C31),$G$91:$G$234,$F$91:$F$234,--($J$91:$J$234&gt;0))/SUMPRODUCT(--($J$91:$J$234&gt;0),$G$91:$G$234,--($C$91:$C$234=$C31))*MIN(H31,$L31),0)</f>
        <v>0.9</v>
      </c>
      <c r="Q31" s="16" cm="1">
        <f ca="1" t="array" ref="Q31">IF(_xlfn.XLOOKUP($M31,$X$30:$X$34,$Y$30:$Y$34)&lt;=MATCH(O$29,$N$29:$O$29,0),SUMPRODUCT(--($C$91:$C$234=$C31),$G$91:$G$234,$F$91:$F$234,--($J$91:$J$234&gt;0))/SUMPRODUCT(--($J$91:$J$234&gt;0),$G$91:$G$234,--($C$91:$C$234=$C31))*MIN(I31,$L31),0)</f>
        <v>1</v>
      </c>
      <c r="U31" s="441">
        <v>1002</v>
      </c>
      <c r="V31" s="16" t="str">
        <f ca="1" t="shared" si="9"/>
        <v>梦境招募器</v>
      </c>
      <c r="X31" s="16" t="s">
        <v>568</v>
      </c>
      <c r="Y31" s="16">
        <v>1</v>
      </c>
    </row>
    <row r="32" s="16" customFormat="1" spans="2:25">
      <c r="B32" s="16">
        <v>1</v>
      </c>
      <c r="C32" s="16">
        <f ca="1">OFFSET($D$6,B32,COUNTIF($B$29:B32,B32))</f>
        <v>3001</v>
      </c>
      <c r="D32" s="16">
        <v>30</v>
      </c>
      <c r="E32" s="16" t="str">
        <f>_xlfn.XLOOKUP(D32,价值表!D:D,价值表!C:C)</f>
        <v>星辉秘契</v>
      </c>
      <c r="F32" s="16">
        <v>200</v>
      </c>
      <c r="G32" s="41">
        <v>0.5</v>
      </c>
      <c r="H32" s="16">
        <f t="shared" si="6"/>
        <v>0.3</v>
      </c>
      <c r="I32" s="16">
        <f t="shared" si="7"/>
        <v>0.48</v>
      </c>
      <c r="J32" s="16">
        <v>1</v>
      </c>
      <c r="K32" s="16">
        <v>2</v>
      </c>
      <c r="L32" s="16">
        <f ca="1" t="shared" si="8"/>
        <v>0</v>
      </c>
      <c r="M32" s="16" t="s">
        <v>566</v>
      </c>
      <c r="N32" s="16" cm="1">
        <f ca="1" t="array" ref="N32">IF(_xlfn.XLOOKUP($M32,$X$30:$X$34,$Y$30:$Y$34)&lt;=MATCH(N$29,$N$29:$O$29,0),SUMPRODUCT(--($C$91:$C$234=$C32),$G$91:$G$234,$J$91:$J$234)/SUMPRODUCT(--($J$91:$J$234&gt;0),$G$91:$G$234,--($C$91:$C$234=$C32))*MIN(H32,$L32),0)</f>
        <v>0</v>
      </c>
      <c r="O32" s="16" cm="1">
        <f ca="1" t="array" ref="O32">IF(_xlfn.XLOOKUP($M32,$X$30:$X$34,$Y$30:$Y$34)&lt;=MATCH(O$29,$N$29:$O$29,0),SUMPRODUCT(--($C$91:$C$234=$C32),$G$91:$G$234,$J$91:$J$234)/SUMPRODUCT(--($J$91:$J$234&gt;0),$G$91:$G$234,--($C$91:$C$234=$C32))*MIN(I32,$L32),0)</f>
        <v>0</v>
      </c>
      <c r="P32" s="16" cm="1">
        <f ca="1" t="array" ref="P32">IF(_xlfn.XLOOKUP($M32,$X$30:$X$34,$Y$30:$Y$34)&lt;=MATCH(N$29,$N$29:$O$29,0),SUMPRODUCT(--($C$91:$C$234=$C32),$G$91:$G$234,$F$91:$F$234,--($J$91:$J$234&gt;0))/SUMPRODUCT(--($J$91:$J$234&gt;0),$G$91:$G$234,--($C$91:$C$234=$C32))*MIN(H32,$L32),0)</f>
        <v>0</v>
      </c>
      <c r="Q32" s="16" cm="1">
        <f ca="1" t="array" ref="Q32">IF(_xlfn.XLOOKUP($M32,$X$30:$X$34,$Y$30:$Y$34)&lt;=MATCH(O$29,$N$29:$O$29,0),SUMPRODUCT(--($C$91:$C$234=$C32),$G$91:$G$234,$F$91:$F$234,--($J$91:$J$234&gt;0))/SUMPRODUCT(--($J$91:$J$234&gt;0),$G$91:$G$234,--($C$91:$C$234=$C32))*MIN(I32,$L32),0)</f>
        <v>0</v>
      </c>
      <c r="U32" s="441">
        <v>1003</v>
      </c>
      <c r="V32" s="16" t="str">
        <f ca="1" t="shared" si="9"/>
        <v>梦境招募器</v>
      </c>
      <c r="X32" s="16" t="s">
        <v>577</v>
      </c>
      <c r="Y32" s="16">
        <v>1</v>
      </c>
    </row>
    <row r="33" s="16" customFormat="1" spans="2:25">
      <c r="B33" s="16">
        <v>1</v>
      </c>
      <c r="C33" s="16">
        <f ca="1">OFFSET($D$6,B33,COUNTIF($B$29:B33,B33))</f>
        <v>4001</v>
      </c>
      <c r="D33" s="16">
        <v>5305001</v>
      </c>
      <c r="E33" s="16" t="str">
        <f>_xlfn.XLOOKUP(D33,价值表!D:D,价值表!C:C)</f>
        <v>幻梦晶核</v>
      </c>
      <c r="F33" s="16">
        <v>300</v>
      </c>
      <c r="G33" s="41">
        <v>0.5</v>
      </c>
      <c r="H33" s="16">
        <f t="shared" si="6"/>
        <v>0.45</v>
      </c>
      <c r="I33" s="16">
        <f t="shared" si="7"/>
        <v>0.72</v>
      </c>
      <c r="J33" s="16">
        <v>1</v>
      </c>
      <c r="K33" s="16">
        <v>2</v>
      </c>
      <c r="L33" s="16">
        <f ca="1" t="shared" si="8"/>
        <v>0</v>
      </c>
      <c r="M33" s="16" t="s">
        <v>566</v>
      </c>
      <c r="N33" s="16" cm="1">
        <f ca="1" t="array" ref="N33">IF(_xlfn.XLOOKUP($M33,$X$30:$X$34,$Y$30:$Y$34)&lt;=MATCH(N$29,$N$29:$O$29,0),SUMPRODUCT(--($C$91:$C$234=$C33),$G$91:$G$234,$J$91:$J$234)/SUMPRODUCT(--($J$91:$J$234&gt;0),$G$91:$G$234,--($C$91:$C$234=$C33))*MIN(H33,$L33),0)</f>
        <v>0</v>
      </c>
      <c r="O33" s="16" cm="1">
        <f ca="1" t="array" ref="O33">IF(_xlfn.XLOOKUP($M33,$X$30:$X$34,$Y$30:$Y$34)&lt;=MATCH(O$29,$N$29:$O$29,0),SUMPRODUCT(--($C$91:$C$234=$C33),$G$91:$G$234,$J$91:$J$234)/SUMPRODUCT(--($J$91:$J$234&gt;0),$G$91:$G$234,--($C$91:$C$234=$C33))*MIN(I33,$L33),0)</f>
        <v>0</v>
      </c>
      <c r="P33" s="16" cm="1">
        <f ca="1" t="array" ref="P33">IF(_xlfn.XLOOKUP($M33,$X$30:$X$34,$Y$30:$Y$34)&lt;=MATCH(N$29,$N$29:$O$29,0),SUMPRODUCT(--($C$91:$C$234=$C33),$G$91:$G$234,$F$91:$F$234,--($J$91:$J$234&gt;0))/SUMPRODUCT(--($J$91:$J$234&gt;0),$G$91:$G$234,--($C$91:$C$234=$C33))*MIN(H33,$L33),0)</f>
        <v>0</v>
      </c>
      <c r="Q33" s="16" cm="1">
        <f ca="1" t="array" ref="Q33">IF(_xlfn.XLOOKUP($M33,$X$30:$X$34,$Y$30:$Y$34)&lt;=MATCH(O$29,$N$29:$O$29,0),SUMPRODUCT(--($C$91:$C$234=$C33),$G$91:$G$234,$F$91:$F$234,--($J$91:$J$234&gt;0))/SUMPRODUCT(--($J$91:$J$234&gt;0),$G$91:$G$234,--($C$91:$C$234=$C33))*MIN(I33,$L33),0)</f>
        <v>0</v>
      </c>
      <c r="U33" s="16">
        <v>2001</v>
      </c>
      <c r="V33" s="16" t="str">
        <f ca="1" t="shared" si="9"/>
        <v>星之初愿</v>
      </c>
      <c r="X33" s="16" t="s">
        <v>586</v>
      </c>
      <c r="Y33" s="16">
        <v>2</v>
      </c>
    </row>
    <row r="34" s="16" customFormat="1" spans="2:25">
      <c r="B34" s="16">
        <v>1</v>
      </c>
      <c r="C34" s="16">
        <f ca="1">OFFSET($D$6,B34,COUNTIF($B$29:B34,B34))</f>
        <v>5001</v>
      </c>
      <c r="D34" s="16">
        <v>50002</v>
      </c>
      <c r="E34" s="16" t="str">
        <f>_xlfn.XLOOKUP(D34,价值表!D:D,价值表!C:C)</f>
        <v>装备图纸</v>
      </c>
      <c r="F34" s="16">
        <v>2400</v>
      </c>
      <c r="G34" s="41">
        <v>0.5</v>
      </c>
      <c r="H34" s="16">
        <f t="shared" si="6"/>
        <v>3.6</v>
      </c>
      <c r="I34" s="16">
        <f t="shared" si="7"/>
        <v>5.76</v>
      </c>
      <c r="J34" s="16">
        <v>1</v>
      </c>
      <c r="K34" s="16">
        <v>2</v>
      </c>
      <c r="L34" s="16" t="str">
        <f ca="1" t="shared" si="8"/>
        <v/>
      </c>
      <c r="M34" s="16" t="s">
        <v>566</v>
      </c>
      <c r="N34" s="16" cm="1">
        <f ca="1" t="array" ref="N34">IF(_xlfn.XLOOKUP($M34,$X$30:$X$34,$Y$30:$Y$34)&lt;=MATCH(N$29,$N$29:$O$29,0),SUMPRODUCT(--($C$91:$C$234=$C34),$G$91:$G$234,$J$91:$J$234)/SUMPRODUCT(--($J$91:$J$234&gt;0),$G$91:$G$234,--($C$91:$C$234=$C34))*MIN(H34,$L34),0)</f>
        <v>3600</v>
      </c>
      <c r="O34" s="16" cm="1">
        <f ca="1" t="array" ref="O34">IF(_xlfn.XLOOKUP($M34,$X$30:$X$34,$Y$30:$Y$34)&lt;=MATCH(O$29,$N$29:$O$29,0),SUMPRODUCT(--($C$91:$C$234=$C34),$G$91:$G$234,$J$91:$J$234)/SUMPRODUCT(--($J$91:$J$234&gt;0),$G$91:$G$234,--($C$91:$C$234=$C34))*MIN(I34,$L34),0)</f>
        <v>5760</v>
      </c>
      <c r="P34" s="16" cm="1">
        <f ca="1" t="array" ref="P34">IF(_xlfn.XLOOKUP($M34,$X$30:$X$34,$Y$30:$Y$34)&lt;=MATCH(N$29,$N$29:$O$29,0),SUMPRODUCT(--($C$91:$C$234=$C34),$G$91:$G$234,$F$91:$F$234,--($J$91:$J$234&gt;0))/SUMPRODUCT(--($J$91:$J$234&gt;0),$G$91:$G$234,--($C$91:$C$234=$C34))*MIN(H34,$L34),0)</f>
        <v>36</v>
      </c>
      <c r="Q34" s="16" cm="1">
        <f ca="1" t="array" ref="Q34">IF(_xlfn.XLOOKUP($M34,$X$30:$X$34,$Y$30:$Y$34)&lt;=MATCH(O$29,$N$29:$O$29,0),SUMPRODUCT(--($C$91:$C$234=$C34),$G$91:$G$234,$F$91:$F$234,--($J$91:$J$234&gt;0))/SUMPRODUCT(--($J$91:$J$234&gt;0),$G$91:$G$234,--($C$91:$C$234=$C34))*MIN(I34,$L34),0)</f>
        <v>57.6</v>
      </c>
      <c r="U34" s="16">
        <v>3001</v>
      </c>
      <c r="V34" s="16" t="str">
        <f ca="1" t="shared" si="9"/>
        <v>星辉秘契</v>
      </c>
      <c r="X34" s="16" t="s">
        <v>591</v>
      </c>
      <c r="Y34" s="16">
        <v>3</v>
      </c>
    </row>
    <row r="35" s="16" customFormat="1" spans="2:25">
      <c r="B35" s="16">
        <v>1</v>
      </c>
      <c r="C35" s="16">
        <f ca="1">OFFSET($D$6,B35,COUNTIF($B$29:B35,B35))</f>
        <v>6001</v>
      </c>
      <c r="D35" s="16">
        <v>5203001</v>
      </c>
      <c r="E35" s="16" t="str">
        <f>_xlfn.XLOOKUP(D35,价值表!D:D,价值表!C:C)</f>
        <v>织梦微尘</v>
      </c>
      <c r="F35" s="16">
        <v>600</v>
      </c>
      <c r="G35" s="41">
        <v>0.5</v>
      </c>
      <c r="H35" s="16">
        <f t="shared" si="6"/>
        <v>0.9</v>
      </c>
      <c r="I35" s="16">
        <f t="shared" si="7"/>
        <v>1.44</v>
      </c>
      <c r="J35" s="16">
        <v>1</v>
      </c>
      <c r="K35" s="16">
        <v>2</v>
      </c>
      <c r="L35" s="16" t="str">
        <f ca="1" t="shared" si="8"/>
        <v/>
      </c>
      <c r="M35" s="16" t="s">
        <v>586</v>
      </c>
      <c r="N35" s="16" cm="1">
        <f ca="1" t="array" ref="N35">IF(_xlfn.XLOOKUP($M35,$X$30:$X$34,$Y$30:$Y$34)&lt;=MATCH(N$29,$N$29:$O$29,0),SUMPRODUCT(--($C$91:$C$234=$C35),$G$91:$G$234,$J$91:$J$234)/SUMPRODUCT(--($J$91:$J$234&gt;0),$G$91:$G$234,--($C$91:$C$234=$C35))*MIN(H35,$L35),0)</f>
        <v>0</v>
      </c>
      <c r="O35" s="16" cm="1">
        <f ca="1" t="array" ref="O35">IF(_xlfn.XLOOKUP($M35,$X$30:$X$34,$Y$30:$Y$34)&lt;=MATCH(O$29,$N$29:$O$29,0),SUMPRODUCT(--($C$91:$C$234=$C35),$G$91:$G$234,$J$91:$J$234)/SUMPRODUCT(--($J$91:$J$234&gt;0),$G$91:$G$234,--($C$91:$C$234=$C35))*MIN(I35,$L35),0)</f>
        <v>2880</v>
      </c>
      <c r="P35" s="16" cm="1">
        <f ca="1" t="array" ref="P35">IF(_xlfn.XLOOKUP($M35,$X$30:$X$34,$Y$30:$Y$34)&lt;=MATCH(N$29,$N$29:$O$29,0),SUMPRODUCT(--($C$91:$C$234=$C35),$G$91:$G$234,$F$91:$F$234,--($J$91:$J$234&gt;0))/SUMPRODUCT(--($J$91:$J$234&gt;0),$G$91:$G$234,--($C$91:$C$234=$C35))*MIN(H35,$L35),0)</f>
        <v>0</v>
      </c>
      <c r="Q35" s="16" cm="1">
        <f ca="1" t="array" ref="Q35">IF(_xlfn.XLOOKUP($M35,$X$30:$X$34,$Y$30:$Y$34)&lt;=MATCH(O$29,$N$29:$O$29,0),SUMPRODUCT(--($C$91:$C$234=$C35),$G$91:$G$234,$F$91:$F$234,--($J$91:$J$234&gt;0))/SUMPRODUCT(--($J$91:$J$234&gt;0),$G$91:$G$234,--($C$91:$C$234=$C35))*MIN(I35,$L35),0)</f>
        <v>14.4</v>
      </c>
      <c r="U35" s="16">
        <v>4001</v>
      </c>
      <c r="V35" s="16" t="str">
        <f ca="1" t="shared" si="9"/>
        <v>幻梦晶核</v>
      </c>
    </row>
    <row r="36" s="16" customFormat="1" spans="2:25">
      <c r="B36" s="16">
        <v>1</v>
      </c>
      <c r="C36" s="16">
        <f ca="1">OFFSET($D$6,B36,COUNTIF($B$29:B36,B36))</f>
        <v>7002</v>
      </c>
      <c r="D36" s="16">
        <v>5103001</v>
      </c>
      <c r="E36" s="16" t="str">
        <f>_xlfn.XLOOKUP(D36,价值表!D:D,价值表!C:C)</f>
        <v>能量特饮</v>
      </c>
      <c r="F36" s="16">
        <v>2000</v>
      </c>
      <c r="G36" s="41">
        <v>0.5</v>
      </c>
      <c r="H36" s="16">
        <f t="shared" si="6"/>
        <v>3</v>
      </c>
      <c r="I36" s="16">
        <f t="shared" si="7"/>
        <v>4.8</v>
      </c>
      <c r="J36" s="16">
        <v>1</v>
      </c>
      <c r="K36" s="16">
        <v>2</v>
      </c>
      <c r="L36" s="16" t="str">
        <f ca="1" t="shared" si="8"/>
        <v/>
      </c>
      <c r="M36" s="16" t="s">
        <v>591</v>
      </c>
      <c r="N36" s="16" cm="1">
        <f ca="1" t="array" ref="N36">IF(_xlfn.XLOOKUP($M36,$X$30:$X$34,$Y$30:$Y$34)&lt;=MATCH(N$29,$N$29:$O$29,0),SUMPRODUCT(--($C$91:$C$234=$C36),$G$91:$G$234,$J$91:$J$234)/SUMPRODUCT(--($J$91:$J$234&gt;0),$G$91:$G$234,--($C$91:$C$234=$C36))*MIN(H36,$L36),0)</f>
        <v>0</v>
      </c>
      <c r="O36" s="16" cm="1">
        <f ca="1" t="array" ref="O36">IF(_xlfn.XLOOKUP($M36,$X$30:$X$34,$Y$30:$Y$34)&lt;=MATCH(O$29,$N$29:$O$29,0),SUMPRODUCT(--($C$91:$C$234=$C36),$G$91:$G$234,$J$91:$J$234)/SUMPRODUCT(--($J$91:$J$234&gt;0),$G$91:$G$234,--($C$91:$C$234=$C36))*MIN(I36,$L36),0)</f>
        <v>0</v>
      </c>
      <c r="P36" s="16" cm="1">
        <f ca="1" t="array" ref="P36">IF(_xlfn.XLOOKUP($M36,$X$30:$X$34,$Y$30:$Y$34)&lt;=MATCH(N$29,$N$29:$O$29,0),SUMPRODUCT(--($C$91:$C$234=$C36),$G$91:$G$234,$F$91:$F$234,--($J$91:$J$234&gt;0))/SUMPRODUCT(--($J$91:$J$234&gt;0),$G$91:$G$234,--($C$91:$C$234=$C36))*MIN(H36,$L36),0)</f>
        <v>0</v>
      </c>
      <c r="Q36" s="16" cm="1">
        <f ca="1" t="array" ref="Q36">IF(_xlfn.XLOOKUP($M36,$X$30:$X$34,$Y$30:$Y$34)&lt;=MATCH(O$29,$N$29:$O$29,0),SUMPRODUCT(--($C$91:$C$234=$C36),$G$91:$G$234,$F$91:$F$234,--($J$91:$J$234&gt;0))/SUMPRODUCT(--($J$91:$J$234&gt;0),$G$91:$G$234,--($C$91:$C$234=$C36))*MIN(I36,$L36),0)</f>
        <v>0</v>
      </c>
      <c r="U36" s="444">
        <v>5001</v>
      </c>
      <c r="V36" s="16" t="str">
        <f ca="1" t="shared" si="9"/>
        <v>装备图纸</v>
      </c>
    </row>
    <row r="37" s="16" customFormat="1" spans="2:25">
      <c r="B37" s="16">
        <v>1</v>
      </c>
      <c r="C37" s="16">
        <f ca="1">OFFSET($D$6,B37,COUNTIF($B$29:B37,B37))</f>
        <v>8001</v>
      </c>
      <c r="D37" s="16">
        <v>1310100</v>
      </c>
      <c r="E37" s="16" t="str">
        <f>_xlfn.XLOOKUP(D37,价值表!D:D,价值表!C:C)</f>
        <v>稀有梦灵</v>
      </c>
      <c r="F37" s="16">
        <v>3200</v>
      </c>
      <c r="G37" s="41">
        <v>0.5</v>
      </c>
      <c r="H37" s="16">
        <f t="shared" si="6"/>
        <v>4.8</v>
      </c>
      <c r="I37" s="16">
        <f t="shared" si="7"/>
        <v>7.68</v>
      </c>
      <c r="J37" s="16">
        <v>1</v>
      </c>
      <c r="K37" s="16">
        <v>2</v>
      </c>
      <c r="L37" s="16" t="str">
        <f ca="1" t="shared" si="8"/>
        <v/>
      </c>
      <c r="M37" s="16" t="s">
        <v>591</v>
      </c>
      <c r="N37" s="16" cm="1">
        <f ca="1" t="array" ref="N37">IF(_xlfn.XLOOKUP($M37,$X$30:$X$34,$Y$30:$Y$34)&lt;=MATCH(N$29,$N$29:$O$29,0),SUMPRODUCT(--($C$91:$C$234=$C37),$G$91:$G$234,$J$91:$J$234)/SUMPRODUCT(--($J$91:$J$234&gt;0),$G$91:$G$234,--($C$91:$C$234=$C37))*MIN(H37,$L37),0)</f>
        <v>0</v>
      </c>
      <c r="O37" s="16" cm="1">
        <f ca="1" t="array" ref="O37">IF(_xlfn.XLOOKUP($M37,$X$30:$X$34,$Y$30:$Y$34)&lt;=MATCH(O$29,$N$29:$O$29,0),SUMPRODUCT(--($C$91:$C$234=$C37),$G$91:$G$234,$J$91:$J$234)/SUMPRODUCT(--($J$91:$J$234&gt;0),$G$91:$G$234,--($C$91:$C$234=$C37))*MIN(I37,$L37),0)</f>
        <v>0</v>
      </c>
      <c r="P37" s="16" cm="1">
        <f ca="1" t="array" ref="P37">IF(_xlfn.XLOOKUP($M37,$X$30:$X$34,$Y$30:$Y$34)&lt;=MATCH(N$29,$N$29:$O$29,0),SUMPRODUCT(--($C$91:$C$234=$C37),$G$91:$G$234,$F$91:$F$234,--($J$91:$J$234&gt;0))/SUMPRODUCT(--($J$91:$J$234&gt;0),$G$91:$G$234,--($C$91:$C$234=$C37))*MIN(H37,$L37),0)</f>
        <v>0</v>
      </c>
      <c r="Q37" s="16" cm="1">
        <f ca="1" t="array" ref="Q37">IF(_xlfn.XLOOKUP($M37,$X$30:$X$34,$Y$30:$Y$34)&lt;=MATCH(O$29,$N$29:$O$29,0),SUMPRODUCT(--($C$91:$C$234=$C37),$G$91:$G$234,$F$91:$F$234,--($J$91:$J$234&gt;0))/SUMPRODUCT(--($J$91:$J$234&gt;0),$G$91:$G$234,--($C$91:$C$234=$C37))*MIN(I37,$L37),0)</f>
        <v>0</v>
      </c>
      <c r="U37" s="445">
        <v>5002</v>
      </c>
      <c r="V37" s="16" t="str">
        <f ca="1" t="shared" si="9"/>
        <v>装备图纸</v>
      </c>
    </row>
    <row r="38" s="16" customFormat="1" spans="2:25">
      <c r="B38" s="16">
        <f t="shared" ref="B38:B85" si="10">B30+1</f>
        <v>2</v>
      </c>
      <c r="C38" s="16">
        <f ca="1">OFFSET($D$6,B38,COUNTIF($B$29:B38,B38))</f>
        <v>1001</v>
      </c>
      <c r="D38" s="16">
        <v>11</v>
      </c>
      <c r="E38" s="16" t="str">
        <f>_xlfn.XLOOKUP(D38,价值表!D:D,价值表!C:C)</f>
        <v>梦境招募器</v>
      </c>
      <c r="F38" s="16">
        <v>700</v>
      </c>
      <c r="G38" s="41">
        <v>0.5</v>
      </c>
      <c r="H38" s="16">
        <f t="shared" si="6"/>
        <v>1.05</v>
      </c>
      <c r="I38" s="16">
        <f t="shared" si="7"/>
        <v>1.68</v>
      </c>
      <c r="J38" s="16">
        <v>1</v>
      </c>
      <c r="K38" s="16">
        <v>2</v>
      </c>
      <c r="L38" s="16">
        <f ca="1" t="shared" si="8"/>
        <v>1</v>
      </c>
      <c r="M38" s="16" t="s">
        <v>566</v>
      </c>
      <c r="N38" s="16" cm="1">
        <f ca="1" t="array" ref="N38">IF(_xlfn.XLOOKUP($M38,$X$30:$X$34,$Y$30:$Y$34)&lt;=MATCH(N$29,$N$29:$O$29,0),SUMPRODUCT(--($C$91:$C$234=$C38),$G$91:$G$234,$J$91:$J$234)/SUMPRODUCT(--($J$91:$J$234&gt;0),$G$91:$G$234,--($C$91:$C$234=$C38))*MIN(H38,$L38),0)</f>
        <v>6000</v>
      </c>
      <c r="O38" s="16" cm="1">
        <f ca="1" t="array" ref="O38">IF(_xlfn.XLOOKUP($M38,$X$30:$X$34,$Y$30:$Y$34)&lt;=MATCH(O$29,$N$29:$O$29,0),SUMPRODUCT(--($C$91:$C$234=$C38),$G$91:$G$234,$J$91:$J$234)/SUMPRODUCT(--($J$91:$J$234&gt;0),$G$91:$G$234,--($C$91:$C$234=$C38))*MIN(I38,$L38),0)</f>
        <v>6000</v>
      </c>
      <c r="P38" s="16" cm="1">
        <f ca="1" t="array" ref="P38">IF(_xlfn.XLOOKUP($M38,$X$30:$X$34,$Y$30:$Y$34)&lt;=MATCH(N$29,$N$29:$O$29,0),SUMPRODUCT(--($C$91:$C$234=$C38),$G$91:$G$234,$F$91:$F$234,--($J$91:$J$234&gt;0))/SUMPRODUCT(--($J$91:$J$234&gt;0),$G$91:$G$234,--($C$91:$C$234=$C38))*MIN(H38,$L38),0)</f>
        <v>5</v>
      </c>
      <c r="Q38" s="16" cm="1">
        <f ca="1" t="array" ref="Q38">IF(_xlfn.XLOOKUP($M38,$X$30:$X$34,$Y$30:$Y$34)&lt;=MATCH(O$29,$N$29:$O$29,0),SUMPRODUCT(--($C$91:$C$234=$C38),$G$91:$G$234,$F$91:$F$234,--($J$91:$J$234&gt;0))/SUMPRODUCT(--($J$91:$J$234&gt;0),$G$91:$G$234,--($C$91:$C$234=$C38))*MIN(I38,$L38),0)</f>
        <v>5</v>
      </c>
      <c r="U38" s="441">
        <v>5003</v>
      </c>
      <c r="V38" s="16" t="str">
        <f ca="1" t="shared" si="9"/>
        <v>装备图纸</v>
      </c>
    </row>
    <row r="39" s="16" customFormat="1" spans="2:25">
      <c r="B39" s="16">
        <f t="shared" si="10"/>
        <v>2</v>
      </c>
      <c r="C39" s="16">
        <f ca="1">OFFSET($D$6,B39,COUNTIF($B$29:B39,B39))</f>
        <v>2001</v>
      </c>
      <c r="D39" s="16">
        <v>9</v>
      </c>
      <c r="E39" s="16" t="str">
        <f>_xlfn.XLOOKUP(D39,价值表!D:D,价值表!C:C)</f>
        <v>星之初愿</v>
      </c>
      <c r="F39" s="16">
        <v>600</v>
      </c>
      <c r="G39" s="41">
        <v>0.5</v>
      </c>
      <c r="H39" s="16">
        <f t="shared" si="6"/>
        <v>0.9</v>
      </c>
      <c r="I39" s="16">
        <f t="shared" si="7"/>
        <v>1.44</v>
      </c>
      <c r="J39" s="16">
        <v>1</v>
      </c>
      <c r="K39" s="16">
        <v>2</v>
      </c>
      <c r="L39" s="16">
        <f ca="1" t="shared" si="8"/>
        <v>0</v>
      </c>
      <c r="M39" s="16" t="s">
        <v>566</v>
      </c>
      <c r="N39" s="16" cm="1">
        <f ca="1" t="array" ref="N39">IF(_xlfn.XLOOKUP($M39,$X$30:$X$34,$Y$30:$Y$34)&lt;=MATCH(N$29,$N$29:$O$29,0),SUMPRODUCT(--($C$91:$C$234=$C39),$G$91:$G$234,$J$91:$J$234)/SUMPRODUCT(--($J$91:$J$234&gt;0),$G$91:$G$234,--($C$91:$C$234=$C39))*MIN(H39,$L39),0)</f>
        <v>0</v>
      </c>
      <c r="O39" s="16" cm="1">
        <f ca="1" t="array" ref="O39">IF(_xlfn.XLOOKUP($M39,$X$30:$X$34,$Y$30:$Y$34)&lt;=MATCH(O$29,$N$29:$O$29,0),SUMPRODUCT(--($C$91:$C$234=$C39),$G$91:$G$234,$J$91:$J$234)/SUMPRODUCT(--($J$91:$J$234&gt;0),$G$91:$G$234,--($C$91:$C$234=$C39))*MIN(I39,$L39),0)</f>
        <v>0</v>
      </c>
      <c r="P39" s="16" cm="1">
        <f ca="1" t="array" ref="P39">IF(_xlfn.XLOOKUP($M39,$X$30:$X$34,$Y$30:$Y$34)&lt;=MATCH(N$29,$N$29:$O$29,0),SUMPRODUCT(--($C$91:$C$234=$C39),$G$91:$G$234,$F$91:$F$234,--($J$91:$J$234&gt;0))/SUMPRODUCT(--($J$91:$J$234&gt;0),$G$91:$G$234,--($C$91:$C$234=$C39))*MIN(H39,$L39),0)</f>
        <v>0</v>
      </c>
      <c r="Q39" s="16" cm="1">
        <f ca="1" t="array" ref="Q39">IF(_xlfn.XLOOKUP($M39,$X$30:$X$34,$Y$30:$Y$34)&lt;=MATCH(O$29,$N$29:$O$29,0),SUMPRODUCT(--($C$91:$C$234=$C39),$G$91:$G$234,$F$91:$F$234,--($J$91:$J$234&gt;0))/SUMPRODUCT(--($J$91:$J$234&gt;0),$G$91:$G$234,--($C$91:$C$234=$C39))*MIN(I39,$L39),0)</f>
        <v>0</v>
      </c>
      <c r="U39" s="441">
        <v>6001</v>
      </c>
      <c r="V39" s="16" t="str">
        <f ca="1" t="shared" si="9"/>
        <v>织梦微尘</v>
      </c>
    </row>
    <row r="40" s="16" customFormat="1" spans="2:25">
      <c r="B40" s="16">
        <f t="shared" si="10"/>
        <v>2</v>
      </c>
      <c r="C40" s="16">
        <f ca="1">OFFSET($D$6,B40,COUNTIF($B$29:B40,B40))</f>
        <v>3001</v>
      </c>
      <c r="D40" s="16">
        <v>30</v>
      </c>
      <c r="E40" s="16" t="str">
        <f>_xlfn.XLOOKUP(D40,价值表!D:D,价值表!C:C)</f>
        <v>星辉秘契</v>
      </c>
      <c r="F40" s="16">
        <v>200</v>
      </c>
      <c r="G40" s="41">
        <v>0.5</v>
      </c>
      <c r="H40" s="16">
        <f t="shared" si="6"/>
        <v>0.3</v>
      </c>
      <c r="I40" s="16">
        <f t="shared" si="7"/>
        <v>0.48</v>
      </c>
      <c r="J40" s="16">
        <v>1</v>
      </c>
      <c r="K40" s="16">
        <v>2</v>
      </c>
      <c r="L40" s="16">
        <f ca="1" t="shared" si="8"/>
        <v>1</v>
      </c>
      <c r="M40" s="16" t="s">
        <v>566</v>
      </c>
      <c r="N40" s="16" cm="1">
        <f ca="1" t="array" ref="N40">IF(_xlfn.XLOOKUP($M40,$X$30:$X$34,$Y$30:$Y$34)&lt;=MATCH(N$29,$N$29:$O$29,0),SUMPRODUCT(--($C$91:$C$234=$C40),$G$91:$G$234,$J$91:$J$234)/SUMPRODUCT(--($J$91:$J$234&gt;0),$G$91:$G$234,--($C$91:$C$234=$C40))*MIN(H40,$L40),0)</f>
        <v>3360</v>
      </c>
      <c r="O40" s="16" cm="1">
        <f ca="1" t="array" ref="O40">IF(_xlfn.XLOOKUP($M40,$X$30:$X$34,$Y$30:$Y$34)&lt;=MATCH(O$29,$N$29:$O$29,0),SUMPRODUCT(--($C$91:$C$234=$C40),$G$91:$G$234,$J$91:$J$234)/SUMPRODUCT(--($J$91:$J$234&gt;0),$G$91:$G$234,--($C$91:$C$234=$C40))*MIN(I40,$L40),0)</f>
        <v>5376</v>
      </c>
      <c r="P40" s="16" cm="1">
        <f ca="1" t="array" ref="P40">IF(_xlfn.XLOOKUP($M40,$X$30:$X$34,$Y$30:$Y$34)&lt;=MATCH(N$29,$N$29:$O$29,0),SUMPRODUCT(--($C$91:$C$234=$C40),$G$91:$G$234,$F$91:$F$234,--($J$91:$J$234&gt;0))/SUMPRODUCT(--($J$91:$J$234&gt;0),$G$91:$G$234,--($C$91:$C$234=$C40))*MIN(H40,$L40),0)</f>
        <v>0.3</v>
      </c>
      <c r="Q40" s="16" cm="1">
        <f ca="1" t="array" ref="Q40">IF(_xlfn.XLOOKUP($M40,$X$30:$X$34,$Y$30:$Y$34)&lt;=MATCH(O$29,$N$29:$O$29,0),SUMPRODUCT(--($C$91:$C$234=$C40),$G$91:$G$234,$F$91:$F$234,--($J$91:$J$234&gt;0))/SUMPRODUCT(--($J$91:$J$234&gt;0),$G$91:$G$234,--($C$91:$C$234=$C40))*MIN(I40,$L40),0)</f>
        <v>0.48</v>
      </c>
      <c r="U40" s="441">
        <v>6002</v>
      </c>
      <c r="V40" s="16" t="str">
        <f ca="1" t="shared" si="9"/>
        <v>织梦微尘</v>
      </c>
    </row>
    <row r="41" s="16" customFormat="1" spans="2:25">
      <c r="B41" s="16">
        <f t="shared" si="10"/>
        <v>2</v>
      </c>
      <c r="C41" s="16">
        <f ca="1">OFFSET($D$6,B41,COUNTIF($B$29:B41,B41))</f>
        <v>4001</v>
      </c>
      <c r="D41" s="16">
        <v>5305001</v>
      </c>
      <c r="E41" s="16" t="str">
        <f>_xlfn.XLOOKUP(D41,价值表!D:D,价值表!C:C)</f>
        <v>幻梦晶核</v>
      </c>
      <c r="F41" s="16">
        <v>300</v>
      </c>
      <c r="G41" s="41">
        <v>0.5</v>
      </c>
      <c r="H41" s="16">
        <f t="shared" si="6"/>
        <v>0.45</v>
      </c>
      <c r="I41" s="16">
        <f t="shared" si="7"/>
        <v>0.72</v>
      </c>
      <c r="J41" s="16">
        <v>1</v>
      </c>
      <c r="K41" s="16">
        <v>2</v>
      </c>
      <c r="L41" s="16">
        <f ca="1" t="shared" si="8"/>
        <v>0</v>
      </c>
      <c r="M41" s="16" t="s">
        <v>566</v>
      </c>
      <c r="N41" s="16" cm="1">
        <f ca="1" t="array" ref="N41">IF(_xlfn.XLOOKUP($M41,$X$30:$X$34,$Y$30:$Y$34)&lt;=MATCH(N$29,$N$29:$O$29,0),SUMPRODUCT(--($C$91:$C$234=$C41),$G$91:$G$234,$J$91:$J$234)/SUMPRODUCT(--($J$91:$J$234&gt;0),$G$91:$G$234,--($C$91:$C$234=$C41))*MIN(H41,$L41),0)</f>
        <v>0</v>
      </c>
      <c r="O41" s="16" cm="1">
        <f ca="1" t="array" ref="O41">IF(_xlfn.XLOOKUP($M41,$X$30:$X$34,$Y$30:$Y$34)&lt;=MATCH(O$29,$N$29:$O$29,0),SUMPRODUCT(--($C$91:$C$234=$C41),$G$91:$G$234,$J$91:$J$234)/SUMPRODUCT(--($J$91:$J$234&gt;0),$G$91:$G$234,--($C$91:$C$234=$C41))*MIN(I41,$L41),0)</f>
        <v>0</v>
      </c>
      <c r="P41" s="16" cm="1">
        <f ca="1" t="array" ref="P41">IF(_xlfn.XLOOKUP($M41,$X$30:$X$34,$Y$30:$Y$34)&lt;=MATCH(N$29,$N$29:$O$29,0),SUMPRODUCT(--($C$91:$C$234=$C41),$G$91:$G$234,$F$91:$F$234,--($J$91:$J$234&gt;0))/SUMPRODUCT(--($J$91:$J$234&gt;0),$G$91:$G$234,--($C$91:$C$234=$C41))*MIN(H41,$L41),0)</f>
        <v>0</v>
      </c>
      <c r="Q41" s="16" cm="1">
        <f ca="1" t="array" ref="Q41">IF(_xlfn.XLOOKUP($M41,$X$30:$X$34,$Y$30:$Y$34)&lt;=MATCH(O$29,$N$29:$O$29,0),SUMPRODUCT(--($C$91:$C$234=$C41),$G$91:$G$234,$F$91:$F$234,--($J$91:$J$234&gt;0))/SUMPRODUCT(--($J$91:$J$234&gt;0),$G$91:$G$234,--($C$91:$C$234=$C41))*MIN(I41,$L41),0)</f>
        <v>0</v>
      </c>
      <c r="U41" s="441">
        <v>6003</v>
      </c>
      <c r="V41" s="16" t="str">
        <f ca="1" t="shared" si="9"/>
        <v>织梦微尘</v>
      </c>
    </row>
    <row r="42" s="16" customFormat="1" spans="2:25">
      <c r="B42" s="16">
        <f t="shared" si="10"/>
        <v>2</v>
      </c>
      <c r="C42" s="16">
        <f ca="1">OFFSET($D$6,B42,COUNTIF($B$29:B42,B42))</f>
        <v>5002</v>
      </c>
      <c r="D42" s="16">
        <v>50002</v>
      </c>
      <c r="E42" s="16" t="str">
        <f>_xlfn.XLOOKUP(D42,价值表!D:D,价值表!C:C)</f>
        <v>装备图纸</v>
      </c>
      <c r="F42" s="16">
        <v>2400</v>
      </c>
      <c r="G42" s="41">
        <v>0.5</v>
      </c>
      <c r="H42" s="16">
        <f t="shared" si="6"/>
        <v>3.6</v>
      </c>
      <c r="I42" s="16">
        <f t="shared" si="7"/>
        <v>5.76</v>
      </c>
      <c r="J42" s="16">
        <v>1</v>
      </c>
      <c r="K42" s="16">
        <v>2</v>
      </c>
      <c r="L42" s="16" t="str">
        <f ca="1" t="shared" si="8"/>
        <v/>
      </c>
      <c r="M42" s="16" t="s">
        <v>566</v>
      </c>
      <c r="N42" s="16" cm="1">
        <f ca="1" t="array" ref="N42">IF(_xlfn.XLOOKUP($M42,$X$30:$X$34,$Y$30:$Y$34)&lt;=MATCH(N$29,$N$29:$O$29,0),SUMPRODUCT(--($C$91:$C$234=$C42),$G$91:$G$234,$J$91:$J$234)/SUMPRODUCT(--($J$91:$J$234&gt;0),$G$91:$G$234,--($C$91:$C$234=$C42))*MIN(H42,$L42),0)</f>
        <v>4800</v>
      </c>
      <c r="O42" s="16" cm="1">
        <f ca="1" t="array" ref="O42">IF(_xlfn.XLOOKUP($M42,$X$30:$X$34,$Y$30:$Y$34)&lt;=MATCH(O$29,$N$29:$O$29,0),SUMPRODUCT(--($C$91:$C$234=$C42),$G$91:$G$234,$J$91:$J$234)/SUMPRODUCT(--($J$91:$J$234&gt;0),$G$91:$G$234,--($C$91:$C$234=$C42))*MIN(I42,$L42),0)</f>
        <v>7680</v>
      </c>
      <c r="P42" s="16" cm="1">
        <f ca="1" t="array" ref="P42">IF(_xlfn.XLOOKUP($M42,$X$30:$X$34,$Y$30:$Y$34)&lt;=MATCH(N$29,$N$29:$O$29,0),SUMPRODUCT(--($C$91:$C$234=$C42),$G$91:$G$234,$F$91:$F$234,--($J$91:$J$234&gt;0))/SUMPRODUCT(--($J$91:$J$234&gt;0),$G$91:$G$234,--($C$91:$C$234=$C42))*MIN(H42,$L42),0)</f>
        <v>48</v>
      </c>
      <c r="Q42" s="16" cm="1">
        <f ca="1" t="array" ref="Q42">IF(_xlfn.XLOOKUP($M42,$X$30:$X$34,$Y$30:$Y$34)&lt;=MATCH(O$29,$N$29:$O$29,0),SUMPRODUCT(--($C$91:$C$234=$C42),$G$91:$G$234,$F$91:$F$234,--($J$91:$J$234&gt;0))/SUMPRODUCT(--($J$91:$J$234&gt;0),$G$91:$G$234,--($C$91:$C$234=$C42))*MIN(I42,$L42),0)</f>
        <v>76.8</v>
      </c>
      <c r="U42" s="441">
        <v>7001</v>
      </c>
      <c r="V42" s="16" t="str">
        <f ca="1" t="shared" ref="V42:V44" si="11">_xlfn.XLOOKUP(INT(U42/1000)*1000+2,$C$29:$C$85,$E$29:$E$85)</f>
        <v>能量特饮</v>
      </c>
    </row>
    <row r="43" s="16" customFormat="1" spans="2:25">
      <c r="B43" s="16">
        <f t="shared" si="10"/>
        <v>2</v>
      </c>
      <c r="C43" s="16">
        <f ca="1">OFFSET($D$6,B43,COUNTIF($B$29:B43,B43))</f>
        <v>6001</v>
      </c>
      <c r="D43" s="16">
        <v>5203001</v>
      </c>
      <c r="E43" s="16" t="str">
        <f>_xlfn.XLOOKUP(D43,价值表!D:D,价值表!C:C)</f>
        <v>织梦微尘</v>
      </c>
      <c r="F43" s="16">
        <v>600</v>
      </c>
      <c r="G43" s="41">
        <v>0.5</v>
      </c>
      <c r="H43" s="16">
        <f t="shared" si="6"/>
        <v>0.9</v>
      </c>
      <c r="I43" s="16">
        <f t="shared" si="7"/>
        <v>1.44</v>
      </c>
      <c r="J43" s="16">
        <v>1</v>
      </c>
      <c r="K43" s="16">
        <v>2</v>
      </c>
      <c r="L43" s="16" t="str">
        <f ca="1" t="shared" si="8"/>
        <v/>
      </c>
      <c r="M43" s="16" t="s">
        <v>586</v>
      </c>
      <c r="N43" s="16" cm="1">
        <f ca="1" t="array" ref="N43">IF(_xlfn.XLOOKUP($M43,$X$30:$X$34,$Y$30:$Y$34)&lt;=MATCH(N$29,$N$29:$O$29,0),SUMPRODUCT(--($C$91:$C$234=$C43),$G$91:$G$234,$J$91:$J$234)/SUMPRODUCT(--($J$91:$J$234&gt;0),$G$91:$G$234,--($C$91:$C$234=$C43))*MIN(H43,$L43),0)</f>
        <v>0</v>
      </c>
      <c r="O43" s="16" cm="1">
        <f ca="1" t="array" ref="O43">IF(_xlfn.XLOOKUP($M43,$X$30:$X$34,$Y$30:$Y$34)&lt;=MATCH(O$29,$N$29:$O$29,0),SUMPRODUCT(--($C$91:$C$234=$C43),$G$91:$G$234,$J$91:$J$234)/SUMPRODUCT(--($J$91:$J$234&gt;0),$G$91:$G$234,--($C$91:$C$234=$C43))*MIN(I43,$L43),0)</f>
        <v>2880</v>
      </c>
      <c r="P43" s="16" cm="1">
        <f ca="1" t="array" ref="P43">IF(_xlfn.XLOOKUP($M43,$X$30:$X$34,$Y$30:$Y$34)&lt;=MATCH(N$29,$N$29:$O$29,0),SUMPRODUCT(--($C$91:$C$234=$C43),$G$91:$G$234,$F$91:$F$234,--($J$91:$J$234&gt;0))/SUMPRODUCT(--($J$91:$J$234&gt;0),$G$91:$G$234,--($C$91:$C$234=$C43))*MIN(H43,$L43),0)</f>
        <v>0</v>
      </c>
      <c r="Q43" s="16" cm="1">
        <f ca="1" t="array" ref="Q43">IF(_xlfn.XLOOKUP($M43,$X$30:$X$34,$Y$30:$Y$34)&lt;=MATCH(O$29,$N$29:$O$29,0),SUMPRODUCT(--($C$91:$C$234=$C43),$G$91:$G$234,$F$91:$F$234,--($J$91:$J$234&gt;0))/SUMPRODUCT(--($J$91:$J$234&gt;0),$G$91:$G$234,--($C$91:$C$234=$C43))*MIN(I43,$L43),0)</f>
        <v>14.4</v>
      </c>
      <c r="U43" s="441">
        <v>7002</v>
      </c>
      <c r="V43" s="16" t="str">
        <f ca="1" t="shared" si="11"/>
        <v>能量特饮</v>
      </c>
    </row>
    <row r="44" s="16" customFormat="1" spans="2:25">
      <c r="B44" s="16">
        <f t="shared" si="10"/>
        <v>2</v>
      </c>
      <c r="C44" s="16">
        <f ca="1">OFFSET($D$6,B44,COUNTIF($B$29:B44,B44))</f>
        <v>7002</v>
      </c>
      <c r="D44" s="16">
        <v>5103001</v>
      </c>
      <c r="E44" s="16" t="str">
        <f>_xlfn.XLOOKUP(D44,价值表!D:D,价值表!C:C)</f>
        <v>能量特饮</v>
      </c>
      <c r="F44" s="16">
        <v>2000</v>
      </c>
      <c r="G44" s="41">
        <v>0.5</v>
      </c>
      <c r="H44" s="16">
        <f t="shared" si="6"/>
        <v>3</v>
      </c>
      <c r="I44" s="16">
        <f t="shared" si="7"/>
        <v>4.8</v>
      </c>
      <c r="J44" s="16">
        <v>1</v>
      </c>
      <c r="K44" s="16">
        <v>2</v>
      </c>
      <c r="L44" s="16" t="str">
        <f ca="1" t="shared" si="8"/>
        <v/>
      </c>
      <c r="M44" s="16" t="s">
        <v>591</v>
      </c>
      <c r="N44" s="16" cm="1">
        <f ca="1" t="array" ref="N44">IF(_xlfn.XLOOKUP($M44,$X$30:$X$34,$Y$30:$Y$34)&lt;=MATCH(N$29,$N$29:$O$29,0),SUMPRODUCT(--($C$91:$C$234=$C44),$G$91:$G$234,$J$91:$J$234)/SUMPRODUCT(--($J$91:$J$234&gt;0),$G$91:$G$234,--($C$91:$C$234=$C44))*MIN(H44,$L44),0)</f>
        <v>0</v>
      </c>
      <c r="O44" s="16" cm="1">
        <f ca="1" t="array" ref="O44">IF(_xlfn.XLOOKUP($M44,$X$30:$X$34,$Y$30:$Y$34)&lt;=MATCH(O$29,$N$29:$O$29,0),SUMPRODUCT(--($C$91:$C$234=$C44),$G$91:$G$234,$J$91:$J$234)/SUMPRODUCT(--($J$91:$J$234&gt;0),$G$91:$G$234,--($C$91:$C$234=$C44))*MIN(I44,$L44),0)</f>
        <v>0</v>
      </c>
      <c r="P44" s="16" cm="1">
        <f ca="1" t="array" ref="P44">IF(_xlfn.XLOOKUP($M44,$X$30:$X$34,$Y$30:$Y$34)&lt;=MATCH(N$29,$N$29:$O$29,0),SUMPRODUCT(--($C$91:$C$234=$C44),$G$91:$G$234,$F$91:$F$234,--($J$91:$J$234&gt;0))/SUMPRODUCT(--($J$91:$J$234&gt;0),$G$91:$G$234,--($C$91:$C$234=$C44))*MIN(H44,$L44),0)</f>
        <v>0</v>
      </c>
      <c r="Q44" s="16" cm="1">
        <f ca="1" t="array" ref="Q44">IF(_xlfn.XLOOKUP($M44,$X$30:$X$34,$Y$30:$Y$34)&lt;=MATCH(O$29,$N$29:$O$29,0),SUMPRODUCT(--($C$91:$C$234=$C44),$G$91:$G$234,$F$91:$F$234,--($J$91:$J$234&gt;0))/SUMPRODUCT(--($J$91:$J$234&gt;0),$G$91:$G$234,--($C$91:$C$234=$C44))*MIN(I44,$L44),0)</f>
        <v>0</v>
      </c>
      <c r="U44" s="441">
        <v>7003</v>
      </c>
      <c r="V44" s="16" t="str">
        <f ca="1" t="shared" si="11"/>
        <v>能量特饮</v>
      </c>
    </row>
    <row r="45" s="16" customFormat="1" spans="2:25">
      <c r="B45" s="16">
        <f t="shared" si="10"/>
        <v>2</v>
      </c>
      <c r="C45" s="16">
        <f ca="1">OFFSET($D$6,B45,COUNTIF($B$29:B45,B45))</f>
        <v>8001</v>
      </c>
      <c r="D45" s="16">
        <v>1310100</v>
      </c>
      <c r="E45" s="16" t="str">
        <f>_xlfn.XLOOKUP(D45,价值表!D:D,价值表!C:C)</f>
        <v>稀有梦灵</v>
      </c>
      <c r="F45" s="16">
        <v>3200</v>
      </c>
      <c r="G45" s="41">
        <v>0.5</v>
      </c>
      <c r="H45" s="16">
        <f t="shared" si="6"/>
        <v>4.8</v>
      </c>
      <c r="I45" s="16">
        <f t="shared" si="7"/>
        <v>7.68</v>
      </c>
      <c r="J45" s="16">
        <v>1</v>
      </c>
      <c r="K45" s="16">
        <v>2</v>
      </c>
      <c r="L45" s="16" t="str">
        <f ca="1" t="shared" si="8"/>
        <v/>
      </c>
      <c r="M45" s="16" t="s">
        <v>591</v>
      </c>
      <c r="N45" s="16" cm="1">
        <f ca="1" t="array" ref="N45">IF(_xlfn.XLOOKUP($M45,$X$30:$X$34,$Y$30:$Y$34)&lt;=MATCH(N$29,$N$29:$O$29,0),SUMPRODUCT(--($C$91:$C$234=$C45),$G$91:$G$234,$J$91:$J$234)/SUMPRODUCT(--($J$91:$J$234&gt;0),$G$91:$G$234,--($C$91:$C$234=$C45))*MIN(H45,$L45),0)</f>
        <v>0</v>
      </c>
      <c r="O45" s="16" cm="1">
        <f ca="1" t="array" ref="O45">IF(_xlfn.XLOOKUP($M45,$X$30:$X$34,$Y$30:$Y$34)&lt;=MATCH(O$29,$N$29:$O$29,0),SUMPRODUCT(--($C$91:$C$234=$C45),$G$91:$G$234,$J$91:$J$234)/SUMPRODUCT(--($J$91:$J$234&gt;0),$G$91:$G$234,--($C$91:$C$234=$C45))*MIN(I45,$L45),0)</f>
        <v>0</v>
      </c>
      <c r="P45" s="16" cm="1">
        <f ca="1" t="array" ref="P45">IF(_xlfn.XLOOKUP($M45,$X$30:$X$34,$Y$30:$Y$34)&lt;=MATCH(N$29,$N$29:$O$29,0),SUMPRODUCT(--($C$91:$C$234=$C45),$G$91:$G$234,$F$91:$F$234,--($J$91:$J$234&gt;0))/SUMPRODUCT(--($J$91:$J$234&gt;0),$G$91:$G$234,--($C$91:$C$234=$C45))*MIN(H45,$L45),0)</f>
        <v>0</v>
      </c>
      <c r="Q45" s="16" cm="1">
        <f ca="1" t="array" ref="Q45">IF(_xlfn.XLOOKUP($M45,$X$30:$X$34,$Y$30:$Y$34)&lt;=MATCH(O$29,$N$29:$O$29,0),SUMPRODUCT(--($C$91:$C$234=$C45),$G$91:$G$234,$F$91:$F$234,--($J$91:$J$234&gt;0))/SUMPRODUCT(--($J$91:$J$234&gt;0),$G$91:$G$234,--($C$91:$C$234=$C45))*MIN(I45,$L45),0)</f>
        <v>0</v>
      </c>
      <c r="U45" s="16">
        <v>8001</v>
      </c>
      <c r="V45" s="16" t="str">
        <f ca="1">_xlfn.XLOOKUP(INT(U45/1000)*1000+1,$C$29:$C$85,$E$29:$E$85)</f>
        <v>稀有梦灵</v>
      </c>
    </row>
    <row r="46" s="16" customFormat="1" spans="2:25">
      <c r="B46" s="16">
        <f t="shared" si="10"/>
        <v>3</v>
      </c>
      <c r="C46" s="16">
        <f ca="1">OFFSET($D$6,B46,COUNTIF($B$29:B46,B46))</f>
        <v>1001</v>
      </c>
      <c r="D46" s="16">
        <v>11</v>
      </c>
      <c r="E46" s="16" t="str">
        <f>_xlfn.XLOOKUP(D46,价值表!D:D,价值表!C:C)</f>
        <v>梦境招募器</v>
      </c>
      <c r="F46" s="16">
        <v>700</v>
      </c>
      <c r="G46" s="41">
        <v>0.5</v>
      </c>
      <c r="H46" s="16">
        <f t="shared" si="6"/>
        <v>1.05</v>
      </c>
      <c r="I46" s="16">
        <f t="shared" si="7"/>
        <v>1.68</v>
      </c>
      <c r="J46" s="16">
        <v>1</v>
      </c>
      <c r="K46" s="16">
        <v>2</v>
      </c>
      <c r="L46" s="16">
        <f ca="1" t="shared" si="8"/>
        <v>0</v>
      </c>
      <c r="M46" s="16" t="s">
        <v>566</v>
      </c>
      <c r="N46" s="16" cm="1">
        <f ca="1" t="array" ref="N46">IF(_xlfn.XLOOKUP($M46,$X$30:$X$34,$Y$30:$Y$34)&lt;=MATCH(N$29,$N$29:$O$29,0),SUMPRODUCT(--($C$91:$C$234=$C46),$G$91:$G$234,$J$91:$J$234)/SUMPRODUCT(--($J$91:$J$234&gt;0),$G$91:$G$234,--($C$91:$C$234=$C46))*MIN(H46,$L46),0)</f>
        <v>0</v>
      </c>
      <c r="O46" s="16" cm="1">
        <f ca="1" t="array" ref="O46">IF(_xlfn.XLOOKUP($M46,$X$30:$X$34,$Y$30:$Y$34)&lt;=MATCH(O$29,$N$29:$O$29,0),SUMPRODUCT(--($C$91:$C$234=$C46),$G$91:$G$234,$J$91:$J$234)/SUMPRODUCT(--($J$91:$J$234&gt;0),$G$91:$G$234,--($C$91:$C$234=$C46))*MIN(I46,$L46),0)</f>
        <v>0</v>
      </c>
      <c r="P46" s="16" cm="1">
        <f ca="1" t="array" ref="P46">IF(_xlfn.XLOOKUP($M46,$X$30:$X$34,$Y$30:$Y$34)&lt;=MATCH(N$29,$N$29:$O$29,0),SUMPRODUCT(--($C$91:$C$234=$C46),$G$91:$G$234,$F$91:$F$234,--($J$91:$J$234&gt;0))/SUMPRODUCT(--($J$91:$J$234&gt;0),$G$91:$G$234,--($C$91:$C$234=$C46))*MIN(H46,$L46),0)</f>
        <v>0</v>
      </c>
      <c r="Q46" s="16" cm="1">
        <f ca="1" t="array" ref="Q46">IF(_xlfn.XLOOKUP($M46,$X$30:$X$34,$Y$30:$Y$34)&lt;=MATCH(O$29,$N$29:$O$29,0),SUMPRODUCT(--($C$91:$C$234=$C46),$G$91:$G$234,$F$91:$F$234,--($J$91:$J$234&gt;0))/SUMPRODUCT(--($J$91:$J$234&gt;0),$G$91:$G$234,--($C$91:$C$234=$C46))*MIN(I46,$L46),0)</f>
        <v>0</v>
      </c>
      <c r="U46"/>
    </row>
    <row r="47" s="16" customFormat="1" spans="2:25">
      <c r="B47" s="16">
        <f t="shared" si="10"/>
        <v>3</v>
      </c>
      <c r="C47" s="16">
        <f ca="1">OFFSET($D$6,B47,COUNTIF($B$29:B47,B47))</f>
        <v>2001</v>
      </c>
      <c r="D47" s="16">
        <v>9</v>
      </c>
      <c r="E47" s="16" t="str">
        <f>_xlfn.XLOOKUP(D47,价值表!D:D,价值表!C:C)</f>
        <v>星之初愿</v>
      </c>
      <c r="F47" s="16">
        <v>600</v>
      </c>
      <c r="G47" s="41">
        <v>0.5</v>
      </c>
      <c r="H47" s="16">
        <f t="shared" si="6"/>
        <v>0.9</v>
      </c>
      <c r="I47" s="16">
        <f t="shared" si="7"/>
        <v>1.44</v>
      </c>
      <c r="J47" s="16">
        <v>1</v>
      </c>
      <c r="K47" s="16">
        <v>2</v>
      </c>
      <c r="L47" s="16">
        <f ca="1" t="shared" si="8"/>
        <v>1</v>
      </c>
      <c r="M47" s="16" t="s">
        <v>566</v>
      </c>
      <c r="N47" s="16" cm="1">
        <f ca="1" t="array" ref="N47">IF(_xlfn.XLOOKUP($M47,$X$30:$X$34,$Y$30:$Y$34)&lt;=MATCH(N$29,$N$29:$O$29,0),SUMPRODUCT(--($C$91:$C$234=$C47),$G$91:$G$234,$J$91:$J$234)/SUMPRODUCT(--($J$91:$J$234&gt;0),$G$91:$G$234,--($C$91:$C$234=$C47))*MIN(H47,$L47),0)</f>
        <v>1800</v>
      </c>
      <c r="O47" s="16" cm="1">
        <f ca="1" t="array" ref="O47">IF(_xlfn.XLOOKUP($M47,$X$30:$X$34,$Y$30:$Y$34)&lt;=MATCH(O$29,$N$29:$O$29,0),SUMPRODUCT(--($C$91:$C$234=$C47),$G$91:$G$234,$J$91:$J$234)/SUMPRODUCT(--($J$91:$J$234&gt;0),$G$91:$G$234,--($C$91:$C$234=$C47))*MIN(I47,$L47),0)</f>
        <v>2000</v>
      </c>
      <c r="P47" s="16" cm="1">
        <f ca="1" t="array" ref="P47">IF(_xlfn.XLOOKUP($M47,$X$30:$X$34,$Y$30:$Y$34)&lt;=MATCH(N$29,$N$29:$O$29,0),SUMPRODUCT(--($C$91:$C$234=$C47),$G$91:$G$234,$F$91:$F$234,--($J$91:$J$234&gt;0))/SUMPRODUCT(--($J$91:$J$234&gt;0),$G$91:$G$234,--($C$91:$C$234=$C47))*MIN(H47,$L47),0)</f>
        <v>0.9</v>
      </c>
      <c r="Q47" s="16" cm="1">
        <f ca="1" t="array" ref="Q47">IF(_xlfn.XLOOKUP($M47,$X$30:$X$34,$Y$30:$Y$34)&lt;=MATCH(O$29,$N$29:$O$29,0),SUMPRODUCT(--($C$91:$C$234=$C47),$G$91:$G$234,$F$91:$F$234,--($J$91:$J$234&gt;0))/SUMPRODUCT(--($J$91:$J$234&gt;0),$G$91:$G$234,--($C$91:$C$234=$C47))*MIN(I47,$L47),0)</f>
        <v>1</v>
      </c>
      <c r="U47"/>
    </row>
    <row r="48" s="16" customFormat="1" spans="2:25">
      <c r="B48" s="16">
        <f t="shared" si="10"/>
        <v>3</v>
      </c>
      <c r="C48" s="16">
        <f ca="1">OFFSET($D$6,B48,COUNTIF($B$29:B48,B48))</f>
        <v>3001</v>
      </c>
      <c r="D48" s="16">
        <v>30</v>
      </c>
      <c r="E48" s="16" t="str">
        <f>_xlfn.XLOOKUP(D48,价值表!D:D,价值表!C:C)</f>
        <v>星辉秘契</v>
      </c>
      <c r="F48" s="16">
        <v>200</v>
      </c>
      <c r="G48" s="41">
        <v>0.5</v>
      </c>
      <c r="H48" s="16">
        <f t="shared" si="6"/>
        <v>0.3</v>
      </c>
      <c r="I48" s="16">
        <f t="shared" si="7"/>
        <v>0.48</v>
      </c>
      <c r="J48" s="16">
        <v>1</v>
      </c>
      <c r="K48" s="16">
        <v>2</v>
      </c>
      <c r="L48" s="16">
        <f ca="1" t="shared" si="8"/>
        <v>0</v>
      </c>
      <c r="M48" s="16" t="s">
        <v>566</v>
      </c>
      <c r="N48" s="16" cm="1">
        <f ca="1" t="array" ref="N48">IF(_xlfn.XLOOKUP($M48,$X$30:$X$34,$Y$30:$Y$34)&lt;=MATCH(N$29,$N$29:$O$29,0),SUMPRODUCT(--($C$91:$C$234=$C48),$G$91:$G$234,$J$91:$J$234)/SUMPRODUCT(--($J$91:$J$234&gt;0),$G$91:$G$234,--($C$91:$C$234=$C48))*MIN(H48,$L48),0)</f>
        <v>0</v>
      </c>
      <c r="O48" s="16" cm="1">
        <f ca="1" t="array" ref="O48">IF(_xlfn.XLOOKUP($M48,$X$30:$X$34,$Y$30:$Y$34)&lt;=MATCH(O$29,$N$29:$O$29,0),SUMPRODUCT(--($C$91:$C$234=$C48),$G$91:$G$234,$J$91:$J$234)/SUMPRODUCT(--($J$91:$J$234&gt;0),$G$91:$G$234,--($C$91:$C$234=$C48))*MIN(I48,$L48),0)</f>
        <v>0</v>
      </c>
      <c r="P48" s="16" cm="1">
        <f ca="1" t="array" ref="P48">IF(_xlfn.XLOOKUP($M48,$X$30:$X$34,$Y$30:$Y$34)&lt;=MATCH(N$29,$N$29:$O$29,0),SUMPRODUCT(--($C$91:$C$234=$C48),$G$91:$G$234,$F$91:$F$234,--($J$91:$J$234&gt;0))/SUMPRODUCT(--($J$91:$J$234&gt;0),$G$91:$G$234,--($C$91:$C$234=$C48))*MIN(H48,$L48),0)</f>
        <v>0</v>
      </c>
      <c r="Q48" s="16" cm="1">
        <f ca="1" t="array" ref="Q48">IF(_xlfn.XLOOKUP($M48,$X$30:$X$34,$Y$30:$Y$34)&lt;=MATCH(O$29,$N$29:$O$29,0),SUMPRODUCT(--($C$91:$C$234=$C48),$G$91:$G$234,$F$91:$F$234,--($J$91:$J$234&gt;0))/SUMPRODUCT(--($J$91:$J$234&gt;0),$G$91:$G$234,--($C$91:$C$234=$C48))*MIN(I48,$L48),0)</f>
        <v>0</v>
      </c>
    </row>
    <row r="49" s="16" customFormat="1" spans="2:17">
      <c r="B49" s="16">
        <f t="shared" si="10"/>
        <v>3</v>
      </c>
      <c r="C49" s="16">
        <f ca="1">OFFSET($D$6,B49,COUNTIF($B$29:B49,B49))</f>
        <v>4001</v>
      </c>
      <c r="D49" s="16">
        <v>5305001</v>
      </c>
      <c r="E49" s="16" t="str">
        <f>_xlfn.XLOOKUP(D49,价值表!D:D,价值表!C:C)</f>
        <v>幻梦晶核</v>
      </c>
      <c r="F49" s="16">
        <v>300</v>
      </c>
      <c r="G49" s="41">
        <v>0.5</v>
      </c>
      <c r="H49" s="16">
        <f t="shared" si="6"/>
        <v>0.45</v>
      </c>
      <c r="I49" s="16">
        <f t="shared" si="7"/>
        <v>0.72</v>
      </c>
      <c r="J49" s="16">
        <v>1</v>
      </c>
      <c r="K49" s="16">
        <v>2</v>
      </c>
      <c r="L49" s="16">
        <f ca="1" t="shared" si="8"/>
        <v>0</v>
      </c>
      <c r="M49" s="16" t="s">
        <v>566</v>
      </c>
      <c r="N49" s="16" cm="1">
        <f ca="1" t="array" ref="N49">IF(_xlfn.XLOOKUP($M49,$X$30:$X$34,$Y$30:$Y$34)&lt;=MATCH(N$29,$N$29:$O$29,0),SUMPRODUCT(--($C$91:$C$234=$C49),$G$91:$G$234,$J$91:$J$234)/SUMPRODUCT(--($J$91:$J$234&gt;0),$G$91:$G$234,--($C$91:$C$234=$C49))*MIN(H49,$L49),0)</f>
        <v>0</v>
      </c>
      <c r="O49" s="16" cm="1">
        <f ca="1" t="array" ref="O49">IF(_xlfn.XLOOKUP($M49,$X$30:$X$34,$Y$30:$Y$34)&lt;=MATCH(O$29,$N$29:$O$29,0),SUMPRODUCT(--($C$91:$C$234=$C49),$G$91:$G$234,$J$91:$J$234)/SUMPRODUCT(--($J$91:$J$234&gt;0),$G$91:$G$234,--($C$91:$C$234=$C49))*MIN(I49,$L49),0)</f>
        <v>0</v>
      </c>
      <c r="P49" s="16" cm="1">
        <f ca="1" t="array" ref="P49">IF(_xlfn.XLOOKUP($M49,$X$30:$X$34,$Y$30:$Y$34)&lt;=MATCH(N$29,$N$29:$O$29,0),SUMPRODUCT(--($C$91:$C$234=$C49),$G$91:$G$234,$F$91:$F$234,--($J$91:$J$234&gt;0))/SUMPRODUCT(--($J$91:$J$234&gt;0),$G$91:$G$234,--($C$91:$C$234=$C49))*MIN(H49,$L49),0)</f>
        <v>0</v>
      </c>
      <c r="Q49" s="16" cm="1">
        <f ca="1" t="array" ref="Q49">IF(_xlfn.XLOOKUP($M49,$X$30:$X$34,$Y$30:$Y$34)&lt;=MATCH(O$29,$N$29:$O$29,0),SUMPRODUCT(--($C$91:$C$234=$C49),$G$91:$G$234,$F$91:$F$234,--($J$91:$J$234&gt;0))/SUMPRODUCT(--($J$91:$J$234&gt;0),$G$91:$G$234,--($C$91:$C$234=$C49))*MIN(I49,$L49),0)</f>
        <v>0</v>
      </c>
    </row>
    <row r="50" s="16" customFormat="1" spans="2:17">
      <c r="B50" s="16">
        <f t="shared" si="10"/>
        <v>3</v>
      </c>
      <c r="C50" s="16">
        <f ca="1">OFFSET($D$6,B50,COUNTIF($B$29:B50,B50))</f>
        <v>5002</v>
      </c>
      <c r="D50" s="16">
        <v>50002</v>
      </c>
      <c r="E50" s="16" t="str">
        <f>_xlfn.XLOOKUP(D50,价值表!D:D,价值表!C:C)</f>
        <v>装备图纸</v>
      </c>
      <c r="F50" s="16">
        <v>2400</v>
      </c>
      <c r="G50" s="41">
        <v>0.5</v>
      </c>
      <c r="H50" s="16">
        <f t="shared" si="6"/>
        <v>3.6</v>
      </c>
      <c r="I50" s="16">
        <f t="shared" si="7"/>
        <v>5.76</v>
      </c>
      <c r="J50" s="16">
        <v>1</v>
      </c>
      <c r="K50" s="16">
        <v>2</v>
      </c>
      <c r="L50" s="16" t="str">
        <f ca="1" t="shared" si="8"/>
        <v/>
      </c>
      <c r="M50" s="16" t="s">
        <v>566</v>
      </c>
      <c r="N50" s="16" cm="1">
        <f ca="1" t="array" ref="N50">IF(_xlfn.XLOOKUP($M50,$X$30:$X$34,$Y$30:$Y$34)&lt;=MATCH(N$29,$N$29:$O$29,0),SUMPRODUCT(--($C$91:$C$234=$C50),$G$91:$G$234,$J$91:$J$234)/SUMPRODUCT(--($J$91:$J$234&gt;0),$G$91:$G$234,--($C$91:$C$234=$C50))*MIN(H50,$L50),0)</f>
        <v>4800</v>
      </c>
      <c r="O50" s="16" cm="1">
        <f ca="1" t="array" ref="O50">IF(_xlfn.XLOOKUP($M50,$X$30:$X$34,$Y$30:$Y$34)&lt;=MATCH(O$29,$N$29:$O$29,0),SUMPRODUCT(--($C$91:$C$234=$C50),$G$91:$G$234,$J$91:$J$234)/SUMPRODUCT(--($J$91:$J$234&gt;0),$G$91:$G$234,--($C$91:$C$234=$C50))*MIN(I50,$L50),0)</f>
        <v>7680</v>
      </c>
      <c r="P50" s="16" cm="1">
        <f ca="1" t="array" ref="P50">IF(_xlfn.XLOOKUP($M50,$X$30:$X$34,$Y$30:$Y$34)&lt;=MATCH(N$29,$N$29:$O$29,0),SUMPRODUCT(--($C$91:$C$234=$C50),$G$91:$G$234,$F$91:$F$234,--($J$91:$J$234&gt;0))/SUMPRODUCT(--($J$91:$J$234&gt;0),$G$91:$G$234,--($C$91:$C$234=$C50))*MIN(H50,$L50),0)</f>
        <v>48</v>
      </c>
      <c r="Q50" s="16" cm="1">
        <f ca="1" t="array" ref="Q50">IF(_xlfn.XLOOKUP($M50,$X$30:$X$34,$Y$30:$Y$34)&lt;=MATCH(O$29,$N$29:$O$29,0),SUMPRODUCT(--($C$91:$C$234=$C50),$G$91:$G$234,$F$91:$F$234,--($J$91:$J$234&gt;0))/SUMPRODUCT(--($J$91:$J$234&gt;0),$G$91:$G$234,--($C$91:$C$234=$C50))*MIN(I50,$L50),0)</f>
        <v>76.8</v>
      </c>
    </row>
    <row r="51" s="16" customFormat="1" spans="2:17">
      <c r="B51" s="16">
        <f t="shared" si="10"/>
        <v>3</v>
      </c>
      <c r="C51" s="16">
        <f ca="1">OFFSET($D$6,B51,COUNTIF($B$29:B51,B51))</f>
        <v>6002</v>
      </c>
      <c r="D51" s="16">
        <v>5203001</v>
      </c>
      <c r="E51" s="16" t="str">
        <f>_xlfn.XLOOKUP(D51,价值表!D:D,价值表!C:C)</f>
        <v>织梦微尘</v>
      </c>
      <c r="F51" s="16">
        <v>600</v>
      </c>
      <c r="G51" s="41">
        <v>0.5</v>
      </c>
      <c r="H51" s="16">
        <f t="shared" si="6"/>
        <v>0.9</v>
      </c>
      <c r="I51" s="16">
        <f t="shared" si="7"/>
        <v>1.44</v>
      </c>
      <c r="J51" s="16">
        <v>1</v>
      </c>
      <c r="K51" s="16">
        <v>2</v>
      </c>
      <c r="L51" s="16" t="str">
        <f ca="1" t="shared" si="8"/>
        <v/>
      </c>
      <c r="M51" s="16" t="s">
        <v>586</v>
      </c>
      <c r="N51" s="16" cm="1">
        <f ca="1" t="array" ref="N51">IF(_xlfn.XLOOKUP($M51,$X$30:$X$34,$Y$30:$Y$34)&lt;=MATCH(N$29,$N$29:$O$29,0),SUMPRODUCT(--($C$91:$C$234=$C51),$G$91:$G$234,$J$91:$J$234)/SUMPRODUCT(--($J$91:$J$234&gt;0),$G$91:$G$234,--($C$91:$C$234=$C51))*MIN(H51,$L51),0)</f>
        <v>0</v>
      </c>
      <c r="O51" s="16" cm="1">
        <f ca="1" t="array" ref="O51">IF(_xlfn.XLOOKUP($M51,$X$30:$X$34,$Y$30:$Y$34)&lt;=MATCH(O$29,$N$29:$O$29,0),SUMPRODUCT(--($C$91:$C$234=$C51),$G$91:$G$234,$J$91:$J$234)/SUMPRODUCT(--($J$91:$J$234&gt;0),$G$91:$G$234,--($C$91:$C$234=$C51))*MIN(I51,$L51),0)</f>
        <v>3840</v>
      </c>
      <c r="P51" s="16" cm="1">
        <f ca="1" t="array" ref="P51">IF(_xlfn.XLOOKUP($M51,$X$30:$X$34,$Y$30:$Y$34)&lt;=MATCH(N$29,$N$29:$O$29,0),SUMPRODUCT(--($C$91:$C$234=$C51),$G$91:$G$234,$F$91:$F$234,--($J$91:$J$234&gt;0))/SUMPRODUCT(--($J$91:$J$234&gt;0),$G$91:$G$234,--($C$91:$C$234=$C51))*MIN(H51,$L51),0)</f>
        <v>0</v>
      </c>
      <c r="Q51" s="16" cm="1">
        <f ca="1" t="array" ref="Q51">IF(_xlfn.XLOOKUP($M51,$X$30:$X$34,$Y$30:$Y$34)&lt;=MATCH(O$29,$N$29:$O$29,0),SUMPRODUCT(--($C$91:$C$234=$C51),$G$91:$G$234,$F$91:$F$234,--($J$91:$J$234&gt;0))/SUMPRODUCT(--($J$91:$J$234&gt;0),$G$91:$G$234,--($C$91:$C$234=$C51))*MIN(I51,$L51),0)</f>
        <v>19.2</v>
      </c>
    </row>
    <row r="52" s="16" customFormat="1" spans="2:17">
      <c r="B52" s="16">
        <f t="shared" si="10"/>
        <v>3</v>
      </c>
      <c r="C52" s="16">
        <f ca="1">OFFSET($D$6,B52,COUNTIF($B$29:B52,B52))</f>
        <v>7002</v>
      </c>
      <c r="D52" s="16">
        <v>5103001</v>
      </c>
      <c r="E52" s="16" t="str">
        <f>_xlfn.XLOOKUP(D52,价值表!D:D,价值表!C:C)</f>
        <v>能量特饮</v>
      </c>
      <c r="F52" s="16">
        <v>2000</v>
      </c>
      <c r="G52" s="41">
        <v>0.5</v>
      </c>
      <c r="H52" s="16">
        <f t="shared" si="6"/>
        <v>3</v>
      </c>
      <c r="I52" s="16">
        <f t="shared" si="7"/>
        <v>4.8</v>
      </c>
      <c r="J52" s="16">
        <v>1</v>
      </c>
      <c r="K52" s="16">
        <v>2</v>
      </c>
      <c r="L52" s="16" t="str">
        <f ca="1" t="shared" si="8"/>
        <v/>
      </c>
      <c r="M52" s="16" t="s">
        <v>591</v>
      </c>
      <c r="N52" s="16" cm="1">
        <f ca="1" t="array" ref="N52">IF(_xlfn.XLOOKUP($M52,$X$30:$X$34,$Y$30:$Y$34)&lt;=MATCH(N$29,$N$29:$O$29,0),SUMPRODUCT(--($C$91:$C$234=$C52),$G$91:$G$234,$J$91:$J$234)/SUMPRODUCT(--($J$91:$J$234&gt;0),$G$91:$G$234,--($C$91:$C$234=$C52))*MIN(H52,$L52),0)</f>
        <v>0</v>
      </c>
      <c r="O52" s="16" cm="1">
        <f ca="1" t="array" ref="O52">IF(_xlfn.XLOOKUP($M52,$X$30:$X$34,$Y$30:$Y$34)&lt;=MATCH(O$29,$N$29:$O$29,0),SUMPRODUCT(--($C$91:$C$234=$C52),$G$91:$G$234,$J$91:$J$234)/SUMPRODUCT(--($J$91:$J$234&gt;0),$G$91:$G$234,--($C$91:$C$234=$C52))*MIN(I52,$L52),0)</f>
        <v>0</v>
      </c>
      <c r="P52" s="16" cm="1">
        <f ca="1" t="array" ref="P52">IF(_xlfn.XLOOKUP($M52,$X$30:$X$34,$Y$30:$Y$34)&lt;=MATCH(N$29,$N$29:$O$29,0),SUMPRODUCT(--($C$91:$C$234=$C52),$G$91:$G$234,$F$91:$F$234,--($J$91:$J$234&gt;0))/SUMPRODUCT(--($J$91:$J$234&gt;0),$G$91:$G$234,--($C$91:$C$234=$C52))*MIN(H52,$L52),0)</f>
        <v>0</v>
      </c>
      <c r="Q52" s="16" cm="1">
        <f ca="1" t="array" ref="Q52">IF(_xlfn.XLOOKUP($M52,$X$30:$X$34,$Y$30:$Y$34)&lt;=MATCH(O$29,$N$29:$O$29,0),SUMPRODUCT(--($C$91:$C$234=$C52),$G$91:$G$234,$F$91:$F$234,--($J$91:$J$234&gt;0))/SUMPRODUCT(--($J$91:$J$234&gt;0),$G$91:$G$234,--($C$91:$C$234=$C52))*MIN(I52,$L52),0)</f>
        <v>0</v>
      </c>
    </row>
    <row r="53" s="16" customFormat="1" spans="2:17">
      <c r="B53" s="16">
        <f t="shared" si="10"/>
        <v>3</v>
      </c>
      <c r="C53" s="16">
        <f ca="1">OFFSET($D$6,B53,COUNTIF($B$29:B53,B53))</f>
        <v>8001</v>
      </c>
      <c r="D53" s="16">
        <v>1310100</v>
      </c>
      <c r="E53" s="16" t="str">
        <f>_xlfn.XLOOKUP(D53,价值表!D:D,价值表!C:C)</f>
        <v>稀有梦灵</v>
      </c>
      <c r="F53" s="16">
        <v>3200</v>
      </c>
      <c r="G53" s="41">
        <v>0.5</v>
      </c>
      <c r="H53" s="16">
        <f t="shared" si="6"/>
        <v>4.8</v>
      </c>
      <c r="I53" s="16">
        <f t="shared" si="7"/>
        <v>7.68</v>
      </c>
      <c r="J53" s="16">
        <v>1</v>
      </c>
      <c r="K53" s="16">
        <v>2</v>
      </c>
      <c r="L53" s="16" t="str">
        <f ca="1" t="shared" si="8"/>
        <v/>
      </c>
      <c r="M53" s="16" t="s">
        <v>591</v>
      </c>
      <c r="N53" s="16" cm="1">
        <f ca="1" t="array" ref="N53">IF(_xlfn.XLOOKUP($M53,$X$30:$X$34,$Y$30:$Y$34)&lt;=MATCH(N$29,$N$29:$O$29,0),SUMPRODUCT(--($C$91:$C$234=$C53),$G$91:$G$234,$J$91:$J$234)/SUMPRODUCT(--($J$91:$J$234&gt;0),$G$91:$G$234,--($C$91:$C$234=$C53))*MIN(H53,$L53),0)</f>
        <v>0</v>
      </c>
      <c r="O53" s="16" cm="1">
        <f ca="1" t="array" ref="O53">IF(_xlfn.XLOOKUP($M53,$X$30:$X$34,$Y$30:$Y$34)&lt;=MATCH(O$29,$N$29:$O$29,0),SUMPRODUCT(--($C$91:$C$234=$C53),$G$91:$G$234,$J$91:$J$234)/SUMPRODUCT(--($J$91:$J$234&gt;0),$G$91:$G$234,--($C$91:$C$234=$C53))*MIN(I53,$L53),0)</f>
        <v>0</v>
      </c>
      <c r="P53" s="16" cm="1">
        <f ca="1" t="array" ref="P53">IF(_xlfn.XLOOKUP($M53,$X$30:$X$34,$Y$30:$Y$34)&lt;=MATCH(N$29,$N$29:$O$29,0),SUMPRODUCT(--($C$91:$C$234=$C53),$G$91:$G$234,$F$91:$F$234,--($J$91:$J$234&gt;0))/SUMPRODUCT(--($J$91:$J$234&gt;0),$G$91:$G$234,--($C$91:$C$234=$C53))*MIN(H53,$L53),0)</f>
        <v>0</v>
      </c>
      <c r="Q53" s="16" cm="1">
        <f ca="1" t="array" ref="Q53">IF(_xlfn.XLOOKUP($M53,$X$30:$X$34,$Y$30:$Y$34)&lt;=MATCH(O$29,$N$29:$O$29,0),SUMPRODUCT(--($C$91:$C$234=$C53),$G$91:$G$234,$F$91:$F$234,--($J$91:$J$234&gt;0))/SUMPRODUCT(--($J$91:$J$234&gt;0),$G$91:$G$234,--($C$91:$C$234=$C53))*MIN(I53,$L53),0)</f>
        <v>0</v>
      </c>
    </row>
    <row r="54" s="16" customFormat="1" spans="2:17">
      <c r="B54" s="16">
        <f t="shared" si="10"/>
        <v>4</v>
      </c>
      <c r="C54" s="16">
        <f ca="1">OFFSET($D$6,B54,COUNTIF($B$29:B54,B54))</f>
        <v>1002</v>
      </c>
      <c r="D54" s="16">
        <v>11</v>
      </c>
      <c r="E54" s="16" t="str">
        <f>_xlfn.XLOOKUP(D54,价值表!D:D,价值表!C:C)</f>
        <v>梦境招募器</v>
      </c>
      <c r="F54" s="16">
        <v>700</v>
      </c>
      <c r="G54" s="41">
        <v>0.5</v>
      </c>
      <c r="H54" s="16">
        <f t="shared" si="6"/>
        <v>1.05</v>
      </c>
      <c r="I54" s="16">
        <f t="shared" si="7"/>
        <v>1.68</v>
      </c>
      <c r="J54" s="16">
        <v>1</v>
      </c>
      <c r="K54" s="16">
        <v>2</v>
      </c>
      <c r="L54" s="16">
        <f ca="1" t="shared" si="8"/>
        <v>1</v>
      </c>
      <c r="M54" s="16" t="s">
        <v>566</v>
      </c>
      <c r="N54" s="16" cm="1">
        <f ca="1" t="array" ref="N54">IF(_xlfn.XLOOKUP($M54,$X$30:$X$34,$Y$30:$Y$34)&lt;=MATCH(N$29,$N$29:$O$29,0),SUMPRODUCT(--($C$91:$C$234=$C54),$G$91:$G$234,$J$91:$J$234)/SUMPRODUCT(--($J$91:$J$234&gt;0),$G$91:$G$234,--($C$91:$C$234=$C54))*MIN(H54,$L54),0)</f>
        <v>7800</v>
      </c>
      <c r="O54" s="16" cm="1">
        <f ca="1" t="array" ref="O54">IF(_xlfn.XLOOKUP($M54,$X$30:$X$34,$Y$30:$Y$34)&lt;=MATCH(O$29,$N$29:$O$29,0),SUMPRODUCT(--($C$91:$C$234=$C54),$G$91:$G$234,$J$91:$J$234)/SUMPRODUCT(--($J$91:$J$234&gt;0),$G$91:$G$234,--($C$91:$C$234=$C54))*MIN(I54,$L54),0)</f>
        <v>7800</v>
      </c>
      <c r="P54" s="16" cm="1">
        <f ca="1" t="array" ref="P54">IF(_xlfn.XLOOKUP($M54,$X$30:$X$34,$Y$30:$Y$34)&lt;=MATCH(N$29,$N$29:$O$29,0),SUMPRODUCT(--($C$91:$C$234=$C54),$G$91:$G$234,$F$91:$F$234,--($J$91:$J$234&gt;0))/SUMPRODUCT(--($J$91:$J$234&gt;0),$G$91:$G$234,--($C$91:$C$234=$C54))*MIN(H54,$L54),0)</f>
        <v>6.5</v>
      </c>
      <c r="Q54" s="16" cm="1">
        <f ca="1" t="array" ref="Q54">IF(_xlfn.XLOOKUP($M54,$X$30:$X$34,$Y$30:$Y$34)&lt;=MATCH(O$29,$N$29:$O$29,0),SUMPRODUCT(--($C$91:$C$234=$C54),$G$91:$G$234,$F$91:$F$234,--($J$91:$J$234&gt;0))/SUMPRODUCT(--($J$91:$J$234&gt;0),$G$91:$G$234,--($C$91:$C$234=$C54))*MIN(I54,$L54),0)</f>
        <v>6.5</v>
      </c>
    </row>
    <row r="55" s="16" customFormat="1" spans="2:17">
      <c r="B55" s="16">
        <f t="shared" si="10"/>
        <v>4</v>
      </c>
      <c r="C55" s="16">
        <f ca="1">OFFSET($D$6,B55,COUNTIF($B$29:B55,B55))</f>
        <v>2001</v>
      </c>
      <c r="D55" s="16">
        <v>9</v>
      </c>
      <c r="E55" s="16" t="str">
        <f>_xlfn.XLOOKUP(D55,价值表!D:D,价值表!C:C)</f>
        <v>星之初愿</v>
      </c>
      <c r="F55" s="16">
        <v>600</v>
      </c>
      <c r="G55" s="41">
        <v>0.5</v>
      </c>
      <c r="H55" s="16">
        <f t="shared" si="6"/>
        <v>0.9</v>
      </c>
      <c r="I55" s="16">
        <f t="shared" si="7"/>
        <v>1.44</v>
      </c>
      <c r="J55" s="16">
        <v>1</v>
      </c>
      <c r="K55" s="16">
        <v>2</v>
      </c>
      <c r="L55" s="16">
        <f ca="1" t="shared" si="8"/>
        <v>0</v>
      </c>
      <c r="M55" s="16" t="s">
        <v>566</v>
      </c>
      <c r="N55" s="16" cm="1">
        <f ca="1" t="array" ref="N55">IF(_xlfn.XLOOKUP($M55,$X$30:$X$34,$Y$30:$Y$34)&lt;=MATCH(N$29,$N$29:$O$29,0),SUMPRODUCT(--($C$91:$C$234=$C55),$G$91:$G$234,$J$91:$J$234)/SUMPRODUCT(--($J$91:$J$234&gt;0),$G$91:$G$234,--($C$91:$C$234=$C55))*MIN(H55,$L55),0)</f>
        <v>0</v>
      </c>
      <c r="O55" s="16" cm="1">
        <f ca="1" t="array" ref="O55">IF(_xlfn.XLOOKUP($M55,$X$30:$X$34,$Y$30:$Y$34)&lt;=MATCH(O$29,$N$29:$O$29,0),SUMPRODUCT(--($C$91:$C$234=$C55),$G$91:$G$234,$J$91:$J$234)/SUMPRODUCT(--($J$91:$J$234&gt;0),$G$91:$G$234,--($C$91:$C$234=$C55))*MIN(I55,$L55),0)</f>
        <v>0</v>
      </c>
      <c r="P55" s="16" cm="1">
        <f ca="1" t="array" ref="P55">IF(_xlfn.XLOOKUP($M55,$X$30:$X$34,$Y$30:$Y$34)&lt;=MATCH(N$29,$N$29:$O$29,0),SUMPRODUCT(--($C$91:$C$234=$C55),$G$91:$G$234,$F$91:$F$234,--($J$91:$J$234&gt;0))/SUMPRODUCT(--($J$91:$J$234&gt;0),$G$91:$G$234,--($C$91:$C$234=$C55))*MIN(H55,$L55),0)</f>
        <v>0</v>
      </c>
      <c r="Q55" s="16" cm="1">
        <f ca="1" t="array" ref="Q55">IF(_xlfn.XLOOKUP($M55,$X$30:$X$34,$Y$30:$Y$34)&lt;=MATCH(O$29,$N$29:$O$29,0),SUMPRODUCT(--($C$91:$C$234=$C55),$G$91:$G$234,$F$91:$F$234,--($J$91:$J$234&gt;0))/SUMPRODUCT(--($J$91:$J$234&gt;0),$G$91:$G$234,--($C$91:$C$234=$C55))*MIN(I55,$L55),0)</f>
        <v>0</v>
      </c>
    </row>
    <row r="56" s="16" customFormat="1" spans="2:17">
      <c r="B56" s="16">
        <f t="shared" si="10"/>
        <v>4</v>
      </c>
      <c r="C56" s="16">
        <f ca="1">OFFSET($D$6,B56,COUNTIF($B$29:B56,B56))</f>
        <v>3001</v>
      </c>
      <c r="D56" s="16">
        <v>30</v>
      </c>
      <c r="E56" s="16" t="str">
        <f>_xlfn.XLOOKUP(D56,价值表!D:D,价值表!C:C)</f>
        <v>星辉秘契</v>
      </c>
      <c r="F56" s="16">
        <v>200</v>
      </c>
      <c r="G56" s="41">
        <v>0.5</v>
      </c>
      <c r="H56" s="16">
        <f t="shared" si="6"/>
        <v>0.3</v>
      </c>
      <c r="I56" s="16">
        <f t="shared" si="7"/>
        <v>0.48</v>
      </c>
      <c r="J56" s="16">
        <v>1</v>
      </c>
      <c r="K56" s="16">
        <v>2</v>
      </c>
      <c r="L56" s="16">
        <f ca="1" t="shared" si="8"/>
        <v>0</v>
      </c>
      <c r="M56" s="16" t="s">
        <v>566</v>
      </c>
      <c r="N56" s="16" cm="1">
        <f ca="1" t="array" ref="N56">IF(_xlfn.XLOOKUP($M56,$X$30:$X$34,$Y$30:$Y$34)&lt;=MATCH(N$29,$N$29:$O$29,0),SUMPRODUCT(--($C$91:$C$234=$C56),$G$91:$G$234,$J$91:$J$234)/SUMPRODUCT(--($J$91:$J$234&gt;0),$G$91:$G$234,--($C$91:$C$234=$C56))*MIN(H56,$L56),0)</f>
        <v>0</v>
      </c>
      <c r="O56" s="16" cm="1">
        <f ca="1" t="array" ref="O56">IF(_xlfn.XLOOKUP($M56,$X$30:$X$34,$Y$30:$Y$34)&lt;=MATCH(O$29,$N$29:$O$29,0),SUMPRODUCT(--($C$91:$C$234=$C56),$G$91:$G$234,$J$91:$J$234)/SUMPRODUCT(--($J$91:$J$234&gt;0),$G$91:$G$234,--($C$91:$C$234=$C56))*MIN(I56,$L56),0)</f>
        <v>0</v>
      </c>
      <c r="P56" s="16" cm="1">
        <f ca="1" t="array" ref="P56">IF(_xlfn.XLOOKUP($M56,$X$30:$X$34,$Y$30:$Y$34)&lt;=MATCH(N$29,$N$29:$O$29,0),SUMPRODUCT(--($C$91:$C$234=$C56),$G$91:$G$234,$F$91:$F$234,--($J$91:$J$234&gt;0))/SUMPRODUCT(--($J$91:$J$234&gt;0),$G$91:$G$234,--($C$91:$C$234=$C56))*MIN(H56,$L56),0)</f>
        <v>0</v>
      </c>
      <c r="Q56" s="16" cm="1">
        <f ca="1" t="array" ref="Q56">IF(_xlfn.XLOOKUP($M56,$X$30:$X$34,$Y$30:$Y$34)&lt;=MATCH(O$29,$N$29:$O$29,0),SUMPRODUCT(--($C$91:$C$234=$C56),$G$91:$G$234,$F$91:$F$234,--($J$91:$J$234&gt;0))/SUMPRODUCT(--($J$91:$J$234&gt;0),$G$91:$G$234,--($C$91:$C$234=$C56))*MIN(I56,$L56),0)</f>
        <v>0</v>
      </c>
    </row>
    <row r="57" s="16" customFormat="1" spans="2:17">
      <c r="B57" s="16">
        <f t="shared" si="10"/>
        <v>4</v>
      </c>
      <c r="C57" s="16">
        <f ca="1">OFFSET($D$6,B57,COUNTIF($B$29:B57,B57))</f>
        <v>4001</v>
      </c>
      <c r="D57" s="16">
        <v>5305001</v>
      </c>
      <c r="E57" s="16" t="str">
        <f>_xlfn.XLOOKUP(D57,价值表!D:D,价值表!C:C)</f>
        <v>幻梦晶核</v>
      </c>
      <c r="F57" s="16">
        <v>300</v>
      </c>
      <c r="G57" s="41">
        <v>0.5</v>
      </c>
      <c r="H57" s="16">
        <f t="shared" si="6"/>
        <v>0.45</v>
      </c>
      <c r="I57" s="16">
        <f t="shared" si="7"/>
        <v>0.72</v>
      </c>
      <c r="J57" s="16">
        <v>1</v>
      </c>
      <c r="K57" s="16">
        <v>2</v>
      </c>
      <c r="L57" s="16">
        <f ca="1" t="shared" si="8"/>
        <v>0</v>
      </c>
      <c r="M57" s="16" t="s">
        <v>566</v>
      </c>
      <c r="N57" s="16" cm="1">
        <f ca="1" t="array" ref="N57">IF(_xlfn.XLOOKUP($M57,$X$30:$X$34,$Y$30:$Y$34)&lt;=MATCH(N$29,$N$29:$O$29,0),SUMPRODUCT(--($C$91:$C$234=$C57),$G$91:$G$234,$J$91:$J$234)/SUMPRODUCT(--($J$91:$J$234&gt;0),$G$91:$G$234,--($C$91:$C$234=$C57))*MIN(H57,$L57),0)</f>
        <v>0</v>
      </c>
      <c r="O57" s="16" cm="1">
        <f ca="1" t="array" ref="O57">IF(_xlfn.XLOOKUP($M57,$X$30:$X$34,$Y$30:$Y$34)&lt;=MATCH(O$29,$N$29:$O$29,0),SUMPRODUCT(--($C$91:$C$234=$C57),$G$91:$G$234,$J$91:$J$234)/SUMPRODUCT(--($J$91:$J$234&gt;0),$G$91:$G$234,--($C$91:$C$234=$C57))*MIN(I57,$L57),0)</f>
        <v>0</v>
      </c>
      <c r="P57" s="16" cm="1">
        <f ca="1" t="array" ref="P57">IF(_xlfn.XLOOKUP($M57,$X$30:$X$34,$Y$30:$Y$34)&lt;=MATCH(N$29,$N$29:$O$29,0),SUMPRODUCT(--($C$91:$C$234=$C57),$G$91:$G$234,$F$91:$F$234,--($J$91:$J$234&gt;0))/SUMPRODUCT(--($J$91:$J$234&gt;0),$G$91:$G$234,--($C$91:$C$234=$C57))*MIN(H57,$L57),0)</f>
        <v>0</v>
      </c>
      <c r="Q57" s="16" cm="1">
        <f ca="1" t="array" ref="Q57">IF(_xlfn.XLOOKUP($M57,$X$30:$X$34,$Y$30:$Y$34)&lt;=MATCH(O$29,$N$29:$O$29,0),SUMPRODUCT(--($C$91:$C$234=$C57),$G$91:$G$234,$F$91:$F$234,--($J$91:$J$234&gt;0))/SUMPRODUCT(--($J$91:$J$234&gt;0),$G$91:$G$234,--($C$91:$C$234=$C57))*MIN(I57,$L57),0)</f>
        <v>0</v>
      </c>
    </row>
    <row r="58" s="16" customFormat="1" spans="2:17">
      <c r="B58" s="16">
        <f t="shared" si="10"/>
        <v>4</v>
      </c>
      <c r="C58" s="16">
        <f ca="1">OFFSET($D$6,B58,COUNTIF($B$29:B58,B58))</f>
        <v>5002</v>
      </c>
      <c r="D58" s="16">
        <v>50002</v>
      </c>
      <c r="E58" s="16" t="str">
        <f>_xlfn.XLOOKUP(D58,价值表!D:D,价值表!C:C)</f>
        <v>装备图纸</v>
      </c>
      <c r="F58" s="16">
        <v>2400</v>
      </c>
      <c r="G58" s="41">
        <v>0.5</v>
      </c>
      <c r="H58" s="16">
        <f t="shared" si="6"/>
        <v>3.6</v>
      </c>
      <c r="I58" s="16">
        <f t="shared" si="7"/>
        <v>5.76</v>
      </c>
      <c r="J58" s="16">
        <v>1</v>
      </c>
      <c r="K58" s="16">
        <v>2</v>
      </c>
      <c r="L58" s="16" t="str">
        <f ca="1" t="shared" si="8"/>
        <v/>
      </c>
      <c r="M58" s="16" t="s">
        <v>566</v>
      </c>
      <c r="N58" s="16" cm="1">
        <f ca="1" t="array" ref="N58">IF(_xlfn.XLOOKUP($M58,$X$30:$X$34,$Y$30:$Y$34)&lt;=MATCH(N$29,$N$29:$O$29,0),SUMPRODUCT(--($C$91:$C$234=$C58),$G$91:$G$234,$J$91:$J$234)/SUMPRODUCT(--($J$91:$J$234&gt;0),$G$91:$G$234,--($C$91:$C$234=$C58))*MIN(H58,$L58),0)</f>
        <v>4800</v>
      </c>
      <c r="O58" s="16" cm="1">
        <f ca="1" t="array" ref="O58">IF(_xlfn.XLOOKUP($M58,$X$30:$X$34,$Y$30:$Y$34)&lt;=MATCH(O$29,$N$29:$O$29,0),SUMPRODUCT(--($C$91:$C$234=$C58),$G$91:$G$234,$J$91:$J$234)/SUMPRODUCT(--($J$91:$J$234&gt;0),$G$91:$G$234,--($C$91:$C$234=$C58))*MIN(I58,$L58),0)</f>
        <v>7680</v>
      </c>
      <c r="P58" s="16" cm="1">
        <f ca="1" t="array" ref="P58">IF(_xlfn.XLOOKUP($M58,$X$30:$X$34,$Y$30:$Y$34)&lt;=MATCH(N$29,$N$29:$O$29,0),SUMPRODUCT(--($C$91:$C$234=$C58),$G$91:$G$234,$F$91:$F$234,--($J$91:$J$234&gt;0))/SUMPRODUCT(--($J$91:$J$234&gt;0),$G$91:$G$234,--($C$91:$C$234=$C58))*MIN(H58,$L58),0)</f>
        <v>48</v>
      </c>
      <c r="Q58" s="16" cm="1">
        <f ca="1" t="array" ref="Q58">IF(_xlfn.XLOOKUP($M58,$X$30:$X$34,$Y$30:$Y$34)&lt;=MATCH(O$29,$N$29:$O$29,0),SUMPRODUCT(--($C$91:$C$234=$C58),$G$91:$G$234,$F$91:$F$234,--($J$91:$J$234&gt;0))/SUMPRODUCT(--($J$91:$J$234&gt;0),$G$91:$G$234,--($C$91:$C$234=$C58))*MIN(I58,$L58),0)</f>
        <v>76.8</v>
      </c>
    </row>
    <row r="59" s="16" customFormat="1" spans="2:17">
      <c r="B59" s="16">
        <f t="shared" si="10"/>
        <v>4</v>
      </c>
      <c r="C59" s="16">
        <f ca="1">OFFSET($D$6,B59,COUNTIF($B$29:B59,B59))</f>
        <v>6002</v>
      </c>
      <c r="D59" s="16">
        <v>5203001</v>
      </c>
      <c r="E59" s="16" t="str">
        <f>_xlfn.XLOOKUP(D59,价值表!D:D,价值表!C:C)</f>
        <v>织梦微尘</v>
      </c>
      <c r="F59" s="16">
        <v>600</v>
      </c>
      <c r="G59" s="41">
        <v>0.5</v>
      </c>
      <c r="H59" s="16">
        <f t="shared" si="6"/>
        <v>0.9</v>
      </c>
      <c r="I59" s="16">
        <f t="shared" si="7"/>
        <v>1.44</v>
      </c>
      <c r="J59" s="16">
        <v>1</v>
      </c>
      <c r="K59" s="16">
        <v>2</v>
      </c>
      <c r="L59" s="16" t="str">
        <f ca="1" t="shared" si="8"/>
        <v/>
      </c>
      <c r="M59" s="16" t="s">
        <v>586</v>
      </c>
      <c r="N59" s="16" cm="1">
        <f ca="1" t="array" ref="N59">IF(_xlfn.XLOOKUP($M59,$X$30:$X$34,$Y$30:$Y$34)&lt;=MATCH(N$29,$N$29:$O$29,0),SUMPRODUCT(--($C$91:$C$234=$C59),$G$91:$G$234,$J$91:$J$234)/SUMPRODUCT(--($J$91:$J$234&gt;0),$G$91:$G$234,--($C$91:$C$234=$C59))*MIN(H59,$L59),0)</f>
        <v>0</v>
      </c>
      <c r="O59" s="16" cm="1">
        <f ca="1" t="array" ref="O59">IF(_xlfn.XLOOKUP($M59,$X$30:$X$34,$Y$30:$Y$34)&lt;=MATCH(O$29,$N$29:$O$29,0),SUMPRODUCT(--($C$91:$C$234=$C59),$G$91:$G$234,$J$91:$J$234)/SUMPRODUCT(--($J$91:$J$234&gt;0),$G$91:$G$234,--($C$91:$C$234=$C59))*MIN(I59,$L59),0)</f>
        <v>3840</v>
      </c>
      <c r="P59" s="16" cm="1">
        <f ca="1" t="array" ref="P59">IF(_xlfn.XLOOKUP($M59,$X$30:$X$34,$Y$30:$Y$34)&lt;=MATCH(N$29,$N$29:$O$29,0),SUMPRODUCT(--($C$91:$C$234=$C59),$G$91:$G$234,$F$91:$F$234,--($J$91:$J$234&gt;0))/SUMPRODUCT(--($J$91:$J$234&gt;0),$G$91:$G$234,--($C$91:$C$234=$C59))*MIN(H59,$L59),0)</f>
        <v>0</v>
      </c>
      <c r="Q59" s="16" cm="1">
        <f ca="1" t="array" ref="Q59">IF(_xlfn.XLOOKUP($M59,$X$30:$X$34,$Y$30:$Y$34)&lt;=MATCH(O$29,$N$29:$O$29,0),SUMPRODUCT(--($C$91:$C$234=$C59),$G$91:$G$234,$F$91:$F$234,--($J$91:$J$234&gt;0))/SUMPRODUCT(--($J$91:$J$234&gt;0),$G$91:$G$234,--($C$91:$C$234=$C59))*MIN(I59,$L59),0)</f>
        <v>19.2</v>
      </c>
    </row>
    <row r="60" s="16" customFormat="1" spans="2:17">
      <c r="B60" s="16">
        <f t="shared" si="10"/>
        <v>4</v>
      </c>
      <c r="C60" s="16">
        <f ca="1">OFFSET($D$6,B60,COUNTIF($B$29:B60,B60))</f>
        <v>7003</v>
      </c>
      <c r="D60" s="16">
        <v>5103001</v>
      </c>
      <c r="E60" s="16" t="str">
        <f>_xlfn.XLOOKUP(D60,价值表!D:D,价值表!C:C)</f>
        <v>能量特饮</v>
      </c>
      <c r="F60" s="16">
        <v>2000</v>
      </c>
      <c r="G60" s="41">
        <v>0.5</v>
      </c>
      <c r="H60" s="16">
        <f t="shared" si="6"/>
        <v>3</v>
      </c>
      <c r="I60" s="16">
        <f t="shared" si="7"/>
        <v>4.8</v>
      </c>
      <c r="J60" s="16">
        <v>1</v>
      </c>
      <c r="K60" s="16">
        <v>2</v>
      </c>
      <c r="L60" s="16" t="str">
        <f ca="1" t="shared" si="8"/>
        <v/>
      </c>
      <c r="M60" s="16" t="s">
        <v>591</v>
      </c>
      <c r="N60" s="16" cm="1">
        <f ca="1" t="array" ref="N60">IF(_xlfn.XLOOKUP($M60,$X$30:$X$34,$Y$30:$Y$34)&lt;=MATCH(N$29,$N$29:$O$29,0),SUMPRODUCT(--($C$91:$C$234=$C60),$G$91:$G$234,$J$91:$J$234)/SUMPRODUCT(--($J$91:$J$234&gt;0),$G$91:$G$234,--($C$91:$C$234=$C60))*MIN(H60,$L60),0)</f>
        <v>0</v>
      </c>
      <c r="O60" s="16" cm="1">
        <f ca="1" t="array" ref="O60">IF(_xlfn.XLOOKUP($M60,$X$30:$X$34,$Y$30:$Y$34)&lt;=MATCH(O$29,$N$29:$O$29,0),SUMPRODUCT(--($C$91:$C$234=$C60),$G$91:$G$234,$J$91:$J$234)/SUMPRODUCT(--($J$91:$J$234&gt;0),$G$91:$G$234,--($C$91:$C$234=$C60))*MIN(I60,$L60),0)</f>
        <v>0</v>
      </c>
      <c r="P60" s="16" cm="1">
        <f ca="1" t="array" ref="P60">IF(_xlfn.XLOOKUP($M60,$X$30:$X$34,$Y$30:$Y$34)&lt;=MATCH(N$29,$N$29:$O$29,0),SUMPRODUCT(--($C$91:$C$234=$C60),$G$91:$G$234,$F$91:$F$234,--($J$91:$J$234&gt;0))/SUMPRODUCT(--($J$91:$J$234&gt;0),$G$91:$G$234,--($C$91:$C$234=$C60))*MIN(H60,$L60),0)</f>
        <v>0</v>
      </c>
      <c r="Q60" s="16" cm="1">
        <f ca="1" t="array" ref="Q60">IF(_xlfn.XLOOKUP($M60,$X$30:$X$34,$Y$30:$Y$34)&lt;=MATCH(O$29,$N$29:$O$29,0),SUMPRODUCT(--($C$91:$C$234=$C60),$G$91:$G$234,$F$91:$F$234,--($J$91:$J$234&gt;0))/SUMPRODUCT(--($J$91:$J$234&gt;0),$G$91:$G$234,--($C$91:$C$234=$C60))*MIN(I60,$L60),0)</f>
        <v>0</v>
      </c>
    </row>
    <row r="61" s="16" customFormat="1" spans="2:17">
      <c r="B61" s="16">
        <f t="shared" si="10"/>
        <v>4</v>
      </c>
      <c r="C61" s="16">
        <f ca="1">OFFSET($D$6,B61,COUNTIF($B$29:B61,B61))</f>
        <v>8001</v>
      </c>
      <c r="D61" s="16">
        <v>1310100</v>
      </c>
      <c r="E61" s="16" t="str">
        <f>_xlfn.XLOOKUP(D61,价值表!D:D,价值表!C:C)</f>
        <v>稀有梦灵</v>
      </c>
      <c r="F61" s="16">
        <v>3200</v>
      </c>
      <c r="G61" s="41">
        <v>0.5</v>
      </c>
      <c r="H61" s="16">
        <f t="shared" si="6"/>
        <v>4.8</v>
      </c>
      <c r="I61" s="16">
        <f t="shared" si="7"/>
        <v>7.68</v>
      </c>
      <c r="J61" s="16">
        <v>1</v>
      </c>
      <c r="K61" s="16">
        <v>2</v>
      </c>
      <c r="L61" s="16" t="str">
        <f ca="1" t="shared" si="8"/>
        <v/>
      </c>
      <c r="M61" s="16" t="s">
        <v>591</v>
      </c>
      <c r="N61" s="16" cm="1">
        <f ca="1" t="array" ref="N61">IF(_xlfn.XLOOKUP($M61,$X$30:$X$34,$Y$30:$Y$34)&lt;=MATCH(N$29,$N$29:$O$29,0),SUMPRODUCT(--($C$91:$C$234=$C61),$G$91:$G$234,$J$91:$J$234)/SUMPRODUCT(--($J$91:$J$234&gt;0),$G$91:$G$234,--($C$91:$C$234=$C61))*MIN(H61,$L61),0)</f>
        <v>0</v>
      </c>
      <c r="O61" s="16" cm="1">
        <f ca="1" t="array" ref="O61">IF(_xlfn.XLOOKUP($M61,$X$30:$X$34,$Y$30:$Y$34)&lt;=MATCH(O$29,$N$29:$O$29,0),SUMPRODUCT(--($C$91:$C$234=$C61),$G$91:$G$234,$J$91:$J$234)/SUMPRODUCT(--($J$91:$J$234&gt;0),$G$91:$G$234,--($C$91:$C$234=$C61))*MIN(I61,$L61),0)</f>
        <v>0</v>
      </c>
      <c r="P61" s="16" cm="1">
        <f ca="1" t="array" ref="P61">IF(_xlfn.XLOOKUP($M61,$X$30:$X$34,$Y$30:$Y$34)&lt;=MATCH(N$29,$N$29:$O$29,0),SUMPRODUCT(--($C$91:$C$234=$C61),$G$91:$G$234,$F$91:$F$234,--($J$91:$J$234&gt;0))/SUMPRODUCT(--($J$91:$J$234&gt;0),$G$91:$G$234,--($C$91:$C$234=$C61))*MIN(H61,$L61),0)</f>
        <v>0</v>
      </c>
      <c r="Q61" s="16" cm="1">
        <f ca="1" t="array" ref="Q61">IF(_xlfn.XLOOKUP($M61,$X$30:$X$34,$Y$30:$Y$34)&lt;=MATCH(O$29,$N$29:$O$29,0),SUMPRODUCT(--($C$91:$C$234=$C61),$G$91:$G$234,$F$91:$F$234,--($J$91:$J$234&gt;0))/SUMPRODUCT(--($J$91:$J$234&gt;0),$G$91:$G$234,--($C$91:$C$234=$C61))*MIN(I61,$L61),0)</f>
        <v>0</v>
      </c>
    </row>
    <row r="62" s="16" customFormat="1" spans="2:17">
      <c r="B62" s="16">
        <f t="shared" si="10"/>
        <v>5</v>
      </c>
      <c r="C62" s="16">
        <f ca="1">OFFSET($D$6,B62,COUNTIF($B$29:B62,B62))</f>
        <v>1002</v>
      </c>
      <c r="D62" s="16">
        <v>11</v>
      </c>
      <c r="E62" s="16" t="str">
        <f>_xlfn.XLOOKUP(D62,价值表!D:D,价值表!C:C)</f>
        <v>梦境招募器</v>
      </c>
      <c r="F62" s="16">
        <v>700</v>
      </c>
      <c r="G62" s="41">
        <v>0.5</v>
      </c>
      <c r="H62" s="16">
        <f t="shared" si="6"/>
        <v>1.05</v>
      </c>
      <c r="I62" s="16">
        <f t="shared" si="7"/>
        <v>1.68</v>
      </c>
      <c r="J62" s="16">
        <v>1</v>
      </c>
      <c r="K62" s="16">
        <v>2</v>
      </c>
      <c r="L62" s="16">
        <f ca="1" t="shared" si="8"/>
        <v>0</v>
      </c>
      <c r="M62" s="16" t="s">
        <v>566</v>
      </c>
      <c r="N62" s="16" cm="1">
        <f ca="1" t="array" ref="N62">IF(_xlfn.XLOOKUP($M62,$X$30:$X$34,$Y$30:$Y$34)&lt;=MATCH(N$29,$N$29:$O$29,0),SUMPRODUCT(--($C$91:$C$234=$C62),$G$91:$G$234,$J$91:$J$234)/SUMPRODUCT(--($J$91:$J$234&gt;0),$G$91:$G$234,--($C$91:$C$234=$C62))*MIN(H62,$L62),0)</f>
        <v>0</v>
      </c>
      <c r="O62" s="16" cm="1">
        <f ca="1" t="array" ref="O62">IF(_xlfn.XLOOKUP($M62,$X$30:$X$34,$Y$30:$Y$34)&lt;=MATCH(O$29,$N$29:$O$29,0),SUMPRODUCT(--($C$91:$C$234=$C62),$G$91:$G$234,$J$91:$J$234)/SUMPRODUCT(--($J$91:$J$234&gt;0),$G$91:$G$234,--($C$91:$C$234=$C62))*MIN(I62,$L62),0)</f>
        <v>0</v>
      </c>
      <c r="P62" s="16" cm="1">
        <f ca="1" t="array" ref="P62">IF(_xlfn.XLOOKUP($M62,$X$30:$X$34,$Y$30:$Y$34)&lt;=MATCH(N$29,$N$29:$O$29,0),SUMPRODUCT(--($C$91:$C$234=$C62),$G$91:$G$234,$F$91:$F$234,--($J$91:$J$234&gt;0))/SUMPRODUCT(--($J$91:$J$234&gt;0),$G$91:$G$234,--($C$91:$C$234=$C62))*MIN(H62,$L62),0)</f>
        <v>0</v>
      </c>
      <c r="Q62" s="16" cm="1">
        <f ca="1" t="array" ref="Q62">IF(_xlfn.XLOOKUP($M62,$X$30:$X$34,$Y$30:$Y$34)&lt;=MATCH(O$29,$N$29:$O$29,0),SUMPRODUCT(--($C$91:$C$234=$C62),$G$91:$G$234,$F$91:$F$234,--($J$91:$J$234&gt;0))/SUMPRODUCT(--($J$91:$J$234&gt;0),$G$91:$G$234,--($C$91:$C$234=$C62))*MIN(I62,$L62),0)</f>
        <v>0</v>
      </c>
    </row>
    <row r="63" s="16" customFormat="1" spans="2:17">
      <c r="B63" s="16">
        <f t="shared" si="10"/>
        <v>5</v>
      </c>
      <c r="C63" s="16">
        <f ca="1">OFFSET($D$6,B63,COUNTIF($B$29:B63,B63))</f>
        <v>2001</v>
      </c>
      <c r="D63" s="16">
        <v>9</v>
      </c>
      <c r="E63" s="16" t="str">
        <f>_xlfn.XLOOKUP(D63,价值表!D:D,价值表!C:C)</f>
        <v>星之初愿</v>
      </c>
      <c r="F63" s="16">
        <v>600</v>
      </c>
      <c r="G63" s="41">
        <v>0.5</v>
      </c>
      <c r="H63" s="16">
        <f t="shared" si="6"/>
        <v>0.9</v>
      </c>
      <c r="I63" s="16">
        <f t="shared" si="7"/>
        <v>1.44</v>
      </c>
      <c r="J63" s="16">
        <v>1</v>
      </c>
      <c r="K63" s="16">
        <v>2</v>
      </c>
      <c r="L63" s="16" t="str">
        <f ca="1" t="shared" si="8"/>
        <v/>
      </c>
      <c r="M63" s="16" t="s">
        <v>566</v>
      </c>
      <c r="N63" s="16" cm="1">
        <f ca="1" t="array" ref="N63">IF(_xlfn.XLOOKUP($M63,$X$30:$X$34,$Y$30:$Y$34)&lt;=MATCH(N$29,$N$29:$O$29,0),SUMPRODUCT(--($C$91:$C$234=$C63),$G$91:$G$234,$J$91:$J$234)/SUMPRODUCT(--($J$91:$J$234&gt;0),$G$91:$G$234,--($C$91:$C$234=$C63))*MIN(H63,$L63),0)</f>
        <v>1800</v>
      </c>
      <c r="O63" s="16" cm="1">
        <f ca="1" t="array" ref="O63">IF(_xlfn.XLOOKUP($M63,$X$30:$X$34,$Y$30:$Y$34)&lt;=MATCH(O$29,$N$29:$O$29,0),SUMPRODUCT(--($C$91:$C$234=$C63),$G$91:$G$234,$J$91:$J$234)/SUMPRODUCT(--($J$91:$J$234&gt;0),$G$91:$G$234,--($C$91:$C$234=$C63))*MIN(I63,$L63),0)</f>
        <v>2880</v>
      </c>
      <c r="P63" s="16" cm="1">
        <f ca="1" t="array" ref="P63">IF(_xlfn.XLOOKUP($M63,$X$30:$X$34,$Y$30:$Y$34)&lt;=MATCH(N$29,$N$29:$O$29,0),SUMPRODUCT(--($C$91:$C$234=$C63),$G$91:$G$234,$F$91:$F$234,--($J$91:$J$234&gt;0))/SUMPRODUCT(--($J$91:$J$234&gt;0),$G$91:$G$234,--($C$91:$C$234=$C63))*MIN(H63,$L63),0)</f>
        <v>0.9</v>
      </c>
      <c r="Q63" s="16" cm="1">
        <f ca="1" t="array" ref="Q63">IF(_xlfn.XLOOKUP($M63,$X$30:$X$34,$Y$30:$Y$34)&lt;=MATCH(O$29,$N$29:$O$29,0),SUMPRODUCT(--($C$91:$C$234=$C63),$G$91:$G$234,$F$91:$F$234,--($J$91:$J$234&gt;0))/SUMPRODUCT(--($J$91:$J$234&gt;0),$G$91:$G$234,--($C$91:$C$234=$C63))*MIN(I63,$L63),0)</f>
        <v>1.44</v>
      </c>
    </row>
    <row r="64" s="16" customFormat="1" spans="2:17">
      <c r="B64" s="16">
        <f t="shared" si="10"/>
        <v>5</v>
      </c>
      <c r="C64" s="16">
        <f ca="1">OFFSET($D$6,B64,COUNTIF($B$29:B64,B64))</f>
        <v>3001</v>
      </c>
      <c r="D64" s="16">
        <v>30</v>
      </c>
      <c r="E64" s="16" t="str">
        <f>_xlfn.XLOOKUP(D64,价值表!D:D,价值表!C:C)</f>
        <v>星辉秘契</v>
      </c>
      <c r="F64" s="16">
        <v>200</v>
      </c>
      <c r="G64" s="41">
        <v>0.5</v>
      </c>
      <c r="H64" s="16">
        <f t="shared" si="6"/>
        <v>0.3</v>
      </c>
      <c r="I64" s="16">
        <f t="shared" si="7"/>
        <v>0.48</v>
      </c>
      <c r="J64" s="16">
        <v>1</v>
      </c>
      <c r="K64" s="16">
        <v>2</v>
      </c>
      <c r="L64" s="16" t="str">
        <f ca="1" t="shared" si="8"/>
        <v/>
      </c>
      <c r="M64" s="16" t="s">
        <v>566</v>
      </c>
      <c r="N64" s="16" cm="1">
        <f ca="1" t="array" ref="N64">IF(_xlfn.XLOOKUP($M64,$X$30:$X$34,$Y$30:$Y$34)&lt;=MATCH(N$29,$N$29:$O$29,0),SUMPRODUCT(--($C$91:$C$234=$C64),$G$91:$G$234,$J$91:$J$234)/SUMPRODUCT(--($J$91:$J$234&gt;0),$G$91:$G$234,--($C$91:$C$234=$C64))*MIN(H64,$L64),0)</f>
        <v>3360</v>
      </c>
      <c r="O64" s="16" cm="1">
        <f ca="1" t="array" ref="O64">IF(_xlfn.XLOOKUP($M64,$X$30:$X$34,$Y$30:$Y$34)&lt;=MATCH(O$29,$N$29:$O$29,0),SUMPRODUCT(--($C$91:$C$234=$C64),$G$91:$G$234,$J$91:$J$234)/SUMPRODUCT(--($J$91:$J$234&gt;0),$G$91:$G$234,--($C$91:$C$234=$C64))*MIN(I64,$L64),0)</f>
        <v>5376</v>
      </c>
      <c r="P64" s="16" cm="1">
        <f ca="1" t="array" ref="P64">IF(_xlfn.XLOOKUP($M64,$X$30:$X$34,$Y$30:$Y$34)&lt;=MATCH(N$29,$N$29:$O$29,0),SUMPRODUCT(--($C$91:$C$234=$C64),$G$91:$G$234,$F$91:$F$234,--($J$91:$J$234&gt;0))/SUMPRODUCT(--($J$91:$J$234&gt;0),$G$91:$G$234,--($C$91:$C$234=$C64))*MIN(H64,$L64),0)</f>
        <v>0.3</v>
      </c>
      <c r="Q64" s="16" cm="1">
        <f ca="1" t="array" ref="Q64">IF(_xlfn.XLOOKUP($M64,$X$30:$X$34,$Y$30:$Y$34)&lt;=MATCH(O$29,$N$29:$O$29,0),SUMPRODUCT(--($C$91:$C$234=$C64),$G$91:$G$234,$F$91:$F$234,--($J$91:$J$234&gt;0))/SUMPRODUCT(--($J$91:$J$234&gt;0),$G$91:$G$234,--($C$91:$C$234=$C64))*MIN(I64,$L64),0)</f>
        <v>0.48</v>
      </c>
    </row>
    <row r="65" s="16" customFormat="1" spans="2:17">
      <c r="B65" s="16">
        <f t="shared" si="10"/>
        <v>5</v>
      </c>
      <c r="C65" s="16">
        <f ca="1">OFFSET($D$6,B65,COUNTIF($B$29:B65,B65))</f>
        <v>4001</v>
      </c>
      <c r="D65" s="16">
        <v>5305001</v>
      </c>
      <c r="E65" s="16" t="str">
        <f>_xlfn.XLOOKUP(D65,价值表!D:D,价值表!C:C)</f>
        <v>幻梦晶核</v>
      </c>
      <c r="F65" s="16">
        <v>300</v>
      </c>
      <c r="G65" s="41">
        <v>0.5</v>
      </c>
      <c r="H65" s="16">
        <f t="shared" si="6"/>
        <v>0.45</v>
      </c>
      <c r="I65" s="16">
        <f t="shared" si="7"/>
        <v>0.72</v>
      </c>
      <c r="J65" s="16">
        <v>1</v>
      </c>
      <c r="K65" s="16">
        <v>2</v>
      </c>
      <c r="L65" s="16">
        <f ca="1" t="shared" si="8"/>
        <v>0</v>
      </c>
      <c r="M65" s="16" t="s">
        <v>566</v>
      </c>
      <c r="N65" s="16" cm="1">
        <f ca="1" t="array" ref="N65">IF(_xlfn.XLOOKUP($M65,$X$30:$X$34,$Y$30:$Y$34)&lt;=MATCH(N$29,$N$29:$O$29,0),SUMPRODUCT(--($C$91:$C$234=$C65),$G$91:$G$234,$J$91:$J$234)/SUMPRODUCT(--($J$91:$J$234&gt;0),$G$91:$G$234,--($C$91:$C$234=$C65))*MIN(H65,$L65),0)</f>
        <v>0</v>
      </c>
      <c r="O65" s="16" cm="1">
        <f ca="1" t="array" ref="O65">IF(_xlfn.XLOOKUP($M65,$X$30:$X$34,$Y$30:$Y$34)&lt;=MATCH(O$29,$N$29:$O$29,0),SUMPRODUCT(--($C$91:$C$234=$C65),$G$91:$G$234,$J$91:$J$234)/SUMPRODUCT(--($J$91:$J$234&gt;0),$G$91:$G$234,--($C$91:$C$234=$C65))*MIN(I65,$L65),0)</f>
        <v>0</v>
      </c>
      <c r="P65" s="16" cm="1">
        <f ca="1" t="array" ref="P65">IF(_xlfn.XLOOKUP($M65,$X$30:$X$34,$Y$30:$Y$34)&lt;=MATCH(N$29,$N$29:$O$29,0),SUMPRODUCT(--($C$91:$C$234=$C65),$G$91:$G$234,$F$91:$F$234,--($J$91:$J$234&gt;0))/SUMPRODUCT(--($J$91:$J$234&gt;0),$G$91:$G$234,--($C$91:$C$234=$C65))*MIN(H65,$L65),0)</f>
        <v>0</v>
      </c>
      <c r="Q65" s="16" cm="1">
        <f ca="1" t="array" ref="Q65">IF(_xlfn.XLOOKUP($M65,$X$30:$X$34,$Y$30:$Y$34)&lt;=MATCH(O$29,$N$29:$O$29,0),SUMPRODUCT(--($C$91:$C$234=$C65),$G$91:$G$234,$F$91:$F$234,--($J$91:$J$234&gt;0))/SUMPRODUCT(--($J$91:$J$234&gt;0),$G$91:$G$234,--($C$91:$C$234=$C65))*MIN(I65,$L65),0)</f>
        <v>0</v>
      </c>
    </row>
    <row r="66" s="16" customFormat="1" spans="2:17">
      <c r="B66" s="16">
        <f t="shared" si="10"/>
        <v>5</v>
      </c>
      <c r="C66" s="16">
        <f ca="1">OFFSET($D$6,B66,COUNTIF($B$29:B66,B66))</f>
        <v>5002</v>
      </c>
      <c r="D66" s="16">
        <v>50002</v>
      </c>
      <c r="E66" s="16" t="str">
        <f>_xlfn.XLOOKUP(D66,价值表!D:D,价值表!C:C)</f>
        <v>装备图纸</v>
      </c>
      <c r="F66" s="16">
        <v>2400</v>
      </c>
      <c r="G66" s="41">
        <v>0.5</v>
      </c>
      <c r="H66" s="16">
        <f t="shared" si="6"/>
        <v>3.6</v>
      </c>
      <c r="I66" s="16">
        <f t="shared" si="7"/>
        <v>5.76</v>
      </c>
      <c r="J66" s="16">
        <v>1</v>
      </c>
      <c r="K66" s="16">
        <v>2</v>
      </c>
      <c r="L66" s="16" t="str">
        <f ca="1" t="shared" si="8"/>
        <v/>
      </c>
      <c r="M66" s="16" t="s">
        <v>566</v>
      </c>
      <c r="N66" s="16" cm="1">
        <f ca="1" t="array" ref="N66">IF(_xlfn.XLOOKUP($M66,$X$30:$X$34,$Y$30:$Y$34)&lt;=MATCH(N$29,$N$29:$O$29,0),SUMPRODUCT(--($C$91:$C$234=$C66),$G$91:$G$234,$J$91:$J$234)/SUMPRODUCT(--($J$91:$J$234&gt;0),$G$91:$G$234,--($C$91:$C$234=$C66))*MIN(H66,$L66),0)</f>
        <v>4800</v>
      </c>
      <c r="O66" s="16" cm="1">
        <f ca="1" t="array" ref="O66">IF(_xlfn.XLOOKUP($M66,$X$30:$X$34,$Y$30:$Y$34)&lt;=MATCH(O$29,$N$29:$O$29,0),SUMPRODUCT(--($C$91:$C$234=$C66),$G$91:$G$234,$J$91:$J$234)/SUMPRODUCT(--($J$91:$J$234&gt;0),$G$91:$G$234,--($C$91:$C$234=$C66))*MIN(I66,$L66),0)</f>
        <v>7680</v>
      </c>
      <c r="P66" s="16" cm="1">
        <f ca="1" t="array" ref="P66">IF(_xlfn.XLOOKUP($M66,$X$30:$X$34,$Y$30:$Y$34)&lt;=MATCH(N$29,$N$29:$O$29,0),SUMPRODUCT(--($C$91:$C$234=$C66),$G$91:$G$234,$F$91:$F$234,--($J$91:$J$234&gt;0))/SUMPRODUCT(--($J$91:$J$234&gt;0),$G$91:$G$234,--($C$91:$C$234=$C66))*MIN(H66,$L66),0)</f>
        <v>48</v>
      </c>
      <c r="Q66" s="16" cm="1">
        <f ca="1" t="array" ref="Q66">IF(_xlfn.XLOOKUP($M66,$X$30:$X$34,$Y$30:$Y$34)&lt;=MATCH(O$29,$N$29:$O$29,0),SUMPRODUCT(--($C$91:$C$234=$C66),$G$91:$G$234,$F$91:$F$234,--($J$91:$J$234&gt;0))/SUMPRODUCT(--($J$91:$J$234&gt;0),$G$91:$G$234,--($C$91:$C$234=$C66))*MIN(I66,$L66),0)</f>
        <v>76.8</v>
      </c>
    </row>
    <row r="67" s="16" customFormat="1" spans="2:17">
      <c r="B67" s="16">
        <f t="shared" si="10"/>
        <v>5</v>
      </c>
      <c r="C67" s="16">
        <f ca="1">OFFSET($D$6,B67,COUNTIF($B$29:B67,B67))</f>
        <v>6003</v>
      </c>
      <c r="D67" s="16">
        <v>5203001</v>
      </c>
      <c r="E67" s="16" t="str">
        <f>_xlfn.XLOOKUP(D67,价值表!D:D,价值表!C:C)</f>
        <v>织梦微尘</v>
      </c>
      <c r="F67" s="16">
        <v>600</v>
      </c>
      <c r="G67" s="41">
        <v>0.5</v>
      </c>
      <c r="H67" s="16">
        <f t="shared" si="6"/>
        <v>0.9</v>
      </c>
      <c r="I67" s="16">
        <f t="shared" si="7"/>
        <v>1.44</v>
      </c>
      <c r="J67" s="16">
        <v>1</v>
      </c>
      <c r="K67" s="16">
        <v>2</v>
      </c>
      <c r="L67" s="16" t="str">
        <f ca="1" t="shared" si="8"/>
        <v/>
      </c>
      <c r="M67" s="16" t="s">
        <v>586</v>
      </c>
      <c r="N67" s="16" cm="1">
        <f ca="1" t="array" ref="N67">IF(_xlfn.XLOOKUP($M67,$X$30:$X$34,$Y$30:$Y$34)&lt;=MATCH(N$29,$N$29:$O$29,0),SUMPRODUCT(--($C$91:$C$234=$C67),$G$91:$G$234,$J$91:$J$234)/SUMPRODUCT(--($J$91:$J$234&gt;0),$G$91:$G$234,--($C$91:$C$234=$C67))*MIN(H67,$L67),0)</f>
        <v>0</v>
      </c>
      <c r="O67" s="16" cm="1">
        <f ca="1" t="array" ref="O67">IF(_xlfn.XLOOKUP($M67,$X$30:$X$34,$Y$30:$Y$34)&lt;=MATCH(O$29,$N$29:$O$29,0),SUMPRODUCT(--($C$91:$C$234=$C67),$G$91:$G$234,$J$91:$J$234)/SUMPRODUCT(--($J$91:$J$234&gt;0),$G$91:$G$234,--($C$91:$C$234=$C67))*MIN(I67,$L67),0)</f>
        <v>5760</v>
      </c>
      <c r="P67" s="16" cm="1">
        <f ca="1" t="array" ref="P67">IF(_xlfn.XLOOKUP($M67,$X$30:$X$34,$Y$30:$Y$34)&lt;=MATCH(N$29,$N$29:$O$29,0),SUMPRODUCT(--($C$91:$C$234=$C67),$G$91:$G$234,$F$91:$F$234,--($J$91:$J$234&gt;0))/SUMPRODUCT(--($J$91:$J$234&gt;0),$G$91:$G$234,--($C$91:$C$234=$C67))*MIN(H67,$L67),0)</f>
        <v>0</v>
      </c>
      <c r="Q67" s="16" cm="1">
        <f ca="1" t="array" ref="Q67">IF(_xlfn.XLOOKUP($M67,$X$30:$X$34,$Y$30:$Y$34)&lt;=MATCH(O$29,$N$29:$O$29,0),SUMPRODUCT(--($C$91:$C$234=$C67),$G$91:$G$234,$F$91:$F$234,--($J$91:$J$234&gt;0))/SUMPRODUCT(--($J$91:$J$234&gt;0),$G$91:$G$234,--($C$91:$C$234=$C67))*MIN(I67,$L67),0)</f>
        <v>28.8</v>
      </c>
    </row>
    <row r="68" s="16" customFormat="1" spans="2:17">
      <c r="B68" s="16">
        <f t="shared" si="10"/>
        <v>5</v>
      </c>
      <c r="C68" s="16">
        <f ca="1">OFFSET($D$6,B68,COUNTIF($B$29:B68,B68))</f>
        <v>7003</v>
      </c>
      <c r="D68" s="16">
        <v>5103001</v>
      </c>
      <c r="E68" s="16" t="str">
        <f>_xlfn.XLOOKUP(D68,价值表!D:D,价值表!C:C)</f>
        <v>能量特饮</v>
      </c>
      <c r="F68" s="16">
        <v>2000</v>
      </c>
      <c r="G68" s="41">
        <v>0.5</v>
      </c>
      <c r="H68" s="16">
        <f t="shared" si="6"/>
        <v>3</v>
      </c>
      <c r="I68" s="16">
        <f t="shared" si="7"/>
        <v>4.8</v>
      </c>
      <c r="J68" s="16">
        <v>1</v>
      </c>
      <c r="K68" s="16">
        <v>2</v>
      </c>
      <c r="L68" s="16" t="str">
        <f ca="1" t="shared" si="8"/>
        <v/>
      </c>
      <c r="M68" s="16" t="s">
        <v>591</v>
      </c>
      <c r="N68" s="16" cm="1">
        <f ca="1" t="array" ref="N68">IF(_xlfn.XLOOKUP($M68,$X$30:$X$34,$Y$30:$Y$34)&lt;=MATCH(N$29,$N$29:$O$29,0),SUMPRODUCT(--($C$91:$C$234=$C68),$G$91:$G$234,$J$91:$J$234)/SUMPRODUCT(--($J$91:$J$234&gt;0),$G$91:$G$234,--($C$91:$C$234=$C68))*MIN(H68,$L68),0)</f>
        <v>0</v>
      </c>
      <c r="O68" s="16" cm="1">
        <f ca="1" t="array" ref="O68">IF(_xlfn.XLOOKUP($M68,$X$30:$X$34,$Y$30:$Y$34)&lt;=MATCH(O$29,$N$29:$O$29,0),SUMPRODUCT(--($C$91:$C$234=$C68),$G$91:$G$234,$J$91:$J$234)/SUMPRODUCT(--($J$91:$J$234&gt;0),$G$91:$G$234,--($C$91:$C$234=$C68))*MIN(I68,$L68),0)</f>
        <v>0</v>
      </c>
      <c r="P68" s="16" cm="1">
        <f ca="1" t="array" ref="P68">IF(_xlfn.XLOOKUP($M68,$X$30:$X$34,$Y$30:$Y$34)&lt;=MATCH(N$29,$N$29:$O$29,0),SUMPRODUCT(--($C$91:$C$234=$C68),$G$91:$G$234,$F$91:$F$234,--($J$91:$J$234&gt;0))/SUMPRODUCT(--($J$91:$J$234&gt;0),$G$91:$G$234,--($C$91:$C$234=$C68))*MIN(H68,$L68),0)</f>
        <v>0</v>
      </c>
      <c r="Q68" s="16" cm="1">
        <f ca="1" t="array" ref="Q68">IF(_xlfn.XLOOKUP($M68,$X$30:$X$34,$Y$30:$Y$34)&lt;=MATCH(O$29,$N$29:$O$29,0),SUMPRODUCT(--($C$91:$C$234=$C68),$G$91:$G$234,$F$91:$F$234,--($J$91:$J$234&gt;0))/SUMPRODUCT(--($J$91:$J$234&gt;0),$G$91:$G$234,--($C$91:$C$234=$C68))*MIN(I68,$L68),0)</f>
        <v>0</v>
      </c>
    </row>
    <row r="69" s="16" customFormat="1" spans="2:17">
      <c r="B69" s="16">
        <f t="shared" si="10"/>
        <v>5</v>
      </c>
      <c r="C69" s="16">
        <f ca="1">OFFSET($D$6,B69,COUNTIF($B$29:B69,B69))</f>
        <v>8001</v>
      </c>
      <c r="D69" s="16">
        <v>1310100</v>
      </c>
      <c r="E69" s="16" t="str">
        <f>_xlfn.XLOOKUP(D69,价值表!D:D,价值表!C:C)</f>
        <v>稀有梦灵</v>
      </c>
      <c r="F69" s="16">
        <v>3200</v>
      </c>
      <c r="G69" s="41">
        <v>0.5</v>
      </c>
      <c r="H69" s="16">
        <f t="shared" si="6"/>
        <v>4.8</v>
      </c>
      <c r="I69" s="16">
        <f t="shared" si="7"/>
        <v>7.68</v>
      </c>
      <c r="J69" s="16">
        <v>1</v>
      </c>
      <c r="K69" s="16">
        <v>2</v>
      </c>
      <c r="L69" s="16" t="str">
        <f ca="1" t="shared" si="8"/>
        <v/>
      </c>
      <c r="M69" s="16" t="s">
        <v>591</v>
      </c>
      <c r="N69" s="16" cm="1">
        <f ca="1" t="array" ref="N69">IF(_xlfn.XLOOKUP($M69,$X$30:$X$34,$Y$30:$Y$34)&lt;=MATCH(N$29,$N$29:$O$29,0),SUMPRODUCT(--($C$91:$C$234=$C69),$G$91:$G$234,$J$91:$J$234)/SUMPRODUCT(--($J$91:$J$234&gt;0),$G$91:$G$234,--($C$91:$C$234=$C69))*MIN(H69,$L69),0)</f>
        <v>0</v>
      </c>
      <c r="O69" s="16" cm="1">
        <f ca="1" t="array" ref="O69">IF(_xlfn.XLOOKUP($M69,$X$30:$X$34,$Y$30:$Y$34)&lt;=MATCH(O$29,$N$29:$O$29,0),SUMPRODUCT(--($C$91:$C$234=$C69),$G$91:$G$234,$J$91:$J$234)/SUMPRODUCT(--($J$91:$J$234&gt;0),$G$91:$G$234,--($C$91:$C$234=$C69))*MIN(I69,$L69),0)</f>
        <v>0</v>
      </c>
      <c r="P69" s="16" cm="1">
        <f ca="1" t="array" ref="P69">IF(_xlfn.XLOOKUP($M69,$X$30:$X$34,$Y$30:$Y$34)&lt;=MATCH(N$29,$N$29:$O$29,0),SUMPRODUCT(--($C$91:$C$234=$C69),$G$91:$G$234,$F$91:$F$234,--($J$91:$J$234&gt;0))/SUMPRODUCT(--($J$91:$J$234&gt;0),$G$91:$G$234,--($C$91:$C$234=$C69))*MIN(H69,$L69),0)</f>
        <v>0</v>
      </c>
      <c r="Q69" s="16" cm="1">
        <f ca="1" t="array" ref="Q69">IF(_xlfn.XLOOKUP($M69,$X$30:$X$34,$Y$30:$Y$34)&lt;=MATCH(O$29,$N$29:$O$29,0),SUMPRODUCT(--($C$91:$C$234=$C69),$G$91:$G$234,$F$91:$F$234,--($J$91:$J$234&gt;0))/SUMPRODUCT(--($J$91:$J$234&gt;0),$G$91:$G$234,--($C$91:$C$234=$C69))*MIN(I69,$L69),0)</f>
        <v>0</v>
      </c>
    </row>
    <row r="70" s="16" customFormat="1" spans="2:17">
      <c r="B70" s="16">
        <f t="shared" si="10"/>
        <v>6</v>
      </c>
      <c r="C70" s="16">
        <f ca="1">OFFSET($D$6,B70,COUNTIF($B$29:B70,B70))</f>
        <v>1002</v>
      </c>
      <c r="D70" s="16">
        <v>11</v>
      </c>
      <c r="E70" s="16" t="str">
        <f>_xlfn.XLOOKUP(D70,价值表!D:D,价值表!C:C)</f>
        <v>梦境招募器</v>
      </c>
      <c r="F70" s="16">
        <v>700</v>
      </c>
      <c r="G70" s="41">
        <v>0.5</v>
      </c>
      <c r="H70" s="16">
        <f t="shared" si="6"/>
        <v>1.05</v>
      </c>
      <c r="I70" s="16">
        <f t="shared" si="7"/>
        <v>1.68</v>
      </c>
      <c r="J70" s="16">
        <v>1</v>
      </c>
      <c r="K70" s="16">
        <v>2</v>
      </c>
      <c r="L70" s="16">
        <f ca="1" t="shared" si="8"/>
        <v>0</v>
      </c>
      <c r="M70" s="16" t="s">
        <v>566</v>
      </c>
      <c r="N70" s="16" cm="1">
        <f ca="1" t="array" ref="N70">IF(_xlfn.XLOOKUP($M70,$X$30:$X$34,$Y$30:$Y$34)&lt;=MATCH(N$29,$N$29:$O$29,0),SUMPRODUCT(--($C$91:$C$234=$C70),$G$91:$G$234,$J$91:$J$234)/SUMPRODUCT(--($J$91:$J$234&gt;0),$G$91:$G$234,--($C$91:$C$234=$C70))*MIN(H70,$L70),0)</f>
        <v>0</v>
      </c>
      <c r="O70" s="16" cm="1">
        <f ca="1" t="array" ref="O70">IF(_xlfn.XLOOKUP($M70,$X$30:$X$34,$Y$30:$Y$34)&lt;=MATCH(O$29,$N$29:$O$29,0),SUMPRODUCT(--($C$91:$C$234=$C70),$G$91:$G$234,$J$91:$J$234)/SUMPRODUCT(--($J$91:$J$234&gt;0),$G$91:$G$234,--($C$91:$C$234=$C70))*MIN(I70,$L70),0)</f>
        <v>0</v>
      </c>
      <c r="P70" s="16" cm="1">
        <f ca="1" t="array" ref="P70">IF(_xlfn.XLOOKUP($M70,$X$30:$X$34,$Y$30:$Y$34)&lt;=MATCH(N$29,$N$29:$O$29,0),SUMPRODUCT(--($C$91:$C$234=$C70),$G$91:$G$234,$F$91:$F$234,--($J$91:$J$234&gt;0))/SUMPRODUCT(--($J$91:$J$234&gt;0),$G$91:$G$234,--($C$91:$C$234=$C70))*MIN(H70,$L70),0)</f>
        <v>0</v>
      </c>
      <c r="Q70" s="16" cm="1">
        <f ca="1" t="array" ref="Q70">IF(_xlfn.XLOOKUP($M70,$X$30:$X$34,$Y$30:$Y$34)&lt;=MATCH(O$29,$N$29:$O$29,0),SUMPRODUCT(--($C$91:$C$234=$C70),$G$91:$G$234,$F$91:$F$234,--($J$91:$J$234&gt;0))/SUMPRODUCT(--($J$91:$J$234&gt;0),$G$91:$G$234,--($C$91:$C$234=$C70))*MIN(I70,$L70),0)</f>
        <v>0</v>
      </c>
    </row>
    <row r="71" s="16" customFormat="1" spans="2:17">
      <c r="B71" s="16">
        <f t="shared" si="10"/>
        <v>6</v>
      </c>
      <c r="C71" s="16">
        <f ca="1">OFFSET($D$6,B71,COUNTIF($B$29:B71,B71))</f>
        <v>2001</v>
      </c>
      <c r="D71" s="16">
        <v>9</v>
      </c>
      <c r="E71" s="16" t="str">
        <f>_xlfn.XLOOKUP(D71,价值表!D:D,价值表!C:C)</f>
        <v>星之初愿</v>
      </c>
      <c r="F71" s="16">
        <v>600</v>
      </c>
      <c r="G71" s="41">
        <v>0.5</v>
      </c>
      <c r="H71" s="16">
        <f t="shared" si="6"/>
        <v>0.9</v>
      </c>
      <c r="I71" s="16">
        <f t="shared" si="7"/>
        <v>1.44</v>
      </c>
      <c r="J71" s="16">
        <v>1</v>
      </c>
      <c r="K71" s="16">
        <v>2</v>
      </c>
      <c r="L71" s="16" t="str">
        <f ca="1" t="shared" si="8"/>
        <v/>
      </c>
      <c r="M71" s="16" t="s">
        <v>566</v>
      </c>
      <c r="N71" s="16" cm="1">
        <f ca="1" t="array" ref="N71">IF(_xlfn.XLOOKUP($M71,$X$30:$X$34,$Y$30:$Y$34)&lt;=MATCH(N$29,$N$29:$O$29,0),SUMPRODUCT(--($C$91:$C$234=$C71),$G$91:$G$234,$J$91:$J$234)/SUMPRODUCT(--($J$91:$J$234&gt;0),$G$91:$G$234,--($C$91:$C$234=$C71))*MIN(H71,$L71),0)</f>
        <v>1800</v>
      </c>
      <c r="O71" s="16" cm="1">
        <f ca="1" t="array" ref="O71">IF(_xlfn.XLOOKUP($M71,$X$30:$X$34,$Y$30:$Y$34)&lt;=MATCH(O$29,$N$29:$O$29,0),SUMPRODUCT(--($C$91:$C$234=$C71),$G$91:$G$234,$J$91:$J$234)/SUMPRODUCT(--($J$91:$J$234&gt;0),$G$91:$G$234,--($C$91:$C$234=$C71))*MIN(I71,$L71),0)</f>
        <v>2880</v>
      </c>
      <c r="P71" s="16" cm="1">
        <f ca="1" t="array" ref="P71">IF(_xlfn.XLOOKUP($M71,$X$30:$X$34,$Y$30:$Y$34)&lt;=MATCH(N$29,$N$29:$O$29,0),SUMPRODUCT(--($C$91:$C$234=$C71),$G$91:$G$234,$F$91:$F$234,--($J$91:$J$234&gt;0))/SUMPRODUCT(--($J$91:$J$234&gt;0),$G$91:$G$234,--($C$91:$C$234=$C71))*MIN(H71,$L71),0)</f>
        <v>0.9</v>
      </c>
      <c r="Q71" s="16" cm="1">
        <f ca="1" t="array" ref="Q71">IF(_xlfn.XLOOKUP($M71,$X$30:$X$34,$Y$30:$Y$34)&lt;=MATCH(O$29,$N$29:$O$29,0),SUMPRODUCT(--($C$91:$C$234=$C71),$G$91:$G$234,$F$91:$F$234,--($J$91:$J$234&gt;0))/SUMPRODUCT(--($J$91:$J$234&gt;0),$G$91:$G$234,--($C$91:$C$234=$C71))*MIN(I71,$L71),0)</f>
        <v>1.44</v>
      </c>
    </row>
    <row r="72" s="16" customFormat="1" spans="2:17">
      <c r="B72" s="16">
        <f t="shared" si="10"/>
        <v>6</v>
      </c>
      <c r="C72" s="16">
        <f ca="1">OFFSET($D$6,B72,COUNTIF($B$29:B72,B72))</f>
        <v>3001</v>
      </c>
      <c r="D72" s="16">
        <v>30</v>
      </c>
      <c r="E72" s="16" t="str">
        <f>_xlfn.XLOOKUP(D72,价值表!D:D,价值表!C:C)</f>
        <v>星辉秘契</v>
      </c>
      <c r="F72" s="16">
        <v>200</v>
      </c>
      <c r="G72" s="41">
        <v>0.5</v>
      </c>
      <c r="H72" s="16">
        <f t="shared" si="6"/>
        <v>0.3</v>
      </c>
      <c r="I72" s="16">
        <f t="shared" si="7"/>
        <v>0.48</v>
      </c>
      <c r="J72" s="16">
        <v>1</v>
      </c>
      <c r="K72" s="16">
        <v>2</v>
      </c>
      <c r="L72" s="16" t="str">
        <f ca="1" t="shared" si="8"/>
        <v/>
      </c>
      <c r="M72" s="16" t="s">
        <v>566</v>
      </c>
      <c r="N72" s="16" cm="1">
        <f ca="1" t="array" ref="N72">IF(_xlfn.XLOOKUP($M72,$X$30:$X$34,$Y$30:$Y$34)&lt;=MATCH(N$29,$N$29:$O$29,0),SUMPRODUCT(--($C$91:$C$234=$C72),$G$91:$G$234,$J$91:$J$234)/SUMPRODUCT(--($J$91:$J$234&gt;0),$G$91:$G$234,--($C$91:$C$234=$C72))*MIN(H72,$L72),0)</f>
        <v>3360</v>
      </c>
      <c r="O72" s="16" cm="1">
        <f ca="1" t="array" ref="O72">IF(_xlfn.XLOOKUP($M72,$X$30:$X$34,$Y$30:$Y$34)&lt;=MATCH(O$29,$N$29:$O$29,0),SUMPRODUCT(--($C$91:$C$234=$C72),$G$91:$G$234,$J$91:$J$234)/SUMPRODUCT(--($J$91:$J$234&gt;0),$G$91:$G$234,--($C$91:$C$234=$C72))*MIN(I72,$L72),0)</f>
        <v>5376</v>
      </c>
      <c r="P72" s="16" cm="1">
        <f ca="1" t="array" ref="P72">IF(_xlfn.XLOOKUP($M72,$X$30:$X$34,$Y$30:$Y$34)&lt;=MATCH(N$29,$N$29:$O$29,0),SUMPRODUCT(--($C$91:$C$234=$C72),$G$91:$G$234,$F$91:$F$234,--($J$91:$J$234&gt;0))/SUMPRODUCT(--($J$91:$J$234&gt;0),$G$91:$G$234,--($C$91:$C$234=$C72))*MIN(H72,$L72),0)</f>
        <v>0.3</v>
      </c>
      <c r="Q72" s="16" cm="1">
        <f ca="1" t="array" ref="Q72">IF(_xlfn.XLOOKUP($M72,$X$30:$X$34,$Y$30:$Y$34)&lt;=MATCH(O$29,$N$29:$O$29,0),SUMPRODUCT(--($C$91:$C$234=$C72),$G$91:$G$234,$F$91:$F$234,--($J$91:$J$234&gt;0))/SUMPRODUCT(--($J$91:$J$234&gt;0),$G$91:$G$234,--($C$91:$C$234=$C72))*MIN(I72,$L72),0)</f>
        <v>0.48</v>
      </c>
    </row>
    <row r="73" s="16" customFormat="1" spans="2:17">
      <c r="B73" s="16">
        <f t="shared" si="10"/>
        <v>6</v>
      </c>
      <c r="C73" s="16">
        <f ca="1">OFFSET($D$6,B73,COUNTIF($B$29:B73,B73))</f>
        <v>4001</v>
      </c>
      <c r="D73" s="16">
        <v>5305001</v>
      </c>
      <c r="E73" s="16" t="str">
        <f>_xlfn.XLOOKUP(D73,价值表!D:D,价值表!C:C)</f>
        <v>幻梦晶核</v>
      </c>
      <c r="F73" s="16">
        <v>300</v>
      </c>
      <c r="G73" s="41">
        <v>0.5</v>
      </c>
      <c r="H73" s="16">
        <f t="shared" si="6"/>
        <v>0.45</v>
      </c>
      <c r="I73" s="16">
        <f t="shared" si="7"/>
        <v>0.72</v>
      </c>
      <c r="J73" s="16">
        <v>1</v>
      </c>
      <c r="K73" s="16">
        <v>2</v>
      </c>
      <c r="L73" s="16">
        <f ca="1" t="shared" si="8"/>
        <v>0</v>
      </c>
      <c r="M73" s="16" t="s">
        <v>566</v>
      </c>
      <c r="N73" s="16" cm="1">
        <f ca="1" t="array" ref="N73">IF(_xlfn.XLOOKUP($M73,$X$30:$X$34,$Y$30:$Y$34)&lt;=MATCH(N$29,$N$29:$O$29,0),SUMPRODUCT(--($C$91:$C$234=$C73),$G$91:$G$234,$J$91:$J$234)/SUMPRODUCT(--($J$91:$J$234&gt;0),$G$91:$G$234,--($C$91:$C$234=$C73))*MIN(H73,$L73),0)</f>
        <v>0</v>
      </c>
      <c r="O73" s="16" cm="1">
        <f ca="1" t="array" ref="O73">IF(_xlfn.XLOOKUP($M73,$X$30:$X$34,$Y$30:$Y$34)&lt;=MATCH(O$29,$N$29:$O$29,0),SUMPRODUCT(--($C$91:$C$234=$C73),$G$91:$G$234,$J$91:$J$234)/SUMPRODUCT(--($J$91:$J$234&gt;0),$G$91:$G$234,--($C$91:$C$234=$C73))*MIN(I73,$L73),0)</f>
        <v>0</v>
      </c>
      <c r="P73" s="16" cm="1">
        <f ca="1" t="array" ref="P73">IF(_xlfn.XLOOKUP($M73,$X$30:$X$34,$Y$30:$Y$34)&lt;=MATCH(N$29,$N$29:$O$29,0),SUMPRODUCT(--($C$91:$C$234=$C73),$G$91:$G$234,$F$91:$F$234,--($J$91:$J$234&gt;0))/SUMPRODUCT(--($J$91:$J$234&gt;0),$G$91:$G$234,--($C$91:$C$234=$C73))*MIN(H73,$L73),0)</f>
        <v>0</v>
      </c>
      <c r="Q73" s="16" cm="1">
        <f ca="1" t="array" ref="Q73">IF(_xlfn.XLOOKUP($M73,$X$30:$X$34,$Y$30:$Y$34)&lt;=MATCH(O$29,$N$29:$O$29,0),SUMPRODUCT(--($C$91:$C$234=$C73),$G$91:$G$234,$F$91:$F$234,--($J$91:$J$234&gt;0))/SUMPRODUCT(--($J$91:$J$234&gt;0),$G$91:$G$234,--($C$91:$C$234=$C73))*MIN(I73,$L73),0)</f>
        <v>0</v>
      </c>
    </row>
    <row r="74" s="16" customFormat="1" spans="2:17">
      <c r="B74" s="16">
        <f t="shared" si="10"/>
        <v>6</v>
      </c>
      <c r="C74" s="16">
        <f ca="1">OFFSET($D$6,B74,COUNTIF($B$29:B74,B74))</f>
        <v>5003</v>
      </c>
      <c r="D74" s="16">
        <v>50002</v>
      </c>
      <c r="E74" s="16" t="str">
        <f>_xlfn.XLOOKUP(D74,价值表!D:D,价值表!C:C)</f>
        <v>装备图纸</v>
      </c>
      <c r="F74" s="16">
        <v>2400</v>
      </c>
      <c r="G74" s="41">
        <v>0.5</v>
      </c>
      <c r="H74" s="16">
        <f t="shared" si="6"/>
        <v>3.6</v>
      </c>
      <c r="I74" s="16">
        <f t="shared" si="7"/>
        <v>5.76</v>
      </c>
      <c r="J74" s="16">
        <v>1</v>
      </c>
      <c r="K74" s="16">
        <v>2</v>
      </c>
      <c r="L74" s="16" t="str">
        <f ca="1" t="shared" si="8"/>
        <v/>
      </c>
      <c r="M74" s="16" t="s">
        <v>566</v>
      </c>
      <c r="N74" s="16" cm="1">
        <f ca="1" t="array" ref="N74">IF(_xlfn.XLOOKUP($M74,$X$30:$X$34,$Y$30:$Y$34)&lt;=MATCH(N$29,$N$29:$O$29,0),SUMPRODUCT(--($C$91:$C$234=$C74),$G$91:$G$234,$J$91:$J$234)/SUMPRODUCT(--($J$91:$J$234&gt;0),$G$91:$G$234,--($C$91:$C$234=$C74))*MIN(H74,$L74),0)</f>
        <v>7200</v>
      </c>
      <c r="O74" s="16" cm="1">
        <f ca="1" t="array" ref="O74">IF(_xlfn.XLOOKUP($M74,$X$30:$X$34,$Y$30:$Y$34)&lt;=MATCH(O$29,$N$29:$O$29,0),SUMPRODUCT(--($C$91:$C$234=$C74),$G$91:$G$234,$J$91:$J$234)/SUMPRODUCT(--($J$91:$J$234&gt;0),$G$91:$G$234,--($C$91:$C$234=$C74))*MIN(I74,$L74),0)</f>
        <v>11520</v>
      </c>
      <c r="P74" s="16" cm="1">
        <f ca="1" t="array" ref="P74">IF(_xlfn.XLOOKUP($M74,$X$30:$X$34,$Y$30:$Y$34)&lt;=MATCH(N$29,$N$29:$O$29,0),SUMPRODUCT(--($C$91:$C$234=$C74),$G$91:$G$234,$F$91:$F$234,--($J$91:$J$234&gt;0))/SUMPRODUCT(--($J$91:$J$234&gt;0),$G$91:$G$234,--($C$91:$C$234=$C74))*MIN(H74,$L74),0)</f>
        <v>72</v>
      </c>
      <c r="Q74" s="16" cm="1">
        <f ca="1" t="array" ref="Q74">IF(_xlfn.XLOOKUP($M74,$X$30:$X$34,$Y$30:$Y$34)&lt;=MATCH(O$29,$N$29:$O$29,0),SUMPRODUCT(--($C$91:$C$234=$C74),$G$91:$G$234,$F$91:$F$234,--($J$91:$J$234&gt;0))/SUMPRODUCT(--($J$91:$J$234&gt;0),$G$91:$G$234,--($C$91:$C$234=$C74))*MIN(I74,$L74),0)</f>
        <v>115.2</v>
      </c>
    </row>
    <row r="75" s="16" customFormat="1" spans="2:17">
      <c r="B75" s="16">
        <f t="shared" si="10"/>
        <v>6</v>
      </c>
      <c r="C75" s="16">
        <f ca="1">OFFSET($D$6,B75,COUNTIF($B$29:B75,B75))</f>
        <v>6003</v>
      </c>
      <c r="D75" s="16">
        <v>5203001</v>
      </c>
      <c r="E75" s="16" t="str">
        <f>_xlfn.XLOOKUP(D75,价值表!D:D,价值表!C:C)</f>
        <v>织梦微尘</v>
      </c>
      <c r="F75" s="16">
        <v>600</v>
      </c>
      <c r="G75" s="41">
        <v>0.5</v>
      </c>
      <c r="H75" s="16">
        <f t="shared" si="6"/>
        <v>0.9</v>
      </c>
      <c r="I75" s="16">
        <f t="shared" si="7"/>
        <v>1.44</v>
      </c>
      <c r="J75" s="16">
        <v>1</v>
      </c>
      <c r="K75" s="16">
        <v>2</v>
      </c>
      <c r="L75" s="16" t="str">
        <f ca="1" t="shared" si="8"/>
        <v/>
      </c>
      <c r="M75" s="16" t="s">
        <v>586</v>
      </c>
      <c r="N75" s="16" cm="1">
        <f ca="1" t="array" ref="N75">IF(_xlfn.XLOOKUP($M75,$X$30:$X$34,$Y$30:$Y$34)&lt;=MATCH(N$29,$N$29:$O$29,0),SUMPRODUCT(--($C$91:$C$234=$C75),$G$91:$G$234,$J$91:$J$234)/SUMPRODUCT(--($J$91:$J$234&gt;0),$G$91:$G$234,--($C$91:$C$234=$C75))*MIN(H75,$L75),0)</f>
        <v>0</v>
      </c>
      <c r="O75" s="16" cm="1">
        <f ca="1" t="array" ref="O75">IF(_xlfn.XLOOKUP($M75,$X$30:$X$34,$Y$30:$Y$34)&lt;=MATCH(O$29,$N$29:$O$29,0),SUMPRODUCT(--($C$91:$C$234=$C75),$G$91:$G$234,$J$91:$J$234)/SUMPRODUCT(--($J$91:$J$234&gt;0),$G$91:$G$234,--($C$91:$C$234=$C75))*MIN(I75,$L75),0)</f>
        <v>5760</v>
      </c>
      <c r="P75" s="16" cm="1">
        <f ca="1" t="array" ref="P75">IF(_xlfn.XLOOKUP($M75,$X$30:$X$34,$Y$30:$Y$34)&lt;=MATCH(N$29,$N$29:$O$29,0),SUMPRODUCT(--($C$91:$C$234=$C75),$G$91:$G$234,$F$91:$F$234,--($J$91:$J$234&gt;0))/SUMPRODUCT(--($J$91:$J$234&gt;0),$G$91:$G$234,--($C$91:$C$234=$C75))*MIN(H75,$L75),0)</f>
        <v>0</v>
      </c>
      <c r="Q75" s="16" cm="1">
        <f ca="1" t="array" ref="Q75">IF(_xlfn.XLOOKUP($M75,$X$30:$X$34,$Y$30:$Y$34)&lt;=MATCH(O$29,$N$29:$O$29,0),SUMPRODUCT(--($C$91:$C$234=$C75),$G$91:$G$234,$F$91:$F$234,--($J$91:$J$234&gt;0))/SUMPRODUCT(--($J$91:$J$234&gt;0),$G$91:$G$234,--($C$91:$C$234=$C75))*MIN(I75,$L75),0)</f>
        <v>28.8</v>
      </c>
    </row>
    <row r="76" s="16" customFormat="1" spans="2:17">
      <c r="B76" s="16">
        <f t="shared" si="10"/>
        <v>6</v>
      </c>
      <c r="C76" s="16">
        <f ca="1">OFFSET($D$6,B76,COUNTIF($B$29:B76,B76))</f>
        <v>7003</v>
      </c>
      <c r="D76" s="16">
        <v>5103001</v>
      </c>
      <c r="E76" s="16" t="str">
        <f>_xlfn.XLOOKUP(D76,价值表!D:D,价值表!C:C)</f>
        <v>能量特饮</v>
      </c>
      <c r="F76" s="16">
        <v>2000</v>
      </c>
      <c r="G76" s="41">
        <v>0.5</v>
      </c>
      <c r="H76" s="16">
        <f t="shared" si="6"/>
        <v>3</v>
      </c>
      <c r="I76" s="16">
        <f t="shared" si="7"/>
        <v>4.8</v>
      </c>
      <c r="J76" s="16">
        <v>1</v>
      </c>
      <c r="K76" s="16">
        <v>2</v>
      </c>
      <c r="L76" s="16" t="str">
        <f ca="1" t="shared" si="8"/>
        <v/>
      </c>
      <c r="M76" s="16" t="s">
        <v>591</v>
      </c>
      <c r="N76" s="16" cm="1">
        <f ca="1" t="array" ref="N76">IF(_xlfn.XLOOKUP($M76,$X$30:$X$34,$Y$30:$Y$34)&lt;=MATCH(N$29,$N$29:$O$29,0),SUMPRODUCT(--($C$91:$C$234=$C76),$G$91:$G$234,$J$91:$J$234)/SUMPRODUCT(--($J$91:$J$234&gt;0),$G$91:$G$234,--($C$91:$C$234=$C76))*MIN(H76,$L76),0)</f>
        <v>0</v>
      </c>
      <c r="O76" s="16" cm="1">
        <f ca="1" t="array" ref="O76">IF(_xlfn.XLOOKUP($M76,$X$30:$X$34,$Y$30:$Y$34)&lt;=MATCH(O$29,$N$29:$O$29,0),SUMPRODUCT(--($C$91:$C$234=$C76),$G$91:$G$234,$J$91:$J$234)/SUMPRODUCT(--($J$91:$J$234&gt;0),$G$91:$G$234,--($C$91:$C$234=$C76))*MIN(I76,$L76),0)</f>
        <v>0</v>
      </c>
      <c r="P76" s="16" cm="1">
        <f ca="1" t="array" ref="P76">IF(_xlfn.XLOOKUP($M76,$X$30:$X$34,$Y$30:$Y$34)&lt;=MATCH(N$29,$N$29:$O$29,0),SUMPRODUCT(--($C$91:$C$234=$C76),$G$91:$G$234,$F$91:$F$234,--($J$91:$J$234&gt;0))/SUMPRODUCT(--($J$91:$J$234&gt;0),$G$91:$G$234,--($C$91:$C$234=$C76))*MIN(H76,$L76),0)</f>
        <v>0</v>
      </c>
      <c r="Q76" s="16" cm="1">
        <f ca="1" t="array" ref="Q76">IF(_xlfn.XLOOKUP($M76,$X$30:$X$34,$Y$30:$Y$34)&lt;=MATCH(O$29,$N$29:$O$29,0),SUMPRODUCT(--($C$91:$C$234=$C76),$G$91:$G$234,$F$91:$F$234,--($J$91:$J$234&gt;0))/SUMPRODUCT(--($J$91:$J$234&gt;0),$G$91:$G$234,--($C$91:$C$234=$C76))*MIN(I76,$L76),0)</f>
        <v>0</v>
      </c>
    </row>
    <row r="77" s="16" customFormat="1" spans="2:17">
      <c r="B77" s="16">
        <f t="shared" si="10"/>
        <v>6</v>
      </c>
      <c r="C77" s="16">
        <f ca="1">OFFSET($D$6,B77,COUNTIF($B$29:B77,B77))</f>
        <v>8001</v>
      </c>
      <c r="D77" s="16">
        <v>1310100</v>
      </c>
      <c r="E77" s="16" t="str">
        <f>_xlfn.XLOOKUP(D77,价值表!D:D,价值表!C:C)</f>
        <v>稀有梦灵</v>
      </c>
      <c r="F77" s="16">
        <v>3200</v>
      </c>
      <c r="G77" s="41">
        <v>0.5</v>
      </c>
      <c r="H77" s="16">
        <f t="shared" si="6"/>
        <v>4.8</v>
      </c>
      <c r="I77" s="16">
        <f t="shared" si="7"/>
        <v>7.68</v>
      </c>
      <c r="J77" s="16">
        <v>1</v>
      </c>
      <c r="K77" s="16">
        <v>2</v>
      </c>
      <c r="L77" s="16" t="str">
        <f ca="1" t="shared" si="8"/>
        <v/>
      </c>
      <c r="M77" s="16" t="s">
        <v>591</v>
      </c>
      <c r="N77" s="16" cm="1">
        <f ca="1" t="array" ref="N77">IF(_xlfn.XLOOKUP($M77,$X$30:$X$34,$Y$30:$Y$34)&lt;=MATCH(N$29,$N$29:$O$29,0),SUMPRODUCT(--($C$91:$C$234=$C77),$G$91:$G$234,$J$91:$J$234)/SUMPRODUCT(--($J$91:$J$234&gt;0),$G$91:$G$234,--($C$91:$C$234=$C77))*MIN(H77,$L77),0)</f>
        <v>0</v>
      </c>
      <c r="O77" s="16" cm="1">
        <f ca="1" t="array" ref="O77">IF(_xlfn.XLOOKUP($M77,$X$30:$X$34,$Y$30:$Y$34)&lt;=MATCH(O$29,$N$29:$O$29,0),SUMPRODUCT(--($C$91:$C$234=$C77),$G$91:$G$234,$J$91:$J$234)/SUMPRODUCT(--($J$91:$J$234&gt;0),$G$91:$G$234,--($C$91:$C$234=$C77))*MIN(I77,$L77),0)</f>
        <v>0</v>
      </c>
      <c r="P77" s="16" cm="1">
        <f ca="1" t="array" ref="P77">IF(_xlfn.XLOOKUP($M77,$X$30:$X$34,$Y$30:$Y$34)&lt;=MATCH(N$29,$N$29:$O$29,0),SUMPRODUCT(--($C$91:$C$234=$C77),$G$91:$G$234,$F$91:$F$234,--($J$91:$J$234&gt;0))/SUMPRODUCT(--($J$91:$J$234&gt;0),$G$91:$G$234,--($C$91:$C$234=$C77))*MIN(H77,$L77),0)</f>
        <v>0</v>
      </c>
      <c r="Q77" s="16" cm="1">
        <f ca="1" t="array" ref="Q77">IF(_xlfn.XLOOKUP($M77,$X$30:$X$34,$Y$30:$Y$34)&lt;=MATCH(O$29,$N$29:$O$29,0),SUMPRODUCT(--($C$91:$C$234=$C77),$G$91:$G$234,$F$91:$F$234,--($J$91:$J$234&gt;0))/SUMPRODUCT(--($J$91:$J$234&gt;0),$G$91:$G$234,--($C$91:$C$234=$C77))*MIN(I77,$L77),0)</f>
        <v>0</v>
      </c>
    </row>
    <row r="78" s="16" customFormat="1" spans="2:17">
      <c r="B78" s="16">
        <f t="shared" si="10"/>
        <v>7</v>
      </c>
      <c r="C78" s="16">
        <f ca="1">OFFSET($D$6,B78,COUNTIF($B$29:B78,B78))</f>
        <v>1003</v>
      </c>
      <c r="D78" s="16">
        <v>11</v>
      </c>
      <c r="E78" s="16" t="str">
        <f>_xlfn.XLOOKUP(D78,价值表!D:D,价值表!C:C)</f>
        <v>梦境招募器</v>
      </c>
      <c r="F78" s="16">
        <v>700</v>
      </c>
      <c r="G78" s="41">
        <v>0.5</v>
      </c>
      <c r="H78" s="16">
        <f t="shared" si="6"/>
        <v>1.05</v>
      </c>
      <c r="I78" s="16">
        <f t="shared" si="7"/>
        <v>1.68</v>
      </c>
      <c r="J78" s="16">
        <v>1</v>
      </c>
      <c r="K78" s="16">
        <v>2</v>
      </c>
      <c r="L78" s="16">
        <f ca="1" t="shared" si="8"/>
        <v>1</v>
      </c>
      <c r="M78" s="16" t="s">
        <v>566</v>
      </c>
      <c r="N78" s="16" cm="1">
        <f ca="1" t="array" ref="N78">IF(_xlfn.XLOOKUP($M78,$X$30:$X$34,$Y$30:$Y$34)&lt;=MATCH(N$29,$N$29:$O$29,0),SUMPRODUCT(--($C$91:$C$234=$C78),$G$91:$G$234,$J$91:$J$234)/SUMPRODUCT(--($J$91:$J$234&gt;0),$G$91:$G$234,--($C$91:$C$234=$C78))*MIN(H78,$L78),0)</f>
        <v>11000</v>
      </c>
      <c r="O78" s="16" cm="1">
        <f ca="1" t="array" ref="O78">IF(_xlfn.XLOOKUP($M78,$X$30:$X$34,$Y$30:$Y$34)&lt;=MATCH(O$29,$N$29:$O$29,0),SUMPRODUCT(--($C$91:$C$234=$C78),$G$91:$G$234,$J$91:$J$234)/SUMPRODUCT(--($J$91:$J$234&gt;0),$G$91:$G$234,--($C$91:$C$234=$C78))*MIN(I78,$L78),0)</f>
        <v>11000</v>
      </c>
      <c r="P78" s="16" cm="1">
        <f ca="1" t="array" ref="P78">IF(_xlfn.XLOOKUP($M78,$X$30:$X$34,$Y$30:$Y$34)&lt;=MATCH(N$29,$N$29:$O$29,0),SUMPRODUCT(--($C$91:$C$234=$C78),$G$91:$G$234,$F$91:$F$234,--($J$91:$J$234&gt;0))/SUMPRODUCT(--($J$91:$J$234&gt;0),$G$91:$G$234,--($C$91:$C$234=$C78))*MIN(H78,$L78),0)</f>
        <v>9.16666666666667</v>
      </c>
      <c r="Q78" s="16" cm="1">
        <f ca="1" t="array" ref="Q78">IF(_xlfn.XLOOKUP($M78,$X$30:$X$34,$Y$30:$Y$34)&lt;=MATCH(O$29,$N$29:$O$29,0),SUMPRODUCT(--($C$91:$C$234=$C78),$G$91:$G$234,$F$91:$F$234,--($J$91:$J$234&gt;0))/SUMPRODUCT(--($J$91:$J$234&gt;0),$G$91:$G$234,--($C$91:$C$234=$C78))*MIN(I78,$L78),0)</f>
        <v>9.16666666666667</v>
      </c>
    </row>
    <row r="79" s="16" customFormat="1" spans="2:17">
      <c r="B79" s="16">
        <f t="shared" si="10"/>
        <v>7</v>
      </c>
      <c r="C79" s="16">
        <f ca="1">OFFSET($D$6,B79,COUNTIF($B$29:B79,B79))</f>
        <v>2001</v>
      </c>
      <c r="D79" s="16">
        <v>9</v>
      </c>
      <c r="E79" s="16" t="str">
        <f>_xlfn.XLOOKUP(D79,价值表!D:D,价值表!C:C)</f>
        <v>星之初愿</v>
      </c>
      <c r="F79" s="16">
        <v>600</v>
      </c>
      <c r="G79" s="41">
        <v>0.5</v>
      </c>
      <c r="H79" s="16">
        <f t="shared" si="6"/>
        <v>0.9</v>
      </c>
      <c r="I79" s="16">
        <f t="shared" si="7"/>
        <v>1.44</v>
      </c>
      <c r="J79" s="16">
        <v>1</v>
      </c>
      <c r="K79" s="16">
        <v>2</v>
      </c>
      <c r="L79" s="16" t="str">
        <f ca="1" t="shared" si="8"/>
        <v/>
      </c>
      <c r="M79" s="16" t="s">
        <v>566</v>
      </c>
      <c r="N79" s="16" cm="1">
        <f ca="1" t="array" ref="N79">IF(_xlfn.XLOOKUP($M79,$X$30:$X$34,$Y$30:$Y$34)&lt;=MATCH(N$29,$N$29:$O$29,0),SUMPRODUCT(--($C$91:$C$234=$C79),$G$91:$G$234,$J$91:$J$234)/SUMPRODUCT(--($J$91:$J$234&gt;0),$G$91:$G$234,--($C$91:$C$234=$C79))*MIN(H79,$L79),0)</f>
        <v>1800</v>
      </c>
      <c r="O79" s="16" cm="1">
        <f ca="1" t="array" ref="O79">IF(_xlfn.XLOOKUP($M79,$X$30:$X$34,$Y$30:$Y$34)&lt;=MATCH(O$29,$N$29:$O$29,0),SUMPRODUCT(--($C$91:$C$234=$C79),$G$91:$G$234,$J$91:$J$234)/SUMPRODUCT(--($J$91:$J$234&gt;0),$G$91:$G$234,--($C$91:$C$234=$C79))*MIN(I79,$L79),0)</f>
        <v>2880</v>
      </c>
      <c r="P79" s="16" cm="1">
        <f ca="1" t="array" ref="P79">IF(_xlfn.XLOOKUP($M79,$X$30:$X$34,$Y$30:$Y$34)&lt;=MATCH(N$29,$N$29:$O$29,0),SUMPRODUCT(--($C$91:$C$234=$C79),$G$91:$G$234,$F$91:$F$234,--($J$91:$J$234&gt;0))/SUMPRODUCT(--($J$91:$J$234&gt;0),$G$91:$G$234,--($C$91:$C$234=$C79))*MIN(H79,$L79),0)</f>
        <v>0.9</v>
      </c>
      <c r="Q79" s="16" cm="1">
        <f ca="1" t="array" ref="Q79">IF(_xlfn.XLOOKUP($M79,$X$30:$X$34,$Y$30:$Y$34)&lt;=MATCH(O$29,$N$29:$O$29,0),SUMPRODUCT(--($C$91:$C$234=$C79),$G$91:$G$234,$F$91:$F$234,--($J$91:$J$234&gt;0))/SUMPRODUCT(--($J$91:$J$234&gt;0),$G$91:$G$234,--($C$91:$C$234=$C79))*MIN(I79,$L79),0)</f>
        <v>1.44</v>
      </c>
    </row>
    <row r="80" s="16" customFormat="1" spans="2:17">
      <c r="B80" s="16">
        <f t="shared" si="10"/>
        <v>7</v>
      </c>
      <c r="C80" s="16">
        <f ca="1">OFFSET($D$6,B80,COUNTIF($B$29:B80,B80))</f>
        <v>3001</v>
      </c>
      <c r="D80" s="16">
        <v>30</v>
      </c>
      <c r="E80" s="16" t="str">
        <f>_xlfn.XLOOKUP(D80,价值表!D:D,价值表!C:C)</f>
        <v>星辉秘契</v>
      </c>
      <c r="F80" s="16">
        <v>200</v>
      </c>
      <c r="G80" s="41">
        <v>0.5</v>
      </c>
      <c r="H80" s="16">
        <f t="shared" si="6"/>
        <v>0.3</v>
      </c>
      <c r="I80" s="16">
        <f t="shared" si="7"/>
        <v>0.48</v>
      </c>
      <c r="J80" s="16">
        <v>1</v>
      </c>
      <c r="K80" s="16">
        <v>2</v>
      </c>
      <c r="L80" s="16" t="str">
        <f ca="1" t="shared" si="8"/>
        <v/>
      </c>
      <c r="M80" s="16" t="s">
        <v>566</v>
      </c>
      <c r="N80" s="16" cm="1">
        <f ca="1" t="array" ref="N80">IF(_xlfn.XLOOKUP($M80,$X$30:$X$34,$Y$30:$Y$34)&lt;=MATCH(N$29,$N$29:$O$29,0),SUMPRODUCT(--($C$91:$C$234=$C80),$G$91:$G$234,$J$91:$J$234)/SUMPRODUCT(--($J$91:$J$234&gt;0),$G$91:$G$234,--($C$91:$C$234=$C80))*MIN(H80,$L80),0)</f>
        <v>3360</v>
      </c>
      <c r="O80" s="16" cm="1">
        <f ca="1" t="array" ref="O80">IF(_xlfn.XLOOKUP($M80,$X$30:$X$34,$Y$30:$Y$34)&lt;=MATCH(O$29,$N$29:$O$29,0),SUMPRODUCT(--($C$91:$C$234=$C80),$G$91:$G$234,$J$91:$J$234)/SUMPRODUCT(--($J$91:$J$234&gt;0),$G$91:$G$234,--($C$91:$C$234=$C80))*MIN(I80,$L80),0)</f>
        <v>5376</v>
      </c>
      <c r="P80" s="16" cm="1">
        <f ca="1" t="array" ref="P80">IF(_xlfn.XLOOKUP($M80,$X$30:$X$34,$Y$30:$Y$34)&lt;=MATCH(N$29,$N$29:$O$29,0),SUMPRODUCT(--($C$91:$C$234=$C80),$G$91:$G$234,$F$91:$F$234,--($J$91:$J$234&gt;0))/SUMPRODUCT(--($J$91:$J$234&gt;0),$G$91:$G$234,--($C$91:$C$234=$C80))*MIN(H80,$L80),0)</f>
        <v>0.3</v>
      </c>
      <c r="Q80" s="16" cm="1">
        <f ca="1" t="array" ref="Q80">IF(_xlfn.XLOOKUP($M80,$X$30:$X$34,$Y$30:$Y$34)&lt;=MATCH(O$29,$N$29:$O$29,0),SUMPRODUCT(--($C$91:$C$234=$C80),$G$91:$G$234,$F$91:$F$234,--($J$91:$J$234&gt;0))/SUMPRODUCT(--($J$91:$J$234&gt;0),$G$91:$G$234,--($C$91:$C$234=$C80))*MIN(I80,$L80),0)</f>
        <v>0.48</v>
      </c>
    </row>
    <row r="81" s="16" customFormat="1" spans="2:20">
      <c r="B81" s="16">
        <f t="shared" si="10"/>
        <v>7</v>
      </c>
      <c r="C81" s="16">
        <f ca="1">OFFSET($D$6,B81,COUNTIF($B$29:B81,B81))</f>
        <v>4001</v>
      </c>
      <c r="D81" s="16">
        <v>5305001</v>
      </c>
      <c r="E81" s="16" t="str">
        <f>_xlfn.XLOOKUP(D81,价值表!D:D,价值表!C:C)</f>
        <v>幻梦晶核</v>
      </c>
      <c r="F81" s="16">
        <v>300</v>
      </c>
      <c r="G81" s="41">
        <v>0.5</v>
      </c>
      <c r="H81" s="16">
        <f t="shared" si="6"/>
        <v>0.45</v>
      </c>
      <c r="I81" s="16">
        <f t="shared" si="7"/>
        <v>0.72</v>
      </c>
      <c r="J81" s="16">
        <v>1</v>
      </c>
      <c r="K81" s="16">
        <v>2</v>
      </c>
      <c r="L81" s="16">
        <f ca="1" t="shared" si="8"/>
        <v>1</v>
      </c>
      <c r="M81" s="16" t="s">
        <v>566</v>
      </c>
      <c r="N81" s="16" cm="1">
        <f ca="1" t="array" ref="N81">IF(_xlfn.XLOOKUP($M81,$X$30:$X$34,$Y$30:$Y$34)&lt;=MATCH(N$29,$N$29:$O$29,0),SUMPRODUCT(--($C$91:$C$234=$C81),$G$91:$G$234,$J$91:$J$234)/SUMPRODUCT(--($J$91:$J$234&gt;0),$G$91:$G$234,--($C$91:$C$234=$C81))*MIN(H81,$L81),0)</f>
        <v>2700</v>
      </c>
      <c r="O81" s="16" cm="1">
        <f ca="1" t="array" ref="O81">IF(_xlfn.XLOOKUP($M81,$X$30:$X$34,$Y$30:$Y$34)&lt;=MATCH(O$29,$N$29:$O$29,0),SUMPRODUCT(--($C$91:$C$234=$C81),$G$91:$G$234,$J$91:$J$234)/SUMPRODUCT(--($J$91:$J$234&gt;0),$G$91:$G$234,--($C$91:$C$234=$C81))*MIN(I81,$L81),0)</f>
        <v>4320</v>
      </c>
      <c r="P81" s="16" cm="1">
        <f ca="1" t="array" ref="P81">IF(_xlfn.XLOOKUP($M81,$X$30:$X$34,$Y$30:$Y$34)&lt;=MATCH(N$29,$N$29:$O$29,0),SUMPRODUCT(--($C$91:$C$234=$C81),$G$91:$G$234,$F$91:$F$234,--($J$91:$J$234&gt;0))/SUMPRODUCT(--($J$91:$J$234&gt;0),$G$91:$G$234,--($C$91:$C$234=$C81))*MIN(H81,$L81),0)</f>
        <v>0.45</v>
      </c>
      <c r="Q81" s="16" cm="1">
        <f ca="1" t="array" ref="Q81">IF(_xlfn.XLOOKUP($M81,$X$30:$X$34,$Y$30:$Y$34)&lt;=MATCH(O$29,$N$29:$O$29,0),SUMPRODUCT(--($C$91:$C$234=$C81),$G$91:$G$234,$F$91:$F$234,--($J$91:$J$234&gt;0))/SUMPRODUCT(--($J$91:$J$234&gt;0),$G$91:$G$234,--($C$91:$C$234=$C81))*MIN(I81,$L81),0)</f>
        <v>0.72</v>
      </c>
    </row>
    <row r="82" s="16" customFormat="1" spans="2:20">
      <c r="B82" s="16">
        <f t="shared" si="10"/>
        <v>7</v>
      </c>
      <c r="C82" s="16">
        <f ca="1">OFFSET($D$6,B82,COUNTIF($B$29:B82,B82))</f>
        <v>5003</v>
      </c>
      <c r="D82" s="16">
        <v>50002</v>
      </c>
      <c r="E82" s="16" t="str">
        <f>_xlfn.XLOOKUP(D82,价值表!D:D,价值表!C:C)</f>
        <v>装备图纸</v>
      </c>
      <c r="F82" s="16">
        <v>2400</v>
      </c>
      <c r="G82" s="41">
        <v>0.5</v>
      </c>
      <c r="H82" s="16">
        <f t="shared" si="6"/>
        <v>3.6</v>
      </c>
      <c r="I82" s="16">
        <f t="shared" si="7"/>
        <v>5.76</v>
      </c>
      <c r="J82" s="16">
        <v>1</v>
      </c>
      <c r="K82" s="16">
        <v>2</v>
      </c>
      <c r="L82" s="16" t="str">
        <f ca="1" t="shared" si="8"/>
        <v/>
      </c>
      <c r="M82" s="16" t="s">
        <v>566</v>
      </c>
      <c r="N82" s="16" cm="1">
        <f ca="1" t="array" ref="N82">IF(_xlfn.XLOOKUP($M82,$X$30:$X$34,$Y$30:$Y$34)&lt;=MATCH(N$29,$N$29:$O$29,0),SUMPRODUCT(--($C$91:$C$234=$C82),$G$91:$G$234,$J$91:$J$234)/SUMPRODUCT(--($J$91:$J$234&gt;0),$G$91:$G$234,--($C$91:$C$234=$C82))*MIN(H82,$L82),0)</f>
        <v>7200</v>
      </c>
      <c r="O82" s="16" cm="1">
        <f ca="1" t="array" ref="O82">IF(_xlfn.XLOOKUP($M82,$X$30:$X$34,$Y$30:$Y$34)&lt;=MATCH(O$29,$N$29:$O$29,0),SUMPRODUCT(--($C$91:$C$234=$C82),$G$91:$G$234,$J$91:$J$234)/SUMPRODUCT(--($J$91:$J$234&gt;0),$G$91:$G$234,--($C$91:$C$234=$C82))*MIN(I82,$L82),0)</f>
        <v>11520</v>
      </c>
      <c r="P82" s="16" cm="1">
        <f ca="1" t="array" ref="P82">IF(_xlfn.XLOOKUP($M82,$X$30:$X$34,$Y$30:$Y$34)&lt;=MATCH(N$29,$N$29:$O$29,0),SUMPRODUCT(--($C$91:$C$234=$C82),$G$91:$G$234,$F$91:$F$234,--($J$91:$J$234&gt;0))/SUMPRODUCT(--($J$91:$J$234&gt;0),$G$91:$G$234,--($C$91:$C$234=$C82))*MIN(H82,$L82),0)</f>
        <v>72</v>
      </c>
      <c r="Q82" s="16" cm="1">
        <f ca="1" t="array" ref="Q82">IF(_xlfn.XLOOKUP($M82,$X$30:$X$34,$Y$30:$Y$34)&lt;=MATCH(O$29,$N$29:$O$29,0),SUMPRODUCT(--($C$91:$C$234=$C82),$G$91:$G$234,$F$91:$F$234,--($J$91:$J$234&gt;0))/SUMPRODUCT(--($J$91:$J$234&gt;0),$G$91:$G$234,--($C$91:$C$234=$C82))*MIN(I82,$L82),0)</f>
        <v>115.2</v>
      </c>
    </row>
    <row r="83" s="16" customFormat="1" spans="2:20">
      <c r="B83" s="16">
        <f t="shared" si="10"/>
        <v>7</v>
      </c>
      <c r="C83" s="16">
        <f ca="1">OFFSET($D$6,B83,COUNTIF($B$29:B83,B83))</f>
        <v>6003</v>
      </c>
      <c r="D83" s="16">
        <v>5203001</v>
      </c>
      <c r="E83" s="16" t="str">
        <f>_xlfn.XLOOKUP(D83,价值表!D:D,价值表!C:C)</f>
        <v>织梦微尘</v>
      </c>
      <c r="F83" s="16">
        <v>600</v>
      </c>
      <c r="G83" s="41">
        <v>0.5</v>
      </c>
      <c r="H83" s="16">
        <f t="shared" si="6"/>
        <v>0.9</v>
      </c>
      <c r="I83" s="16">
        <f t="shared" si="7"/>
        <v>1.44</v>
      </c>
      <c r="J83" s="16">
        <v>1</v>
      </c>
      <c r="K83" s="16">
        <v>2</v>
      </c>
      <c r="L83" s="16" t="str">
        <f ca="1" t="shared" si="8"/>
        <v/>
      </c>
      <c r="M83" s="16" t="s">
        <v>586</v>
      </c>
      <c r="N83" s="16" cm="1">
        <f ca="1" t="array" ref="N83">IF(_xlfn.XLOOKUP($M83,$X$30:$X$34,$Y$30:$Y$34)&lt;=MATCH(N$29,$N$29:$O$29,0),SUMPRODUCT(--($C$91:$C$234=$C83),$G$91:$G$234,$J$91:$J$234)/SUMPRODUCT(--($J$91:$J$234&gt;0),$G$91:$G$234,--($C$91:$C$234=$C83))*MIN(H83,$L83),0)</f>
        <v>0</v>
      </c>
      <c r="O83" s="16" cm="1">
        <f ca="1" t="array" ref="O83">IF(_xlfn.XLOOKUP($M83,$X$30:$X$34,$Y$30:$Y$34)&lt;=MATCH(O$29,$N$29:$O$29,0),SUMPRODUCT(--($C$91:$C$234=$C83),$G$91:$G$234,$J$91:$J$234)/SUMPRODUCT(--($J$91:$J$234&gt;0),$G$91:$G$234,--($C$91:$C$234=$C83))*MIN(I83,$L83),0)</f>
        <v>5760</v>
      </c>
      <c r="P83" s="16" cm="1">
        <f ca="1" t="array" ref="P83">IF(_xlfn.XLOOKUP($M83,$X$30:$X$34,$Y$30:$Y$34)&lt;=MATCH(N$29,$N$29:$O$29,0),SUMPRODUCT(--($C$91:$C$234=$C83),$G$91:$G$234,$F$91:$F$234,--($J$91:$J$234&gt;0))/SUMPRODUCT(--($J$91:$J$234&gt;0),$G$91:$G$234,--($C$91:$C$234=$C83))*MIN(H83,$L83),0)</f>
        <v>0</v>
      </c>
      <c r="Q83" s="16" cm="1">
        <f ca="1" t="array" ref="Q83">IF(_xlfn.XLOOKUP($M83,$X$30:$X$34,$Y$30:$Y$34)&lt;=MATCH(O$29,$N$29:$O$29,0),SUMPRODUCT(--($C$91:$C$234=$C83),$G$91:$G$234,$F$91:$F$234,--($J$91:$J$234&gt;0))/SUMPRODUCT(--($J$91:$J$234&gt;0),$G$91:$G$234,--($C$91:$C$234=$C83))*MIN(I83,$L83),0)</f>
        <v>28.8</v>
      </c>
    </row>
    <row r="84" s="16" customFormat="1" spans="2:20">
      <c r="B84" s="16">
        <f t="shared" si="10"/>
        <v>7</v>
      </c>
      <c r="C84" s="16">
        <f ca="1">OFFSET($D$6,B84,COUNTIF($B$29:B84,B84))</f>
        <v>7003</v>
      </c>
      <c r="D84" s="16">
        <v>5103001</v>
      </c>
      <c r="E84" s="16" t="str">
        <f>_xlfn.XLOOKUP(D84,价值表!D:D,价值表!C:C)</f>
        <v>能量特饮</v>
      </c>
      <c r="F84" s="16">
        <v>2000</v>
      </c>
      <c r="G84" s="41">
        <v>0.5</v>
      </c>
      <c r="H84" s="16">
        <f t="shared" si="6"/>
        <v>3</v>
      </c>
      <c r="I84" s="16">
        <f t="shared" si="7"/>
        <v>4.8</v>
      </c>
      <c r="J84" s="16">
        <v>1</v>
      </c>
      <c r="K84" s="16">
        <v>2</v>
      </c>
      <c r="L84" s="16" t="str">
        <f ca="1" t="shared" si="8"/>
        <v/>
      </c>
      <c r="M84" s="16" t="s">
        <v>591</v>
      </c>
      <c r="N84" s="16" cm="1">
        <f ca="1" t="array" ref="N84">IF(_xlfn.XLOOKUP($M84,$X$30:$X$34,$Y$30:$Y$34)&lt;=MATCH(N$29,$N$29:$O$29,0),SUMPRODUCT(--($C$91:$C$234=$C84),$G$91:$G$234,$J$91:$J$234)/SUMPRODUCT(--($J$91:$J$234&gt;0),$G$91:$G$234,--($C$91:$C$234=$C84))*MIN(H84,$L84),0)</f>
        <v>0</v>
      </c>
      <c r="O84" s="16" cm="1">
        <f ca="1" t="array" ref="O84">IF(_xlfn.XLOOKUP($M84,$X$30:$X$34,$Y$30:$Y$34)&lt;=MATCH(O$29,$N$29:$O$29,0),SUMPRODUCT(--($C$91:$C$234=$C84),$G$91:$G$234,$J$91:$J$234)/SUMPRODUCT(--($J$91:$J$234&gt;0),$G$91:$G$234,--($C$91:$C$234=$C84))*MIN(I84,$L84),0)</f>
        <v>0</v>
      </c>
      <c r="P84" s="16" cm="1">
        <f ca="1" t="array" ref="P84">IF(_xlfn.XLOOKUP($M84,$X$30:$X$34,$Y$30:$Y$34)&lt;=MATCH(N$29,$N$29:$O$29,0),SUMPRODUCT(--($C$91:$C$234=$C84),$G$91:$G$234,$F$91:$F$234,--($J$91:$J$234&gt;0))/SUMPRODUCT(--($J$91:$J$234&gt;0),$G$91:$G$234,--($C$91:$C$234=$C84))*MIN(H84,$L84),0)</f>
        <v>0</v>
      </c>
      <c r="Q84" s="16" cm="1">
        <f ca="1" t="array" ref="Q84">IF(_xlfn.XLOOKUP($M84,$X$30:$X$34,$Y$30:$Y$34)&lt;=MATCH(O$29,$N$29:$O$29,0),SUMPRODUCT(--($C$91:$C$234=$C84),$G$91:$G$234,$F$91:$F$234,--($J$91:$J$234&gt;0))/SUMPRODUCT(--($J$91:$J$234&gt;0),$G$91:$G$234,--($C$91:$C$234=$C84))*MIN(I84,$L84),0)</f>
        <v>0</v>
      </c>
    </row>
    <row r="85" s="16" customFormat="1" spans="2:20">
      <c r="B85" s="16">
        <f t="shared" si="10"/>
        <v>7</v>
      </c>
      <c r="C85" s="16">
        <f ca="1">OFFSET($D$6,B85,COUNTIF($B$29:B85,B85))</f>
        <v>8001</v>
      </c>
      <c r="D85" s="16">
        <v>1310100</v>
      </c>
      <c r="E85" s="16" t="str">
        <f>_xlfn.XLOOKUP(D85,价值表!D:D,价值表!C:C)</f>
        <v>稀有梦灵</v>
      </c>
      <c r="F85" s="16">
        <v>3200</v>
      </c>
      <c r="G85" s="41">
        <v>0.5</v>
      </c>
      <c r="H85" s="16">
        <f t="shared" si="6"/>
        <v>4.8</v>
      </c>
      <c r="I85" s="16">
        <f t="shared" si="7"/>
        <v>7.68</v>
      </c>
      <c r="J85" s="16">
        <v>1</v>
      </c>
      <c r="K85" s="16">
        <v>2</v>
      </c>
      <c r="L85" s="16" t="str">
        <f ca="1" t="shared" si="8"/>
        <v/>
      </c>
      <c r="M85" s="16" t="s">
        <v>591</v>
      </c>
      <c r="N85" s="16" cm="1">
        <f ca="1" t="array" ref="N85">IF(_xlfn.XLOOKUP($M85,$X$30:$X$34,$Y$30:$Y$34)&lt;=MATCH(N$29,$N$29:$O$29,0),SUMPRODUCT(--($C$91:$C$234=$C85),$G$91:$G$234,$J$91:$J$234)/SUMPRODUCT(--($J$91:$J$234&gt;0),$G$91:$G$234,--($C$91:$C$234=$C85))*MIN(H85,$L85),0)</f>
        <v>0</v>
      </c>
      <c r="O85" s="16" cm="1">
        <f ca="1" t="array" ref="O85">IF(_xlfn.XLOOKUP($M85,$X$30:$X$34,$Y$30:$Y$34)&lt;=MATCH(O$29,$N$29:$O$29,0),SUMPRODUCT(--($C$91:$C$234=$C85),$G$91:$G$234,$J$91:$J$234)/SUMPRODUCT(--($J$91:$J$234&gt;0),$G$91:$G$234,--($C$91:$C$234=$C85))*MIN(I85,$L85),0)</f>
        <v>0</v>
      </c>
      <c r="P85" s="16" cm="1">
        <f ca="1" t="array" ref="P85">IF(_xlfn.XLOOKUP($M85,$X$30:$X$34,$Y$30:$Y$34)&lt;=MATCH(N$29,$N$29:$O$29,0),SUMPRODUCT(--($C$91:$C$234=$C85),$G$91:$G$234,$F$91:$F$234,--($J$91:$J$234&gt;0))/SUMPRODUCT(--($J$91:$J$234&gt;0),$G$91:$G$234,--($C$91:$C$234=$C85))*MIN(H85,$L85),0)</f>
        <v>0</v>
      </c>
      <c r="Q85" s="16" cm="1">
        <f ca="1" t="array" ref="Q85">IF(_xlfn.XLOOKUP($M85,$X$30:$X$34,$Y$30:$Y$34)&lt;=MATCH(O$29,$N$29:$O$29,0),SUMPRODUCT(--($C$91:$C$234=$C85),$G$91:$G$234,$F$91:$F$234,--($J$91:$J$234&gt;0))/SUMPRODUCT(--($J$91:$J$234&gt;0),$G$91:$G$234,--($C$91:$C$234=$C85))*MIN(I85,$L85),0)</f>
        <v>0</v>
      </c>
    </row>
    <row r="86" s="16" customFormat="1" spans="2:20">
      <c r="G86" s="41"/>
      <c r="Q86"/>
      <c r="R86"/>
      <c r="S86"/>
      <c r="T86"/>
    </row>
    <row r="87" s="16" customFormat="1" spans="2:20">
      <c r="Q87"/>
      <c r="R87"/>
      <c r="S87"/>
      <c r="T87"/>
    </row>
    <row r="88" s="16" customFormat="1" spans="2:20">
      <c r="Q88"/>
      <c r="R88"/>
      <c r="S88"/>
      <c r="T88"/>
    </row>
    <row r="89" s="16" customFormat="1" spans="2:20">
      <c r="J89" s="16">
        <v>0.05</v>
      </c>
      <c r="K89" s="16">
        <v>1</v>
      </c>
      <c r="Q89"/>
      <c r="R89"/>
      <c r="S89"/>
      <c r="T89"/>
    </row>
    <row r="90" s="16" customFormat="1" spans="2:20">
      <c r="D90" s="16" t="s">
        <v>640</v>
      </c>
      <c r="E90" s="16" t="s">
        <v>918</v>
      </c>
      <c r="F90" s="16" t="s">
        <v>919</v>
      </c>
      <c r="G90" s="16" t="s">
        <v>920</v>
      </c>
      <c r="H90" s="16" t="s">
        <v>921</v>
      </c>
      <c r="I90" s="16" t="s">
        <v>922</v>
      </c>
      <c r="J90" s="16" t="s">
        <v>195</v>
      </c>
      <c r="K90" s="16" t="s">
        <v>188</v>
      </c>
      <c r="L90" s="16" t="s">
        <v>923</v>
      </c>
      <c r="Q90"/>
      <c r="R90"/>
      <c r="S90"/>
      <c r="T90"/>
    </row>
    <row r="91" s="16" customFormat="1" spans="2:20">
      <c r="C91" s="16">
        <v>1001</v>
      </c>
      <c r="D91" s="16">
        <f ca="1">_xlfn.XLOOKUP(INT(C91/1000)*1000+1,$C$30:$C$69,$D$30:$D$69)</f>
        <v>11</v>
      </c>
      <c r="E91" s="16" t="s">
        <v>924</v>
      </c>
      <c r="F91" s="16">
        <v>5</v>
      </c>
      <c r="G91" s="16">
        <f ca="1" t="shared" ref="G91:G154" si="12">H91*2*_xlfn.XLOOKUP(C91,$C$30:$C$85,$G$30:$G$85)</f>
        <v>5000</v>
      </c>
      <c r="H91" s="16">
        <v>5000</v>
      </c>
      <c r="I91" s="16">
        <f ca="1">F91*_xlfn.XLOOKUP(D91,价值表!D:D,价值表!F:F)</f>
        <v>150</v>
      </c>
      <c r="J91" s="16">
        <v>6000</v>
      </c>
      <c r="L91" s="46" cm="1">
        <f ca="1" t="array" ref="L91">I91/SUMPRODUCT(J91:K91,J$89:K$89)</f>
        <v>0.5</v>
      </c>
      <c r="M91" s="16" t="str">
        <f ca="1" t="shared" ref="M91:M154" si="13">"[{"&amp;D91&amp;","&amp;F91&amp;"}]"</f>
        <v>[{11,5}]</v>
      </c>
      <c r="N91" s="16" t="str">
        <f t="shared" ref="N91:N154" si="14">IF(J91&gt;0,"[{2,"&amp;J91&amp;"}]","[{1,"&amp;K91&amp;"}]")</f>
        <v>[{2,6000}]</v>
      </c>
      <c r="Q91"/>
      <c r="R91"/>
      <c r="S91"/>
      <c r="T91"/>
    </row>
    <row r="92" s="16" customFormat="1" spans="2:20">
      <c r="C92" s="16">
        <v>1001</v>
      </c>
      <c r="D92" s="16">
        <v>11</v>
      </c>
      <c r="E92" s="16" t="s">
        <v>924</v>
      </c>
      <c r="F92" s="16">
        <v>5</v>
      </c>
      <c r="G92" s="16">
        <f ca="1" t="shared" si="12"/>
        <v>5000</v>
      </c>
      <c r="H92" s="16">
        <v>5000</v>
      </c>
      <c r="I92" s="16">
        <f>F92*_xlfn.XLOOKUP(D92,价值表!D:D,价值表!F:F)</f>
        <v>150</v>
      </c>
      <c r="K92" s="16">
        <v>120</v>
      </c>
      <c r="L92" s="46" cm="1">
        <f t="array" ref="L92">I92/SUMPRODUCT(J92:K92,J$89:K$89)</f>
        <v>1.25</v>
      </c>
      <c r="M92" s="16" t="str">
        <f t="shared" si="13"/>
        <v>[{11,5}]</v>
      </c>
      <c r="N92" s="16" t="str">
        <f t="shared" si="14"/>
        <v>[{1,120}]</v>
      </c>
      <c r="Q92"/>
      <c r="R92"/>
      <c r="S92"/>
      <c r="T92"/>
    </row>
    <row r="93" s="16" customFormat="1" spans="2:20">
      <c r="C93" s="16">
        <v>1002</v>
      </c>
      <c r="D93" s="16">
        <v>11</v>
      </c>
      <c r="E93" s="16" t="s">
        <v>924</v>
      </c>
      <c r="F93" s="16">
        <v>5</v>
      </c>
      <c r="G93" s="16">
        <f ca="1" t="shared" si="12"/>
        <v>3500</v>
      </c>
      <c r="H93" s="16">
        <v>3500</v>
      </c>
      <c r="I93" s="16">
        <f>F93*_xlfn.XLOOKUP(D93,价值表!D:D,价值表!F:F)</f>
        <v>150</v>
      </c>
      <c r="J93" s="16">
        <v>6000</v>
      </c>
      <c r="L93" s="46" cm="1">
        <f t="array" ref="L93">I93/SUMPRODUCT(J93:K93,J$89:K$89)</f>
        <v>0.5</v>
      </c>
      <c r="M93" s="16" t="str">
        <f t="shared" si="13"/>
        <v>[{11,5}]</v>
      </c>
      <c r="N93" s="16" t="str">
        <f t="shared" si="14"/>
        <v>[{2,6000}]</v>
      </c>
      <c r="Q93"/>
      <c r="R93"/>
      <c r="S93"/>
      <c r="T93"/>
    </row>
    <row r="94" s="16" customFormat="1" spans="2:20">
      <c r="C94" s="16">
        <v>1002</v>
      </c>
      <c r="D94" s="16">
        <v>11</v>
      </c>
      <c r="E94" s="16" t="s">
        <v>924</v>
      </c>
      <c r="F94" s="16">
        <v>5</v>
      </c>
      <c r="G94" s="16">
        <f ca="1" t="shared" si="12"/>
        <v>3500</v>
      </c>
      <c r="H94" s="16">
        <v>3500</v>
      </c>
      <c r="I94" s="16">
        <f>F94*_xlfn.XLOOKUP(D94,价值表!D:D,价值表!F:F)</f>
        <v>150</v>
      </c>
      <c r="K94" s="16">
        <v>120</v>
      </c>
      <c r="L94" s="46" cm="1">
        <f t="array" ref="L94">I94/SUMPRODUCT(J94:K94,J$89:K$89)</f>
        <v>1.25</v>
      </c>
      <c r="M94" s="16" t="str">
        <f t="shared" si="13"/>
        <v>[{11,5}]</v>
      </c>
      <c r="N94" s="16" t="str">
        <f t="shared" si="14"/>
        <v>[{1,120}]</v>
      </c>
      <c r="Q94"/>
      <c r="R94"/>
      <c r="S94"/>
      <c r="T94"/>
    </row>
    <row r="95" s="16" customFormat="1" spans="2:20">
      <c r="C95" s="16">
        <v>1002</v>
      </c>
      <c r="D95" s="16">
        <v>11</v>
      </c>
      <c r="E95" s="16" t="s">
        <v>924</v>
      </c>
      <c r="F95" s="16">
        <v>10</v>
      </c>
      <c r="G95" s="16">
        <f ca="1" t="shared" si="12"/>
        <v>1500</v>
      </c>
      <c r="H95" s="16">
        <v>1500</v>
      </c>
      <c r="I95" s="16">
        <f>F95*_xlfn.XLOOKUP(D95,价值表!D:D,价值表!F:F)</f>
        <v>300</v>
      </c>
      <c r="J95" s="16">
        <v>12000</v>
      </c>
      <c r="L95" s="46" cm="1">
        <f t="array" ref="L95">I95/SUMPRODUCT(J95:K95,J$89:K$89)</f>
        <v>0.5</v>
      </c>
      <c r="M95" s="16" t="str">
        <f t="shared" si="13"/>
        <v>[{11,10}]</v>
      </c>
      <c r="N95" s="16" t="str">
        <f t="shared" si="14"/>
        <v>[{2,12000}]</v>
      </c>
      <c r="Q95"/>
      <c r="R95"/>
      <c r="S95"/>
      <c r="T95"/>
    </row>
    <row r="96" s="16" customFormat="1" spans="2:20">
      <c r="C96" s="16">
        <v>1002</v>
      </c>
      <c r="D96" s="16">
        <v>11</v>
      </c>
      <c r="E96" s="16" t="s">
        <v>924</v>
      </c>
      <c r="F96" s="16">
        <v>10</v>
      </c>
      <c r="G96" s="16">
        <f ca="1" t="shared" si="12"/>
        <v>1500</v>
      </c>
      <c r="H96" s="16">
        <v>1500</v>
      </c>
      <c r="I96" s="16">
        <f>F96*_xlfn.XLOOKUP(D96,价值表!D:D,价值表!F:F)</f>
        <v>300</v>
      </c>
      <c r="K96" s="16">
        <v>240</v>
      </c>
      <c r="L96" s="46" cm="1">
        <f t="array" ref="L96">I96/SUMPRODUCT(J96:K96,J$89:K$89)</f>
        <v>1.25</v>
      </c>
      <c r="M96" s="16" t="str">
        <f t="shared" si="13"/>
        <v>[{11,10}]</v>
      </c>
      <c r="N96" s="16" t="str">
        <f t="shared" si="14"/>
        <v>[{1,240}]</v>
      </c>
      <c r="Q96"/>
      <c r="R96"/>
      <c r="S96"/>
      <c r="T96"/>
    </row>
    <row r="97" s="16" customFormat="1" spans="3:20">
      <c r="C97" s="16">
        <v>1003</v>
      </c>
      <c r="D97" s="16">
        <v>11</v>
      </c>
      <c r="E97" s="16" t="s">
        <v>924</v>
      </c>
      <c r="F97" s="16">
        <v>5</v>
      </c>
      <c r="G97" s="16">
        <f ca="1" t="shared" si="12"/>
        <v>600</v>
      </c>
      <c r="H97" s="16">
        <v>600</v>
      </c>
      <c r="I97" s="16">
        <f>F97*_xlfn.XLOOKUP(D97,价值表!D:D,价值表!F:F)</f>
        <v>150</v>
      </c>
      <c r="J97" s="16">
        <v>6000</v>
      </c>
      <c r="L97" s="46" cm="1">
        <f t="array" ref="L97">I97/SUMPRODUCT(J97:K97,J$89:K$89)</f>
        <v>0.5</v>
      </c>
      <c r="M97" s="16" t="str">
        <f t="shared" si="13"/>
        <v>[{11,5}]</v>
      </c>
      <c r="N97" s="16" t="str">
        <f t="shared" si="14"/>
        <v>[{2,6000}]</v>
      </c>
      <c r="Q97"/>
      <c r="R97"/>
      <c r="S97"/>
      <c r="T97"/>
    </row>
    <row r="98" s="16" customFormat="1" spans="3:20">
      <c r="C98" s="16">
        <v>1003</v>
      </c>
      <c r="D98" s="16">
        <v>11</v>
      </c>
      <c r="E98" s="16" t="s">
        <v>924</v>
      </c>
      <c r="F98" s="16">
        <v>5</v>
      </c>
      <c r="G98" s="16">
        <f ca="1" t="shared" si="12"/>
        <v>600</v>
      </c>
      <c r="H98" s="16">
        <v>600</v>
      </c>
      <c r="I98" s="16">
        <f>F98*_xlfn.XLOOKUP(D98,价值表!D:D,价值表!F:F)</f>
        <v>150</v>
      </c>
      <c r="K98" s="16">
        <v>120</v>
      </c>
      <c r="L98" s="46" cm="1">
        <f t="array" ref="L98">I98/SUMPRODUCT(J98:K98,J$89:K$89)</f>
        <v>1.25</v>
      </c>
      <c r="M98" s="16" t="str">
        <f t="shared" si="13"/>
        <v>[{11,5}]</v>
      </c>
      <c r="N98" s="16" t="str">
        <f t="shared" si="14"/>
        <v>[{1,120}]</v>
      </c>
      <c r="Q98"/>
      <c r="R98"/>
      <c r="S98"/>
      <c r="T98"/>
    </row>
    <row r="99" s="16" customFormat="1" spans="3:20">
      <c r="C99" s="16">
        <v>1003</v>
      </c>
      <c r="D99" s="16">
        <v>11</v>
      </c>
      <c r="E99" s="16" t="s">
        <v>924</v>
      </c>
      <c r="F99" s="16">
        <v>10</v>
      </c>
      <c r="G99" s="16">
        <f ca="1" t="shared" si="12"/>
        <v>400</v>
      </c>
      <c r="H99" s="16">
        <v>400</v>
      </c>
      <c r="I99" s="16">
        <f>F99*_xlfn.XLOOKUP(D99,价值表!D:D,价值表!F:F)</f>
        <v>300</v>
      </c>
      <c r="J99" s="16">
        <v>12000</v>
      </c>
      <c r="L99" s="46" cm="1">
        <f t="array" ref="L99">I99/SUMPRODUCT(J99:K99,J$89:K$89)</f>
        <v>0.5</v>
      </c>
      <c r="M99" s="16" t="str">
        <f t="shared" si="13"/>
        <v>[{11,10}]</v>
      </c>
      <c r="N99" s="16" t="str">
        <f t="shared" si="14"/>
        <v>[{2,12000}]</v>
      </c>
      <c r="Q99"/>
      <c r="R99"/>
      <c r="S99"/>
      <c r="T99"/>
    </row>
    <row r="100" s="16" customFormat="1" spans="3:20">
      <c r="C100" s="16">
        <v>1003</v>
      </c>
      <c r="D100" s="16">
        <v>11</v>
      </c>
      <c r="E100" s="16" t="s">
        <v>924</v>
      </c>
      <c r="F100" s="16">
        <v>10</v>
      </c>
      <c r="G100" s="16">
        <f ca="1" t="shared" si="12"/>
        <v>400</v>
      </c>
      <c r="H100" s="16">
        <v>400</v>
      </c>
      <c r="I100" s="16">
        <f>F100*_xlfn.XLOOKUP(D100,价值表!D:D,价值表!F:F)</f>
        <v>300</v>
      </c>
      <c r="K100" s="16">
        <v>240</v>
      </c>
      <c r="L100" s="46" cm="1">
        <f t="array" ref="L100">I100/SUMPRODUCT(J100:K100,J$89:K$89)</f>
        <v>1.25</v>
      </c>
      <c r="M100" s="16" t="str">
        <f t="shared" si="13"/>
        <v>[{11,10}]</v>
      </c>
      <c r="N100" s="16" t="str">
        <f t="shared" si="14"/>
        <v>[{1,240}]</v>
      </c>
      <c r="Q100"/>
      <c r="R100"/>
      <c r="S100"/>
      <c r="T100"/>
    </row>
    <row r="101" s="16" customFormat="1" spans="3:20">
      <c r="C101" s="16">
        <v>1003</v>
      </c>
      <c r="D101" s="16">
        <v>11</v>
      </c>
      <c r="E101" s="16" t="s">
        <v>924</v>
      </c>
      <c r="F101" s="16">
        <v>20</v>
      </c>
      <c r="G101" s="16">
        <f ca="1" t="shared" si="12"/>
        <v>200</v>
      </c>
      <c r="H101" s="16">
        <v>200</v>
      </c>
      <c r="I101" s="16">
        <f>F101*_xlfn.XLOOKUP(D101,价值表!D:D,价值表!F:F)</f>
        <v>600</v>
      </c>
      <c r="J101" s="16">
        <v>24000</v>
      </c>
      <c r="L101" s="46" cm="1">
        <f t="array" ref="L101">I101/SUMPRODUCT(J101:K101,J$89:K$89)</f>
        <v>0.5</v>
      </c>
      <c r="M101" s="16" t="str">
        <f t="shared" si="13"/>
        <v>[{11,20}]</v>
      </c>
      <c r="N101" s="16" t="str">
        <f t="shared" si="14"/>
        <v>[{2,24000}]</v>
      </c>
      <c r="Q101"/>
      <c r="R101"/>
      <c r="S101"/>
      <c r="T101"/>
    </row>
    <row r="102" s="16" customFormat="1" spans="3:20">
      <c r="C102" s="16">
        <v>1003</v>
      </c>
      <c r="D102" s="16">
        <v>11</v>
      </c>
      <c r="E102" s="16" t="s">
        <v>924</v>
      </c>
      <c r="F102" s="16">
        <v>20</v>
      </c>
      <c r="G102" s="16">
        <f ca="1" t="shared" si="12"/>
        <v>200</v>
      </c>
      <c r="H102" s="16">
        <v>200</v>
      </c>
      <c r="I102" s="16">
        <f>F102*_xlfn.XLOOKUP(D102,价值表!D:D,价值表!F:F)</f>
        <v>600</v>
      </c>
      <c r="K102" s="16">
        <v>480</v>
      </c>
      <c r="L102" s="46" cm="1">
        <f t="array" ref="L102">I102/SUMPRODUCT(J102:K102,J$89:K$89)</f>
        <v>1.25</v>
      </c>
      <c r="M102" s="16" t="str">
        <f t="shared" si="13"/>
        <v>[{11,20}]</v>
      </c>
      <c r="N102" s="16" t="str">
        <f t="shared" si="14"/>
        <v>[{1,480}]</v>
      </c>
      <c r="Q102"/>
      <c r="R102"/>
      <c r="S102"/>
      <c r="T102"/>
    </row>
    <row r="103" s="16" customFormat="1" spans="3:20">
      <c r="C103" s="16">
        <v>2001</v>
      </c>
      <c r="D103" s="16">
        <f ca="1" t="shared" ref="D103:D106" si="15">_xlfn.XLOOKUP(C103,$C$30:$C$69,$D$30:$D$69)</f>
        <v>9</v>
      </c>
      <c r="E103" s="16" t="s">
        <v>925</v>
      </c>
      <c r="F103" s="16">
        <v>1</v>
      </c>
      <c r="G103" s="16">
        <f ca="1" t="shared" si="12"/>
        <v>1000</v>
      </c>
      <c r="H103" s="16">
        <v>1000</v>
      </c>
      <c r="I103" s="16">
        <f ca="1">F103*_xlfn.XLOOKUP(D103,价值表!D:D,价值表!F:F)</f>
        <v>50</v>
      </c>
      <c r="J103" s="16">
        <v>2000</v>
      </c>
      <c r="L103" s="46" cm="1">
        <f ca="1" t="array" ref="L103">I103/SUMPRODUCT(J103:K103,J$89:K$89)</f>
        <v>0.5</v>
      </c>
      <c r="M103" s="16" t="str">
        <f ca="1" t="shared" si="13"/>
        <v>[{9,1}]</v>
      </c>
      <c r="N103" s="16" t="str">
        <f t="shared" si="14"/>
        <v>[{2,2000}]</v>
      </c>
      <c r="Q103"/>
      <c r="R103"/>
      <c r="S103"/>
      <c r="T103"/>
    </row>
    <row r="104" s="16" customFormat="1" spans="3:20">
      <c r="C104" s="16">
        <v>2001</v>
      </c>
      <c r="D104" s="16">
        <f ca="1" t="shared" si="15"/>
        <v>9</v>
      </c>
      <c r="E104" s="16" t="s">
        <v>925</v>
      </c>
      <c r="F104" s="16">
        <v>1</v>
      </c>
      <c r="G104" s="16">
        <f ca="1" t="shared" si="12"/>
        <v>1000</v>
      </c>
      <c r="H104" s="16">
        <v>1000</v>
      </c>
      <c r="I104" s="16">
        <f ca="1">F104*_xlfn.XLOOKUP(D104,价值表!D:D,价值表!F:F)</f>
        <v>50</v>
      </c>
      <c r="K104" s="16">
        <v>35</v>
      </c>
      <c r="L104" s="46" cm="1">
        <f ca="1" t="array" ref="L104">I104/SUMPRODUCT(J104:K104,J$89:K$89)</f>
        <v>1.42857142857143</v>
      </c>
      <c r="M104" s="16" t="str">
        <f ca="1" t="shared" si="13"/>
        <v>[{9,1}]</v>
      </c>
      <c r="N104" s="16" t="str">
        <f t="shared" si="14"/>
        <v>[{1,35}]</v>
      </c>
      <c r="Q104"/>
      <c r="R104"/>
      <c r="S104"/>
      <c r="T104"/>
    </row>
    <row r="105" s="16" customFormat="1" spans="3:20">
      <c r="C105" s="16">
        <v>3001</v>
      </c>
      <c r="D105" s="16">
        <f ca="1" t="shared" si="15"/>
        <v>30</v>
      </c>
      <c r="E105" s="16" t="s">
        <v>926</v>
      </c>
      <c r="F105" s="16">
        <v>1</v>
      </c>
      <c r="G105" s="16">
        <f ca="1" t="shared" si="12"/>
        <v>1000</v>
      </c>
      <c r="H105" s="16">
        <v>1000</v>
      </c>
      <c r="I105" s="16">
        <f ca="1">F105*_xlfn.XLOOKUP(D105,价值表!D:D,价值表!F:F)</f>
        <v>280</v>
      </c>
      <c r="J105" s="16">
        <v>11200</v>
      </c>
      <c r="L105" s="46" cm="1">
        <f ca="1" t="array" ref="L105">I105/SUMPRODUCT(J105:K105,J$89:K$89)</f>
        <v>0.5</v>
      </c>
      <c r="M105" s="16" t="str">
        <f ca="1" t="shared" si="13"/>
        <v>[{30,1}]</v>
      </c>
      <c r="N105" s="16" t="str">
        <f t="shared" si="14"/>
        <v>[{2,11200}]</v>
      </c>
      <c r="Q105"/>
      <c r="R105"/>
      <c r="S105"/>
      <c r="T105"/>
    </row>
    <row r="106" s="16" customFormat="1" spans="3:20">
      <c r="C106" s="16">
        <v>3001</v>
      </c>
      <c r="D106" s="16">
        <f ca="1" t="shared" si="15"/>
        <v>30</v>
      </c>
      <c r="E106" s="16" t="s">
        <v>926</v>
      </c>
      <c r="F106" s="16">
        <v>1</v>
      </c>
      <c r="G106" s="16">
        <f ca="1" t="shared" si="12"/>
        <v>1000</v>
      </c>
      <c r="H106" s="16">
        <v>1000</v>
      </c>
      <c r="I106" s="16">
        <f ca="1">F106*_xlfn.XLOOKUP(D106,价值表!D:D,价值表!F:F)</f>
        <v>280</v>
      </c>
      <c r="K106" s="16">
        <v>224</v>
      </c>
      <c r="L106" s="46" cm="1">
        <f ca="1" t="array" ref="L106">I106/SUMPRODUCT(J106:K106,J$89:K$89)</f>
        <v>1.25</v>
      </c>
      <c r="M106" s="16" t="str">
        <f ca="1" t="shared" si="13"/>
        <v>[{30,1}]</v>
      </c>
      <c r="N106" s="16" t="str">
        <f t="shared" si="14"/>
        <v>[{1,224}]</v>
      </c>
      <c r="Q106"/>
      <c r="R106"/>
      <c r="S106"/>
      <c r="T106"/>
    </row>
    <row r="107" s="16" customFormat="1" spans="3:20">
      <c r="C107" s="16">
        <v>4001</v>
      </c>
      <c r="D107" s="16">
        <v>5305001</v>
      </c>
      <c r="E107" s="16" t="s">
        <v>265</v>
      </c>
      <c r="F107" s="16">
        <v>1</v>
      </c>
      <c r="G107" s="16">
        <f ca="1" t="shared" si="12"/>
        <v>1000</v>
      </c>
      <c r="H107" s="16">
        <v>1000</v>
      </c>
      <c r="I107" s="16">
        <f>F107*_xlfn.XLOOKUP(D107,价值表!D:D,价值表!F:F)</f>
        <v>60</v>
      </c>
      <c r="J107" s="16">
        <v>6000</v>
      </c>
      <c r="L107" s="46" cm="1">
        <f t="array" ref="L107">I107/SUMPRODUCT(J107:K107,J$89:K$89)</f>
        <v>0.2</v>
      </c>
      <c r="M107" s="16" t="str">
        <f t="shared" si="13"/>
        <v>[{5305001,1}]</v>
      </c>
      <c r="N107" s="16" t="str">
        <f t="shared" si="14"/>
        <v>[{2,6000}]</v>
      </c>
      <c r="Q107"/>
      <c r="R107"/>
      <c r="S107"/>
      <c r="T107"/>
    </row>
    <row r="108" s="16" customFormat="1" spans="3:20">
      <c r="C108" s="16">
        <v>4001</v>
      </c>
      <c r="D108" s="16">
        <v>5305001</v>
      </c>
      <c r="E108" s="16" t="s">
        <v>265</v>
      </c>
      <c r="F108" s="16">
        <v>1</v>
      </c>
      <c r="G108" s="16">
        <f ca="1" t="shared" si="12"/>
        <v>1000</v>
      </c>
      <c r="H108" s="16">
        <v>1000</v>
      </c>
      <c r="I108" s="16">
        <f>F108*_xlfn.XLOOKUP(D108,价值表!D:D,价值表!F:F)</f>
        <v>60</v>
      </c>
      <c r="K108" s="16">
        <v>48</v>
      </c>
      <c r="L108" s="46" cm="1">
        <f t="array" ref="L108">I108/SUMPRODUCT(J108:K108,J$89:K$89)</f>
        <v>1.25</v>
      </c>
      <c r="M108" s="16" t="str">
        <f t="shared" si="13"/>
        <v>[{5305001,1}]</v>
      </c>
      <c r="N108" s="16" t="str">
        <f t="shared" si="14"/>
        <v>[{1,48}]</v>
      </c>
      <c r="Q108"/>
      <c r="R108"/>
      <c r="S108"/>
      <c r="T108"/>
    </row>
    <row r="109" s="16" customFormat="1" spans="3:20">
      <c r="C109" s="444">
        <v>5001</v>
      </c>
      <c r="D109" s="444">
        <v>50003</v>
      </c>
      <c r="E109" s="444" t="s">
        <v>528</v>
      </c>
      <c r="F109" s="444">
        <v>10</v>
      </c>
      <c r="G109" s="16">
        <f ca="1" t="shared" si="12"/>
        <v>6000</v>
      </c>
      <c r="H109" s="16">
        <v>6000</v>
      </c>
      <c r="I109" s="16">
        <f>3*F109</f>
        <v>30</v>
      </c>
      <c r="J109" s="16">
        <v>1000</v>
      </c>
      <c r="L109" s="46" cm="1">
        <f t="array" ref="L109">I109/SUMPRODUCT(J109:K109,J$89:K$89)</f>
        <v>0.6</v>
      </c>
      <c r="M109" s="16" t="str">
        <f t="shared" si="13"/>
        <v>[{50003,10}]</v>
      </c>
      <c r="N109" s="16" t="str">
        <f t="shared" si="14"/>
        <v>[{2,1000}]</v>
      </c>
      <c r="Q109"/>
      <c r="R109"/>
      <c r="S109"/>
      <c r="T109"/>
    </row>
    <row r="110" s="16" customFormat="1" spans="3:20">
      <c r="C110" s="444">
        <v>5001</v>
      </c>
      <c r="D110" s="444">
        <f t="shared" ref="D110:D114" si="16">D109+1</f>
        <v>50004</v>
      </c>
      <c r="E110" s="444" t="s">
        <v>530</v>
      </c>
      <c r="F110" s="444">
        <v>10</v>
      </c>
      <c r="G110" s="16">
        <f ca="1" t="shared" si="12"/>
        <v>6000</v>
      </c>
      <c r="H110" s="16">
        <v>6000</v>
      </c>
      <c r="I110" s="16">
        <f t="shared" ref="I110:I141" si="17">3*F110</f>
        <v>30</v>
      </c>
      <c r="J110" s="16">
        <v>1000</v>
      </c>
      <c r="L110" s="46" cm="1">
        <f t="array" ref="L110">I110/SUMPRODUCT(J110:K110,J$89:K$89)</f>
        <v>0.6</v>
      </c>
      <c r="M110" s="16" t="str">
        <f t="shared" si="13"/>
        <v>[{50004,10}]</v>
      </c>
      <c r="N110" s="16" t="str">
        <f t="shared" si="14"/>
        <v>[{2,1000}]</v>
      </c>
      <c r="Q110"/>
      <c r="R110"/>
      <c r="S110"/>
      <c r="T110"/>
    </row>
    <row r="111" s="16" customFormat="1" spans="3:20">
      <c r="C111" s="444">
        <v>5001</v>
      </c>
      <c r="D111" s="444">
        <f t="shared" si="16"/>
        <v>50005</v>
      </c>
      <c r="E111" s="444" t="s">
        <v>531</v>
      </c>
      <c r="F111" s="444">
        <v>10</v>
      </c>
      <c r="G111" s="16">
        <f ca="1" t="shared" si="12"/>
        <v>6000</v>
      </c>
      <c r="H111" s="16">
        <v>6000</v>
      </c>
      <c r="I111" s="16">
        <f t="shared" si="17"/>
        <v>30</v>
      </c>
      <c r="J111" s="16">
        <v>1000</v>
      </c>
      <c r="L111" s="46" cm="1">
        <f t="array" ref="L111">I111/SUMPRODUCT(J111:K111,J$89:K$89)</f>
        <v>0.6</v>
      </c>
      <c r="M111" s="16" t="str">
        <f t="shared" si="13"/>
        <v>[{50005,10}]</v>
      </c>
      <c r="N111" s="16" t="str">
        <f t="shared" si="14"/>
        <v>[{2,1000}]</v>
      </c>
      <c r="Q111"/>
      <c r="R111"/>
      <c r="S111"/>
      <c r="T111"/>
    </row>
    <row r="112" s="16" customFormat="1" spans="3:20">
      <c r="C112" s="444">
        <v>5001</v>
      </c>
      <c r="D112" s="444">
        <f t="shared" si="16"/>
        <v>50006</v>
      </c>
      <c r="E112" s="444" t="s">
        <v>532</v>
      </c>
      <c r="F112" s="444">
        <v>10</v>
      </c>
      <c r="G112" s="16">
        <f ca="1" t="shared" si="12"/>
        <v>6000</v>
      </c>
      <c r="H112" s="16">
        <v>6000</v>
      </c>
      <c r="I112" s="16">
        <f t="shared" si="17"/>
        <v>30</v>
      </c>
      <c r="J112" s="16">
        <v>1000</v>
      </c>
      <c r="L112" s="46" cm="1">
        <f t="array" ref="L112">I112/SUMPRODUCT(J112:K112,J$89:K$89)</f>
        <v>0.6</v>
      </c>
      <c r="M112" s="16" t="str">
        <f t="shared" si="13"/>
        <v>[{50006,10}]</v>
      </c>
      <c r="N112" s="16" t="str">
        <f t="shared" si="14"/>
        <v>[{2,1000}]</v>
      </c>
      <c r="Q112"/>
      <c r="R112"/>
      <c r="S112"/>
      <c r="T112"/>
    </row>
    <row r="113" s="16" customFormat="1" spans="3:20">
      <c r="C113" s="444">
        <v>5001</v>
      </c>
      <c r="D113" s="444">
        <f t="shared" si="16"/>
        <v>50007</v>
      </c>
      <c r="E113" s="444" t="s">
        <v>533</v>
      </c>
      <c r="F113" s="444">
        <v>10</v>
      </c>
      <c r="G113" s="16">
        <f ca="1" t="shared" si="12"/>
        <v>6000</v>
      </c>
      <c r="H113" s="16">
        <v>6000</v>
      </c>
      <c r="I113" s="16">
        <f t="shared" si="17"/>
        <v>30</v>
      </c>
      <c r="J113" s="16">
        <v>1000</v>
      </c>
      <c r="L113" s="46" cm="1">
        <f t="array" ref="L113">I113/SUMPRODUCT(J113:K113,J$89:K$89)</f>
        <v>0.6</v>
      </c>
      <c r="M113" s="16" t="str">
        <f t="shared" si="13"/>
        <v>[{50007,10}]</v>
      </c>
      <c r="N113" s="16" t="str">
        <f t="shared" si="14"/>
        <v>[{2,1000}]</v>
      </c>
      <c r="Q113"/>
      <c r="R113"/>
      <c r="S113"/>
      <c r="T113"/>
    </row>
    <row r="114" s="16" customFormat="1" spans="3:20">
      <c r="C114" s="444">
        <v>5001</v>
      </c>
      <c r="D114" s="444">
        <f t="shared" si="16"/>
        <v>50008</v>
      </c>
      <c r="E114" s="444" t="s">
        <v>534</v>
      </c>
      <c r="F114" s="444">
        <v>10</v>
      </c>
      <c r="G114" s="16">
        <f ca="1" t="shared" si="12"/>
        <v>6000</v>
      </c>
      <c r="H114" s="16">
        <v>6000</v>
      </c>
      <c r="I114" s="16">
        <f t="shared" si="17"/>
        <v>30</v>
      </c>
      <c r="J114" s="16">
        <v>1000</v>
      </c>
      <c r="L114" s="46" cm="1">
        <f t="array" ref="L114">I114/SUMPRODUCT(J114:K114,J$89:K$89)</f>
        <v>0.6</v>
      </c>
      <c r="M114" s="16" t="str">
        <f t="shared" si="13"/>
        <v>[{50008,10}]</v>
      </c>
      <c r="N114" s="16" t="str">
        <f t="shared" si="14"/>
        <v>[{2,1000}]</v>
      </c>
      <c r="Q114"/>
      <c r="R114"/>
      <c r="S114"/>
      <c r="T114"/>
    </row>
    <row r="115" s="16" customFormat="1" spans="3:20">
      <c r="C115" s="444">
        <v>5001</v>
      </c>
      <c r="D115" s="444">
        <f t="shared" ref="D115:D120" si="18">D109</f>
        <v>50003</v>
      </c>
      <c r="E115" s="444" t="s">
        <v>528</v>
      </c>
      <c r="F115" s="444">
        <v>10</v>
      </c>
      <c r="G115" s="16">
        <f ca="1" t="shared" si="12"/>
        <v>6000</v>
      </c>
      <c r="H115" s="16">
        <v>6000</v>
      </c>
      <c r="I115" s="16">
        <f t="shared" si="17"/>
        <v>30</v>
      </c>
      <c r="K115" s="16">
        <v>25</v>
      </c>
      <c r="L115" s="46" cm="1">
        <f t="array" ref="L115">I115/SUMPRODUCT(J115:K115,J$89:K$89)</f>
        <v>1.2</v>
      </c>
      <c r="M115" s="16" t="str">
        <f t="shared" si="13"/>
        <v>[{50003,10}]</v>
      </c>
      <c r="N115" s="16" t="str">
        <f t="shared" si="14"/>
        <v>[{1,25}]</v>
      </c>
      <c r="Q115"/>
      <c r="R115"/>
      <c r="S115"/>
      <c r="T115"/>
    </row>
    <row r="116" s="16" customFormat="1" spans="3:20">
      <c r="C116" s="444">
        <v>5001</v>
      </c>
      <c r="D116" s="444">
        <f t="shared" si="18"/>
        <v>50004</v>
      </c>
      <c r="E116" s="444" t="s">
        <v>530</v>
      </c>
      <c r="F116" s="444">
        <v>10</v>
      </c>
      <c r="G116" s="16">
        <f ca="1" t="shared" si="12"/>
        <v>6000</v>
      </c>
      <c r="H116" s="16">
        <v>6000</v>
      </c>
      <c r="I116" s="16">
        <f t="shared" si="17"/>
        <v>30</v>
      </c>
      <c r="K116" s="16">
        <v>25</v>
      </c>
      <c r="L116" s="46" cm="1">
        <f t="array" ref="L116">I116/SUMPRODUCT(J116:K116,J$89:K$89)</f>
        <v>1.2</v>
      </c>
      <c r="M116" s="16" t="str">
        <f t="shared" si="13"/>
        <v>[{50004,10}]</v>
      </c>
      <c r="N116" s="16" t="str">
        <f t="shared" si="14"/>
        <v>[{1,25}]</v>
      </c>
      <c r="Q116"/>
      <c r="R116"/>
      <c r="S116"/>
      <c r="T116"/>
    </row>
    <row r="117" s="16" customFormat="1" spans="3:20">
      <c r="C117" s="444">
        <v>5001</v>
      </c>
      <c r="D117" s="444">
        <f t="shared" si="18"/>
        <v>50005</v>
      </c>
      <c r="E117" s="444" t="s">
        <v>531</v>
      </c>
      <c r="F117" s="444">
        <v>10</v>
      </c>
      <c r="G117" s="16">
        <f ca="1" t="shared" si="12"/>
        <v>6000</v>
      </c>
      <c r="H117" s="16">
        <v>6000</v>
      </c>
      <c r="I117" s="16">
        <f t="shared" si="17"/>
        <v>30</v>
      </c>
      <c r="K117" s="16">
        <v>25</v>
      </c>
      <c r="L117" s="46" cm="1">
        <f t="array" ref="L117">I117/SUMPRODUCT(J117:K117,J$89:K$89)</f>
        <v>1.2</v>
      </c>
      <c r="M117" s="16" t="str">
        <f t="shared" si="13"/>
        <v>[{50005,10}]</v>
      </c>
      <c r="N117" s="16" t="str">
        <f t="shared" si="14"/>
        <v>[{1,25}]</v>
      </c>
      <c r="Q117"/>
      <c r="R117"/>
      <c r="S117"/>
      <c r="T117"/>
    </row>
    <row r="118" s="16" customFormat="1" spans="3:20">
      <c r="C118" s="444">
        <v>5001</v>
      </c>
      <c r="D118" s="444">
        <f t="shared" si="18"/>
        <v>50006</v>
      </c>
      <c r="E118" s="444" t="s">
        <v>532</v>
      </c>
      <c r="F118" s="444">
        <v>10</v>
      </c>
      <c r="G118" s="16">
        <f ca="1" t="shared" si="12"/>
        <v>6000</v>
      </c>
      <c r="H118" s="16">
        <v>6000</v>
      </c>
      <c r="I118" s="16">
        <f t="shared" si="17"/>
        <v>30</v>
      </c>
      <c r="K118" s="16">
        <v>25</v>
      </c>
      <c r="L118" s="46" cm="1">
        <f t="array" ref="L118">I118/SUMPRODUCT(J118:K118,J$89:K$89)</f>
        <v>1.2</v>
      </c>
      <c r="M118" s="16" t="str">
        <f t="shared" si="13"/>
        <v>[{50006,10}]</v>
      </c>
      <c r="N118" s="16" t="str">
        <f t="shared" si="14"/>
        <v>[{1,25}]</v>
      </c>
      <c r="Q118"/>
      <c r="R118"/>
      <c r="S118"/>
      <c r="T118"/>
    </row>
    <row r="119" s="16" customFormat="1" spans="3:20">
      <c r="C119" s="444">
        <v>5001</v>
      </c>
      <c r="D119" s="444">
        <f t="shared" si="18"/>
        <v>50007</v>
      </c>
      <c r="E119" s="444" t="s">
        <v>533</v>
      </c>
      <c r="F119" s="444">
        <v>10</v>
      </c>
      <c r="G119" s="16">
        <f ca="1" t="shared" si="12"/>
        <v>6000</v>
      </c>
      <c r="H119" s="16">
        <v>6000</v>
      </c>
      <c r="I119" s="16">
        <f t="shared" si="17"/>
        <v>30</v>
      </c>
      <c r="K119" s="16">
        <v>25</v>
      </c>
      <c r="L119" s="46" cm="1">
        <f t="array" ref="L119">I119/SUMPRODUCT(J119:K119,J$89:K$89)</f>
        <v>1.2</v>
      </c>
      <c r="M119" s="16" t="str">
        <f t="shared" si="13"/>
        <v>[{50007,10}]</v>
      </c>
      <c r="N119" s="16" t="str">
        <f t="shared" si="14"/>
        <v>[{1,25}]</v>
      </c>
      <c r="Q119"/>
      <c r="R119"/>
      <c r="S119"/>
      <c r="T119"/>
    </row>
    <row r="120" s="16" customFormat="1" spans="3:20">
      <c r="C120" s="444">
        <v>5001</v>
      </c>
      <c r="D120" s="444">
        <f t="shared" si="18"/>
        <v>50008</v>
      </c>
      <c r="E120" s="444" t="s">
        <v>534</v>
      </c>
      <c r="F120" s="444">
        <v>10</v>
      </c>
      <c r="G120" s="16">
        <f ca="1" t="shared" si="12"/>
        <v>6000</v>
      </c>
      <c r="H120" s="16">
        <v>6000</v>
      </c>
      <c r="I120" s="16">
        <f t="shared" si="17"/>
        <v>30</v>
      </c>
      <c r="K120" s="16">
        <v>25</v>
      </c>
      <c r="L120" s="46" cm="1">
        <f t="array" ref="L120">I120/SUMPRODUCT(J120:K120,J$89:K$89)</f>
        <v>1.2</v>
      </c>
      <c r="M120" s="16" t="str">
        <f t="shared" si="13"/>
        <v>[{50008,10}]</v>
      </c>
      <c r="N120" s="16" t="str">
        <f t="shared" si="14"/>
        <v>[{1,25}]</v>
      </c>
      <c r="Q120"/>
      <c r="R120"/>
      <c r="S120"/>
      <c r="T120"/>
    </row>
    <row r="121" s="16" customFormat="1" spans="3:20">
      <c r="C121" s="445">
        <v>5002</v>
      </c>
      <c r="D121" s="445">
        <v>50003</v>
      </c>
      <c r="E121" s="445" t="s">
        <v>528</v>
      </c>
      <c r="F121" s="445">
        <v>10</v>
      </c>
      <c r="G121" s="16">
        <f ca="1" t="shared" si="12"/>
        <v>8000</v>
      </c>
      <c r="H121" s="16">
        <v>8000</v>
      </c>
      <c r="I121" s="16">
        <f t="shared" si="17"/>
        <v>30</v>
      </c>
      <c r="J121" s="16">
        <v>1000</v>
      </c>
      <c r="L121" s="46" cm="1">
        <f t="array" ref="L121">I121/SUMPRODUCT(J121:K121,J$89:K$89)</f>
        <v>0.6</v>
      </c>
      <c r="M121" s="16" t="str">
        <f t="shared" si="13"/>
        <v>[{50003,10}]</v>
      </c>
      <c r="N121" s="16" t="str">
        <f t="shared" si="14"/>
        <v>[{2,1000}]</v>
      </c>
      <c r="Q121"/>
      <c r="R121"/>
      <c r="S121"/>
      <c r="T121"/>
    </row>
    <row r="122" s="16" customFormat="1" spans="3:20">
      <c r="C122" s="445">
        <v>5002</v>
      </c>
      <c r="D122" s="445">
        <v>50003</v>
      </c>
      <c r="E122" s="445" t="s">
        <v>528</v>
      </c>
      <c r="F122" s="445">
        <v>20</v>
      </c>
      <c r="G122" s="16">
        <f ca="1" t="shared" si="12"/>
        <v>4000</v>
      </c>
      <c r="H122" s="16">
        <v>4000</v>
      </c>
      <c r="I122" s="16">
        <f t="shared" si="17"/>
        <v>60</v>
      </c>
      <c r="J122" s="16">
        <v>2000</v>
      </c>
      <c r="L122" s="46" cm="1">
        <f t="array" ref="L122">I122/SUMPRODUCT(J122:K122,J$89:K$89)</f>
        <v>0.6</v>
      </c>
      <c r="M122" s="16" t="str">
        <f t="shared" si="13"/>
        <v>[{50003,20}]</v>
      </c>
      <c r="N122" s="16" t="str">
        <f t="shared" si="14"/>
        <v>[{2,2000}]</v>
      </c>
      <c r="Q122"/>
      <c r="R122"/>
      <c r="S122"/>
      <c r="T122"/>
    </row>
    <row r="123" s="16" customFormat="1" spans="3:20">
      <c r="C123" s="445">
        <v>5002</v>
      </c>
      <c r="D123" s="445">
        <f t="shared" ref="D123:D132" si="19">D121+1</f>
        <v>50004</v>
      </c>
      <c r="E123" s="445" t="s">
        <v>530</v>
      </c>
      <c r="F123" s="445">
        <f t="shared" ref="F123:F144" si="20">F121</f>
        <v>10</v>
      </c>
      <c r="G123" s="16">
        <f ca="1" t="shared" si="12"/>
        <v>8000</v>
      </c>
      <c r="H123" s="16">
        <v>8000</v>
      </c>
      <c r="I123" s="16">
        <f t="shared" si="17"/>
        <v>30</v>
      </c>
      <c r="K123" s="16">
        <v>25</v>
      </c>
      <c r="L123" s="46" cm="1">
        <f t="array" ref="L123">I123/SUMPRODUCT(J123:K123,J$89:K$89)</f>
        <v>1.2</v>
      </c>
      <c r="M123" s="16" t="str">
        <f t="shared" si="13"/>
        <v>[{50004,10}]</v>
      </c>
      <c r="N123" s="16" t="str">
        <f t="shared" si="14"/>
        <v>[{1,25}]</v>
      </c>
      <c r="Q123"/>
      <c r="R123"/>
      <c r="S123"/>
      <c r="T123"/>
    </row>
    <row r="124" s="16" customFormat="1" spans="3:20">
      <c r="C124" s="445">
        <v>5002</v>
      </c>
      <c r="D124" s="445">
        <f t="shared" si="19"/>
        <v>50004</v>
      </c>
      <c r="E124" s="445" t="s">
        <v>530</v>
      </c>
      <c r="F124" s="445">
        <f t="shared" si="20"/>
        <v>20</v>
      </c>
      <c r="G124" s="16">
        <f ca="1" t="shared" si="12"/>
        <v>4000</v>
      </c>
      <c r="H124" s="16">
        <v>4000</v>
      </c>
      <c r="I124" s="16">
        <f t="shared" si="17"/>
        <v>60</v>
      </c>
      <c r="K124" s="16">
        <v>50</v>
      </c>
      <c r="L124" s="46" cm="1">
        <f t="array" ref="L124">I124/SUMPRODUCT(J124:K124,J$89:K$89)</f>
        <v>1.2</v>
      </c>
      <c r="M124" s="16" t="str">
        <f t="shared" si="13"/>
        <v>[{50004,20}]</v>
      </c>
      <c r="N124" s="16" t="str">
        <f t="shared" si="14"/>
        <v>[{1,50}]</v>
      </c>
      <c r="Q124"/>
      <c r="R124"/>
      <c r="S124"/>
      <c r="T124"/>
    </row>
    <row r="125" s="16" customFormat="1" spans="3:20">
      <c r="C125" s="445">
        <v>5002</v>
      </c>
      <c r="D125" s="445">
        <f t="shared" si="19"/>
        <v>50005</v>
      </c>
      <c r="E125" s="445" t="s">
        <v>531</v>
      </c>
      <c r="F125" s="445">
        <f t="shared" si="20"/>
        <v>10</v>
      </c>
      <c r="G125" s="16">
        <f ca="1" t="shared" si="12"/>
        <v>8000</v>
      </c>
      <c r="H125" s="16">
        <v>8000</v>
      </c>
      <c r="I125" s="16">
        <f t="shared" si="17"/>
        <v>30</v>
      </c>
      <c r="J125" s="16">
        <f t="shared" ref="J125:J144" si="21">J121</f>
        <v>1000</v>
      </c>
      <c r="K125" s="16">
        <f t="shared" ref="K125:K144" si="22">K121</f>
        <v>0</v>
      </c>
      <c r="L125" s="46" cm="1">
        <f t="array" ref="L125">I125/SUMPRODUCT(J125:K125,J$89:K$89)</f>
        <v>0.6</v>
      </c>
      <c r="M125" s="16" t="str">
        <f t="shared" si="13"/>
        <v>[{50005,10}]</v>
      </c>
      <c r="N125" s="16" t="str">
        <f t="shared" si="14"/>
        <v>[{2,1000}]</v>
      </c>
      <c r="Q125"/>
      <c r="R125"/>
      <c r="S125"/>
      <c r="T125"/>
    </row>
    <row r="126" s="16" customFormat="1" spans="3:20">
      <c r="C126" s="445">
        <v>5002</v>
      </c>
      <c r="D126" s="445">
        <f t="shared" si="19"/>
        <v>50005</v>
      </c>
      <c r="E126" s="445" t="s">
        <v>531</v>
      </c>
      <c r="F126" s="445">
        <f t="shared" si="20"/>
        <v>20</v>
      </c>
      <c r="G126" s="16">
        <f ca="1" t="shared" si="12"/>
        <v>4000</v>
      </c>
      <c r="H126" s="16">
        <v>4000</v>
      </c>
      <c r="I126" s="16">
        <f t="shared" si="17"/>
        <v>60</v>
      </c>
      <c r="J126" s="16">
        <f t="shared" si="21"/>
        <v>2000</v>
      </c>
      <c r="K126" s="16">
        <f t="shared" si="22"/>
        <v>0</v>
      </c>
      <c r="L126" s="46" cm="1">
        <f t="array" ref="L126">I126/SUMPRODUCT(J126:K126,J$89:K$89)</f>
        <v>0.6</v>
      </c>
      <c r="M126" s="16" t="str">
        <f t="shared" si="13"/>
        <v>[{50005,20}]</v>
      </c>
      <c r="N126" s="16" t="str">
        <f t="shared" si="14"/>
        <v>[{2,2000}]</v>
      </c>
      <c r="Q126"/>
      <c r="R126"/>
      <c r="S126"/>
      <c r="T126"/>
    </row>
    <row r="127" s="16" customFormat="1" spans="3:20">
      <c r="C127" s="445">
        <v>5002</v>
      </c>
      <c r="D127" s="445">
        <f t="shared" si="19"/>
        <v>50006</v>
      </c>
      <c r="E127" s="445" t="s">
        <v>532</v>
      </c>
      <c r="F127" s="445">
        <f t="shared" si="20"/>
        <v>10</v>
      </c>
      <c r="G127" s="16">
        <f ca="1" t="shared" si="12"/>
        <v>8000</v>
      </c>
      <c r="H127" s="16">
        <v>8000</v>
      </c>
      <c r="I127" s="16">
        <f t="shared" si="17"/>
        <v>30</v>
      </c>
      <c r="J127" s="16">
        <f t="shared" si="21"/>
        <v>0</v>
      </c>
      <c r="K127" s="16">
        <f t="shared" si="22"/>
        <v>25</v>
      </c>
      <c r="L127" s="46" cm="1">
        <f t="array" ref="L127">I127/SUMPRODUCT(J127:K127,J$89:K$89)</f>
        <v>1.2</v>
      </c>
      <c r="M127" s="16" t="str">
        <f t="shared" si="13"/>
        <v>[{50006,10}]</v>
      </c>
      <c r="N127" s="16" t="str">
        <f t="shared" si="14"/>
        <v>[{1,25}]</v>
      </c>
      <c r="Q127"/>
      <c r="R127"/>
      <c r="S127"/>
      <c r="T127"/>
    </row>
    <row r="128" s="16" customFormat="1" spans="3:20">
      <c r="C128" s="445">
        <v>5002</v>
      </c>
      <c r="D128" s="445">
        <f t="shared" si="19"/>
        <v>50006</v>
      </c>
      <c r="E128" s="445" t="s">
        <v>532</v>
      </c>
      <c r="F128" s="445">
        <f t="shared" si="20"/>
        <v>20</v>
      </c>
      <c r="G128" s="16">
        <f ca="1" t="shared" si="12"/>
        <v>4000</v>
      </c>
      <c r="H128" s="16">
        <v>4000</v>
      </c>
      <c r="I128" s="16">
        <f t="shared" si="17"/>
        <v>60</v>
      </c>
      <c r="J128" s="16">
        <f t="shared" si="21"/>
        <v>0</v>
      </c>
      <c r="K128" s="16">
        <f t="shared" si="22"/>
        <v>50</v>
      </c>
      <c r="L128" s="46" cm="1">
        <f t="array" ref="L128">I128/SUMPRODUCT(J128:K128,J$89:K$89)</f>
        <v>1.2</v>
      </c>
      <c r="M128" s="16" t="str">
        <f t="shared" si="13"/>
        <v>[{50006,20}]</v>
      </c>
      <c r="N128" s="16" t="str">
        <f t="shared" si="14"/>
        <v>[{1,50}]</v>
      </c>
      <c r="Q128"/>
      <c r="R128"/>
      <c r="S128"/>
      <c r="T128"/>
    </row>
    <row r="129" s="16" customFormat="1" spans="3:20">
      <c r="C129" s="445">
        <v>5002</v>
      </c>
      <c r="D129" s="445">
        <f t="shared" si="19"/>
        <v>50007</v>
      </c>
      <c r="E129" s="445" t="s">
        <v>533</v>
      </c>
      <c r="F129" s="445">
        <f t="shared" si="20"/>
        <v>10</v>
      </c>
      <c r="G129" s="16">
        <f ca="1" t="shared" si="12"/>
        <v>8000</v>
      </c>
      <c r="H129" s="16">
        <v>8000</v>
      </c>
      <c r="I129" s="16">
        <f t="shared" si="17"/>
        <v>30</v>
      </c>
      <c r="J129" s="16">
        <f t="shared" si="21"/>
        <v>1000</v>
      </c>
      <c r="K129" s="16">
        <f t="shared" si="22"/>
        <v>0</v>
      </c>
      <c r="L129" s="46" cm="1">
        <f t="array" ref="L129">I129/SUMPRODUCT(J129:K129,J$89:K$89)</f>
        <v>0.6</v>
      </c>
      <c r="M129" s="16" t="str">
        <f t="shared" si="13"/>
        <v>[{50007,10}]</v>
      </c>
      <c r="N129" s="16" t="str">
        <f t="shared" si="14"/>
        <v>[{2,1000}]</v>
      </c>
      <c r="Q129"/>
      <c r="R129"/>
      <c r="S129"/>
      <c r="T129"/>
    </row>
    <row r="130" s="16" customFormat="1" spans="3:20">
      <c r="C130" s="445">
        <v>5002</v>
      </c>
      <c r="D130" s="445">
        <f t="shared" si="19"/>
        <v>50007</v>
      </c>
      <c r="E130" s="445" t="s">
        <v>533</v>
      </c>
      <c r="F130" s="445">
        <f t="shared" si="20"/>
        <v>20</v>
      </c>
      <c r="G130" s="16">
        <f ca="1" t="shared" si="12"/>
        <v>4000</v>
      </c>
      <c r="H130" s="16">
        <v>4000</v>
      </c>
      <c r="I130" s="16">
        <f t="shared" si="17"/>
        <v>60</v>
      </c>
      <c r="J130" s="16">
        <f t="shared" si="21"/>
        <v>2000</v>
      </c>
      <c r="K130" s="16">
        <f t="shared" si="22"/>
        <v>0</v>
      </c>
      <c r="L130" s="46" cm="1">
        <f t="array" ref="L130">I130/SUMPRODUCT(J130:K130,J$89:K$89)</f>
        <v>0.6</v>
      </c>
      <c r="M130" s="16" t="str">
        <f t="shared" si="13"/>
        <v>[{50007,20}]</v>
      </c>
      <c r="N130" s="16" t="str">
        <f t="shared" si="14"/>
        <v>[{2,2000}]</v>
      </c>
      <c r="Q130"/>
      <c r="R130"/>
      <c r="S130"/>
      <c r="T130"/>
    </row>
    <row r="131" s="16" customFormat="1" spans="3:20">
      <c r="C131" s="445">
        <v>5002</v>
      </c>
      <c r="D131" s="445">
        <f t="shared" si="19"/>
        <v>50008</v>
      </c>
      <c r="E131" s="445" t="s">
        <v>534</v>
      </c>
      <c r="F131" s="445">
        <f t="shared" si="20"/>
        <v>10</v>
      </c>
      <c r="G131" s="16">
        <f ca="1" t="shared" si="12"/>
        <v>8000</v>
      </c>
      <c r="H131" s="16">
        <v>8000</v>
      </c>
      <c r="I131" s="16">
        <f t="shared" si="17"/>
        <v>30</v>
      </c>
      <c r="J131" s="16">
        <f t="shared" si="21"/>
        <v>0</v>
      </c>
      <c r="K131" s="16">
        <f t="shared" si="22"/>
        <v>25</v>
      </c>
      <c r="L131" s="46" cm="1">
        <f t="array" ref="L131">I131/SUMPRODUCT(J131:K131,J$89:K$89)</f>
        <v>1.2</v>
      </c>
      <c r="M131" s="16" t="str">
        <f t="shared" si="13"/>
        <v>[{50008,10}]</v>
      </c>
      <c r="N131" s="16" t="str">
        <f t="shared" si="14"/>
        <v>[{1,25}]</v>
      </c>
      <c r="Q131"/>
      <c r="R131"/>
      <c r="S131"/>
      <c r="T131"/>
    </row>
    <row r="132" s="16" customFormat="1" spans="3:20">
      <c r="C132" s="445">
        <v>5002</v>
      </c>
      <c r="D132" s="445">
        <f t="shared" si="19"/>
        <v>50008</v>
      </c>
      <c r="E132" s="445" t="s">
        <v>534</v>
      </c>
      <c r="F132" s="445">
        <f t="shared" si="20"/>
        <v>20</v>
      </c>
      <c r="G132" s="16">
        <f ca="1" t="shared" si="12"/>
        <v>4000</v>
      </c>
      <c r="H132" s="16">
        <v>4000</v>
      </c>
      <c r="I132" s="16">
        <f t="shared" si="17"/>
        <v>60</v>
      </c>
      <c r="J132" s="16">
        <f t="shared" si="21"/>
        <v>0</v>
      </c>
      <c r="K132" s="16">
        <f t="shared" si="22"/>
        <v>50</v>
      </c>
      <c r="L132" s="46" cm="1">
        <f t="array" ref="L132">I132/SUMPRODUCT(J132:K132,J$89:K$89)</f>
        <v>1.2</v>
      </c>
      <c r="M132" s="16" t="str">
        <f t="shared" si="13"/>
        <v>[{50008,20}]</v>
      </c>
      <c r="N132" s="16" t="str">
        <f t="shared" si="14"/>
        <v>[{1,50}]</v>
      </c>
      <c r="Q132"/>
      <c r="R132"/>
      <c r="S132"/>
      <c r="T132"/>
    </row>
    <row r="133" s="16" customFormat="1" spans="3:20">
      <c r="C133" s="445">
        <v>5002</v>
      </c>
      <c r="D133" s="445">
        <f t="shared" ref="D133:D144" si="23">D121</f>
        <v>50003</v>
      </c>
      <c r="E133" s="445" t="s">
        <v>528</v>
      </c>
      <c r="F133" s="445">
        <f t="shared" si="20"/>
        <v>10</v>
      </c>
      <c r="G133" s="16">
        <f ca="1" t="shared" si="12"/>
        <v>8000</v>
      </c>
      <c r="H133" s="16">
        <v>8000</v>
      </c>
      <c r="I133" s="16">
        <f t="shared" si="17"/>
        <v>30</v>
      </c>
      <c r="J133" s="16">
        <f t="shared" si="21"/>
        <v>1000</v>
      </c>
      <c r="K133" s="16">
        <f t="shared" si="22"/>
        <v>0</v>
      </c>
      <c r="L133" s="46" cm="1">
        <f t="array" ref="L133">I133/SUMPRODUCT(J133:K133,J$89:K$89)</f>
        <v>0.6</v>
      </c>
      <c r="M133" s="16" t="str">
        <f t="shared" si="13"/>
        <v>[{50003,10}]</v>
      </c>
      <c r="N133" s="16" t="str">
        <f t="shared" si="14"/>
        <v>[{2,1000}]</v>
      </c>
      <c r="Q133"/>
      <c r="R133"/>
      <c r="S133"/>
      <c r="T133"/>
    </row>
    <row r="134" s="16" customFormat="1" spans="3:20">
      <c r="C134" s="445">
        <v>5002</v>
      </c>
      <c r="D134" s="445">
        <f t="shared" si="23"/>
        <v>50003</v>
      </c>
      <c r="E134" s="445" t="s">
        <v>528</v>
      </c>
      <c r="F134" s="445">
        <f t="shared" si="20"/>
        <v>20</v>
      </c>
      <c r="G134" s="16">
        <f ca="1" t="shared" si="12"/>
        <v>4000</v>
      </c>
      <c r="H134" s="16">
        <v>4000</v>
      </c>
      <c r="I134" s="16">
        <f t="shared" si="17"/>
        <v>60</v>
      </c>
      <c r="J134" s="16">
        <f t="shared" si="21"/>
        <v>2000</v>
      </c>
      <c r="K134" s="16">
        <f t="shared" si="22"/>
        <v>0</v>
      </c>
      <c r="L134" s="46" cm="1">
        <f t="array" ref="L134">I134/SUMPRODUCT(J134:K134,J$89:K$89)</f>
        <v>0.6</v>
      </c>
      <c r="M134" s="16" t="str">
        <f t="shared" si="13"/>
        <v>[{50003,20}]</v>
      </c>
      <c r="N134" s="16" t="str">
        <f t="shared" si="14"/>
        <v>[{2,2000}]</v>
      </c>
      <c r="Q134"/>
      <c r="R134"/>
      <c r="S134"/>
      <c r="T134"/>
    </row>
    <row r="135" s="16" customFormat="1" spans="3:20">
      <c r="C135" s="445">
        <v>5002</v>
      </c>
      <c r="D135" s="445">
        <f t="shared" si="23"/>
        <v>50004</v>
      </c>
      <c r="E135" s="445" t="s">
        <v>530</v>
      </c>
      <c r="F135" s="445">
        <f t="shared" si="20"/>
        <v>10</v>
      </c>
      <c r="G135" s="16">
        <f ca="1" t="shared" si="12"/>
        <v>8000</v>
      </c>
      <c r="H135" s="16">
        <v>8000</v>
      </c>
      <c r="I135" s="16">
        <f t="shared" si="17"/>
        <v>30</v>
      </c>
      <c r="J135" s="16">
        <f t="shared" si="21"/>
        <v>0</v>
      </c>
      <c r="K135" s="16">
        <f t="shared" si="22"/>
        <v>25</v>
      </c>
      <c r="L135" s="46" cm="1">
        <f t="array" ref="L135">I135/SUMPRODUCT(J135:K135,J$89:K$89)</f>
        <v>1.2</v>
      </c>
      <c r="M135" s="16" t="str">
        <f t="shared" si="13"/>
        <v>[{50004,10}]</v>
      </c>
      <c r="N135" s="16" t="str">
        <f t="shared" si="14"/>
        <v>[{1,25}]</v>
      </c>
      <c r="Q135"/>
      <c r="R135"/>
      <c r="S135"/>
      <c r="T135"/>
    </row>
    <row r="136" s="16" customFormat="1" spans="3:20">
      <c r="C136" s="445">
        <v>5002</v>
      </c>
      <c r="D136" s="445">
        <f t="shared" si="23"/>
        <v>50004</v>
      </c>
      <c r="E136" s="445" t="s">
        <v>530</v>
      </c>
      <c r="F136" s="445">
        <f t="shared" si="20"/>
        <v>20</v>
      </c>
      <c r="G136" s="16">
        <f ca="1" t="shared" si="12"/>
        <v>4000</v>
      </c>
      <c r="H136" s="16">
        <v>4000</v>
      </c>
      <c r="I136" s="16">
        <f t="shared" si="17"/>
        <v>60</v>
      </c>
      <c r="J136" s="16">
        <f t="shared" si="21"/>
        <v>0</v>
      </c>
      <c r="K136" s="16">
        <f t="shared" si="22"/>
        <v>50</v>
      </c>
      <c r="L136" s="46" cm="1">
        <f t="array" ref="L136">I136/SUMPRODUCT(J136:K136,J$89:K$89)</f>
        <v>1.2</v>
      </c>
      <c r="M136" s="16" t="str">
        <f t="shared" si="13"/>
        <v>[{50004,20}]</v>
      </c>
      <c r="N136" s="16" t="str">
        <f t="shared" si="14"/>
        <v>[{1,50}]</v>
      </c>
      <c r="Q136"/>
      <c r="R136"/>
      <c r="S136"/>
      <c r="T136"/>
    </row>
    <row r="137" s="16" customFormat="1" spans="3:20">
      <c r="C137" s="445">
        <v>5002</v>
      </c>
      <c r="D137" s="445">
        <f t="shared" si="23"/>
        <v>50005</v>
      </c>
      <c r="E137" s="445" t="s">
        <v>531</v>
      </c>
      <c r="F137" s="445">
        <f t="shared" si="20"/>
        <v>10</v>
      </c>
      <c r="G137" s="16">
        <f ca="1" t="shared" si="12"/>
        <v>8000</v>
      </c>
      <c r="H137" s="16">
        <v>8000</v>
      </c>
      <c r="I137" s="16">
        <f t="shared" si="17"/>
        <v>30</v>
      </c>
      <c r="J137" s="16">
        <f t="shared" si="21"/>
        <v>1000</v>
      </c>
      <c r="K137" s="16">
        <f t="shared" si="22"/>
        <v>0</v>
      </c>
      <c r="L137" s="46" cm="1">
        <f t="array" ref="L137">I137/SUMPRODUCT(J137:K137,J$89:K$89)</f>
        <v>0.6</v>
      </c>
      <c r="M137" s="16" t="str">
        <f t="shared" si="13"/>
        <v>[{50005,10}]</v>
      </c>
      <c r="N137" s="16" t="str">
        <f t="shared" si="14"/>
        <v>[{2,1000}]</v>
      </c>
      <c r="Q137"/>
      <c r="R137"/>
      <c r="S137"/>
      <c r="T137"/>
    </row>
    <row r="138" s="16" customFormat="1" spans="3:20">
      <c r="C138" s="445">
        <v>5002</v>
      </c>
      <c r="D138" s="445">
        <f t="shared" si="23"/>
        <v>50005</v>
      </c>
      <c r="E138" s="445" t="s">
        <v>531</v>
      </c>
      <c r="F138" s="445">
        <f t="shared" si="20"/>
        <v>20</v>
      </c>
      <c r="G138" s="16">
        <f ca="1" t="shared" si="12"/>
        <v>4000</v>
      </c>
      <c r="H138" s="16">
        <v>4000</v>
      </c>
      <c r="I138" s="16">
        <f t="shared" si="17"/>
        <v>60</v>
      </c>
      <c r="J138" s="16">
        <f t="shared" si="21"/>
        <v>2000</v>
      </c>
      <c r="K138" s="16">
        <f t="shared" si="22"/>
        <v>0</v>
      </c>
      <c r="L138" s="46" cm="1">
        <f t="array" ref="L138">I138/SUMPRODUCT(J138:K138,J$89:K$89)</f>
        <v>0.6</v>
      </c>
      <c r="M138" s="16" t="str">
        <f t="shared" si="13"/>
        <v>[{50005,20}]</v>
      </c>
      <c r="N138" s="16" t="str">
        <f t="shared" si="14"/>
        <v>[{2,2000}]</v>
      </c>
      <c r="Q138"/>
      <c r="R138"/>
      <c r="S138"/>
      <c r="T138"/>
    </row>
    <row r="139" s="16" customFormat="1" spans="3:20">
      <c r="C139" s="445">
        <v>5002</v>
      </c>
      <c r="D139" s="445">
        <f t="shared" si="23"/>
        <v>50006</v>
      </c>
      <c r="E139" s="445" t="s">
        <v>532</v>
      </c>
      <c r="F139" s="445">
        <f t="shared" si="20"/>
        <v>10</v>
      </c>
      <c r="G139" s="16">
        <f ca="1" t="shared" si="12"/>
        <v>8000</v>
      </c>
      <c r="H139" s="16">
        <v>8000</v>
      </c>
      <c r="I139" s="16">
        <f t="shared" si="17"/>
        <v>30</v>
      </c>
      <c r="J139" s="16">
        <f t="shared" si="21"/>
        <v>0</v>
      </c>
      <c r="K139" s="16">
        <f t="shared" si="22"/>
        <v>25</v>
      </c>
      <c r="L139" s="46" cm="1">
        <f t="array" ref="L139">I139/SUMPRODUCT(J139:K139,J$89:K$89)</f>
        <v>1.2</v>
      </c>
      <c r="M139" s="16" t="str">
        <f t="shared" si="13"/>
        <v>[{50006,10}]</v>
      </c>
      <c r="N139" s="16" t="str">
        <f t="shared" si="14"/>
        <v>[{1,25}]</v>
      </c>
      <c r="Q139"/>
      <c r="R139"/>
      <c r="S139"/>
      <c r="T139"/>
    </row>
    <row r="140" s="16" customFormat="1" spans="3:20">
      <c r="C140" s="445">
        <v>5002</v>
      </c>
      <c r="D140" s="445">
        <f t="shared" si="23"/>
        <v>50006</v>
      </c>
      <c r="E140" s="445" t="s">
        <v>532</v>
      </c>
      <c r="F140" s="445">
        <f t="shared" si="20"/>
        <v>20</v>
      </c>
      <c r="G140" s="16">
        <f ca="1" t="shared" si="12"/>
        <v>4000</v>
      </c>
      <c r="H140" s="16">
        <v>4000</v>
      </c>
      <c r="I140" s="16">
        <f t="shared" si="17"/>
        <v>60</v>
      </c>
      <c r="J140" s="16">
        <f t="shared" si="21"/>
        <v>0</v>
      </c>
      <c r="K140" s="16">
        <f t="shared" si="22"/>
        <v>50</v>
      </c>
      <c r="L140" s="46" cm="1">
        <f t="array" ref="L140">I140/SUMPRODUCT(J140:K140,J$89:K$89)</f>
        <v>1.2</v>
      </c>
      <c r="M140" s="16" t="str">
        <f t="shared" si="13"/>
        <v>[{50006,20}]</v>
      </c>
      <c r="N140" s="16" t="str">
        <f t="shared" si="14"/>
        <v>[{1,50}]</v>
      </c>
      <c r="Q140"/>
      <c r="R140"/>
      <c r="S140"/>
      <c r="T140"/>
    </row>
    <row r="141" s="16" customFormat="1" spans="3:20">
      <c r="C141" s="445">
        <v>5002</v>
      </c>
      <c r="D141" s="445">
        <f t="shared" si="23"/>
        <v>50007</v>
      </c>
      <c r="E141" s="445" t="s">
        <v>533</v>
      </c>
      <c r="F141" s="445">
        <f t="shared" si="20"/>
        <v>10</v>
      </c>
      <c r="G141" s="16">
        <f ca="1" t="shared" si="12"/>
        <v>8000</v>
      </c>
      <c r="H141" s="16">
        <v>8000</v>
      </c>
      <c r="I141" s="16">
        <f t="shared" si="17"/>
        <v>30</v>
      </c>
      <c r="J141" s="16">
        <f t="shared" si="21"/>
        <v>1000</v>
      </c>
      <c r="K141" s="16">
        <f t="shared" si="22"/>
        <v>0</v>
      </c>
      <c r="L141" s="46" cm="1">
        <f t="array" ref="L141">I141/SUMPRODUCT(J141:K141,J$89:K$89)</f>
        <v>0.6</v>
      </c>
      <c r="M141" s="16" t="str">
        <f t="shared" si="13"/>
        <v>[{50007,10}]</v>
      </c>
      <c r="N141" s="16" t="str">
        <f t="shared" si="14"/>
        <v>[{2,1000}]</v>
      </c>
      <c r="Q141"/>
      <c r="R141"/>
      <c r="S141"/>
      <c r="T141"/>
    </row>
    <row r="142" s="16" customFormat="1" spans="3:20">
      <c r="C142" s="445">
        <v>5002</v>
      </c>
      <c r="D142" s="445">
        <f t="shared" si="23"/>
        <v>50007</v>
      </c>
      <c r="E142" s="445" t="s">
        <v>533</v>
      </c>
      <c r="F142" s="445">
        <f t="shared" si="20"/>
        <v>20</v>
      </c>
      <c r="G142" s="16">
        <f ca="1" t="shared" si="12"/>
        <v>4000</v>
      </c>
      <c r="H142" s="16">
        <v>4000</v>
      </c>
      <c r="I142" s="16">
        <f t="shared" ref="I142:I180" si="24">3*F142</f>
        <v>60</v>
      </c>
      <c r="J142" s="16">
        <f t="shared" si="21"/>
        <v>2000</v>
      </c>
      <c r="K142" s="16">
        <f t="shared" si="22"/>
        <v>0</v>
      </c>
      <c r="L142" s="46" cm="1">
        <f t="array" ref="L142">I142/SUMPRODUCT(J142:K142,J$89:K$89)</f>
        <v>0.6</v>
      </c>
      <c r="M142" s="16" t="str">
        <f t="shared" si="13"/>
        <v>[{50007,20}]</v>
      </c>
      <c r="N142" s="16" t="str">
        <f t="shared" si="14"/>
        <v>[{2,2000}]</v>
      </c>
      <c r="Q142"/>
      <c r="R142"/>
      <c r="S142"/>
      <c r="T142"/>
    </row>
    <row r="143" s="16" customFormat="1" spans="3:20">
      <c r="C143" s="445">
        <v>5002</v>
      </c>
      <c r="D143" s="445">
        <f t="shared" si="23"/>
        <v>50008</v>
      </c>
      <c r="E143" s="445" t="s">
        <v>534</v>
      </c>
      <c r="F143" s="445">
        <f t="shared" si="20"/>
        <v>10</v>
      </c>
      <c r="G143" s="16">
        <f ca="1" t="shared" si="12"/>
        <v>8000</v>
      </c>
      <c r="H143" s="16">
        <v>8000</v>
      </c>
      <c r="I143" s="16">
        <f t="shared" si="24"/>
        <v>30</v>
      </c>
      <c r="J143" s="16">
        <f t="shared" si="21"/>
        <v>0</v>
      </c>
      <c r="K143" s="16">
        <f t="shared" si="22"/>
        <v>25</v>
      </c>
      <c r="L143" s="46" cm="1">
        <f t="array" ref="L143">I143/SUMPRODUCT(J143:K143,J$89:K$89)</f>
        <v>1.2</v>
      </c>
      <c r="M143" s="16" t="str">
        <f t="shared" si="13"/>
        <v>[{50008,10}]</v>
      </c>
      <c r="N143" s="16" t="str">
        <f t="shared" si="14"/>
        <v>[{1,25}]</v>
      </c>
      <c r="Q143"/>
      <c r="R143"/>
      <c r="S143"/>
      <c r="T143"/>
    </row>
    <row r="144" s="16" customFormat="1" spans="3:20">
      <c r="C144" s="445">
        <v>5002</v>
      </c>
      <c r="D144" s="445">
        <f t="shared" si="23"/>
        <v>50008</v>
      </c>
      <c r="E144" s="445" t="s">
        <v>534</v>
      </c>
      <c r="F144" s="445">
        <f t="shared" si="20"/>
        <v>20</v>
      </c>
      <c r="G144" s="16">
        <f ca="1" t="shared" si="12"/>
        <v>4000</v>
      </c>
      <c r="H144" s="16">
        <v>4000</v>
      </c>
      <c r="I144" s="16">
        <f t="shared" si="24"/>
        <v>60</v>
      </c>
      <c r="J144" s="16">
        <f t="shared" si="21"/>
        <v>0</v>
      </c>
      <c r="K144" s="16">
        <f t="shared" si="22"/>
        <v>50</v>
      </c>
      <c r="L144" s="46" cm="1">
        <f t="array" ref="L144">I144/SUMPRODUCT(J144:K144,J$89:K$89)</f>
        <v>1.2</v>
      </c>
      <c r="M144" s="16" t="str">
        <f t="shared" si="13"/>
        <v>[{50008,20}]</v>
      </c>
      <c r="N144" s="16" t="str">
        <f t="shared" si="14"/>
        <v>[{1,50}]</v>
      </c>
      <c r="Q144"/>
      <c r="R144"/>
      <c r="S144"/>
      <c r="T144"/>
    </row>
    <row r="145" s="16" customFormat="1" spans="3:20">
      <c r="C145" s="441">
        <v>5003</v>
      </c>
      <c r="D145" s="441">
        <v>50003</v>
      </c>
      <c r="E145" s="441" t="s">
        <v>528</v>
      </c>
      <c r="F145" s="441">
        <v>10</v>
      </c>
      <c r="G145" s="16">
        <f ca="1" t="shared" si="12"/>
        <v>8000</v>
      </c>
      <c r="H145" s="16">
        <v>8000</v>
      </c>
      <c r="I145" s="16">
        <f t="shared" si="24"/>
        <v>30</v>
      </c>
      <c r="J145" s="16">
        <v>1000</v>
      </c>
      <c r="L145" s="46" cm="1">
        <f t="array" ref="L145">I145/SUMPRODUCT(J145:K145,J$89:K$89)</f>
        <v>0.6</v>
      </c>
      <c r="M145" s="16" t="str">
        <f t="shared" si="13"/>
        <v>[{50003,10}]</v>
      </c>
      <c r="N145" s="16" t="str">
        <f t="shared" si="14"/>
        <v>[{2,1000}]</v>
      </c>
      <c r="Q145"/>
      <c r="R145"/>
      <c r="S145"/>
      <c r="T145"/>
    </row>
    <row r="146" s="16" customFormat="1" spans="3:20">
      <c r="C146" s="441">
        <v>5003</v>
      </c>
      <c r="D146" s="441">
        <v>50003</v>
      </c>
      <c r="E146" s="441" t="s">
        <v>528</v>
      </c>
      <c r="F146" s="441">
        <v>20</v>
      </c>
      <c r="G146" s="16">
        <f ca="1" t="shared" si="12"/>
        <v>6000</v>
      </c>
      <c r="H146" s="16">
        <v>6000</v>
      </c>
      <c r="I146" s="16">
        <f t="shared" si="24"/>
        <v>60</v>
      </c>
      <c r="J146" s="16">
        <v>2000</v>
      </c>
      <c r="L146" s="46" cm="1">
        <f t="array" ref="L146">I146/SUMPRODUCT(J146:K146,J$89:K$89)</f>
        <v>0.6</v>
      </c>
      <c r="M146" s="16" t="str">
        <f t="shared" si="13"/>
        <v>[{50003,20}]</v>
      </c>
      <c r="N146" s="16" t="str">
        <f t="shared" si="14"/>
        <v>[{2,2000}]</v>
      </c>
      <c r="Q146"/>
      <c r="R146"/>
      <c r="S146"/>
      <c r="T146"/>
    </row>
    <row r="147" s="16" customFormat="1" spans="3:20">
      <c r="C147" s="441">
        <v>5003</v>
      </c>
      <c r="D147" s="441">
        <v>50003</v>
      </c>
      <c r="E147" s="441" t="s">
        <v>528</v>
      </c>
      <c r="F147" s="441">
        <v>40</v>
      </c>
      <c r="G147" s="16">
        <f ca="1" t="shared" si="12"/>
        <v>4000</v>
      </c>
      <c r="H147" s="16">
        <v>4000</v>
      </c>
      <c r="I147" s="16">
        <f t="shared" si="24"/>
        <v>120</v>
      </c>
      <c r="J147" s="16">
        <v>4000</v>
      </c>
      <c r="L147" s="46" cm="1">
        <f t="array" ref="L147">I147/SUMPRODUCT(J147:K147,J$89:K$89)</f>
        <v>0.6</v>
      </c>
      <c r="M147" s="16" t="str">
        <f t="shared" si="13"/>
        <v>[{50003,40}]</v>
      </c>
      <c r="N147" s="16" t="str">
        <f t="shared" si="14"/>
        <v>[{2,4000}]</v>
      </c>
      <c r="Q147"/>
      <c r="R147"/>
      <c r="S147"/>
      <c r="T147"/>
    </row>
    <row r="148" s="16" customFormat="1" spans="3:20">
      <c r="C148" s="441">
        <v>5003</v>
      </c>
      <c r="D148" s="441">
        <f t="shared" ref="D148:D162" si="25">D145+1</f>
        <v>50004</v>
      </c>
      <c r="E148" s="441" t="s">
        <v>530</v>
      </c>
      <c r="F148" s="441">
        <f t="shared" ref="F148:F180" si="26">F145</f>
        <v>10</v>
      </c>
      <c r="G148" s="16">
        <f ca="1" t="shared" si="12"/>
        <v>8000</v>
      </c>
      <c r="H148" s="16">
        <v>8000</v>
      </c>
      <c r="I148" s="16">
        <f t="shared" si="24"/>
        <v>30</v>
      </c>
      <c r="K148" s="16">
        <v>25</v>
      </c>
      <c r="L148" s="46" cm="1">
        <f t="array" ref="L148">I148/SUMPRODUCT(J148:K148,J$89:K$89)</f>
        <v>1.2</v>
      </c>
      <c r="M148" s="16" t="str">
        <f t="shared" si="13"/>
        <v>[{50004,10}]</v>
      </c>
      <c r="N148" s="16" t="str">
        <f t="shared" si="14"/>
        <v>[{1,25}]</v>
      </c>
      <c r="Q148"/>
      <c r="R148"/>
      <c r="S148"/>
      <c r="T148"/>
    </row>
    <row r="149" s="16" customFormat="1" spans="3:20">
      <c r="C149" s="441">
        <v>5003</v>
      </c>
      <c r="D149" s="441">
        <f t="shared" si="25"/>
        <v>50004</v>
      </c>
      <c r="E149" s="441" t="s">
        <v>530</v>
      </c>
      <c r="F149" s="441">
        <f t="shared" si="26"/>
        <v>20</v>
      </c>
      <c r="G149" s="16">
        <f ca="1" t="shared" si="12"/>
        <v>6000</v>
      </c>
      <c r="H149" s="16">
        <v>6000</v>
      </c>
      <c r="I149" s="16">
        <f t="shared" si="24"/>
        <v>60</v>
      </c>
      <c r="K149" s="16">
        <v>50</v>
      </c>
      <c r="L149" s="46" cm="1">
        <f t="array" ref="L149">I149/SUMPRODUCT(J149:K149,J$89:K$89)</f>
        <v>1.2</v>
      </c>
      <c r="M149" s="16" t="str">
        <f t="shared" si="13"/>
        <v>[{50004,20}]</v>
      </c>
      <c r="N149" s="16" t="str">
        <f t="shared" si="14"/>
        <v>[{1,50}]</v>
      </c>
      <c r="Q149"/>
      <c r="R149"/>
      <c r="S149"/>
      <c r="T149"/>
    </row>
    <row r="150" s="16" customFormat="1" spans="3:20">
      <c r="C150" s="441">
        <v>5003</v>
      </c>
      <c r="D150" s="441">
        <f t="shared" si="25"/>
        <v>50004</v>
      </c>
      <c r="E150" s="441" t="s">
        <v>530</v>
      </c>
      <c r="F150" s="441">
        <f t="shared" si="26"/>
        <v>40</v>
      </c>
      <c r="G150" s="16">
        <f ca="1" t="shared" si="12"/>
        <v>4000</v>
      </c>
      <c r="H150" s="16">
        <v>4000</v>
      </c>
      <c r="I150" s="16">
        <f t="shared" si="24"/>
        <v>120</v>
      </c>
      <c r="K150" s="16">
        <v>100</v>
      </c>
      <c r="L150" s="46" cm="1">
        <f t="array" ref="L150">I150/SUMPRODUCT(J150:K150,J$89:K$89)</f>
        <v>1.2</v>
      </c>
      <c r="M150" s="16" t="str">
        <f t="shared" si="13"/>
        <v>[{50004,40}]</v>
      </c>
      <c r="N150" s="16" t="str">
        <f t="shared" si="14"/>
        <v>[{1,100}]</v>
      </c>
      <c r="Q150"/>
      <c r="R150"/>
      <c r="S150"/>
      <c r="T150"/>
    </row>
    <row r="151" s="16" customFormat="1" spans="3:20">
      <c r="C151" s="441">
        <v>5003</v>
      </c>
      <c r="D151" s="441">
        <f t="shared" si="25"/>
        <v>50005</v>
      </c>
      <c r="E151" s="441" t="s">
        <v>531</v>
      </c>
      <c r="F151" s="441">
        <f t="shared" si="26"/>
        <v>10</v>
      </c>
      <c r="G151" s="16">
        <f ca="1" t="shared" si="12"/>
        <v>8000</v>
      </c>
      <c r="H151" s="16">
        <v>8000</v>
      </c>
      <c r="I151" s="16">
        <f t="shared" si="24"/>
        <v>30</v>
      </c>
      <c r="J151" s="16">
        <f t="shared" ref="J151:J153" si="27">J145</f>
        <v>1000</v>
      </c>
      <c r="K151" s="16">
        <f t="shared" ref="K151:K180" si="28">K145</f>
        <v>0</v>
      </c>
      <c r="L151" s="46" cm="1">
        <f t="array" ref="L151">I151/SUMPRODUCT(J151:K151,J$89:K$89)</f>
        <v>0.6</v>
      </c>
      <c r="M151" s="16" t="str">
        <f t="shared" si="13"/>
        <v>[{50005,10}]</v>
      </c>
      <c r="N151" s="16" t="str">
        <f t="shared" si="14"/>
        <v>[{2,1000}]</v>
      </c>
      <c r="Q151"/>
      <c r="R151"/>
      <c r="S151"/>
      <c r="T151"/>
    </row>
    <row r="152" s="16" customFormat="1" spans="3:20">
      <c r="C152" s="441">
        <v>5003</v>
      </c>
      <c r="D152" s="441">
        <f t="shared" si="25"/>
        <v>50005</v>
      </c>
      <c r="E152" s="441" t="s">
        <v>531</v>
      </c>
      <c r="F152" s="441">
        <f t="shared" si="26"/>
        <v>20</v>
      </c>
      <c r="G152" s="16">
        <f ca="1" t="shared" si="12"/>
        <v>6000</v>
      </c>
      <c r="H152" s="16">
        <v>6000</v>
      </c>
      <c r="I152" s="16">
        <f t="shared" si="24"/>
        <v>60</v>
      </c>
      <c r="J152" s="16">
        <f t="shared" si="27"/>
        <v>2000</v>
      </c>
      <c r="K152" s="16">
        <f t="shared" si="28"/>
        <v>0</v>
      </c>
      <c r="L152" s="46" cm="1">
        <f t="array" ref="L152">I152/SUMPRODUCT(J152:K152,J$89:K$89)</f>
        <v>0.6</v>
      </c>
      <c r="M152" s="16" t="str">
        <f t="shared" si="13"/>
        <v>[{50005,20}]</v>
      </c>
      <c r="N152" s="16" t="str">
        <f t="shared" si="14"/>
        <v>[{2,2000}]</v>
      </c>
      <c r="Q152"/>
      <c r="R152"/>
      <c r="S152"/>
      <c r="T152"/>
    </row>
    <row r="153" s="16" customFormat="1" spans="3:20">
      <c r="C153" s="441">
        <v>5003</v>
      </c>
      <c r="D153" s="441">
        <f t="shared" si="25"/>
        <v>50005</v>
      </c>
      <c r="E153" s="441" t="s">
        <v>531</v>
      </c>
      <c r="F153" s="441">
        <f t="shared" si="26"/>
        <v>40</v>
      </c>
      <c r="G153" s="16">
        <f ca="1" t="shared" si="12"/>
        <v>4000</v>
      </c>
      <c r="H153" s="16">
        <v>4000</v>
      </c>
      <c r="I153" s="16">
        <f t="shared" si="24"/>
        <v>120</v>
      </c>
      <c r="J153" s="16">
        <f t="shared" si="27"/>
        <v>4000</v>
      </c>
      <c r="K153" s="16">
        <f t="shared" si="28"/>
        <v>0</v>
      </c>
      <c r="L153" s="46" cm="1">
        <f t="array" ref="L153">I153/SUMPRODUCT(J153:K153,J$89:K$89)</f>
        <v>0.6</v>
      </c>
      <c r="M153" s="16" t="str">
        <f t="shared" si="13"/>
        <v>[{50005,40}]</v>
      </c>
      <c r="N153" s="16" t="str">
        <f t="shared" si="14"/>
        <v>[{2,4000}]</v>
      </c>
      <c r="Q153"/>
      <c r="R153"/>
      <c r="S153"/>
      <c r="T153"/>
    </row>
    <row r="154" s="16" customFormat="1" spans="3:20">
      <c r="C154" s="441">
        <v>5003</v>
      </c>
      <c r="D154" s="441">
        <f t="shared" si="25"/>
        <v>50006</v>
      </c>
      <c r="E154" s="441" t="s">
        <v>532</v>
      </c>
      <c r="F154" s="441">
        <f t="shared" si="26"/>
        <v>10</v>
      </c>
      <c r="G154" s="16">
        <f ca="1" t="shared" si="12"/>
        <v>8000</v>
      </c>
      <c r="H154" s="16">
        <v>8000</v>
      </c>
      <c r="I154" s="16">
        <f t="shared" si="24"/>
        <v>30</v>
      </c>
      <c r="K154" s="16">
        <f t="shared" si="28"/>
        <v>25</v>
      </c>
      <c r="L154" s="46" cm="1">
        <f t="array" ref="L154">I154/SUMPRODUCT(J154:K154,J$89:K$89)</f>
        <v>1.2</v>
      </c>
      <c r="M154" s="16" t="str">
        <f t="shared" si="13"/>
        <v>[{50006,10}]</v>
      </c>
      <c r="N154" s="16" t="str">
        <f t="shared" si="14"/>
        <v>[{1,25}]</v>
      </c>
      <c r="Q154"/>
      <c r="R154"/>
      <c r="S154"/>
      <c r="T154"/>
    </row>
    <row r="155" s="16" customFormat="1" spans="3:20">
      <c r="C155" s="441">
        <v>5003</v>
      </c>
      <c r="D155" s="441">
        <f t="shared" si="25"/>
        <v>50006</v>
      </c>
      <c r="E155" s="441" t="s">
        <v>532</v>
      </c>
      <c r="F155" s="441">
        <f t="shared" si="26"/>
        <v>20</v>
      </c>
      <c r="G155" s="16">
        <f ca="1" t="shared" ref="G155:G218" si="29">H155*2*_xlfn.XLOOKUP(C155,$C$30:$C$85,$G$30:$G$85)</f>
        <v>6000</v>
      </c>
      <c r="H155" s="16">
        <v>6000</v>
      </c>
      <c r="I155" s="16">
        <f t="shared" si="24"/>
        <v>60</v>
      </c>
      <c r="K155" s="16">
        <f t="shared" si="28"/>
        <v>50</v>
      </c>
      <c r="L155" s="46" cm="1">
        <f t="array" ref="L155">I155/SUMPRODUCT(J155:K155,J$89:K$89)</f>
        <v>1.2</v>
      </c>
      <c r="M155" s="16" t="str">
        <f t="shared" ref="M155:M218" si="30">"[{"&amp;D155&amp;","&amp;F155&amp;"}]"</f>
        <v>[{50006,20}]</v>
      </c>
      <c r="N155" s="16" t="str">
        <f t="shared" ref="N155:N218" si="31">IF(J155&gt;0,"[{2,"&amp;J155&amp;"}]","[{1,"&amp;K155&amp;"}]")</f>
        <v>[{1,50}]</v>
      </c>
      <c r="Q155"/>
      <c r="R155"/>
      <c r="S155"/>
      <c r="T155"/>
    </row>
    <row r="156" s="16" customFormat="1" spans="3:20">
      <c r="C156" s="441">
        <v>5003</v>
      </c>
      <c r="D156" s="441">
        <f t="shared" si="25"/>
        <v>50006</v>
      </c>
      <c r="E156" s="441" t="s">
        <v>532</v>
      </c>
      <c r="F156" s="441">
        <f t="shared" si="26"/>
        <v>40</v>
      </c>
      <c r="G156" s="16">
        <f ca="1" t="shared" si="29"/>
        <v>4000</v>
      </c>
      <c r="H156" s="16">
        <v>4000</v>
      </c>
      <c r="I156" s="16">
        <f t="shared" si="24"/>
        <v>120</v>
      </c>
      <c r="K156" s="16">
        <f t="shared" si="28"/>
        <v>100</v>
      </c>
      <c r="L156" s="46" cm="1">
        <f t="array" ref="L156">I156/SUMPRODUCT(J156:K156,J$89:K$89)</f>
        <v>1.2</v>
      </c>
      <c r="M156" s="16" t="str">
        <f t="shared" si="30"/>
        <v>[{50006,40}]</v>
      </c>
      <c r="N156" s="16" t="str">
        <f t="shared" si="31"/>
        <v>[{1,100}]</v>
      </c>
      <c r="Q156"/>
      <c r="R156"/>
      <c r="S156"/>
      <c r="T156"/>
    </row>
    <row r="157" s="16" customFormat="1" spans="3:20">
      <c r="C157" s="441">
        <v>5003</v>
      </c>
      <c r="D157" s="441">
        <f t="shared" si="25"/>
        <v>50007</v>
      </c>
      <c r="E157" s="441" t="s">
        <v>533</v>
      </c>
      <c r="F157" s="441">
        <f t="shared" si="26"/>
        <v>10</v>
      </c>
      <c r="G157" s="16">
        <f ca="1" t="shared" si="29"/>
        <v>8000</v>
      </c>
      <c r="H157" s="16">
        <v>8000</v>
      </c>
      <c r="I157" s="16">
        <f t="shared" si="24"/>
        <v>30</v>
      </c>
      <c r="J157" s="16">
        <f t="shared" ref="J157:J180" si="32">J151</f>
        <v>1000</v>
      </c>
      <c r="K157" s="16">
        <f t="shared" si="28"/>
        <v>0</v>
      </c>
      <c r="L157" s="46" cm="1">
        <f t="array" ref="L157">I157/SUMPRODUCT(J157:K157,J$89:K$89)</f>
        <v>0.6</v>
      </c>
      <c r="M157" s="16" t="str">
        <f t="shared" si="30"/>
        <v>[{50007,10}]</v>
      </c>
      <c r="N157" s="16" t="str">
        <f t="shared" si="31"/>
        <v>[{2,1000}]</v>
      </c>
      <c r="Q157"/>
      <c r="R157"/>
      <c r="S157"/>
      <c r="T157"/>
    </row>
    <row r="158" s="16" customFormat="1" spans="3:20">
      <c r="C158" s="441">
        <v>5003</v>
      </c>
      <c r="D158" s="441">
        <f t="shared" si="25"/>
        <v>50007</v>
      </c>
      <c r="E158" s="441" t="s">
        <v>533</v>
      </c>
      <c r="F158" s="441">
        <f t="shared" si="26"/>
        <v>20</v>
      </c>
      <c r="G158" s="16">
        <f ca="1" t="shared" si="29"/>
        <v>6000</v>
      </c>
      <c r="H158" s="16">
        <v>6000</v>
      </c>
      <c r="I158" s="16">
        <f t="shared" si="24"/>
        <v>60</v>
      </c>
      <c r="J158" s="16">
        <f t="shared" si="32"/>
        <v>2000</v>
      </c>
      <c r="K158" s="16">
        <f t="shared" si="28"/>
        <v>0</v>
      </c>
      <c r="L158" s="46" cm="1">
        <f t="array" ref="L158">I158/SUMPRODUCT(J158:K158,J$89:K$89)</f>
        <v>0.6</v>
      </c>
      <c r="M158" s="16" t="str">
        <f t="shared" si="30"/>
        <v>[{50007,20}]</v>
      </c>
      <c r="N158" s="16" t="str">
        <f t="shared" si="31"/>
        <v>[{2,2000}]</v>
      </c>
      <c r="Q158"/>
      <c r="R158"/>
      <c r="S158"/>
      <c r="T158"/>
    </row>
    <row r="159" s="16" customFormat="1" spans="3:20">
      <c r="C159" s="441">
        <v>5003</v>
      </c>
      <c r="D159" s="441">
        <f t="shared" si="25"/>
        <v>50007</v>
      </c>
      <c r="E159" s="441" t="s">
        <v>533</v>
      </c>
      <c r="F159" s="441">
        <f t="shared" si="26"/>
        <v>40</v>
      </c>
      <c r="G159" s="16">
        <f ca="1" t="shared" si="29"/>
        <v>4000</v>
      </c>
      <c r="H159" s="16">
        <v>4000</v>
      </c>
      <c r="I159" s="16">
        <f t="shared" si="24"/>
        <v>120</v>
      </c>
      <c r="J159" s="16">
        <f t="shared" si="32"/>
        <v>4000</v>
      </c>
      <c r="K159" s="16">
        <f t="shared" si="28"/>
        <v>0</v>
      </c>
      <c r="L159" s="46" cm="1">
        <f t="array" ref="L159">I159/SUMPRODUCT(J159:K159,J$89:K$89)</f>
        <v>0.6</v>
      </c>
      <c r="M159" s="16" t="str">
        <f t="shared" si="30"/>
        <v>[{50007,40}]</v>
      </c>
      <c r="N159" s="16" t="str">
        <f t="shared" si="31"/>
        <v>[{2,4000}]</v>
      </c>
      <c r="Q159"/>
      <c r="R159"/>
      <c r="S159"/>
      <c r="T159"/>
    </row>
    <row r="160" s="16" customFormat="1" spans="3:20">
      <c r="C160" s="441">
        <v>5003</v>
      </c>
      <c r="D160" s="441">
        <f t="shared" si="25"/>
        <v>50008</v>
      </c>
      <c r="E160" s="441" t="s">
        <v>534</v>
      </c>
      <c r="F160" s="441">
        <f t="shared" si="26"/>
        <v>10</v>
      </c>
      <c r="G160" s="16">
        <f ca="1" t="shared" si="29"/>
        <v>8000</v>
      </c>
      <c r="H160" s="16">
        <v>8000</v>
      </c>
      <c r="I160" s="16">
        <f t="shared" si="24"/>
        <v>30</v>
      </c>
      <c r="J160" s="16">
        <f t="shared" si="32"/>
        <v>0</v>
      </c>
      <c r="K160" s="16">
        <f t="shared" si="28"/>
        <v>25</v>
      </c>
      <c r="L160" s="46" cm="1">
        <f t="array" ref="L160">I160/SUMPRODUCT(J160:K160,J$89:K$89)</f>
        <v>1.2</v>
      </c>
      <c r="M160" s="16" t="str">
        <f t="shared" si="30"/>
        <v>[{50008,10}]</v>
      </c>
      <c r="N160" s="16" t="str">
        <f t="shared" si="31"/>
        <v>[{1,25}]</v>
      </c>
      <c r="Q160"/>
      <c r="R160"/>
      <c r="S160"/>
      <c r="T160"/>
    </row>
    <row r="161" s="16" customFormat="1" spans="3:20">
      <c r="C161" s="441">
        <v>5003</v>
      </c>
      <c r="D161" s="441">
        <f t="shared" si="25"/>
        <v>50008</v>
      </c>
      <c r="E161" s="441" t="s">
        <v>534</v>
      </c>
      <c r="F161" s="441">
        <f t="shared" si="26"/>
        <v>20</v>
      </c>
      <c r="G161" s="16">
        <f ca="1" t="shared" si="29"/>
        <v>6000</v>
      </c>
      <c r="H161" s="16">
        <v>6000</v>
      </c>
      <c r="I161" s="16">
        <f t="shared" si="24"/>
        <v>60</v>
      </c>
      <c r="J161" s="16">
        <f t="shared" si="32"/>
        <v>0</v>
      </c>
      <c r="K161" s="16">
        <f t="shared" si="28"/>
        <v>50</v>
      </c>
      <c r="L161" s="46" cm="1">
        <f t="array" ref="L161">I161/SUMPRODUCT(J161:K161,J$89:K$89)</f>
        <v>1.2</v>
      </c>
      <c r="M161" s="16" t="str">
        <f t="shared" si="30"/>
        <v>[{50008,20}]</v>
      </c>
      <c r="N161" s="16" t="str">
        <f t="shared" si="31"/>
        <v>[{1,50}]</v>
      </c>
      <c r="Q161"/>
      <c r="R161"/>
      <c r="S161"/>
      <c r="T161"/>
    </row>
    <row r="162" s="16" customFormat="1" spans="3:20">
      <c r="C162" s="441">
        <v>5003</v>
      </c>
      <c r="D162" s="441">
        <f t="shared" si="25"/>
        <v>50008</v>
      </c>
      <c r="E162" s="441" t="s">
        <v>534</v>
      </c>
      <c r="F162" s="441">
        <f t="shared" si="26"/>
        <v>40</v>
      </c>
      <c r="G162" s="16">
        <f ca="1" t="shared" si="29"/>
        <v>4000</v>
      </c>
      <c r="H162" s="16">
        <v>4000</v>
      </c>
      <c r="I162" s="16">
        <f t="shared" si="24"/>
        <v>120</v>
      </c>
      <c r="J162" s="16">
        <f t="shared" si="32"/>
        <v>0</v>
      </c>
      <c r="K162" s="16">
        <f t="shared" si="28"/>
        <v>100</v>
      </c>
      <c r="L162" s="46" cm="1">
        <f t="array" ref="L162">I162/SUMPRODUCT(J162:K162,J$89:K$89)</f>
        <v>1.2</v>
      </c>
      <c r="M162" s="16" t="str">
        <f t="shared" si="30"/>
        <v>[{50008,40}]</v>
      </c>
      <c r="N162" s="16" t="str">
        <f t="shared" si="31"/>
        <v>[{1,100}]</v>
      </c>
      <c r="Q162"/>
      <c r="R162"/>
      <c r="S162"/>
      <c r="T162"/>
    </row>
    <row r="163" s="16" customFormat="1" spans="3:20">
      <c r="C163" s="441">
        <v>5003</v>
      </c>
      <c r="D163" s="441">
        <f t="shared" ref="D163:D180" si="33">D145</f>
        <v>50003</v>
      </c>
      <c r="E163" s="441" t="s">
        <v>528</v>
      </c>
      <c r="F163" s="441">
        <f t="shared" si="26"/>
        <v>10</v>
      </c>
      <c r="G163" s="16">
        <f ca="1" t="shared" si="29"/>
        <v>8000</v>
      </c>
      <c r="H163" s="16">
        <v>8000</v>
      </c>
      <c r="I163" s="16">
        <f t="shared" si="24"/>
        <v>30</v>
      </c>
      <c r="J163" s="16">
        <f t="shared" si="32"/>
        <v>1000</v>
      </c>
      <c r="K163" s="16">
        <f t="shared" si="28"/>
        <v>0</v>
      </c>
      <c r="L163" s="46" cm="1">
        <f t="array" ref="L163">I163/SUMPRODUCT(J163:K163,J$89:K$89)</f>
        <v>0.6</v>
      </c>
      <c r="M163" s="16" t="str">
        <f t="shared" si="30"/>
        <v>[{50003,10}]</v>
      </c>
      <c r="N163" s="16" t="str">
        <f t="shared" si="31"/>
        <v>[{2,1000}]</v>
      </c>
      <c r="Q163"/>
      <c r="R163"/>
      <c r="S163"/>
      <c r="T163"/>
    </row>
    <row r="164" s="16" customFormat="1" spans="3:20">
      <c r="C164" s="441">
        <v>5003</v>
      </c>
      <c r="D164" s="441">
        <f t="shared" si="33"/>
        <v>50003</v>
      </c>
      <c r="E164" s="441" t="s">
        <v>528</v>
      </c>
      <c r="F164" s="441">
        <f t="shared" si="26"/>
        <v>20</v>
      </c>
      <c r="G164" s="16">
        <f ca="1" t="shared" si="29"/>
        <v>6000</v>
      </c>
      <c r="H164" s="16">
        <v>6000</v>
      </c>
      <c r="I164" s="16">
        <f t="shared" si="24"/>
        <v>60</v>
      </c>
      <c r="J164" s="16">
        <f t="shared" si="32"/>
        <v>2000</v>
      </c>
      <c r="K164" s="16">
        <f t="shared" si="28"/>
        <v>0</v>
      </c>
      <c r="L164" s="46" cm="1">
        <f t="array" ref="L164">I164/SUMPRODUCT(J164:K164,J$89:K$89)</f>
        <v>0.6</v>
      </c>
      <c r="M164" s="16" t="str">
        <f t="shared" si="30"/>
        <v>[{50003,20}]</v>
      </c>
      <c r="N164" s="16" t="str">
        <f t="shared" si="31"/>
        <v>[{2,2000}]</v>
      </c>
      <c r="Q164"/>
      <c r="R164"/>
      <c r="S164"/>
      <c r="T164"/>
    </row>
    <row r="165" s="16" customFormat="1" spans="3:20">
      <c r="C165" s="441">
        <v>5003</v>
      </c>
      <c r="D165" s="441">
        <f t="shared" si="33"/>
        <v>50003</v>
      </c>
      <c r="E165" s="441" t="s">
        <v>528</v>
      </c>
      <c r="F165" s="441">
        <f t="shared" si="26"/>
        <v>40</v>
      </c>
      <c r="G165" s="16">
        <f ca="1" t="shared" si="29"/>
        <v>4000</v>
      </c>
      <c r="H165" s="16">
        <v>4000</v>
      </c>
      <c r="I165" s="16">
        <f t="shared" si="24"/>
        <v>120</v>
      </c>
      <c r="J165" s="16">
        <f t="shared" si="32"/>
        <v>4000</v>
      </c>
      <c r="K165" s="16">
        <f t="shared" si="28"/>
        <v>0</v>
      </c>
      <c r="L165" s="46" cm="1">
        <f t="array" ref="L165">I165/SUMPRODUCT(J165:K165,J$89:K$89)</f>
        <v>0.6</v>
      </c>
      <c r="M165" s="16" t="str">
        <f t="shared" si="30"/>
        <v>[{50003,40}]</v>
      </c>
      <c r="N165" s="16" t="str">
        <f t="shared" si="31"/>
        <v>[{2,4000}]</v>
      </c>
      <c r="Q165"/>
      <c r="R165"/>
      <c r="S165"/>
      <c r="T165"/>
    </row>
    <row r="166" s="16" customFormat="1" spans="3:20">
      <c r="C166" s="441">
        <v>5003</v>
      </c>
      <c r="D166" s="441">
        <f t="shared" si="33"/>
        <v>50004</v>
      </c>
      <c r="E166" s="441" t="s">
        <v>530</v>
      </c>
      <c r="F166" s="441">
        <f t="shared" si="26"/>
        <v>10</v>
      </c>
      <c r="G166" s="16">
        <f ca="1" t="shared" si="29"/>
        <v>8000</v>
      </c>
      <c r="H166" s="16">
        <v>8000</v>
      </c>
      <c r="I166" s="16">
        <f t="shared" si="24"/>
        <v>30</v>
      </c>
      <c r="J166" s="16">
        <f t="shared" si="32"/>
        <v>0</v>
      </c>
      <c r="K166" s="16">
        <f t="shared" si="28"/>
        <v>25</v>
      </c>
      <c r="L166" s="46" cm="1">
        <f t="array" ref="L166">I166/SUMPRODUCT(J166:K166,J$89:K$89)</f>
        <v>1.2</v>
      </c>
      <c r="M166" s="16" t="str">
        <f t="shared" si="30"/>
        <v>[{50004,10}]</v>
      </c>
      <c r="N166" s="16" t="str">
        <f t="shared" si="31"/>
        <v>[{1,25}]</v>
      </c>
      <c r="Q166"/>
      <c r="R166"/>
      <c r="S166"/>
      <c r="T166"/>
    </row>
    <row r="167" s="16" customFormat="1" spans="3:20">
      <c r="C167" s="441">
        <v>5003</v>
      </c>
      <c r="D167" s="441">
        <f t="shared" si="33"/>
        <v>50004</v>
      </c>
      <c r="E167" s="441" t="s">
        <v>530</v>
      </c>
      <c r="F167" s="441">
        <f t="shared" si="26"/>
        <v>20</v>
      </c>
      <c r="G167" s="16">
        <f ca="1" t="shared" si="29"/>
        <v>6000</v>
      </c>
      <c r="H167" s="16">
        <v>6000</v>
      </c>
      <c r="I167" s="16">
        <f t="shared" si="24"/>
        <v>60</v>
      </c>
      <c r="J167" s="16">
        <f t="shared" si="32"/>
        <v>0</v>
      </c>
      <c r="K167" s="16">
        <f t="shared" si="28"/>
        <v>50</v>
      </c>
      <c r="L167" s="46" cm="1">
        <f t="array" ref="L167">I167/SUMPRODUCT(J167:K167,J$89:K$89)</f>
        <v>1.2</v>
      </c>
      <c r="M167" s="16" t="str">
        <f t="shared" si="30"/>
        <v>[{50004,20}]</v>
      </c>
      <c r="N167" s="16" t="str">
        <f t="shared" si="31"/>
        <v>[{1,50}]</v>
      </c>
      <c r="Q167"/>
      <c r="R167"/>
      <c r="S167"/>
      <c r="T167"/>
    </row>
    <row r="168" s="16" customFormat="1" spans="3:20">
      <c r="C168" s="441">
        <v>5003</v>
      </c>
      <c r="D168" s="441">
        <f t="shared" si="33"/>
        <v>50004</v>
      </c>
      <c r="E168" s="441" t="s">
        <v>530</v>
      </c>
      <c r="F168" s="441">
        <f t="shared" si="26"/>
        <v>40</v>
      </c>
      <c r="G168" s="16">
        <f ca="1" t="shared" si="29"/>
        <v>4000</v>
      </c>
      <c r="H168" s="16">
        <v>4000</v>
      </c>
      <c r="I168" s="16">
        <f t="shared" si="24"/>
        <v>120</v>
      </c>
      <c r="J168" s="16">
        <f t="shared" si="32"/>
        <v>0</v>
      </c>
      <c r="K168" s="16">
        <f t="shared" si="28"/>
        <v>100</v>
      </c>
      <c r="L168" s="46" cm="1">
        <f t="array" ref="L168">I168/SUMPRODUCT(J168:K168,J$89:K$89)</f>
        <v>1.2</v>
      </c>
      <c r="M168" s="16" t="str">
        <f t="shared" si="30"/>
        <v>[{50004,40}]</v>
      </c>
      <c r="N168" s="16" t="str">
        <f t="shared" si="31"/>
        <v>[{1,100}]</v>
      </c>
      <c r="Q168"/>
      <c r="R168"/>
      <c r="S168"/>
      <c r="T168"/>
    </row>
    <row r="169" s="16" customFormat="1" spans="3:20">
      <c r="C169" s="441">
        <v>5003</v>
      </c>
      <c r="D169" s="441">
        <f t="shared" si="33"/>
        <v>50005</v>
      </c>
      <c r="E169" s="441" t="s">
        <v>531</v>
      </c>
      <c r="F169" s="441">
        <f t="shared" si="26"/>
        <v>10</v>
      </c>
      <c r="G169" s="16">
        <f ca="1" t="shared" si="29"/>
        <v>8000</v>
      </c>
      <c r="H169" s="16">
        <v>8000</v>
      </c>
      <c r="I169" s="16">
        <f t="shared" si="24"/>
        <v>30</v>
      </c>
      <c r="J169" s="16">
        <f t="shared" si="32"/>
        <v>1000</v>
      </c>
      <c r="K169" s="16">
        <f t="shared" si="28"/>
        <v>0</v>
      </c>
      <c r="L169" s="46" cm="1">
        <f t="array" ref="L169">I169/SUMPRODUCT(J169:K169,J$89:K$89)</f>
        <v>0.6</v>
      </c>
      <c r="M169" s="16" t="str">
        <f t="shared" si="30"/>
        <v>[{50005,10}]</v>
      </c>
      <c r="N169" s="16" t="str">
        <f t="shared" si="31"/>
        <v>[{2,1000}]</v>
      </c>
      <c r="Q169"/>
      <c r="R169"/>
      <c r="S169"/>
      <c r="T169"/>
    </row>
    <row r="170" s="16" customFormat="1" spans="3:20">
      <c r="C170" s="441">
        <v>5003</v>
      </c>
      <c r="D170" s="441">
        <f t="shared" si="33"/>
        <v>50005</v>
      </c>
      <c r="E170" s="441" t="s">
        <v>531</v>
      </c>
      <c r="F170" s="441">
        <f t="shared" si="26"/>
        <v>20</v>
      </c>
      <c r="G170" s="16">
        <f ca="1" t="shared" si="29"/>
        <v>6000</v>
      </c>
      <c r="H170" s="16">
        <v>6000</v>
      </c>
      <c r="I170" s="16">
        <f t="shared" si="24"/>
        <v>60</v>
      </c>
      <c r="J170" s="16">
        <f t="shared" si="32"/>
        <v>2000</v>
      </c>
      <c r="K170" s="16">
        <f t="shared" si="28"/>
        <v>0</v>
      </c>
      <c r="L170" s="46" cm="1">
        <f t="array" ref="L170">I170/SUMPRODUCT(J170:K170,J$89:K$89)</f>
        <v>0.6</v>
      </c>
      <c r="M170" s="16" t="str">
        <f t="shared" si="30"/>
        <v>[{50005,20}]</v>
      </c>
      <c r="N170" s="16" t="str">
        <f t="shared" si="31"/>
        <v>[{2,2000}]</v>
      </c>
      <c r="Q170"/>
      <c r="R170"/>
      <c r="S170"/>
      <c r="T170"/>
    </row>
    <row r="171" s="16" customFormat="1" spans="3:20">
      <c r="C171" s="441">
        <v>5003</v>
      </c>
      <c r="D171" s="441">
        <f t="shared" si="33"/>
        <v>50005</v>
      </c>
      <c r="E171" s="441" t="s">
        <v>531</v>
      </c>
      <c r="F171" s="441">
        <f t="shared" si="26"/>
        <v>40</v>
      </c>
      <c r="G171" s="16">
        <f ca="1" t="shared" si="29"/>
        <v>4000</v>
      </c>
      <c r="H171" s="16">
        <v>4000</v>
      </c>
      <c r="I171" s="16">
        <f t="shared" si="24"/>
        <v>120</v>
      </c>
      <c r="J171" s="16">
        <f t="shared" si="32"/>
        <v>4000</v>
      </c>
      <c r="K171" s="16">
        <f t="shared" si="28"/>
        <v>0</v>
      </c>
      <c r="L171" s="46" cm="1">
        <f t="array" ref="L171">I171/SUMPRODUCT(J171:K171,J$89:K$89)</f>
        <v>0.6</v>
      </c>
      <c r="M171" s="16" t="str">
        <f t="shared" si="30"/>
        <v>[{50005,40}]</v>
      </c>
      <c r="N171" s="16" t="str">
        <f t="shared" si="31"/>
        <v>[{2,4000}]</v>
      </c>
      <c r="Q171"/>
      <c r="R171"/>
      <c r="S171"/>
      <c r="T171"/>
    </row>
    <row r="172" s="16" customFormat="1" spans="3:20">
      <c r="C172" s="441">
        <v>5003</v>
      </c>
      <c r="D172" s="441">
        <f t="shared" si="33"/>
        <v>50006</v>
      </c>
      <c r="E172" s="441" t="s">
        <v>532</v>
      </c>
      <c r="F172" s="441">
        <f t="shared" si="26"/>
        <v>10</v>
      </c>
      <c r="G172" s="16">
        <f ca="1" t="shared" si="29"/>
        <v>8000</v>
      </c>
      <c r="H172" s="16">
        <v>8000</v>
      </c>
      <c r="I172" s="16">
        <f t="shared" si="24"/>
        <v>30</v>
      </c>
      <c r="J172" s="16">
        <f t="shared" si="32"/>
        <v>0</v>
      </c>
      <c r="K172" s="16">
        <f t="shared" si="28"/>
        <v>25</v>
      </c>
      <c r="L172" s="46" cm="1">
        <f t="array" ref="L172">I172/SUMPRODUCT(J172:K172,J$89:K$89)</f>
        <v>1.2</v>
      </c>
      <c r="M172" s="16" t="str">
        <f t="shared" si="30"/>
        <v>[{50006,10}]</v>
      </c>
      <c r="N172" s="16" t="str">
        <f t="shared" si="31"/>
        <v>[{1,25}]</v>
      </c>
      <c r="Q172"/>
      <c r="R172"/>
      <c r="S172"/>
      <c r="T172"/>
    </row>
    <row r="173" s="16" customFormat="1" spans="3:20">
      <c r="C173" s="441">
        <v>5003</v>
      </c>
      <c r="D173" s="441">
        <f t="shared" si="33"/>
        <v>50006</v>
      </c>
      <c r="E173" s="441" t="s">
        <v>532</v>
      </c>
      <c r="F173" s="441">
        <f t="shared" si="26"/>
        <v>20</v>
      </c>
      <c r="G173" s="16">
        <f ca="1" t="shared" si="29"/>
        <v>6000</v>
      </c>
      <c r="H173" s="16">
        <v>6000</v>
      </c>
      <c r="I173" s="16">
        <f t="shared" si="24"/>
        <v>60</v>
      </c>
      <c r="J173" s="16">
        <f t="shared" si="32"/>
        <v>0</v>
      </c>
      <c r="K173" s="16">
        <f t="shared" si="28"/>
        <v>50</v>
      </c>
      <c r="L173" s="46" cm="1">
        <f t="array" ref="L173">I173/SUMPRODUCT(J173:K173,J$89:K$89)</f>
        <v>1.2</v>
      </c>
      <c r="M173" s="16" t="str">
        <f t="shared" si="30"/>
        <v>[{50006,20}]</v>
      </c>
      <c r="N173" s="16" t="str">
        <f t="shared" si="31"/>
        <v>[{1,50}]</v>
      </c>
      <c r="Q173"/>
      <c r="R173"/>
      <c r="S173"/>
      <c r="T173"/>
    </row>
    <row r="174" s="16" customFormat="1" spans="3:20">
      <c r="C174" s="441">
        <v>5003</v>
      </c>
      <c r="D174" s="441">
        <f t="shared" si="33"/>
        <v>50006</v>
      </c>
      <c r="E174" s="441" t="s">
        <v>532</v>
      </c>
      <c r="F174" s="441">
        <f t="shared" si="26"/>
        <v>40</v>
      </c>
      <c r="G174" s="16">
        <f ca="1" t="shared" si="29"/>
        <v>4000</v>
      </c>
      <c r="H174" s="16">
        <v>4000</v>
      </c>
      <c r="I174" s="16">
        <f t="shared" si="24"/>
        <v>120</v>
      </c>
      <c r="J174" s="16">
        <f t="shared" si="32"/>
        <v>0</v>
      </c>
      <c r="K174" s="16">
        <f t="shared" si="28"/>
        <v>100</v>
      </c>
      <c r="L174" s="46" cm="1">
        <f t="array" ref="L174">I174/SUMPRODUCT(J174:K174,J$89:K$89)</f>
        <v>1.2</v>
      </c>
      <c r="M174" s="16" t="str">
        <f t="shared" si="30"/>
        <v>[{50006,40}]</v>
      </c>
      <c r="N174" s="16" t="str">
        <f t="shared" si="31"/>
        <v>[{1,100}]</v>
      </c>
      <c r="Q174"/>
      <c r="R174"/>
      <c r="S174"/>
      <c r="T174"/>
    </row>
    <row r="175" s="16" customFormat="1" spans="3:20">
      <c r="C175" s="441">
        <v>5003</v>
      </c>
      <c r="D175" s="441">
        <f t="shared" si="33"/>
        <v>50007</v>
      </c>
      <c r="E175" s="441" t="s">
        <v>533</v>
      </c>
      <c r="F175" s="441">
        <f t="shared" si="26"/>
        <v>10</v>
      </c>
      <c r="G175" s="16">
        <f ca="1" t="shared" si="29"/>
        <v>8000</v>
      </c>
      <c r="H175" s="16">
        <v>8000</v>
      </c>
      <c r="I175" s="16">
        <f t="shared" si="24"/>
        <v>30</v>
      </c>
      <c r="J175" s="16">
        <f t="shared" si="32"/>
        <v>1000</v>
      </c>
      <c r="K175" s="16">
        <f t="shared" si="28"/>
        <v>0</v>
      </c>
      <c r="L175" s="46" cm="1">
        <f t="array" ref="L175">I175/SUMPRODUCT(J175:K175,J$89:K$89)</f>
        <v>0.6</v>
      </c>
      <c r="M175" s="16" t="str">
        <f t="shared" si="30"/>
        <v>[{50007,10}]</v>
      </c>
      <c r="N175" s="16" t="str">
        <f t="shared" si="31"/>
        <v>[{2,1000}]</v>
      </c>
      <c r="Q175"/>
      <c r="R175"/>
      <c r="S175"/>
      <c r="T175"/>
    </row>
    <row r="176" s="16" customFormat="1" spans="3:20">
      <c r="C176" s="441">
        <v>5003</v>
      </c>
      <c r="D176" s="441">
        <f t="shared" si="33"/>
        <v>50007</v>
      </c>
      <c r="E176" s="441" t="s">
        <v>533</v>
      </c>
      <c r="F176" s="441">
        <f t="shared" si="26"/>
        <v>20</v>
      </c>
      <c r="G176" s="16">
        <f ca="1" t="shared" si="29"/>
        <v>6000</v>
      </c>
      <c r="H176" s="16">
        <v>6000</v>
      </c>
      <c r="I176" s="16">
        <f t="shared" si="24"/>
        <v>60</v>
      </c>
      <c r="J176" s="16">
        <f t="shared" si="32"/>
        <v>2000</v>
      </c>
      <c r="K176" s="16">
        <f t="shared" si="28"/>
        <v>0</v>
      </c>
      <c r="L176" s="46" cm="1">
        <f t="array" ref="L176">I176/SUMPRODUCT(J176:K176,J$89:K$89)</f>
        <v>0.6</v>
      </c>
      <c r="M176" s="16" t="str">
        <f t="shared" si="30"/>
        <v>[{50007,20}]</v>
      </c>
      <c r="N176" s="16" t="str">
        <f t="shared" si="31"/>
        <v>[{2,2000}]</v>
      </c>
    </row>
    <row r="177" s="16" customFormat="1" spans="3:14">
      <c r="C177" s="441">
        <v>5003</v>
      </c>
      <c r="D177" s="441">
        <f t="shared" si="33"/>
        <v>50007</v>
      </c>
      <c r="E177" s="441" t="s">
        <v>533</v>
      </c>
      <c r="F177" s="441">
        <f t="shared" si="26"/>
        <v>40</v>
      </c>
      <c r="G177" s="16">
        <f ca="1" t="shared" si="29"/>
        <v>4000</v>
      </c>
      <c r="H177" s="16">
        <v>4000</v>
      </c>
      <c r="I177" s="16">
        <f t="shared" si="24"/>
        <v>120</v>
      </c>
      <c r="J177" s="16">
        <f t="shared" si="32"/>
        <v>4000</v>
      </c>
      <c r="K177" s="16">
        <f t="shared" si="28"/>
        <v>0</v>
      </c>
      <c r="L177" s="46" cm="1">
        <f t="array" ref="L177">I177/SUMPRODUCT(J177:K177,J$89:K$89)</f>
        <v>0.6</v>
      </c>
      <c r="M177" s="16" t="str">
        <f t="shared" si="30"/>
        <v>[{50007,40}]</v>
      </c>
      <c r="N177" s="16" t="str">
        <f t="shared" si="31"/>
        <v>[{2,4000}]</v>
      </c>
    </row>
    <row r="178" s="16" customFormat="1" spans="3:14">
      <c r="C178" s="441">
        <v>5003</v>
      </c>
      <c r="D178" s="441">
        <f t="shared" si="33"/>
        <v>50008</v>
      </c>
      <c r="E178" s="441" t="s">
        <v>534</v>
      </c>
      <c r="F178" s="441">
        <f t="shared" si="26"/>
        <v>10</v>
      </c>
      <c r="G178" s="16">
        <f ca="1" t="shared" si="29"/>
        <v>8000</v>
      </c>
      <c r="H178" s="16">
        <v>8000</v>
      </c>
      <c r="I178" s="16">
        <f t="shared" si="24"/>
        <v>30</v>
      </c>
      <c r="J178" s="16">
        <f t="shared" si="32"/>
        <v>0</v>
      </c>
      <c r="K178" s="16">
        <f t="shared" si="28"/>
        <v>25</v>
      </c>
      <c r="L178" s="46" cm="1">
        <f t="array" ref="L178">I178/SUMPRODUCT(J178:K178,J$89:K$89)</f>
        <v>1.2</v>
      </c>
      <c r="M178" s="16" t="str">
        <f t="shared" si="30"/>
        <v>[{50008,10}]</v>
      </c>
      <c r="N178" s="16" t="str">
        <f t="shared" si="31"/>
        <v>[{1,25}]</v>
      </c>
    </row>
    <row r="179" s="16" customFormat="1" spans="3:14">
      <c r="C179" s="441">
        <v>5003</v>
      </c>
      <c r="D179" s="441">
        <f t="shared" si="33"/>
        <v>50008</v>
      </c>
      <c r="E179" s="441" t="s">
        <v>534</v>
      </c>
      <c r="F179" s="441">
        <f t="shared" si="26"/>
        <v>20</v>
      </c>
      <c r="G179" s="16">
        <f ca="1" t="shared" si="29"/>
        <v>6000</v>
      </c>
      <c r="H179" s="16">
        <v>6000</v>
      </c>
      <c r="I179" s="16">
        <f t="shared" si="24"/>
        <v>60</v>
      </c>
      <c r="J179" s="16">
        <f t="shared" si="32"/>
        <v>0</v>
      </c>
      <c r="K179" s="16">
        <f t="shared" si="28"/>
        <v>50</v>
      </c>
      <c r="L179" s="46" cm="1">
        <f t="array" ref="L179">I179/SUMPRODUCT(J179:K179,J$89:K$89)</f>
        <v>1.2</v>
      </c>
      <c r="M179" s="16" t="str">
        <f t="shared" si="30"/>
        <v>[{50008,20}]</v>
      </c>
      <c r="N179" s="16" t="str">
        <f t="shared" si="31"/>
        <v>[{1,50}]</v>
      </c>
    </row>
    <row r="180" s="16" customFormat="1" spans="3:14">
      <c r="C180" s="441">
        <v>5003</v>
      </c>
      <c r="D180" s="441">
        <f t="shared" si="33"/>
        <v>50008</v>
      </c>
      <c r="E180" s="441" t="s">
        <v>534</v>
      </c>
      <c r="F180" s="441">
        <f t="shared" si="26"/>
        <v>40</v>
      </c>
      <c r="G180" s="16">
        <f ca="1" t="shared" si="29"/>
        <v>4000</v>
      </c>
      <c r="H180" s="16">
        <v>4000</v>
      </c>
      <c r="I180" s="16">
        <f t="shared" si="24"/>
        <v>120</v>
      </c>
      <c r="J180" s="16">
        <f t="shared" si="32"/>
        <v>0</v>
      </c>
      <c r="K180" s="16">
        <f t="shared" si="28"/>
        <v>100</v>
      </c>
      <c r="L180" s="46" cm="1">
        <f t="array" ref="L180">I180/SUMPRODUCT(J180:K180,J$89:K$89)</f>
        <v>1.2</v>
      </c>
      <c r="M180" s="16" t="str">
        <f t="shared" si="30"/>
        <v>[{50008,40}]</v>
      </c>
      <c r="N180" s="16" t="str">
        <f t="shared" si="31"/>
        <v>[{1,100}]</v>
      </c>
    </row>
    <row r="181" s="16" customFormat="1" spans="3:14">
      <c r="C181" s="16">
        <v>6001</v>
      </c>
      <c r="D181" s="16">
        <f ca="1">_xlfn.XLOOKUP(C181,$C$30:$C$69,$D$30:$D$69)</f>
        <v>5203001</v>
      </c>
      <c r="E181" s="441" t="s">
        <v>291</v>
      </c>
      <c r="F181" s="16">
        <v>10</v>
      </c>
      <c r="G181" s="16">
        <f ca="1" t="shared" si="29"/>
        <v>1000</v>
      </c>
      <c r="H181" s="16">
        <v>1000</v>
      </c>
      <c r="I181" s="16">
        <f ca="1">F181*_xlfn.XLOOKUP(D181,价值表!D:D,价值表!F:F)</f>
        <v>30</v>
      </c>
      <c r="J181" s="16">
        <v>2000</v>
      </c>
      <c r="L181" s="46" cm="1">
        <f ca="1" t="array" ref="L181">I181/SUMPRODUCT(J181:K181,J$89:K$89)</f>
        <v>0.3</v>
      </c>
      <c r="M181" s="16" t="str">
        <f ca="1" t="shared" si="30"/>
        <v>[{5203001,10}]</v>
      </c>
      <c r="N181" s="16" t="str">
        <f t="shared" si="31"/>
        <v>[{2,2000}]</v>
      </c>
    </row>
    <row r="182" s="16" customFormat="1" spans="3:14">
      <c r="C182" s="16">
        <v>6001</v>
      </c>
      <c r="D182" s="16">
        <v>5203001</v>
      </c>
      <c r="E182" s="441" t="s">
        <v>291</v>
      </c>
      <c r="F182" s="16">
        <v>10</v>
      </c>
      <c r="G182" s="16">
        <f ca="1" t="shared" si="29"/>
        <v>1000</v>
      </c>
      <c r="H182" s="16">
        <v>1000</v>
      </c>
      <c r="I182" s="16">
        <f>F182*_xlfn.XLOOKUP(D182,价值表!D:D,价值表!F:F)</f>
        <v>30</v>
      </c>
      <c r="K182" s="16">
        <v>30</v>
      </c>
      <c r="L182" s="46" cm="1">
        <f t="array" ref="L182">I182/SUMPRODUCT(J182:K182,J$89:K$89)</f>
        <v>1</v>
      </c>
      <c r="M182" s="16" t="str">
        <f t="shared" si="30"/>
        <v>[{5203001,10}]</v>
      </c>
      <c r="N182" s="16" t="str">
        <f t="shared" si="31"/>
        <v>[{1,30}]</v>
      </c>
    </row>
    <row r="183" s="16" customFormat="1" spans="3:14">
      <c r="C183" s="16">
        <v>6002</v>
      </c>
      <c r="D183" s="16">
        <v>5203001</v>
      </c>
      <c r="E183" s="441" t="s">
        <v>291</v>
      </c>
      <c r="F183" s="16">
        <v>10</v>
      </c>
      <c r="G183" s="16">
        <f ca="1" t="shared" si="29"/>
        <v>800</v>
      </c>
      <c r="H183" s="16">
        <v>800</v>
      </c>
      <c r="I183" s="16">
        <f>F183*_xlfn.XLOOKUP(D183,价值表!D:D,价值表!F:F)</f>
        <v>30</v>
      </c>
      <c r="J183" s="16">
        <f>J181</f>
        <v>2000</v>
      </c>
      <c r="L183" s="46" cm="1">
        <f t="array" ref="L183">I183/SUMPRODUCT(J183:K183,J$89:K$89)</f>
        <v>0.3</v>
      </c>
      <c r="M183" s="16" t="str">
        <f t="shared" si="30"/>
        <v>[{5203001,10}]</v>
      </c>
      <c r="N183" s="16" t="str">
        <f t="shared" si="31"/>
        <v>[{2,2000}]</v>
      </c>
    </row>
    <row r="184" s="16" customFormat="1" spans="3:14">
      <c r="C184" s="16">
        <v>6002</v>
      </c>
      <c r="D184" s="16">
        <v>5203001</v>
      </c>
      <c r="E184" s="441" t="s">
        <v>291</v>
      </c>
      <c r="F184" s="16">
        <v>20</v>
      </c>
      <c r="G184" s="16">
        <f ca="1" t="shared" si="29"/>
        <v>400</v>
      </c>
      <c r="H184" s="16">
        <v>400</v>
      </c>
      <c r="I184" s="16">
        <f>F184*_xlfn.XLOOKUP(D184,价值表!D:D,价值表!F:F)</f>
        <v>60</v>
      </c>
      <c r="J184" s="16">
        <v>4000</v>
      </c>
      <c r="L184" s="46" cm="1">
        <f t="array" ref="L184">I184/SUMPRODUCT(J184:K184,J$89:K$89)</f>
        <v>0.3</v>
      </c>
      <c r="M184" s="16" t="str">
        <f t="shared" si="30"/>
        <v>[{5203001,20}]</v>
      </c>
      <c r="N184" s="16" t="str">
        <f t="shared" si="31"/>
        <v>[{2,4000}]</v>
      </c>
    </row>
    <row r="185" s="16" customFormat="1" spans="3:14">
      <c r="C185" s="16">
        <v>6002</v>
      </c>
      <c r="D185" s="16">
        <v>5203001</v>
      </c>
      <c r="E185" s="441" t="s">
        <v>291</v>
      </c>
      <c r="F185" s="16">
        <v>10</v>
      </c>
      <c r="G185" s="16">
        <f ca="1" t="shared" si="29"/>
        <v>800</v>
      </c>
      <c r="H185" s="16">
        <v>800</v>
      </c>
      <c r="I185" s="16">
        <f>F185*_xlfn.XLOOKUP(D185,价值表!D:D,价值表!F:F)</f>
        <v>30</v>
      </c>
      <c r="K185" s="16">
        <v>30</v>
      </c>
      <c r="L185" s="46" cm="1">
        <f t="array" ref="L185">I185/SUMPRODUCT(J185:K185,J$89:K$89)</f>
        <v>1</v>
      </c>
      <c r="M185" s="16" t="str">
        <f t="shared" si="30"/>
        <v>[{5203001,10}]</v>
      </c>
      <c r="N185" s="16" t="str">
        <f t="shared" si="31"/>
        <v>[{1,30}]</v>
      </c>
    </row>
    <row r="186" s="16" customFormat="1" spans="3:14">
      <c r="C186" s="16">
        <v>6002</v>
      </c>
      <c r="D186" s="16">
        <v>5203001</v>
      </c>
      <c r="E186" s="441" t="s">
        <v>291</v>
      </c>
      <c r="F186" s="16">
        <v>20</v>
      </c>
      <c r="G186" s="16">
        <f ca="1" t="shared" si="29"/>
        <v>400</v>
      </c>
      <c r="H186" s="16">
        <v>400</v>
      </c>
      <c r="I186" s="16">
        <f>F186*_xlfn.XLOOKUP(D186,价值表!D:D,价值表!F:F)</f>
        <v>60</v>
      </c>
      <c r="K186" s="16">
        <v>60</v>
      </c>
      <c r="L186" s="46" cm="1">
        <f t="array" ref="L186">I186/SUMPRODUCT(J186:K186,J$89:K$89)</f>
        <v>1</v>
      </c>
      <c r="M186" s="16" t="str">
        <f t="shared" si="30"/>
        <v>[{5203001,20}]</v>
      </c>
      <c r="N186" s="16" t="str">
        <f t="shared" si="31"/>
        <v>[{1,60}]</v>
      </c>
    </row>
    <row r="187" s="16" customFormat="1" spans="3:14">
      <c r="C187" s="16">
        <v>6003</v>
      </c>
      <c r="D187" s="16">
        <v>5203001</v>
      </c>
      <c r="E187" s="441" t="s">
        <v>291</v>
      </c>
      <c r="F187" s="16">
        <v>10</v>
      </c>
      <c r="G187" s="16">
        <f ca="1" t="shared" si="29"/>
        <v>800</v>
      </c>
      <c r="H187" s="16">
        <v>800</v>
      </c>
      <c r="I187" s="16">
        <f>F187*_xlfn.XLOOKUP(D187,价值表!D:D,价值表!F:F)</f>
        <v>30</v>
      </c>
      <c r="J187" s="16">
        <v>2000</v>
      </c>
      <c r="L187" s="46" cm="1">
        <f t="array" ref="L187">I187/SUMPRODUCT(J187:K187,J$89:K$89)</f>
        <v>0.3</v>
      </c>
      <c r="M187" s="16" t="str">
        <f t="shared" si="30"/>
        <v>[{5203001,10}]</v>
      </c>
      <c r="N187" s="16" t="str">
        <f t="shared" si="31"/>
        <v>[{2,2000}]</v>
      </c>
    </row>
    <row r="188" s="16" customFormat="1" spans="3:14">
      <c r="C188" s="16">
        <v>6003</v>
      </c>
      <c r="D188" s="16">
        <v>5203001</v>
      </c>
      <c r="E188" s="441" t="s">
        <v>291</v>
      </c>
      <c r="F188" s="16">
        <v>20</v>
      </c>
      <c r="G188" s="16">
        <f ca="1" t="shared" si="29"/>
        <v>600</v>
      </c>
      <c r="H188" s="16">
        <v>600</v>
      </c>
      <c r="I188" s="16">
        <f>F188*_xlfn.XLOOKUP(D188,价值表!D:D,价值表!F:F)</f>
        <v>60</v>
      </c>
      <c r="J188" s="16">
        <v>4000</v>
      </c>
      <c r="L188" s="46" cm="1">
        <f t="array" ref="L188">I188/SUMPRODUCT(J188:K188,J$89:K$89)</f>
        <v>0.3</v>
      </c>
      <c r="M188" s="16" t="str">
        <f t="shared" si="30"/>
        <v>[{5203001,20}]</v>
      </c>
      <c r="N188" s="16" t="str">
        <f t="shared" si="31"/>
        <v>[{2,4000}]</v>
      </c>
    </row>
    <row r="189" s="16" customFormat="1" spans="3:14">
      <c r="C189" s="16">
        <v>6003</v>
      </c>
      <c r="D189" s="16">
        <v>5203001</v>
      </c>
      <c r="E189" s="441" t="s">
        <v>291</v>
      </c>
      <c r="F189" s="16">
        <v>40</v>
      </c>
      <c r="G189" s="16">
        <f ca="1" t="shared" si="29"/>
        <v>400</v>
      </c>
      <c r="H189" s="16">
        <v>400</v>
      </c>
      <c r="I189" s="16">
        <f>F189*_xlfn.XLOOKUP(D189,价值表!D:D,价值表!F:F)</f>
        <v>120</v>
      </c>
      <c r="J189" s="16">
        <v>8000</v>
      </c>
      <c r="L189" s="46" cm="1">
        <f t="array" ref="L189">I189/SUMPRODUCT(J189:K189,J$89:K$89)</f>
        <v>0.3</v>
      </c>
      <c r="M189" s="16" t="str">
        <f t="shared" si="30"/>
        <v>[{5203001,40}]</v>
      </c>
      <c r="N189" s="16" t="str">
        <f t="shared" si="31"/>
        <v>[{2,8000}]</v>
      </c>
    </row>
    <row r="190" s="16" customFormat="1" spans="3:14">
      <c r="C190" s="16">
        <v>6003</v>
      </c>
      <c r="D190" s="16">
        <v>5203001</v>
      </c>
      <c r="E190" s="441" t="s">
        <v>291</v>
      </c>
      <c r="F190" s="16">
        <v>10</v>
      </c>
      <c r="G190" s="16">
        <f ca="1" t="shared" si="29"/>
        <v>800</v>
      </c>
      <c r="H190" s="16">
        <v>800</v>
      </c>
      <c r="I190" s="16">
        <f>F190*_xlfn.XLOOKUP(D190,价值表!D:D,价值表!F:F)</f>
        <v>30</v>
      </c>
      <c r="K190" s="16">
        <v>30</v>
      </c>
      <c r="L190" s="46" cm="1">
        <f t="array" ref="L190">I190/SUMPRODUCT(J190:K190,J$89:K$89)</f>
        <v>1</v>
      </c>
      <c r="M190" s="16" t="str">
        <f t="shared" si="30"/>
        <v>[{5203001,10}]</v>
      </c>
      <c r="N190" s="16" t="str">
        <f t="shared" si="31"/>
        <v>[{1,30}]</v>
      </c>
    </row>
    <row r="191" s="16" customFormat="1" spans="3:14">
      <c r="C191" s="16">
        <v>6003</v>
      </c>
      <c r="D191" s="16">
        <v>5203001</v>
      </c>
      <c r="E191" s="441" t="s">
        <v>291</v>
      </c>
      <c r="F191" s="16">
        <v>20</v>
      </c>
      <c r="G191" s="16">
        <f ca="1" t="shared" si="29"/>
        <v>600</v>
      </c>
      <c r="H191" s="16">
        <v>600</v>
      </c>
      <c r="I191" s="16">
        <f>F191*_xlfn.XLOOKUP(D191,价值表!D:D,价值表!F:F)</f>
        <v>60</v>
      </c>
      <c r="K191" s="16">
        <v>60</v>
      </c>
      <c r="L191" s="46" cm="1">
        <f t="array" ref="L191">I191/SUMPRODUCT(J191:K191,J$89:K$89)</f>
        <v>1</v>
      </c>
      <c r="M191" s="16" t="str">
        <f t="shared" si="30"/>
        <v>[{5203001,20}]</v>
      </c>
      <c r="N191" s="16" t="str">
        <f t="shared" si="31"/>
        <v>[{1,60}]</v>
      </c>
    </row>
    <row r="192" s="16" customFormat="1" spans="3:14">
      <c r="C192" s="16">
        <v>6003</v>
      </c>
      <c r="D192" s="16">
        <v>5203001</v>
      </c>
      <c r="E192" s="441" t="s">
        <v>291</v>
      </c>
      <c r="F192" s="16">
        <v>40</v>
      </c>
      <c r="G192" s="16">
        <f ca="1" t="shared" si="29"/>
        <v>400</v>
      </c>
      <c r="H192" s="16">
        <v>400</v>
      </c>
      <c r="I192" s="16">
        <f>F192*_xlfn.XLOOKUP(D192,价值表!D:D,价值表!F:F)</f>
        <v>120</v>
      </c>
      <c r="K192" s="16">
        <v>120</v>
      </c>
      <c r="L192" s="46" cm="1">
        <f t="array" ref="L192">I192/SUMPRODUCT(J192:K192,J$89:K$89)</f>
        <v>1</v>
      </c>
      <c r="M192" s="16" t="str">
        <f t="shared" si="30"/>
        <v>[{5203001,40}]</v>
      </c>
      <c r="N192" s="16" t="str">
        <f t="shared" si="31"/>
        <v>[{1,120}]</v>
      </c>
    </row>
    <row r="193" s="16" customFormat="1" spans="3:15">
      <c r="C193" s="16">
        <v>7002</v>
      </c>
      <c r="D193" s="16">
        <v>5103001</v>
      </c>
      <c r="E193" s="441" t="s">
        <v>527</v>
      </c>
      <c r="F193" s="16">
        <v>50</v>
      </c>
      <c r="G193" s="16">
        <f ca="1" t="shared" si="29"/>
        <v>800</v>
      </c>
      <c r="H193" s="16">
        <v>800</v>
      </c>
      <c r="I193" s="16">
        <f>F193*_xlfn.XLOOKUP(D193,价值表!D:D,价值表!F:F)</f>
        <v>50</v>
      </c>
      <c r="J193" s="16">
        <v>2000</v>
      </c>
      <c r="L193" s="46" cm="1">
        <f t="array" ref="L193">I193/SUMPRODUCT(J193:K193,J$89:K$89)</f>
        <v>0.5</v>
      </c>
      <c r="M193" s="16" t="str">
        <f t="shared" si="30"/>
        <v>[{5103001,50}]</v>
      </c>
      <c r="N193" s="16" t="str">
        <f t="shared" si="31"/>
        <v>[{2,2000}]</v>
      </c>
    </row>
    <row r="194" s="16" customFormat="1" spans="3:15">
      <c r="C194" s="16">
        <v>7002</v>
      </c>
      <c r="D194" s="16">
        <v>5103001</v>
      </c>
      <c r="E194" s="441" t="s">
        <v>527</v>
      </c>
      <c r="F194" s="16">
        <v>100</v>
      </c>
      <c r="G194" s="16">
        <f ca="1" t="shared" si="29"/>
        <v>400</v>
      </c>
      <c r="H194" s="16">
        <v>400</v>
      </c>
      <c r="I194" s="16">
        <f>F194*_xlfn.XLOOKUP(D194,价值表!D:D,价值表!F:F)</f>
        <v>100</v>
      </c>
      <c r="J194" s="16">
        <v>4000</v>
      </c>
      <c r="L194" s="46" cm="1">
        <f t="array" ref="L194">I194/SUMPRODUCT(J194:K194,J$89:K$89)</f>
        <v>0.5</v>
      </c>
      <c r="M194" s="16" t="str">
        <f t="shared" si="30"/>
        <v>[{5103001,100}]</v>
      </c>
      <c r="N194" s="16" t="str">
        <f t="shared" si="31"/>
        <v>[{2,4000}]</v>
      </c>
    </row>
    <row r="195" s="16" customFormat="1" spans="3:15">
      <c r="C195" s="16">
        <v>7002</v>
      </c>
      <c r="D195" s="16">
        <v>5103001</v>
      </c>
      <c r="E195" s="441" t="s">
        <v>527</v>
      </c>
      <c r="F195" s="16">
        <v>50</v>
      </c>
      <c r="G195" s="16">
        <f ca="1" t="shared" si="29"/>
        <v>800</v>
      </c>
      <c r="H195" s="16">
        <v>800</v>
      </c>
      <c r="I195" s="16">
        <f>F195*_xlfn.XLOOKUP(D195,价值表!D:D,价值表!F:F)</f>
        <v>50</v>
      </c>
      <c r="K195" s="16">
        <v>50</v>
      </c>
      <c r="L195" s="46" cm="1">
        <f t="array" ref="L195">I195/SUMPRODUCT(J195:K195,J$89:K$89)</f>
        <v>1</v>
      </c>
      <c r="M195" s="16" t="str">
        <f t="shared" si="30"/>
        <v>[{5103001,50}]</v>
      </c>
      <c r="N195" s="16" t="str">
        <f t="shared" si="31"/>
        <v>[{1,50}]</v>
      </c>
    </row>
    <row r="196" s="16" customFormat="1" spans="3:15">
      <c r="C196" s="16">
        <v>7002</v>
      </c>
      <c r="D196" s="16">
        <v>5103001</v>
      </c>
      <c r="E196" s="441" t="s">
        <v>527</v>
      </c>
      <c r="F196" s="16">
        <v>100</v>
      </c>
      <c r="G196" s="16">
        <f ca="1" t="shared" si="29"/>
        <v>400</v>
      </c>
      <c r="H196" s="16">
        <v>400</v>
      </c>
      <c r="I196" s="16">
        <f>F196*_xlfn.XLOOKUP(D196,价值表!D:D,价值表!F:F)</f>
        <v>100</v>
      </c>
      <c r="K196" s="16">
        <v>100</v>
      </c>
      <c r="L196" s="46" cm="1">
        <f t="array" ref="L196">I196/SUMPRODUCT(J196:K196,J$89:K$89)</f>
        <v>1</v>
      </c>
      <c r="M196" s="16" t="str">
        <f t="shared" si="30"/>
        <v>[{5103001,100}]</v>
      </c>
      <c r="N196" s="16" t="str">
        <f t="shared" si="31"/>
        <v>[{1,100}]</v>
      </c>
    </row>
    <row r="197" s="16" customFormat="1" spans="3:15">
      <c r="C197" s="16">
        <v>7003</v>
      </c>
      <c r="D197" s="16">
        <v>5103001</v>
      </c>
      <c r="E197" s="441" t="s">
        <v>527</v>
      </c>
      <c r="F197" s="16">
        <v>50</v>
      </c>
      <c r="G197" s="16">
        <f ca="1" t="shared" si="29"/>
        <v>800</v>
      </c>
      <c r="H197" s="16">
        <v>800</v>
      </c>
      <c r="I197" s="16">
        <f>F197*_xlfn.XLOOKUP(D197,价值表!D:D,价值表!F:F)</f>
        <v>50</v>
      </c>
      <c r="J197" s="16">
        <v>2000</v>
      </c>
      <c r="L197" s="46" cm="1">
        <f t="array" ref="L197">I197/SUMPRODUCT(J197:K197,J$89:K$89)</f>
        <v>0.5</v>
      </c>
      <c r="M197" s="16" t="str">
        <f t="shared" si="30"/>
        <v>[{5103001,50}]</v>
      </c>
      <c r="N197" s="16" t="str">
        <f t="shared" si="31"/>
        <v>[{2,2000}]</v>
      </c>
    </row>
    <row r="198" s="16" customFormat="1" spans="3:15">
      <c r="C198" s="16">
        <v>7003</v>
      </c>
      <c r="D198" s="16">
        <v>5103001</v>
      </c>
      <c r="E198" s="441" t="s">
        <v>527</v>
      </c>
      <c r="F198" s="16">
        <v>100</v>
      </c>
      <c r="G198" s="16">
        <f ca="1" t="shared" si="29"/>
        <v>600</v>
      </c>
      <c r="H198" s="16">
        <v>600</v>
      </c>
      <c r="I198" s="16">
        <f>F198*_xlfn.XLOOKUP(D198,价值表!D:D,价值表!F:F)</f>
        <v>100</v>
      </c>
      <c r="J198" s="16">
        <v>4000</v>
      </c>
      <c r="L198" s="46" cm="1">
        <f t="array" ref="L198">I198/SUMPRODUCT(J198:K198,J$89:K$89)</f>
        <v>0.5</v>
      </c>
      <c r="M198" s="16" t="str">
        <f t="shared" si="30"/>
        <v>[{5103001,100}]</v>
      </c>
      <c r="N198" s="16" t="str">
        <f t="shared" si="31"/>
        <v>[{2,4000}]</v>
      </c>
    </row>
    <row r="199" s="16" customFormat="1" spans="3:15">
      <c r="C199" s="16">
        <v>7003</v>
      </c>
      <c r="D199" s="16">
        <v>5103001</v>
      </c>
      <c r="E199" s="441" t="s">
        <v>527</v>
      </c>
      <c r="F199" s="16">
        <v>200</v>
      </c>
      <c r="G199" s="16">
        <f ca="1" t="shared" si="29"/>
        <v>400</v>
      </c>
      <c r="H199" s="16">
        <v>400</v>
      </c>
      <c r="I199" s="16">
        <f>F199*_xlfn.XLOOKUP(D199,价值表!D:D,价值表!F:F)</f>
        <v>200</v>
      </c>
      <c r="J199" s="16">
        <v>8000</v>
      </c>
      <c r="L199" s="46" cm="1">
        <f t="array" ref="L199">I199/SUMPRODUCT(J199:K199,J$89:K$89)</f>
        <v>0.5</v>
      </c>
      <c r="M199" s="16" t="str">
        <f t="shared" si="30"/>
        <v>[{5103001,200}]</v>
      </c>
      <c r="N199" s="16" t="str">
        <f t="shared" si="31"/>
        <v>[{2,8000}]</v>
      </c>
    </row>
    <row r="200" s="16" customFormat="1" spans="3:15">
      <c r="C200" s="16">
        <v>7003</v>
      </c>
      <c r="D200" s="16">
        <v>5103001</v>
      </c>
      <c r="E200" s="441" t="s">
        <v>527</v>
      </c>
      <c r="F200" s="16">
        <f t="shared" ref="F200:F202" si="34">F197</f>
        <v>50</v>
      </c>
      <c r="G200" s="16">
        <f ca="1" t="shared" si="29"/>
        <v>800</v>
      </c>
      <c r="H200" s="16">
        <v>800</v>
      </c>
      <c r="I200" s="16">
        <f>F200*_xlfn.XLOOKUP(D200,价值表!D:D,价值表!F:F)</f>
        <v>50</v>
      </c>
      <c r="K200" s="16">
        <v>50</v>
      </c>
      <c r="L200" s="46" cm="1">
        <f t="array" ref="L200">I200/SUMPRODUCT(J200:K200,J$89:K$89)</f>
        <v>1</v>
      </c>
      <c r="M200" s="16" t="str">
        <f t="shared" si="30"/>
        <v>[{5103001,50}]</v>
      </c>
      <c r="N200" s="16" t="str">
        <f t="shared" si="31"/>
        <v>[{1,50}]</v>
      </c>
    </row>
    <row r="201" s="16" customFormat="1" spans="3:15">
      <c r="C201" s="16">
        <v>7003</v>
      </c>
      <c r="D201" s="16">
        <v>5103001</v>
      </c>
      <c r="E201" s="441" t="s">
        <v>527</v>
      </c>
      <c r="F201" s="16">
        <f t="shared" si="34"/>
        <v>100</v>
      </c>
      <c r="G201" s="16">
        <f ca="1" t="shared" si="29"/>
        <v>600</v>
      </c>
      <c r="H201" s="16">
        <v>600</v>
      </c>
      <c r="I201" s="16">
        <f>F201*_xlfn.XLOOKUP(D201,价值表!D:D,价值表!F:F)</f>
        <v>100</v>
      </c>
      <c r="K201" s="16">
        <v>100</v>
      </c>
      <c r="L201" s="46" cm="1">
        <f t="array" ref="L201">I201/SUMPRODUCT(J201:K201,J$89:K$89)</f>
        <v>1</v>
      </c>
      <c r="M201" s="16" t="str">
        <f t="shared" si="30"/>
        <v>[{5103001,100}]</v>
      </c>
      <c r="N201" s="16" t="str">
        <f t="shared" si="31"/>
        <v>[{1,100}]</v>
      </c>
    </row>
    <row r="202" s="16" customFormat="1" spans="3:15">
      <c r="C202" s="16">
        <v>7003</v>
      </c>
      <c r="D202" s="16">
        <v>5103001</v>
      </c>
      <c r="E202" s="441" t="s">
        <v>527</v>
      </c>
      <c r="F202" s="16">
        <f t="shared" si="34"/>
        <v>200</v>
      </c>
      <c r="G202" s="16">
        <f ca="1" t="shared" si="29"/>
        <v>400</v>
      </c>
      <c r="H202" s="16">
        <v>400</v>
      </c>
      <c r="I202" s="16">
        <f>F202*_xlfn.XLOOKUP(D202,价值表!D:D,价值表!F:F)</f>
        <v>200</v>
      </c>
      <c r="K202" s="16">
        <v>200</v>
      </c>
      <c r="L202" s="46" cm="1">
        <f t="array" ref="L202">I202/SUMPRODUCT(J202:K202,J$89:K$89)</f>
        <v>1</v>
      </c>
      <c r="M202" s="16" t="str">
        <f t="shared" si="30"/>
        <v>[{5103001,200}]</v>
      </c>
      <c r="N202" s="16" t="str">
        <f t="shared" si="31"/>
        <v>[{1,200}]</v>
      </c>
    </row>
    <row r="203" s="16" customFormat="1" ht="16.5" spans="3:15">
      <c r="C203" s="16">
        <v>8001</v>
      </c>
      <c r="D203" s="16">
        <v>13101001</v>
      </c>
      <c r="E203" s="441" t="s">
        <v>927</v>
      </c>
      <c r="F203" s="16">
        <v>5</v>
      </c>
      <c r="G203" s="16">
        <f ca="1" t="shared" si="29"/>
        <v>1000</v>
      </c>
      <c r="H203" s="16">
        <v>1000</v>
      </c>
      <c r="I203" s="16">
        <f>F203*_xlfn.XLOOKUP(D203,价值表!D:D,价值表!F:F)</f>
        <v>30</v>
      </c>
      <c r="J203" s="16">
        <v>1800</v>
      </c>
      <c r="L203" s="46" cm="1">
        <f t="array" ref="L203">I203/SUMPRODUCT(J203:K203,J$89:K$89)</f>
        <v>0.333333333333333</v>
      </c>
      <c r="M203" s="16" t="str">
        <f t="shared" si="30"/>
        <v>[{13101001,5}]</v>
      </c>
      <c r="N203" s="16" t="str">
        <f t="shared" si="31"/>
        <v>[{2,1800}]</v>
      </c>
      <c r="O203" s="446"/>
    </row>
    <row r="204" s="16" customFormat="1" ht="16.5" spans="3:15">
      <c r="C204" s="16">
        <v>8001</v>
      </c>
      <c r="D204" s="16">
        <v>12104001</v>
      </c>
      <c r="E204" s="441" t="s">
        <v>477</v>
      </c>
      <c r="F204" s="16">
        <v>5</v>
      </c>
      <c r="G204" s="16">
        <f ca="1" t="shared" si="29"/>
        <v>1000</v>
      </c>
      <c r="H204" s="16">
        <v>1000</v>
      </c>
      <c r="I204" s="16">
        <f>I203</f>
        <v>30</v>
      </c>
      <c r="J204" s="16">
        <v>1800</v>
      </c>
      <c r="L204" s="46" cm="1">
        <f t="array" ref="L204">I204/SUMPRODUCT(J204:K204,J$89:K$89)</f>
        <v>0.333333333333333</v>
      </c>
      <c r="M204" s="16" t="str">
        <f t="shared" si="30"/>
        <v>[{12104001,5}]</v>
      </c>
      <c r="N204" s="16" t="str">
        <f t="shared" si="31"/>
        <v>[{2,1800}]</v>
      </c>
      <c r="O204" s="446"/>
    </row>
    <row r="205" s="16" customFormat="1" ht="16.5" spans="3:15">
      <c r="C205" s="16">
        <v>8001</v>
      </c>
      <c r="D205" s="16">
        <v>12301001</v>
      </c>
      <c r="E205" s="441" t="s">
        <v>480</v>
      </c>
      <c r="F205" s="16">
        <v>5</v>
      </c>
      <c r="G205" s="16">
        <f ca="1" t="shared" si="29"/>
        <v>1000</v>
      </c>
      <c r="H205" s="16">
        <v>1000</v>
      </c>
      <c r="I205" s="16">
        <f>I204</f>
        <v>30</v>
      </c>
      <c r="J205" s="16">
        <v>1800</v>
      </c>
      <c r="L205" s="46" cm="1">
        <f t="array" ref="L205">I205/SUMPRODUCT(J205:K205,J$89:K$89)</f>
        <v>0.333333333333333</v>
      </c>
      <c r="M205" s="16" t="str">
        <f t="shared" si="30"/>
        <v>[{12301001,5}]</v>
      </c>
      <c r="N205" s="16" t="str">
        <f t="shared" si="31"/>
        <v>[{2,1800}]</v>
      </c>
      <c r="O205" s="446"/>
    </row>
    <row r="206" s="16" customFormat="1" ht="16.5" spans="3:15">
      <c r="C206" s="16">
        <v>8001</v>
      </c>
      <c r="D206" s="16">
        <v>14202001</v>
      </c>
      <c r="E206" s="441" t="s">
        <v>928</v>
      </c>
      <c r="F206" s="16">
        <v>5</v>
      </c>
      <c r="G206" s="16">
        <f ca="1" t="shared" si="29"/>
        <v>1000</v>
      </c>
      <c r="H206" s="16">
        <v>1000</v>
      </c>
      <c r="I206" s="16">
        <f>F206*_xlfn.XLOOKUP(D206,价值表!D:D,价值表!F:F)</f>
        <v>60</v>
      </c>
      <c r="J206" s="16">
        <v>3200</v>
      </c>
      <c r="L206" s="46" cm="1">
        <f t="array" ref="L206">I206/SUMPRODUCT(J206:K206,J$89:K$89)</f>
        <v>0.375</v>
      </c>
      <c r="M206" s="16" t="str">
        <f t="shared" si="30"/>
        <v>[{14202001,5}]</v>
      </c>
      <c r="N206" s="16" t="str">
        <f t="shared" si="31"/>
        <v>[{2,3200}]</v>
      </c>
      <c r="O206" s="446"/>
    </row>
    <row r="207" s="16" customFormat="1" ht="16.5" spans="3:15">
      <c r="C207" s="16">
        <v>8001</v>
      </c>
      <c r="D207" s="16">
        <v>13201001</v>
      </c>
      <c r="E207" s="441" t="s">
        <v>483</v>
      </c>
      <c r="F207" s="16">
        <v>5</v>
      </c>
      <c r="G207" s="16">
        <f ca="1" t="shared" si="29"/>
        <v>1000</v>
      </c>
      <c r="H207" s="16">
        <v>1000</v>
      </c>
      <c r="I207" s="16">
        <f>I206</f>
        <v>60</v>
      </c>
      <c r="J207" s="16">
        <v>3200</v>
      </c>
      <c r="L207" s="46" cm="1">
        <f t="array" ref="L207">I207/SUMPRODUCT(J207:K207,J$89:K$89)</f>
        <v>0.375</v>
      </c>
      <c r="M207" s="16" t="str">
        <f t="shared" si="30"/>
        <v>[{13201001,5}]</v>
      </c>
      <c r="N207" s="16" t="str">
        <f t="shared" si="31"/>
        <v>[{2,3200}]</v>
      </c>
      <c r="O207" s="446"/>
    </row>
    <row r="208" s="16" customFormat="1" ht="16.5" spans="3:15">
      <c r="C208" s="16">
        <v>8001</v>
      </c>
      <c r="D208" s="16">
        <v>12106001</v>
      </c>
      <c r="E208" s="441" t="s">
        <v>478</v>
      </c>
      <c r="F208" s="16">
        <v>5</v>
      </c>
      <c r="G208" s="16">
        <f ca="1" t="shared" si="29"/>
        <v>1000</v>
      </c>
      <c r="H208" s="16">
        <v>1000</v>
      </c>
      <c r="I208" s="16">
        <f>I207</f>
        <v>60</v>
      </c>
      <c r="J208" s="16">
        <v>3200</v>
      </c>
      <c r="L208" s="46" cm="1">
        <f t="array" ref="L208">I208/SUMPRODUCT(J208:K208,J$89:K$89)</f>
        <v>0.375</v>
      </c>
      <c r="M208" s="16" t="str">
        <f t="shared" si="30"/>
        <v>[{12106001,5}]</v>
      </c>
      <c r="N208" s="16" t="str">
        <f t="shared" si="31"/>
        <v>[{2,3200}]</v>
      </c>
      <c r="O208" s="446" t="str">
        <f t="shared" ref="O208:O218" si="35">SUBSTITUTE("[{unit,1140200,1}]","1140200",INT(RIGHT(LEFT(M208,10),8)/10))</f>
        <v>[{unit,1210600,1}]</v>
      </c>
    </row>
    <row r="209" s="16" customFormat="1" ht="16.5" spans="3:15">
      <c r="C209" s="16">
        <v>8001</v>
      </c>
      <c r="D209" s="16">
        <v>12304001</v>
      </c>
      <c r="E209" s="441" t="s">
        <v>481</v>
      </c>
      <c r="F209" s="16">
        <v>5</v>
      </c>
      <c r="G209" s="16">
        <f ca="1" t="shared" si="29"/>
        <v>1000</v>
      </c>
      <c r="H209" s="16">
        <v>1000</v>
      </c>
      <c r="I209" s="16">
        <f>I208</f>
        <v>60</v>
      </c>
      <c r="J209" s="16">
        <v>3200</v>
      </c>
      <c r="L209" s="46" cm="1">
        <f t="array" ref="L209">I209/SUMPRODUCT(J209:K209,J$89:K$89)</f>
        <v>0.375</v>
      </c>
      <c r="M209" s="16" t="str">
        <f t="shared" si="30"/>
        <v>[{12304001,5}]</v>
      </c>
      <c r="N209" s="16" t="str">
        <f t="shared" si="31"/>
        <v>[{2,3200}]</v>
      </c>
      <c r="O209" s="446" t="str">
        <f t="shared" si="35"/>
        <v>[{unit,1230400,1}]</v>
      </c>
    </row>
    <row r="210" s="16" customFormat="1" ht="16.5" spans="3:15">
      <c r="C210" s="16">
        <v>8001</v>
      </c>
      <c r="D210" s="16">
        <v>13103001</v>
      </c>
      <c r="E210" s="441" t="s">
        <v>482</v>
      </c>
      <c r="F210" s="16">
        <v>5</v>
      </c>
      <c r="G210" s="16">
        <f ca="1" t="shared" si="29"/>
        <v>1000</v>
      </c>
      <c r="H210" s="16">
        <v>1000</v>
      </c>
      <c r="I210" s="16">
        <f>I209</f>
        <v>60</v>
      </c>
      <c r="J210" s="16">
        <v>3200</v>
      </c>
      <c r="L210" s="46" cm="1">
        <f t="array" ref="L210">I210/SUMPRODUCT(J210:K210,J$89:K$89)</f>
        <v>0.375</v>
      </c>
      <c r="M210" s="16" t="str">
        <f t="shared" si="30"/>
        <v>[{13103001,5}]</v>
      </c>
      <c r="N210" s="16" t="str">
        <f t="shared" si="31"/>
        <v>[{2,3200}]</v>
      </c>
      <c r="O210" s="446" t="str">
        <f t="shared" si="35"/>
        <v>[{unit,1310300,1}]</v>
      </c>
    </row>
    <row r="211" s="16" customFormat="1" ht="16.5" spans="3:15">
      <c r="C211" s="16">
        <v>8001</v>
      </c>
      <c r="D211" s="16">
        <v>12107001</v>
      </c>
      <c r="E211" s="441" t="s">
        <v>479</v>
      </c>
      <c r="F211" s="16">
        <v>5</v>
      </c>
      <c r="G211" s="16">
        <f ca="1" t="shared" si="29"/>
        <v>1000</v>
      </c>
      <c r="H211" s="16">
        <v>1000</v>
      </c>
      <c r="I211" s="16">
        <f>I210</f>
        <v>60</v>
      </c>
      <c r="J211" s="16">
        <v>3200</v>
      </c>
      <c r="L211" s="46" cm="1">
        <f t="array" ref="L211">I211/SUMPRODUCT(J211:K211,J$89:K$89)</f>
        <v>0.375</v>
      </c>
      <c r="M211" s="16" t="str">
        <f t="shared" si="30"/>
        <v>[{12107001,5}]</v>
      </c>
      <c r="N211" s="16" t="str">
        <f t="shared" si="31"/>
        <v>[{2,3200}]</v>
      </c>
      <c r="O211" s="446" t="str">
        <f t="shared" si="35"/>
        <v>[{unit,1210700,1}]</v>
      </c>
    </row>
    <row r="212" s="16" customFormat="1" ht="16.5" spans="3:15">
      <c r="C212" s="16">
        <v>8001</v>
      </c>
      <c r="D212" s="16">
        <v>11301001</v>
      </c>
      <c r="E212" s="441" t="s">
        <v>929</v>
      </c>
      <c r="F212" s="16">
        <v>5</v>
      </c>
      <c r="G212" s="16">
        <f ca="1" t="shared" si="29"/>
        <v>1000</v>
      </c>
      <c r="H212" s="16">
        <v>1000</v>
      </c>
      <c r="I212" s="16">
        <f>F212*_xlfn.XLOOKUP(D212,价值表!D:D,价值表!F:F)</f>
        <v>120</v>
      </c>
      <c r="J212" s="16">
        <v>6000</v>
      </c>
      <c r="L212" s="46" cm="1">
        <f t="array" ref="L212">I212/SUMPRODUCT(J212:K212,J$89:K$89)</f>
        <v>0.4</v>
      </c>
      <c r="M212" s="16" t="str">
        <f t="shared" si="30"/>
        <v>[{11301001,5}]</v>
      </c>
      <c r="N212" s="16" t="str">
        <f t="shared" si="31"/>
        <v>[{2,6000}]</v>
      </c>
      <c r="O212" s="446" t="str">
        <f t="shared" si="35"/>
        <v>[{unit,1130100,1}]</v>
      </c>
    </row>
    <row r="213" s="16" customFormat="1" ht="16.5" spans="3:15">
      <c r="C213" s="16">
        <v>8001</v>
      </c>
      <c r="D213" s="16">
        <v>15301001</v>
      </c>
      <c r="E213" s="441" t="s">
        <v>930</v>
      </c>
      <c r="F213" s="16">
        <v>5</v>
      </c>
      <c r="G213" s="16">
        <f ca="1" t="shared" si="29"/>
        <v>1000</v>
      </c>
      <c r="H213" s="16">
        <v>1000</v>
      </c>
      <c r="I213" s="16">
        <f t="shared" ref="I213:I218" si="36">I212</f>
        <v>120</v>
      </c>
      <c r="J213" s="16">
        <v>6000</v>
      </c>
      <c r="L213" s="46" cm="1">
        <f t="array" ref="L213">I213/SUMPRODUCT(J213:K213,J$89:K$89)</f>
        <v>0.4</v>
      </c>
      <c r="M213" s="16" t="str">
        <f t="shared" si="30"/>
        <v>[{15301001,5}]</v>
      </c>
      <c r="N213" s="16" t="str">
        <f t="shared" si="31"/>
        <v>[{2,6000}]</v>
      </c>
      <c r="O213" s="446" t="str">
        <f t="shared" si="35"/>
        <v>[{unit,1530100,1}]</v>
      </c>
    </row>
    <row r="214" s="16" customFormat="1" ht="16.5" spans="3:15">
      <c r="C214" s="16">
        <v>8001</v>
      </c>
      <c r="D214" s="16">
        <v>12103001</v>
      </c>
      <c r="E214" s="441" t="s">
        <v>476</v>
      </c>
      <c r="F214" s="16">
        <v>5</v>
      </c>
      <c r="G214" s="16">
        <f ca="1" t="shared" si="29"/>
        <v>1000</v>
      </c>
      <c r="H214" s="16">
        <v>1000</v>
      </c>
      <c r="I214" s="16">
        <f t="shared" si="36"/>
        <v>120</v>
      </c>
      <c r="J214" s="16">
        <v>6000</v>
      </c>
      <c r="L214" s="46" cm="1">
        <f t="array" ref="L214">I214/SUMPRODUCT(J214:K214,J$89:K$89)</f>
        <v>0.4</v>
      </c>
      <c r="M214" s="16" t="str">
        <f t="shared" si="30"/>
        <v>[{12103001,5}]</v>
      </c>
      <c r="N214" s="16" t="str">
        <f t="shared" si="31"/>
        <v>[{2,6000}]</v>
      </c>
      <c r="O214" s="446" t="str">
        <f t="shared" si="35"/>
        <v>[{unit,1210300,1}]</v>
      </c>
    </row>
    <row r="215" s="16" customFormat="1" ht="16.5" spans="3:15">
      <c r="C215" s="16">
        <v>8001</v>
      </c>
      <c r="D215" s="16">
        <v>14307001</v>
      </c>
      <c r="E215" s="441" t="s">
        <v>484</v>
      </c>
      <c r="F215" s="16">
        <v>5</v>
      </c>
      <c r="G215" s="16">
        <f ca="1" t="shared" si="29"/>
        <v>1000</v>
      </c>
      <c r="H215" s="16">
        <v>1000</v>
      </c>
      <c r="I215" s="16">
        <f t="shared" si="36"/>
        <v>120</v>
      </c>
      <c r="J215" s="16">
        <v>6000</v>
      </c>
      <c r="L215" s="46" cm="1">
        <f t="array" ref="L215">I215/SUMPRODUCT(J215:K215,J$89:K$89)</f>
        <v>0.4</v>
      </c>
      <c r="M215" s="16" t="str">
        <f t="shared" si="30"/>
        <v>[{14307001,5}]</v>
      </c>
      <c r="N215" s="16" t="str">
        <f t="shared" si="31"/>
        <v>[{2,6000}]</v>
      </c>
      <c r="O215" s="446" t="str">
        <f t="shared" si="35"/>
        <v>[{unit,1430700,1}]</v>
      </c>
    </row>
    <row r="216" s="16" customFormat="1" ht="16.5" spans="3:15">
      <c r="C216" s="16">
        <v>8001</v>
      </c>
      <c r="D216" s="16">
        <v>11401001</v>
      </c>
      <c r="E216" s="441" t="s">
        <v>474</v>
      </c>
      <c r="F216" s="16">
        <v>5</v>
      </c>
      <c r="G216" s="16">
        <f ca="1" t="shared" si="29"/>
        <v>1000</v>
      </c>
      <c r="H216" s="16">
        <v>1000</v>
      </c>
      <c r="I216" s="16">
        <f t="shared" si="36"/>
        <v>120</v>
      </c>
      <c r="J216" s="16">
        <v>6000</v>
      </c>
      <c r="L216" s="46" cm="1">
        <f t="array" ref="L216">I216/SUMPRODUCT(J216:K216,J$89:K$89)</f>
        <v>0.4</v>
      </c>
      <c r="M216" s="16" t="str">
        <f t="shared" si="30"/>
        <v>[{11401001,5}]</v>
      </c>
      <c r="N216" s="16" t="str">
        <f t="shared" si="31"/>
        <v>[{2,6000}]</v>
      </c>
      <c r="O216" s="446" t="str">
        <f t="shared" si="35"/>
        <v>[{unit,1140100,1}]</v>
      </c>
    </row>
    <row r="217" s="16" customFormat="1" ht="16.5" spans="3:15">
      <c r="C217" s="16">
        <v>8001</v>
      </c>
      <c r="D217" s="16">
        <v>11402001</v>
      </c>
      <c r="E217" s="441" t="s">
        <v>475</v>
      </c>
      <c r="F217" s="16">
        <v>5</v>
      </c>
      <c r="G217" s="16">
        <f ca="1" t="shared" si="29"/>
        <v>1000</v>
      </c>
      <c r="H217" s="16">
        <v>1000</v>
      </c>
      <c r="I217" s="16">
        <f t="shared" si="36"/>
        <v>120</v>
      </c>
      <c r="J217" s="16">
        <v>6000</v>
      </c>
      <c r="L217" s="46" cm="1">
        <f t="array" ref="L217">I217/SUMPRODUCT(J217:K217,J$89:K$89)</f>
        <v>0.4</v>
      </c>
      <c r="M217" s="16" t="str">
        <f t="shared" si="30"/>
        <v>[{11402001,5}]</v>
      </c>
      <c r="N217" s="16" t="str">
        <f t="shared" si="31"/>
        <v>[{2,6000}]</v>
      </c>
      <c r="O217" s="446" t="str">
        <f t="shared" si="35"/>
        <v>[{unit,1140200,1}]</v>
      </c>
    </row>
    <row r="218" s="16" customFormat="1" ht="16.5" spans="3:15">
      <c r="C218" s="16">
        <v>8001</v>
      </c>
      <c r="D218" s="16">
        <v>11101001</v>
      </c>
      <c r="E218" s="441" t="s">
        <v>472</v>
      </c>
      <c r="F218" s="16">
        <v>5</v>
      </c>
      <c r="G218" s="16">
        <f ca="1" t="shared" si="29"/>
        <v>1000</v>
      </c>
      <c r="H218" s="16">
        <v>1000</v>
      </c>
      <c r="I218" s="16">
        <f t="shared" si="36"/>
        <v>120</v>
      </c>
      <c r="J218" s="16">
        <v>6000</v>
      </c>
      <c r="L218" s="46" cm="1">
        <f t="array" ref="L218">I218/SUMPRODUCT(J218:K218,J$89:K$89)</f>
        <v>0.4</v>
      </c>
      <c r="M218" s="16" t="str">
        <f t="shared" si="30"/>
        <v>[{11101001,5}]</v>
      </c>
      <c r="N218" s="16" t="str">
        <f t="shared" si="31"/>
        <v>[{2,6000}]</v>
      </c>
      <c r="O218" s="446" t="str">
        <f t="shared" si="35"/>
        <v>[{unit,1110100,1}]</v>
      </c>
    </row>
    <row r="219" s="16" customFormat="1" ht="16.5" spans="3:15">
      <c r="C219" s="16">
        <v>8001</v>
      </c>
      <c r="D219" s="16">
        <v>13101001</v>
      </c>
      <c r="E219" s="441" t="s">
        <v>927</v>
      </c>
      <c r="F219" s="16">
        <v>5</v>
      </c>
      <c r="G219" s="16">
        <f ca="1" t="shared" ref="G219:G234" si="37">H219*2*_xlfn.XLOOKUP(C219,$C$30:$C$85,$G$30:$G$85)</f>
        <v>1000</v>
      </c>
      <c r="H219" s="16">
        <v>1000</v>
      </c>
      <c r="I219" s="16">
        <f>F219*_xlfn.XLOOKUP(D219,价值表!D:D,价值表!F:F)</f>
        <v>30</v>
      </c>
      <c r="K219" s="16">
        <v>50</v>
      </c>
      <c r="L219" s="46" cm="1">
        <f t="array" ref="L219">I219/SUMPRODUCT(J219:K219,J$89:K$89)</f>
        <v>0.6</v>
      </c>
      <c r="M219" s="16" t="str">
        <f t="shared" ref="M219:M234" si="38">"[{"&amp;D219&amp;","&amp;F219&amp;"}]"</f>
        <v>[{13101001,5}]</v>
      </c>
      <c r="N219" s="16" t="str">
        <f t="shared" ref="N219:N234" si="39">IF(J219&gt;0,"[{2,"&amp;J219&amp;"}]","[{1,"&amp;K219&amp;"}]")</f>
        <v>[{1,50}]</v>
      </c>
      <c r="O219" s="446"/>
    </row>
    <row r="220" s="16" customFormat="1" ht="16.5" spans="3:15">
      <c r="C220" s="16">
        <v>8001</v>
      </c>
      <c r="D220" s="16">
        <v>12104001</v>
      </c>
      <c r="E220" s="441" t="s">
        <v>477</v>
      </c>
      <c r="F220" s="16">
        <v>5</v>
      </c>
      <c r="G220" s="16">
        <f ca="1" t="shared" si="37"/>
        <v>1000</v>
      </c>
      <c r="H220" s="16">
        <v>1000</v>
      </c>
      <c r="I220" s="16">
        <f>I219</f>
        <v>30</v>
      </c>
      <c r="K220" s="16">
        <v>50</v>
      </c>
      <c r="L220" s="46" cm="1">
        <f t="array" ref="L220">I220/SUMPRODUCT(J220:K220,J$89:K$89)</f>
        <v>0.6</v>
      </c>
      <c r="M220" s="16" t="str">
        <f t="shared" si="38"/>
        <v>[{12104001,5}]</v>
      </c>
      <c r="N220" s="16" t="str">
        <f t="shared" si="39"/>
        <v>[{1,50}]</v>
      </c>
      <c r="O220" s="446"/>
    </row>
    <row r="221" s="16" customFormat="1" ht="16.5" spans="3:15">
      <c r="C221" s="16">
        <v>8001</v>
      </c>
      <c r="D221" s="16">
        <v>12301001</v>
      </c>
      <c r="E221" s="441" t="s">
        <v>480</v>
      </c>
      <c r="F221" s="16">
        <v>5</v>
      </c>
      <c r="G221" s="16">
        <f ca="1" t="shared" si="37"/>
        <v>1000</v>
      </c>
      <c r="H221" s="16">
        <v>1000</v>
      </c>
      <c r="I221" s="16">
        <f>I220</f>
        <v>30</v>
      </c>
      <c r="K221" s="16">
        <v>50</v>
      </c>
      <c r="L221" s="46" cm="1">
        <f t="array" ref="L221">I221/SUMPRODUCT(J221:K221,J$89:K$89)</f>
        <v>0.6</v>
      </c>
      <c r="M221" s="16" t="str">
        <f t="shared" si="38"/>
        <v>[{12301001,5}]</v>
      </c>
      <c r="N221" s="16" t="str">
        <f t="shared" si="39"/>
        <v>[{1,50}]</v>
      </c>
      <c r="O221" s="446"/>
    </row>
    <row r="222" s="16" customFormat="1" ht="16.5" spans="3:15">
      <c r="C222" s="16">
        <v>8001</v>
      </c>
      <c r="D222" s="16">
        <v>14202001</v>
      </c>
      <c r="E222" s="441" t="s">
        <v>928</v>
      </c>
      <c r="F222" s="16">
        <v>5</v>
      </c>
      <c r="G222" s="16">
        <f ca="1" t="shared" si="37"/>
        <v>1000</v>
      </c>
      <c r="H222" s="16">
        <v>1000</v>
      </c>
      <c r="I222" s="16">
        <f>F222*_xlfn.XLOOKUP(D222,价值表!D:D,价值表!F:F)</f>
        <v>60</v>
      </c>
      <c r="K222" s="16">
        <v>80</v>
      </c>
      <c r="L222" s="46" cm="1">
        <f t="array" ref="L222">I222/SUMPRODUCT(J222:K222,J$89:K$89)</f>
        <v>0.75</v>
      </c>
      <c r="M222" s="16" t="str">
        <f t="shared" si="38"/>
        <v>[{14202001,5}]</v>
      </c>
      <c r="N222" s="16" t="str">
        <f t="shared" si="39"/>
        <v>[{1,80}]</v>
      </c>
      <c r="O222" s="446"/>
    </row>
    <row r="223" s="16" customFormat="1" ht="16.5" spans="3:15">
      <c r="C223" s="16">
        <v>8001</v>
      </c>
      <c r="D223" s="16">
        <v>13201001</v>
      </c>
      <c r="E223" s="441" t="s">
        <v>483</v>
      </c>
      <c r="F223" s="16">
        <v>5</v>
      </c>
      <c r="G223" s="16">
        <f ca="1" t="shared" si="37"/>
        <v>1000</v>
      </c>
      <c r="H223" s="16">
        <v>1000</v>
      </c>
      <c r="I223" s="16">
        <f>I222</f>
        <v>60</v>
      </c>
      <c r="K223" s="16">
        <v>80</v>
      </c>
      <c r="L223" s="46" cm="1">
        <f t="array" ref="L223">I223/SUMPRODUCT(J223:K223,J$89:K$89)</f>
        <v>0.75</v>
      </c>
      <c r="M223" s="16" t="str">
        <f t="shared" si="38"/>
        <v>[{13201001,5}]</v>
      </c>
      <c r="N223" s="16" t="str">
        <f t="shared" si="39"/>
        <v>[{1,80}]</v>
      </c>
      <c r="O223" s="446"/>
    </row>
    <row r="224" s="16" customFormat="1" ht="16.5" spans="3:15">
      <c r="C224" s="16">
        <v>8001</v>
      </c>
      <c r="D224" s="16">
        <v>12106001</v>
      </c>
      <c r="E224" s="441" t="s">
        <v>478</v>
      </c>
      <c r="F224" s="16">
        <v>5</v>
      </c>
      <c r="G224" s="16">
        <f ca="1" t="shared" si="37"/>
        <v>1000</v>
      </c>
      <c r="H224" s="16">
        <v>1000</v>
      </c>
      <c r="I224" s="16">
        <f>I223</f>
        <v>60</v>
      </c>
      <c r="K224" s="16">
        <v>80</v>
      </c>
      <c r="L224" s="46" cm="1">
        <f t="array" ref="L224">I224/SUMPRODUCT(J224:K224,J$89:K$89)</f>
        <v>0.75</v>
      </c>
      <c r="M224" s="16" t="str">
        <f t="shared" si="38"/>
        <v>[{12106001,5}]</v>
      </c>
      <c r="N224" s="16" t="str">
        <f t="shared" si="39"/>
        <v>[{1,80}]</v>
      </c>
      <c r="O224" s="446" t="str">
        <f t="shared" ref="O224:O234" si="40">SUBSTITUTE("[{unit,1140200,1}]","1140200",INT(RIGHT(LEFT(M224,10),8)/10))</f>
        <v>[{unit,1210600,1}]</v>
      </c>
    </row>
    <row r="225" s="16" customFormat="1" ht="16.5" spans="3:15">
      <c r="C225" s="16">
        <v>8001</v>
      </c>
      <c r="D225" s="16">
        <v>12304001</v>
      </c>
      <c r="E225" s="441" t="s">
        <v>481</v>
      </c>
      <c r="F225" s="16">
        <v>5</v>
      </c>
      <c r="G225" s="16">
        <f ca="1" t="shared" si="37"/>
        <v>1000</v>
      </c>
      <c r="H225" s="16">
        <v>1000</v>
      </c>
      <c r="I225" s="16">
        <f>I224</f>
        <v>60</v>
      </c>
      <c r="K225" s="16">
        <v>80</v>
      </c>
      <c r="L225" s="46" cm="1">
        <f t="array" ref="L225">I225/SUMPRODUCT(J225:K225,J$89:K$89)</f>
        <v>0.75</v>
      </c>
      <c r="M225" s="16" t="str">
        <f t="shared" si="38"/>
        <v>[{12304001,5}]</v>
      </c>
      <c r="N225" s="16" t="str">
        <f t="shared" si="39"/>
        <v>[{1,80}]</v>
      </c>
      <c r="O225" s="446" t="str">
        <f t="shared" si="40"/>
        <v>[{unit,1230400,1}]</v>
      </c>
    </row>
    <row r="226" s="16" customFormat="1" ht="16.5" spans="3:15">
      <c r="C226" s="16">
        <v>8001</v>
      </c>
      <c r="D226" s="16">
        <v>13103001</v>
      </c>
      <c r="E226" s="441" t="s">
        <v>482</v>
      </c>
      <c r="F226" s="16">
        <v>5</v>
      </c>
      <c r="G226" s="16">
        <f ca="1" t="shared" si="37"/>
        <v>1000</v>
      </c>
      <c r="H226" s="16">
        <v>1000</v>
      </c>
      <c r="I226" s="16">
        <f>I225</f>
        <v>60</v>
      </c>
      <c r="K226" s="16">
        <v>80</v>
      </c>
      <c r="L226" s="46" cm="1">
        <f t="array" ref="L226">I226/SUMPRODUCT(J226:K226,J$89:K$89)</f>
        <v>0.75</v>
      </c>
      <c r="M226" s="16" t="str">
        <f t="shared" si="38"/>
        <v>[{13103001,5}]</v>
      </c>
      <c r="N226" s="16" t="str">
        <f t="shared" si="39"/>
        <v>[{1,80}]</v>
      </c>
      <c r="O226" s="446" t="str">
        <f t="shared" si="40"/>
        <v>[{unit,1310300,1}]</v>
      </c>
    </row>
    <row r="227" s="16" customFormat="1" ht="16.5" spans="3:15">
      <c r="C227" s="16">
        <v>8001</v>
      </c>
      <c r="D227" s="16">
        <v>12107001</v>
      </c>
      <c r="E227" s="441" t="s">
        <v>479</v>
      </c>
      <c r="F227" s="16">
        <v>5</v>
      </c>
      <c r="G227" s="16">
        <f ca="1" t="shared" si="37"/>
        <v>1000</v>
      </c>
      <c r="H227" s="16">
        <v>1000</v>
      </c>
      <c r="I227" s="16">
        <f>I226</f>
        <v>60</v>
      </c>
      <c r="K227" s="16">
        <v>80</v>
      </c>
      <c r="L227" s="46" cm="1">
        <f t="array" ref="L227">I227/SUMPRODUCT(J227:K227,J$89:K$89)</f>
        <v>0.75</v>
      </c>
      <c r="M227" s="16" t="str">
        <f t="shared" si="38"/>
        <v>[{12107001,5}]</v>
      </c>
      <c r="N227" s="16" t="str">
        <f t="shared" si="39"/>
        <v>[{1,80}]</v>
      </c>
      <c r="O227" s="446" t="str">
        <f t="shared" si="40"/>
        <v>[{unit,1210700,1}]</v>
      </c>
    </row>
    <row r="228" s="16" customFormat="1" ht="16.5" spans="3:15">
      <c r="C228" s="16">
        <v>8001</v>
      </c>
      <c r="D228" s="16">
        <v>11301001</v>
      </c>
      <c r="E228" s="441" t="s">
        <v>929</v>
      </c>
      <c r="F228" s="16">
        <v>5</v>
      </c>
      <c r="G228" s="16">
        <f ca="1" t="shared" si="37"/>
        <v>1000</v>
      </c>
      <c r="H228" s="16">
        <v>1000</v>
      </c>
      <c r="I228" s="16">
        <f>F228*_xlfn.XLOOKUP(D228,价值表!D:D,价值表!F:F)</f>
        <v>120</v>
      </c>
      <c r="K228" s="16">
        <v>150</v>
      </c>
      <c r="L228" s="46" cm="1">
        <f t="array" ref="L228">I228/SUMPRODUCT(J228:K228,J$89:K$89)</f>
        <v>0.8</v>
      </c>
      <c r="M228" s="16" t="str">
        <f t="shared" si="38"/>
        <v>[{11301001,5}]</v>
      </c>
      <c r="N228" s="16" t="str">
        <f t="shared" si="39"/>
        <v>[{1,150}]</v>
      </c>
      <c r="O228" s="446" t="str">
        <f t="shared" si="40"/>
        <v>[{unit,1130100,1}]</v>
      </c>
    </row>
    <row r="229" s="16" customFormat="1" ht="16.5" spans="3:15">
      <c r="C229" s="16">
        <v>8001</v>
      </c>
      <c r="D229" s="16">
        <v>15301001</v>
      </c>
      <c r="E229" s="441" t="s">
        <v>930</v>
      </c>
      <c r="F229" s="16">
        <v>5</v>
      </c>
      <c r="G229" s="16">
        <f ca="1" t="shared" si="37"/>
        <v>1000</v>
      </c>
      <c r="H229" s="16">
        <v>1000</v>
      </c>
      <c r="I229" s="16">
        <f t="shared" ref="I229:I234" si="41">I228</f>
        <v>120</v>
      </c>
      <c r="K229" s="16">
        <v>150</v>
      </c>
      <c r="L229" s="46" cm="1">
        <f t="array" ref="L229">I229/SUMPRODUCT(J229:K229,J$89:K$89)</f>
        <v>0.8</v>
      </c>
      <c r="M229" s="16" t="str">
        <f t="shared" si="38"/>
        <v>[{15301001,5}]</v>
      </c>
      <c r="N229" s="16" t="str">
        <f t="shared" si="39"/>
        <v>[{1,150}]</v>
      </c>
      <c r="O229" s="446" t="str">
        <f t="shared" si="40"/>
        <v>[{unit,1530100,1}]</v>
      </c>
    </row>
    <row r="230" s="16" customFormat="1" ht="16.5" spans="3:15">
      <c r="C230" s="16">
        <v>8001</v>
      </c>
      <c r="D230" s="16">
        <v>12103001</v>
      </c>
      <c r="E230" s="441" t="s">
        <v>476</v>
      </c>
      <c r="F230" s="16">
        <v>5</v>
      </c>
      <c r="G230" s="16">
        <f ca="1" t="shared" si="37"/>
        <v>1000</v>
      </c>
      <c r="H230" s="16">
        <v>1000</v>
      </c>
      <c r="I230" s="16">
        <f t="shared" si="41"/>
        <v>120</v>
      </c>
      <c r="K230" s="16">
        <v>150</v>
      </c>
      <c r="L230" s="46" cm="1">
        <f t="array" ref="L230">I230/SUMPRODUCT(J230:K230,J$89:K$89)</f>
        <v>0.8</v>
      </c>
      <c r="M230" s="16" t="str">
        <f t="shared" si="38"/>
        <v>[{12103001,5}]</v>
      </c>
      <c r="N230" s="16" t="str">
        <f t="shared" si="39"/>
        <v>[{1,150}]</v>
      </c>
      <c r="O230" s="446" t="str">
        <f t="shared" si="40"/>
        <v>[{unit,1210300,1}]</v>
      </c>
    </row>
    <row r="231" s="16" customFormat="1" ht="16.5" spans="3:15">
      <c r="C231" s="16">
        <v>8001</v>
      </c>
      <c r="D231" s="16">
        <v>14307001</v>
      </c>
      <c r="E231" s="441" t="s">
        <v>484</v>
      </c>
      <c r="F231" s="16">
        <v>5</v>
      </c>
      <c r="G231" s="16">
        <f ca="1" t="shared" si="37"/>
        <v>1000</v>
      </c>
      <c r="H231" s="16">
        <v>1000</v>
      </c>
      <c r="I231" s="16">
        <f t="shared" si="41"/>
        <v>120</v>
      </c>
      <c r="K231" s="16">
        <v>150</v>
      </c>
      <c r="L231" s="46" cm="1">
        <f t="array" ref="L231">I231/SUMPRODUCT(J231:K231,J$89:K$89)</f>
        <v>0.8</v>
      </c>
      <c r="M231" s="16" t="str">
        <f t="shared" si="38"/>
        <v>[{14307001,5}]</v>
      </c>
      <c r="N231" s="16" t="str">
        <f t="shared" si="39"/>
        <v>[{1,150}]</v>
      </c>
      <c r="O231" s="446" t="str">
        <f t="shared" si="40"/>
        <v>[{unit,1430700,1}]</v>
      </c>
    </row>
    <row r="232" s="16" customFormat="1" ht="16.5" spans="3:15">
      <c r="C232" s="16">
        <v>8001</v>
      </c>
      <c r="D232" s="16">
        <v>11401001</v>
      </c>
      <c r="E232" s="441" t="s">
        <v>474</v>
      </c>
      <c r="F232" s="16">
        <v>5</v>
      </c>
      <c r="G232" s="16">
        <f ca="1" t="shared" si="37"/>
        <v>1000</v>
      </c>
      <c r="H232" s="16">
        <v>1000</v>
      </c>
      <c r="I232" s="16">
        <f t="shared" si="41"/>
        <v>120</v>
      </c>
      <c r="K232" s="16">
        <v>150</v>
      </c>
      <c r="L232" s="46" cm="1">
        <f t="array" ref="L232">I232/SUMPRODUCT(J232:K232,J$89:K$89)</f>
        <v>0.8</v>
      </c>
      <c r="M232" s="16" t="str">
        <f t="shared" si="38"/>
        <v>[{11401001,5}]</v>
      </c>
      <c r="N232" s="16" t="str">
        <f t="shared" si="39"/>
        <v>[{1,150}]</v>
      </c>
      <c r="O232" s="446" t="str">
        <f t="shared" si="40"/>
        <v>[{unit,1140100,1}]</v>
      </c>
    </row>
    <row r="233" s="16" customFormat="1" ht="16.5" spans="3:15">
      <c r="C233" s="16">
        <v>8001</v>
      </c>
      <c r="D233" s="16">
        <v>11402001</v>
      </c>
      <c r="E233" s="441" t="s">
        <v>475</v>
      </c>
      <c r="F233" s="16">
        <v>5</v>
      </c>
      <c r="G233" s="16">
        <f ca="1" t="shared" si="37"/>
        <v>1000</v>
      </c>
      <c r="H233" s="16">
        <v>1000</v>
      </c>
      <c r="I233" s="16">
        <f t="shared" si="41"/>
        <v>120</v>
      </c>
      <c r="K233" s="16">
        <v>150</v>
      </c>
      <c r="L233" s="46" cm="1">
        <f t="array" ref="L233">I233/SUMPRODUCT(J233:K233,J$89:K$89)</f>
        <v>0.8</v>
      </c>
      <c r="M233" s="16" t="str">
        <f t="shared" si="38"/>
        <v>[{11402001,5}]</v>
      </c>
      <c r="N233" s="16" t="str">
        <f t="shared" si="39"/>
        <v>[{1,150}]</v>
      </c>
      <c r="O233" s="446" t="str">
        <f t="shared" si="40"/>
        <v>[{unit,1140200,1}]</v>
      </c>
    </row>
    <row r="234" s="16" customFormat="1" ht="16.5" spans="3:15">
      <c r="C234" s="16">
        <v>8001</v>
      </c>
      <c r="D234" s="16">
        <v>11101001</v>
      </c>
      <c r="E234" s="441" t="s">
        <v>472</v>
      </c>
      <c r="F234" s="16">
        <v>5</v>
      </c>
      <c r="G234" s="16">
        <f ca="1" t="shared" si="37"/>
        <v>1000</v>
      </c>
      <c r="H234" s="16">
        <v>1000</v>
      </c>
      <c r="I234" s="16">
        <f t="shared" si="41"/>
        <v>120</v>
      </c>
      <c r="K234" s="16">
        <v>150</v>
      </c>
      <c r="L234" s="46" cm="1">
        <f t="array" ref="L234">I234/SUMPRODUCT(J234:K234,J$89:K$89)</f>
        <v>0.8</v>
      </c>
      <c r="M234" s="16" t="str">
        <f t="shared" si="38"/>
        <v>[{11101001,5}]</v>
      </c>
      <c r="N234" s="16" t="str">
        <f t="shared" si="39"/>
        <v>[{1,150}]</v>
      </c>
      <c r="O234" s="446" t="str">
        <f t="shared" si="40"/>
        <v>[{unit,1110100,1}]</v>
      </c>
    </row>
  </sheetData>
  <dataValidations count="2">
    <dataValidation type="textLength" operator="between" allowBlank="1" showInputMessage="1" showErrorMessage="1" errorTitle="输入有误" error="数值只能为(0 ~ 9999999999)" sqref="B29 F29:G29">
      <formula1>0</formula1>
      <formula2>9999999999</formula2>
    </dataValidation>
    <dataValidation allowBlank="1" showInputMessage="1" showErrorMessage="1" errorTitle="输入有误" error="数值只能为(0 ~ 9999999999)" sqref="C29:E29"/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7"/>
  </sheetPr>
  <dimension ref="A2:Z153"/>
  <sheetViews>
    <sheetView zoomScale="115" zoomScaleNormal="115" topLeftCell="A23" workbookViewId="0">
      <selection activeCell="I28" sqref="I28"/>
    </sheetView>
  </sheetViews>
  <sheetFormatPr defaultColWidth="9" defaultRowHeight="16.5"/>
  <cols>
    <col min="1" max="1" width="9" style="400"/>
    <col min="2" max="2" width="9" style="198"/>
    <col min="3" max="3" width="15.875" style="198" customWidth="1"/>
    <col min="4" max="4" width="11.125" style="198" customWidth="1"/>
    <col min="5" max="7" width="9" style="198"/>
    <col min="8" max="8" width="11.5083333333333" style="198" customWidth="1"/>
    <col min="9" max="9" width="13.375" style="198" customWidth="1"/>
    <col min="10" max="10" width="9" style="198"/>
    <col min="11" max="11" width="13.125" style="198" customWidth="1"/>
    <col min="12" max="12" width="13.375" style="198" customWidth="1"/>
    <col min="13" max="13" width="9" style="198"/>
    <col min="14" max="14" width="11.375" style="198" customWidth="1"/>
    <col min="15" max="16384" width="9" style="198"/>
  </cols>
  <sheetData>
    <row r="2" s="198" customFormat="1" spans="1:20">
      <c r="A2" s="400" t="s">
        <v>1209</v>
      </c>
    </row>
    <row r="3" s="198" customFormat="1" spans="1:20">
      <c r="A3" s="400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</row>
    <row r="4" s="198" customFormat="1" spans="1:20">
      <c r="A4" s="400"/>
      <c r="C4" s="402" t="s">
        <v>1210</v>
      </c>
      <c r="D4" s="402" t="s">
        <v>547</v>
      </c>
      <c r="E4" s="402" t="s">
        <v>1211</v>
      </c>
      <c r="F4" s="402" t="s">
        <v>1212</v>
      </c>
      <c r="G4" s="403"/>
      <c r="H4" s="403"/>
      <c r="I4" s="403"/>
      <c r="J4" s="403"/>
      <c r="K4" s="402" t="s">
        <v>1213</v>
      </c>
      <c r="L4" s="403"/>
      <c r="M4" s="403"/>
      <c r="N4" s="404" t="s">
        <v>1214</v>
      </c>
      <c r="O4" s="405" t="s">
        <v>1215</v>
      </c>
      <c r="P4" s="202" t="s">
        <v>1216</v>
      </c>
      <c r="Q4" s="282"/>
      <c r="R4" s="405" t="s">
        <v>1217</v>
      </c>
      <c r="S4" s="282"/>
      <c r="T4" s="282"/>
    </row>
    <row r="5" s="198" customFormat="1" spans="1:20">
      <c r="A5" s="400"/>
      <c r="C5" s="406" t="s">
        <v>1218</v>
      </c>
      <c r="D5" s="407">
        <v>1</v>
      </c>
      <c r="E5" s="407" t="s">
        <v>1219</v>
      </c>
      <c r="F5" s="250" t="s">
        <v>1220</v>
      </c>
      <c r="G5" s="403"/>
      <c r="H5" s="403"/>
      <c r="I5" s="403"/>
      <c r="J5" s="403"/>
      <c r="K5" s="250"/>
      <c r="L5" s="250"/>
      <c r="M5" s="250"/>
      <c r="N5" s="254">
        <v>8</v>
      </c>
      <c r="O5" s="408" t="s">
        <v>1221</v>
      </c>
      <c r="P5" s="409" t="s">
        <v>1222</v>
      </c>
      <c r="Q5" s="282"/>
      <c r="R5" s="404" t="s">
        <v>1223</v>
      </c>
      <c r="S5" s="282"/>
      <c r="T5" s="282"/>
    </row>
    <row r="6" s="198" customFormat="1" spans="1:20">
      <c r="A6" s="400"/>
      <c r="C6" s="403"/>
      <c r="D6" s="407">
        <v>2</v>
      </c>
      <c r="E6" s="407" t="s">
        <v>1224</v>
      </c>
      <c r="F6" s="250" t="s">
        <v>1225</v>
      </c>
      <c r="G6" s="403"/>
      <c r="H6" s="403"/>
      <c r="I6" s="403"/>
      <c r="J6" s="403"/>
      <c r="K6" s="250"/>
      <c r="L6" s="250"/>
      <c r="M6" s="250"/>
      <c r="N6" s="254">
        <v>10</v>
      </c>
      <c r="O6" s="410" t="s">
        <v>1226</v>
      </c>
      <c r="P6" s="409" t="s">
        <v>1227</v>
      </c>
      <c r="Q6" s="282"/>
      <c r="R6" s="404" t="s">
        <v>1228</v>
      </c>
      <c r="S6" s="282"/>
      <c r="T6" s="282"/>
    </row>
    <row r="7" s="198" customFormat="1" spans="1:20">
      <c r="A7" s="400"/>
      <c r="C7" s="403"/>
      <c r="D7" s="407">
        <v>3</v>
      </c>
      <c r="E7" s="407" t="s">
        <v>1229</v>
      </c>
      <c r="F7" s="250" t="s">
        <v>1230</v>
      </c>
      <c r="G7" s="403"/>
      <c r="H7" s="403"/>
      <c r="I7" s="403"/>
      <c r="J7" s="403"/>
      <c r="K7" s="250"/>
      <c r="L7" s="250"/>
      <c r="M7" s="250"/>
      <c r="N7" s="254">
        <v>12</v>
      </c>
      <c r="O7" s="410" t="s">
        <v>1231</v>
      </c>
      <c r="P7" s="282"/>
      <c r="Q7" s="282"/>
      <c r="R7" s="404" t="s">
        <v>1232</v>
      </c>
      <c r="S7" s="282"/>
      <c r="T7" s="282"/>
    </row>
    <row r="8" s="198" customFormat="1" spans="1:20">
      <c r="A8" s="400"/>
      <c r="C8" s="403"/>
      <c r="D8" s="407">
        <v>4</v>
      </c>
      <c r="E8" s="407" t="s">
        <v>1233</v>
      </c>
      <c r="F8" s="250" t="s">
        <v>1234</v>
      </c>
      <c r="G8" s="403"/>
      <c r="H8" s="403"/>
      <c r="I8" s="403"/>
      <c r="J8" s="403"/>
      <c r="K8" s="250"/>
      <c r="L8" s="250"/>
      <c r="M8" s="250"/>
      <c r="N8" s="254">
        <v>15</v>
      </c>
      <c r="O8" s="410" t="s">
        <v>1235</v>
      </c>
      <c r="P8" s="282"/>
      <c r="Q8" s="282"/>
      <c r="R8" s="404" t="s">
        <v>1236</v>
      </c>
      <c r="S8" s="282"/>
      <c r="T8" s="282"/>
    </row>
    <row r="9" s="198" customFormat="1" spans="1:20">
      <c r="A9" s="400"/>
      <c r="C9" s="403"/>
      <c r="D9" s="407">
        <v>5</v>
      </c>
      <c r="E9" s="407" t="s">
        <v>1237</v>
      </c>
      <c r="F9" s="250" t="s">
        <v>1238</v>
      </c>
      <c r="G9" s="403"/>
      <c r="H9" s="403"/>
      <c r="I9" s="403"/>
      <c r="J9" s="403"/>
      <c r="K9" s="250"/>
      <c r="L9" s="250"/>
      <c r="M9" s="250"/>
      <c r="N9" s="254">
        <v>17</v>
      </c>
      <c r="O9" s="410" t="s">
        <v>1239</v>
      </c>
      <c r="P9" s="282"/>
      <c r="Q9" s="282"/>
      <c r="R9" s="404" t="s">
        <v>1240</v>
      </c>
      <c r="S9" s="282"/>
      <c r="T9" s="282"/>
    </row>
    <row r="10" s="198" customFormat="1" spans="1:20">
      <c r="A10" s="400"/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</row>
    <row r="11" s="198" customFormat="1" spans="1:20">
      <c r="A11" s="400"/>
    </row>
    <row r="12" s="198" customFormat="1" spans="1:20">
      <c r="A12" s="400"/>
    </row>
    <row r="13" s="198" customFormat="1" spans="1:20">
      <c r="A13" s="400"/>
    </row>
    <row r="14" s="198" customFormat="1" spans="1:20">
      <c r="A14" s="400"/>
    </row>
    <row r="16" s="198" customFormat="1" spans="1:20">
      <c r="A16" s="400"/>
      <c r="C16" s="198" t="s">
        <v>1241</v>
      </c>
      <c r="H16" s="198" t="s">
        <v>1242</v>
      </c>
      <c r="I16" s="401"/>
      <c r="J16" s="401"/>
      <c r="K16" s="401"/>
      <c r="L16" s="401"/>
      <c r="M16" s="401"/>
      <c r="N16" s="401"/>
      <c r="O16" s="401"/>
      <c r="P16" s="401"/>
      <c r="Q16" s="401"/>
      <c r="R16" s="282"/>
      <c r="S16" s="282"/>
      <c r="T16" s="282"/>
    </row>
    <row r="17" s="198" customFormat="1" spans="1:20">
      <c r="A17" s="400"/>
      <c r="C17" s="201" t="s">
        <v>136</v>
      </c>
      <c r="D17" s="201" t="s">
        <v>1099</v>
      </c>
      <c r="E17" s="202" t="s">
        <v>919</v>
      </c>
      <c r="F17" s="202" t="s">
        <v>922</v>
      </c>
      <c r="H17" s="401"/>
      <c r="I17" s="401"/>
      <c r="J17" s="401"/>
      <c r="K17" s="401"/>
      <c r="L17" s="401"/>
      <c r="M17" s="401"/>
      <c r="N17" s="401"/>
      <c r="O17" s="401"/>
      <c r="P17" s="401"/>
      <c r="Q17" s="401"/>
      <c r="R17" s="282"/>
      <c r="S17" s="282"/>
      <c r="T17" s="282"/>
    </row>
    <row r="18" s="198" customFormat="1" spans="1:20">
      <c r="A18" s="400"/>
      <c r="C18" s="196" t="s">
        <v>1243</v>
      </c>
      <c r="D18" s="327" t="s">
        <v>193</v>
      </c>
      <c r="E18" s="196">
        <v>66</v>
      </c>
      <c r="F18" s="196">
        <f>_xlfn.XLOOKUP(D18,价值表!$C:$C,价值表!$F:$F)*E18</f>
        <v>132</v>
      </c>
      <c r="H18" s="401"/>
      <c r="I18" s="201" t="s">
        <v>1125</v>
      </c>
      <c r="J18" s="201" t="s">
        <v>613</v>
      </c>
      <c r="K18" s="202" t="s">
        <v>640</v>
      </c>
      <c r="L18" s="202" t="s">
        <v>919</v>
      </c>
      <c r="M18" s="401"/>
      <c r="N18" s="202" t="s">
        <v>640</v>
      </c>
      <c r="O18" s="202" t="s">
        <v>919</v>
      </c>
      <c r="P18" s="401"/>
      <c r="Q18" s="401"/>
      <c r="R18" s="405" t="s">
        <v>1215</v>
      </c>
      <c r="S18" s="405" t="s">
        <v>1217</v>
      </c>
      <c r="T18" s="282"/>
    </row>
    <row r="19" s="198" customFormat="1" spans="1:20">
      <c r="A19" s="400"/>
      <c r="C19" s="196" t="s">
        <v>1244</v>
      </c>
      <c r="D19" s="327" t="s">
        <v>258</v>
      </c>
      <c r="E19" s="196">
        <v>10</v>
      </c>
      <c r="F19" s="196">
        <f>_xlfn.XLOOKUP(D19,价值表!$C:$C,价值表!$F:$F)*E19</f>
        <v>500</v>
      </c>
      <c r="H19" s="401" t="s">
        <v>1245</v>
      </c>
      <c r="I19" s="411" t="s">
        <v>1246</v>
      </c>
      <c r="J19" s="412" t="s">
        <v>1247</v>
      </c>
      <c r="K19" s="412" t="s">
        <v>358</v>
      </c>
      <c r="L19" s="412">
        <v>1</v>
      </c>
      <c r="M19" s="413"/>
      <c r="N19" s="412" t="s">
        <v>527</v>
      </c>
      <c r="O19" s="412">
        <v>50</v>
      </c>
      <c r="P19" s="401"/>
      <c r="Q19" s="401"/>
      <c r="R19" s="282"/>
      <c r="S19" s="282"/>
      <c r="T19" s="282"/>
    </row>
    <row r="20" s="198" customFormat="1" spans="1:20">
      <c r="A20" s="400"/>
      <c r="C20" s="196" t="s">
        <v>1248</v>
      </c>
      <c r="D20" s="327" t="s">
        <v>213</v>
      </c>
      <c r="E20" s="196">
        <v>20</v>
      </c>
      <c r="F20" s="196">
        <f>_xlfn.XLOOKUP(D20,价值表!$C:$C,价值表!$F:$F)*E20</f>
        <v>600</v>
      </c>
      <c r="H20" s="401" t="s">
        <v>1245</v>
      </c>
      <c r="I20" s="411" t="s">
        <v>1249</v>
      </c>
      <c r="J20" s="412" t="s">
        <v>1247</v>
      </c>
      <c r="K20" s="412" t="s">
        <v>1250</v>
      </c>
      <c r="L20" s="412">
        <v>1</v>
      </c>
      <c r="M20" s="413"/>
      <c r="N20" s="412" t="s">
        <v>1251</v>
      </c>
      <c r="O20" s="412">
        <v>1</v>
      </c>
      <c r="P20" s="401"/>
      <c r="Q20" s="401"/>
      <c r="R20" s="282"/>
      <c r="S20" s="282"/>
      <c r="T20" s="282"/>
    </row>
    <row r="21" s="198" customFormat="1" spans="1:20">
      <c r="A21" s="400"/>
      <c r="C21" s="196" t="s">
        <v>1252</v>
      </c>
      <c r="D21" s="327" t="s">
        <v>188</v>
      </c>
      <c r="E21" s="196">
        <v>288</v>
      </c>
      <c r="F21" s="196">
        <f>_xlfn.XLOOKUP(D21,价值表!$C:$C,价值表!$F:$F)*E21</f>
        <v>288</v>
      </c>
      <c r="H21" s="401"/>
      <c r="I21" s="414" t="s">
        <v>1253</v>
      </c>
      <c r="J21" s="361" t="s">
        <v>53</v>
      </c>
      <c r="K21" s="361" t="s">
        <v>237</v>
      </c>
      <c r="L21" s="361">
        <v>800</v>
      </c>
      <c r="M21" s="415"/>
      <c r="N21" s="361" t="s">
        <v>1254</v>
      </c>
      <c r="O21" s="361">
        <v>500</v>
      </c>
      <c r="P21" s="401"/>
      <c r="Q21" s="401"/>
      <c r="R21" s="408" t="s">
        <v>1255</v>
      </c>
      <c r="S21" s="404" t="s">
        <v>1256</v>
      </c>
      <c r="T21" s="282"/>
    </row>
    <row r="22" s="198" customFormat="1" spans="1:20">
      <c r="A22" s="400"/>
      <c r="C22" s="196" t="s">
        <v>1257</v>
      </c>
      <c r="D22" s="327" t="s">
        <v>213</v>
      </c>
      <c r="E22" s="196">
        <v>30</v>
      </c>
      <c r="F22" s="196">
        <f>_xlfn.XLOOKUP(D22,价值表!$C:$C,价值表!$F:$F)*E22</f>
        <v>900</v>
      </c>
      <c r="H22" s="401"/>
      <c r="I22" s="414" t="s">
        <v>1258</v>
      </c>
      <c r="J22" s="361" t="s">
        <v>1259</v>
      </c>
      <c r="K22" s="361" t="s">
        <v>213</v>
      </c>
      <c r="L22" s="361">
        <v>5</v>
      </c>
      <c r="M22" s="415"/>
      <c r="N22" s="361" t="s">
        <v>527</v>
      </c>
      <c r="O22" s="361">
        <v>100</v>
      </c>
      <c r="P22" s="401"/>
      <c r="Q22" s="401"/>
      <c r="R22" s="408" t="s">
        <v>1260</v>
      </c>
      <c r="S22" s="404" t="s">
        <v>1261</v>
      </c>
      <c r="T22" s="282"/>
    </row>
    <row r="23" s="198" customFormat="1" spans="1:20">
      <c r="A23" s="400"/>
      <c r="C23" s="196" t="s">
        <v>1262</v>
      </c>
      <c r="D23" s="327" t="s">
        <v>261</v>
      </c>
      <c r="E23" s="196">
        <v>5</v>
      </c>
      <c r="F23" s="196">
        <f>_xlfn.XLOOKUP(D23,价值表!$C:$C,价值表!$F:$F)*E23</f>
        <v>1400</v>
      </c>
      <c r="H23" s="401"/>
      <c r="I23" s="414" t="s">
        <v>1263</v>
      </c>
      <c r="J23" s="361" t="s">
        <v>1264</v>
      </c>
      <c r="K23" s="361" t="s">
        <v>213</v>
      </c>
      <c r="L23" s="361">
        <v>10</v>
      </c>
      <c r="M23" s="415"/>
      <c r="N23" s="361" t="s">
        <v>217</v>
      </c>
      <c r="O23" s="361">
        <v>1</v>
      </c>
      <c r="P23" s="401"/>
      <c r="Q23" s="401"/>
      <c r="R23" s="408" t="s">
        <v>1265</v>
      </c>
      <c r="S23" s="404" t="s">
        <v>1266</v>
      </c>
      <c r="T23" s="282"/>
    </row>
    <row r="24" s="198" customFormat="1" spans="1:20">
      <c r="A24" s="400"/>
      <c r="C24" s="196" t="s">
        <v>1267</v>
      </c>
      <c r="D24" s="327" t="s">
        <v>226</v>
      </c>
      <c r="E24" s="196">
        <v>1</v>
      </c>
      <c r="F24" s="196">
        <f>_xlfn.XLOOKUP(D24,价值表!$C:$C,价值表!$F:$F)*E24</f>
        <v>240</v>
      </c>
      <c r="H24" s="401"/>
      <c r="I24" s="414" t="s">
        <v>1268</v>
      </c>
      <c r="J24" s="361" t="s">
        <v>1259</v>
      </c>
      <c r="K24" s="361" t="s">
        <v>213</v>
      </c>
      <c r="L24" s="361">
        <v>10</v>
      </c>
      <c r="M24" s="415"/>
      <c r="N24" s="361" t="s">
        <v>208</v>
      </c>
      <c r="O24" s="361">
        <v>200</v>
      </c>
      <c r="P24" s="401"/>
      <c r="Q24" s="401"/>
      <c r="R24" s="408" t="s">
        <v>1269</v>
      </c>
      <c r="S24" s="404" t="s">
        <v>1270</v>
      </c>
      <c r="T24" s="282"/>
    </row>
    <row r="25" s="198" customFormat="1" spans="1:20">
      <c r="A25" s="400"/>
      <c r="C25" s="196" t="s">
        <v>1271</v>
      </c>
      <c r="D25" s="327" t="s">
        <v>188</v>
      </c>
      <c r="E25" s="196">
        <v>188</v>
      </c>
      <c r="F25" s="196">
        <f>_xlfn.XLOOKUP(D25,价值表!$C:$C,价值表!$F:$F)*E25</f>
        <v>188</v>
      </c>
      <c r="H25" s="401"/>
      <c r="I25" s="414" t="s">
        <v>1272</v>
      </c>
      <c r="J25" s="361" t="s">
        <v>1264</v>
      </c>
      <c r="K25" s="361" t="s">
        <v>213</v>
      </c>
      <c r="L25" s="361">
        <v>20</v>
      </c>
      <c r="M25" s="415"/>
      <c r="N25" s="361" t="s">
        <v>217</v>
      </c>
      <c r="O25" s="361">
        <v>1</v>
      </c>
      <c r="P25" s="401"/>
      <c r="Q25" s="401"/>
      <c r="R25" s="408" t="s">
        <v>1273</v>
      </c>
      <c r="S25" s="404" t="s">
        <v>1274</v>
      </c>
      <c r="T25" s="282"/>
    </row>
    <row r="26" s="198" customFormat="1" spans="1:20">
      <c r="A26" s="400"/>
      <c r="C26" s="196" t="s">
        <v>1275</v>
      </c>
      <c r="D26" s="327" t="s">
        <v>213</v>
      </c>
      <c r="E26" s="196">
        <v>10</v>
      </c>
      <c r="F26" s="196">
        <f>_xlfn.XLOOKUP(D26,价值表!$C:$C,价值表!$F:$F)*E26</f>
        <v>300</v>
      </c>
      <c r="H26" s="196" t="s">
        <v>1276</v>
      </c>
      <c r="I26" s="414" t="s">
        <v>1277</v>
      </c>
      <c r="J26" s="361" t="s">
        <v>1278</v>
      </c>
      <c r="K26" s="250" t="s">
        <v>213</v>
      </c>
      <c r="L26" s="250">
        <v>5</v>
      </c>
      <c r="M26" s="415">
        <v>150</v>
      </c>
      <c r="N26" s="416"/>
      <c r="O26" s="416"/>
      <c r="P26" s="401"/>
      <c r="Q26" s="198">
        <v>150</v>
      </c>
      <c r="R26" s="282"/>
      <c r="S26" s="282"/>
      <c r="T26" s="282"/>
    </row>
    <row r="27" s="198" customFormat="1" spans="1:20">
      <c r="A27" s="400"/>
      <c r="C27" s="208" t="s">
        <v>1279</v>
      </c>
      <c r="D27" s="417" t="s">
        <v>306</v>
      </c>
      <c r="E27" s="208">
        <v>3</v>
      </c>
      <c r="F27" s="196">
        <f>_xlfn.XLOOKUP(D27,价值表!$C:$C,价值表!$F:$F)*E27</f>
        <v>300</v>
      </c>
      <c r="H27" s="196"/>
      <c r="I27" s="414" t="s">
        <v>1280</v>
      </c>
      <c r="J27" s="361" t="s">
        <v>1278</v>
      </c>
      <c r="K27" s="418" t="s">
        <v>1281</v>
      </c>
      <c r="L27" s="418">
        <v>1</v>
      </c>
      <c r="M27" s="415"/>
      <c r="N27" s="418" t="s">
        <v>1282</v>
      </c>
      <c r="O27" s="418">
        <v>1</v>
      </c>
      <c r="P27" s="401"/>
      <c r="Q27" s="198">
        <v>0</v>
      </c>
      <c r="R27" s="282"/>
      <c r="S27" s="282"/>
      <c r="T27" s="282"/>
    </row>
    <row r="28" s="198" customFormat="1" spans="1:20">
      <c r="A28" s="400"/>
      <c r="C28" s="196" t="s">
        <v>1283</v>
      </c>
      <c r="D28" s="327" t="s">
        <v>265</v>
      </c>
      <c r="E28" s="196">
        <v>6</v>
      </c>
      <c r="F28" s="196">
        <f>_xlfn.XLOOKUP(D28,价值表!$C:$C,价值表!$F:$F)*E28</f>
        <v>360</v>
      </c>
      <c r="H28" s="196"/>
      <c r="I28" s="414" t="s">
        <v>1284</v>
      </c>
      <c r="J28" s="361" t="s">
        <v>1278</v>
      </c>
      <c r="K28" s="361" t="s">
        <v>306</v>
      </c>
      <c r="L28" s="361">
        <v>2</v>
      </c>
      <c r="M28" s="415">
        <v>120</v>
      </c>
      <c r="N28" s="361" t="s">
        <v>195</v>
      </c>
      <c r="O28" s="361">
        <v>1000</v>
      </c>
      <c r="P28" s="196">
        <v>50</v>
      </c>
      <c r="Q28" s="198">
        <v>170</v>
      </c>
      <c r="R28" s="282"/>
      <c r="S28" s="282"/>
      <c r="T28" s="282"/>
    </row>
    <row r="29" s="198" customFormat="1" spans="1:20">
      <c r="A29" s="400"/>
      <c r="C29" s="196" t="s">
        <v>1285</v>
      </c>
      <c r="D29" s="327" t="s">
        <v>261</v>
      </c>
      <c r="E29" s="196">
        <v>1</v>
      </c>
      <c r="F29" s="196">
        <f>_xlfn.XLOOKUP(D29,价值表!$C:$C,价值表!$F:$F)*E29</f>
        <v>280</v>
      </c>
      <c r="H29" s="196"/>
      <c r="I29" s="414" t="s">
        <v>1286</v>
      </c>
      <c r="J29" s="361" t="s">
        <v>1278</v>
      </c>
      <c r="K29" s="418" t="s">
        <v>1287</v>
      </c>
      <c r="L29" s="418">
        <v>1</v>
      </c>
      <c r="M29" s="415">
        <v>180</v>
      </c>
      <c r="N29" s="361" t="s">
        <v>195</v>
      </c>
      <c r="O29" s="361">
        <v>1000</v>
      </c>
      <c r="P29" s="196">
        <v>50</v>
      </c>
      <c r="Q29" s="198">
        <v>230</v>
      </c>
      <c r="R29" s="282"/>
      <c r="S29" s="282"/>
      <c r="T29" s="282"/>
    </row>
    <row r="30" s="198" customFormat="1" spans="1:20">
      <c r="A30" s="400"/>
      <c r="C30" s="208" t="s">
        <v>1288</v>
      </c>
      <c r="D30" s="417" t="s">
        <v>306</v>
      </c>
      <c r="E30" s="208">
        <v>2</v>
      </c>
      <c r="F30" s="196">
        <f>_xlfn.XLOOKUP(D30,价值表!$C:$C,价值表!$F:$F)*E30</f>
        <v>200</v>
      </c>
      <c r="H30" s="196" t="s">
        <v>1289</v>
      </c>
      <c r="I30" s="414" t="s">
        <v>1280</v>
      </c>
      <c r="J30" s="361" t="s">
        <v>1278</v>
      </c>
      <c r="K30" s="364" t="s">
        <v>1290</v>
      </c>
      <c r="L30" s="364">
        <v>1</v>
      </c>
      <c r="M30" s="415"/>
      <c r="N30" s="361" t="s">
        <v>258</v>
      </c>
      <c r="O30" s="361">
        <v>5</v>
      </c>
      <c r="P30" s="401"/>
      <c r="Q30" s="401"/>
      <c r="R30" s="282"/>
      <c r="S30" s="282"/>
      <c r="T30" s="282"/>
    </row>
    <row r="31" s="198" customFormat="1" spans="1:20">
      <c r="A31" s="400"/>
      <c r="B31" s="198" t="s">
        <v>1291</v>
      </c>
      <c r="C31" s="196" t="s">
        <v>1292</v>
      </c>
      <c r="D31" s="327" t="s">
        <v>227</v>
      </c>
      <c r="E31" s="196">
        <v>1</v>
      </c>
      <c r="F31" s="196">
        <f>_xlfn.XLOOKUP(D31,价值表!$C:$C,价值表!$F:$F)*E31</f>
        <v>480</v>
      </c>
      <c r="H31" s="196"/>
      <c r="I31" s="414" t="s">
        <v>1284</v>
      </c>
      <c r="J31" s="361" t="s">
        <v>1278</v>
      </c>
      <c r="K31" s="361" t="s">
        <v>306</v>
      </c>
      <c r="L31" s="361">
        <v>2</v>
      </c>
      <c r="M31" s="415"/>
      <c r="N31" s="361" t="s">
        <v>195</v>
      </c>
      <c r="O31" s="361">
        <v>1000</v>
      </c>
      <c r="P31" s="401"/>
      <c r="Q31" s="401"/>
      <c r="R31" s="282"/>
      <c r="S31" s="282"/>
      <c r="T31" s="282"/>
    </row>
    <row r="32" s="198" customFormat="1" spans="1:20">
      <c r="A32" s="400"/>
      <c r="C32" s="196" t="s">
        <v>1293</v>
      </c>
      <c r="D32" s="327" t="s">
        <v>208</v>
      </c>
      <c r="E32" s="196">
        <v>200</v>
      </c>
      <c r="F32" s="196">
        <f>_xlfn.XLOOKUP(D32,价值表!$C:$C,价值表!$F:$F)*E32</f>
        <v>400</v>
      </c>
      <c r="H32" s="196"/>
      <c r="I32" s="414" t="s">
        <v>1286</v>
      </c>
      <c r="J32" s="361" t="s">
        <v>1278</v>
      </c>
      <c r="K32" s="364" t="s">
        <v>306</v>
      </c>
      <c r="L32" s="364">
        <v>3</v>
      </c>
      <c r="M32" s="415"/>
      <c r="N32" s="361" t="s">
        <v>195</v>
      </c>
      <c r="O32" s="361">
        <v>1000</v>
      </c>
      <c r="P32" s="401"/>
      <c r="Q32" s="401"/>
      <c r="R32" s="282"/>
      <c r="S32" s="282"/>
      <c r="T32" s="282"/>
    </row>
    <row r="33" s="198" customFormat="1" spans="1:20">
      <c r="A33" s="400"/>
      <c r="C33" s="196" t="s">
        <v>1294</v>
      </c>
      <c r="D33" s="417" t="s">
        <v>306</v>
      </c>
      <c r="E33" s="208">
        <v>3</v>
      </c>
      <c r="F33" s="196">
        <f>_xlfn.XLOOKUP(D33,价值表!$C:$C,价值表!$F:$F)*E33</f>
        <v>300</v>
      </c>
      <c r="H33" s="196" t="s">
        <v>1295</v>
      </c>
      <c r="I33" s="414" t="s">
        <v>1280</v>
      </c>
      <c r="J33" s="361" t="s">
        <v>1278</v>
      </c>
      <c r="K33" s="364" t="s">
        <v>1296</v>
      </c>
      <c r="L33" s="364">
        <v>1</v>
      </c>
      <c r="M33" s="415"/>
      <c r="N33" s="361" t="s">
        <v>258</v>
      </c>
      <c r="O33" s="361">
        <v>5</v>
      </c>
      <c r="P33" s="401"/>
      <c r="Q33" s="401"/>
      <c r="R33" s="282"/>
      <c r="S33" s="282"/>
      <c r="T33" s="282"/>
    </row>
    <row r="34" s="198" customFormat="1" spans="1:20">
      <c r="A34" s="400"/>
      <c r="C34" s="196" t="s">
        <v>1297</v>
      </c>
      <c r="D34" s="417" t="s">
        <v>213</v>
      </c>
      <c r="E34" s="208">
        <v>10</v>
      </c>
      <c r="F34" s="196">
        <f>_xlfn.XLOOKUP(D34,价值表!$C:$C,价值表!$F:$F)*E34</f>
        <v>300</v>
      </c>
      <c r="H34" s="196"/>
      <c r="I34" s="414" t="s">
        <v>1284</v>
      </c>
      <c r="J34" s="361" t="s">
        <v>1278</v>
      </c>
      <c r="K34" s="361" t="s">
        <v>306</v>
      </c>
      <c r="L34" s="361">
        <v>5</v>
      </c>
      <c r="M34" s="415"/>
      <c r="N34" s="361" t="s">
        <v>195</v>
      </c>
      <c r="O34" s="361">
        <v>1000</v>
      </c>
      <c r="P34" s="401"/>
      <c r="Q34" s="401"/>
      <c r="R34" s="282"/>
      <c r="S34" s="282"/>
      <c r="T34" s="282"/>
    </row>
    <row r="35" s="198" customFormat="1" spans="1:20">
      <c r="A35" s="400"/>
      <c r="C35" s="196" t="s">
        <v>1298</v>
      </c>
      <c r="D35" s="327" t="s">
        <v>195</v>
      </c>
      <c r="E35" s="196">
        <v>5000</v>
      </c>
      <c r="F35" s="196">
        <f>_xlfn.XLOOKUP(D35,价值表!$C:$C,价值表!$F:$F)*E35</f>
        <v>250</v>
      </c>
      <c r="H35" s="196"/>
      <c r="I35" s="414" t="s">
        <v>1286</v>
      </c>
      <c r="J35" s="361" t="s">
        <v>1278</v>
      </c>
      <c r="K35" s="364" t="s">
        <v>1299</v>
      </c>
      <c r="L35" s="364">
        <v>1</v>
      </c>
      <c r="M35" s="415"/>
      <c r="N35" s="361" t="s">
        <v>261</v>
      </c>
      <c r="O35" s="361">
        <v>2</v>
      </c>
      <c r="P35" s="401"/>
      <c r="Q35" s="401"/>
      <c r="R35" s="282"/>
      <c r="S35" s="282"/>
      <c r="T35" s="282"/>
    </row>
    <row r="36" s="198" customFormat="1" spans="1:20">
      <c r="A36" s="400"/>
      <c r="C36" s="196" t="s">
        <v>1300</v>
      </c>
      <c r="D36" s="327" t="s">
        <v>265</v>
      </c>
      <c r="E36" s="196">
        <v>6</v>
      </c>
      <c r="F36" s="196">
        <f>_xlfn.XLOOKUP(D36,价值表!$C:$C,价值表!$F:$F)*E36</f>
        <v>360</v>
      </c>
      <c r="H36" s="198" t="s">
        <v>1301</v>
      </c>
      <c r="I36" s="361" t="s">
        <v>1248</v>
      </c>
      <c r="J36" s="361" t="s">
        <v>1302</v>
      </c>
      <c r="K36" s="361" t="s">
        <v>193</v>
      </c>
      <c r="L36" s="361">
        <v>20</v>
      </c>
      <c r="M36" s="196">
        <v>40</v>
      </c>
      <c r="N36" s="401"/>
      <c r="O36" s="401"/>
      <c r="P36" s="401"/>
      <c r="Q36" s="401"/>
      <c r="R36" s="408" t="s">
        <v>1303</v>
      </c>
      <c r="S36" s="404" t="s">
        <v>1304</v>
      </c>
      <c r="T36" s="282"/>
    </row>
    <row r="37" s="198" customFormat="1" spans="1:20">
      <c r="A37" s="400"/>
      <c r="C37" s="196" t="s">
        <v>1305</v>
      </c>
      <c r="D37" s="327" t="s">
        <v>261</v>
      </c>
      <c r="E37" s="196">
        <v>2</v>
      </c>
      <c r="F37" s="196">
        <f>_xlfn.XLOOKUP(D37,价值表!$C:$C,价值表!$F:$F)*E37</f>
        <v>560</v>
      </c>
      <c r="H37" s="207"/>
      <c r="I37" s="361" t="s">
        <v>1267</v>
      </c>
      <c r="J37" s="361" t="s">
        <v>1302</v>
      </c>
      <c r="K37" s="361" t="s">
        <v>213</v>
      </c>
      <c r="L37" s="361">
        <v>5</v>
      </c>
      <c r="M37" s="196">
        <v>150</v>
      </c>
      <c r="N37" s="401"/>
      <c r="O37" s="401"/>
      <c r="P37" s="401"/>
      <c r="Q37" s="401"/>
      <c r="R37" s="408" t="s">
        <v>1306</v>
      </c>
      <c r="S37" s="404" t="s">
        <v>1307</v>
      </c>
      <c r="T37" s="282"/>
    </row>
    <row r="38" s="198" customFormat="1" spans="1:20">
      <c r="A38" s="400"/>
      <c r="B38" s="198" t="s">
        <v>1308</v>
      </c>
      <c r="C38" s="196" t="s">
        <v>1309</v>
      </c>
      <c r="D38" s="417" t="s">
        <v>1310</v>
      </c>
      <c r="E38" s="208">
        <v>1</v>
      </c>
      <c r="F38" s="196" t="e">
        <f>_xlfn.XLOOKUP(D38,价值表!$C:$C,价值表!$F:$F)*E38</f>
        <v>#N/A</v>
      </c>
      <c r="H38" s="198" t="s">
        <v>1311</v>
      </c>
      <c r="I38" s="361" t="s">
        <v>1292</v>
      </c>
      <c r="J38" s="361" t="s">
        <v>1302</v>
      </c>
      <c r="K38" s="361" t="s">
        <v>306</v>
      </c>
      <c r="L38" s="361">
        <v>2</v>
      </c>
      <c r="M38" s="196">
        <v>120</v>
      </c>
      <c r="N38" s="401"/>
      <c r="O38" s="401"/>
      <c r="P38" s="401"/>
      <c r="Q38" s="401"/>
      <c r="R38" s="408" t="s">
        <v>1312</v>
      </c>
      <c r="S38" s="404" t="s">
        <v>1313</v>
      </c>
      <c r="T38" s="282"/>
    </row>
    <row r="39" s="198" customFormat="1" spans="1:20">
      <c r="A39" s="400"/>
      <c r="C39" s="196" t="s">
        <v>1314</v>
      </c>
      <c r="D39" s="327" t="s">
        <v>188</v>
      </c>
      <c r="E39" s="196">
        <v>188</v>
      </c>
      <c r="F39" s="196">
        <f>_xlfn.XLOOKUP(D39,价值表!$C:$C,价值表!$F:$F)*E39</f>
        <v>188</v>
      </c>
      <c r="H39" s="401"/>
      <c r="I39" s="361" t="s">
        <v>1300</v>
      </c>
      <c r="J39" s="361" t="s">
        <v>1302</v>
      </c>
      <c r="K39" s="361" t="s">
        <v>261</v>
      </c>
      <c r="L39" s="361">
        <v>1</v>
      </c>
      <c r="M39" s="196">
        <v>280</v>
      </c>
      <c r="N39" s="401"/>
      <c r="O39" s="401"/>
      <c r="P39" s="401"/>
      <c r="Q39" s="401"/>
      <c r="R39" s="408" t="s">
        <v>1315</v>
      </c>
      <c r="S39" s="404" t="s">
        <v>1316</v>
      </c>
      <c r="T39" s="282"/>
    </row>
    <row r="40" s="198" customFormat="1" spans="1:20">
      <c r="A40" s="400"/>
      <c r="C40" s="196" t="s">
        <v>1317</v>
      </c>
      <c r="D40" s="327" t="s">
        <v>258</v>
      </c>
      <c r="E40" s="196">
        <v>10</v>
      </c>
      <c r="F40" s="196">
        <f>_xlfn.XLOOKUP(D40,价值表!$C:$C,价值表!$F:$F)*E40</f>
        <v>500</v>
      </c>
      <c r="H40" s="401"/>
      <c r="I40" s="361" t="s">
        <v>1318</v>
      </c>
      <c r="J40" s="361" t="s">
        <v>1302</v>
      </c>
      <c r="K40" s="361" t="s">
        <v>265</v>
      </c>
      <c r="L40" s="361">
        <v>6</v>
      </c>
      <c r="M40" s="196">
        <v>360</v>
      </c>
      <c r="N40" s="401"/>
      <c r="O40" s="401"/>
      <c r="P40" s="401"/>
      <c r="Q40" s="401"/>
      <c r="R40" s="408" t="s">
        <v>1319</v>
      </c>
      <c r="S40" s="404" t="s">
        <v>1320</v>
      </c>
      <c r="T40" s="282"/>
    </row>
    <row r="41" s="198" customFormat="1" spans="1:20">
      <c r="A41" s="400"/>
      <c r="C41" s="196" t="s">
        <v>1321</v>
      </c>
      <c r="D41" s="327" t="s">
        <v>193</v>
      </c>
      <c r="E41" s="196">
        <v>60</v>
      </c>
      <c r="F41" s="196">
        <f>_xlfn.XLOOKUP(D41,价值表!$C:$C,价值表!$F:$F)*E41</f>
        <v>120</v>
      </c>
    </row>
    <row r="42" s="198" customFormat="1" spans="1:20">
      <c r="A42" s="400"/>
      <c r="C42" s="196" t="s">
        <v>1322</v>
      </c>
      <c r="D42" s="327" t="s">
        <v>265</v>
      </c>
      <c r="E42" s="196">
        <v>6</v>
      </c>
      <c r="F42" s="196">
        <f>_xlfn.XLOOKUP(D42,价值表!$C:$C,价值表!$F:$F)*E42</f>
        <v>360</v>
      </c>
    </row>
    <row r="43" s="198" customFormat="1" spans="1:20">
      <c r="A43" s="400"/>
      <c r="C43" s="196" t="s">
        <v>1323</v>
      </c>
      <c r="D43" s="327" t="s">
        <v>261</v>
      </c>
      <c r="E43" s="196">
        <v>3</v>
      </c>
      <c r="F43" s="196">
        <f>_xlfn.XLOOKUP(D43,价值表!$C:$C,价值表!$F:$F)*E43</f>
        <v>840</v>
      </c>
    </row>
    <row r="44" s="198" customFormat="1" spans="1:20">
      <c r="A44" s="400"/>
      <c r="C44" s="196" t="s">
        <v>1324</v>
      </c>
      <c r="D44" s="327" t="s">
        <v>237</v>
      </c>
      <c r="E44" s="196">
        <v>900</v>
      </c>
      <c r="F44" s="196">
        <f>_xlfn.XLOOKUP(D44,价值表!$C:$C,价值表!$F:$F)*E44</f>
        <v>297</v>
      </c>
    </row>
    <row r="45" s="198" customFormat="1" spans="1:20">
      <c r="A45" s="400"/>
      <c r="B45" s="198" t="s">
        <v>1325</v>
      </c>
      <c r="C45" s="196" t="s">
        <v>1318</v>
      </c>
      <c r="D45" s="327" t="s">
        <v>227</v>
      </c>
      <c r="E45" s="196">
        <v>1</v>
      </c>
      <c r="F45" s="196">
        <f>_xlfn.XLOOKUP(D45,价值表!$C:$C,价值表!$F:$F)*E45</f>
        <v>480</v>
      </c>
    </row>
    <row r="48" s="198" customFormat="1" spans="1:20">
      <c r="A48" s="400"/>
      <c r="C48" s="198" t="s">
        <v>1326</v>
      </c>
    </row>
    <row r="49" s="198" customFormat="1" spans="1:26">
      <c r="A49" s="400"/>
      <c r="C49" s="202" t="s">
        <v>21</v>
      </c>
      <c r="D49" s="202" t="s">
        <v>1158</v>
      </c>
      <c r="E49" s="202" t="s">
        <v>1327</v>
      </c>
    </row>
    <row r="50" s="198" customFormat="1" spans="1:26">
      <c r="A50" s="400"/>
      <c r="C50" s="196" t="s">
        <v>1328</v>
      </c>
      <c r="D50" s="196">
        <v>330</v>
      </c>
      <c r="E50" s="210">
        <f t="shared" ref="E50:E55" si="0">D50/$D$56</f>
        <v>0.33</v>
      </c>
    </row>
    <row r="51" s="198" customFormat="1" spans="1:26">
      <c r="A51" s="400"/>
      <c r="C51" s="196" t="s">
        <v>1168</v>
      </c>
      <c r="D51" s="196">
        <v>330</v>
      </c>
      <c r="E51" s="210">
        <f t="shared" si="0"/>
        <v>0.33</v>
      </c>
    </row>
    <row r="52" s="198" customFormat="1" spans="1:26">
      <c r="A52" s="400"/>
      <c r="C52" s="196" t="s">
        <v>1329</v>
      </c>
      <c r="D52" s="196">
        <v>190</v>
      </c>
      <c r="E52" s="210">
        <f t="shared" si="0"/>
        <v>0.19</v>
      </c>
    </row>
    <row r="53" s="198" customFormat="1" spans="1:26">
      <c r="A53" s="400"/>
      <c r="C53" s="196" t="s">
        <v>489</v>
      </c>
      <c r="D53" s="196">
        <v>50</v>
      </c>
      <c r="E53" s="210">
        <f t="shared" si="0"/>
        <v>0.05</v>
      </c>
    </row>
    <row r="54" s="198" customFormat="1" spans="1:26">
      <c r="A54" s="400"/>
      <c r="C54" s="196" t="s">
        <v>1330</v>
      </c>
      <c r="D54" s="196">
        <v>50</v>
      </c>
      <c r="E54" s="210">
        <f t="shared" si="0"/>
        <v>0.05</v>
      </c>
    </row>
    <row r="55" s="198" customFormat="1" spans="1:26">
      <c r="A55" s="400"/>
      <c r="C55" s="196" t="s">
        <v>31</v>
      </c>
      <c r="D55" s="196">
        <v>50</v>
      </c>
      <c r="E55" s="210">
        <f t="shared" si="0"/>
        <v>0.05</v>
      </c>
    </row>
    <row r="56" s="198" customFormat="1" spans="1:26">
      <c r="A56" s="400"/>
      <c r="D56" s="198">
        <f>SUM(D50:D55)</f>
        <v>1000</v>
      </c>
    </row>
    <row r="58" spans="1:26">
      <c r="A58" s="400" t="s">
        <v>1331</v>
      </c>
    </row>
    <row r="59" spans="1:26">
      <c r="A59" s="419"/>
      <c r="B59" s="420" t="s">
        <v>1332</v>
      </c>
      <c r="C59" s="420"/>
      <c r="D59" s="420"/>
      <c r="E59" s="420"/>
      <c r="F59" s="420"/>
      <c r="G59" s="420"/>
      <c r="H59" s="420"/>
      <c r="I59" s="420"/>
      <c r="J59" s="420"/>
      <c r="K59" s="420"/>
      <c r="L59" s="420"/>
      <c r="M59" s="420"/>
      <c r="N59" s="420"/>
      <c r="O59" s="420"/>
      <c r="P59" s="420"/>
      <c r="Q59" s="420"/>
      <c r="R59" s="420"/>
      <c r="S59" s="420"/>
      <c r="T59" s="420"/>
      <c r="U59" s="420"/>
      <c r="V59" s="420"/>
      <c r="W59" s="420"/>
      <c r="X59" s="420"/>
      <c r="Y59" s="420"/>
      <c r="Z59" s="420"/>
    </row>
    <row r="60" spans="1:26">
      <c r="A60" s="419"/>
      <c r="B60" s="420"/>
      <c r="C60" s="421" t="s">
        <v>1333</v>
      </c>
      <c r="D60" s="420"/>
      <c r="E60" s="420"/>
      <c r="F60" s="420"/>
      <c r="G60" s="420"/>
      <c r="H60" s="420"/>
      <c r="I60" s="420"/>
      <c r="J60" s="420"/>
      <c r="K60" s="420"/>
      <c r="L60" s="420"/>
      <c r="M60" s="420"/>
      <c r="N60" s="420"/>
      <c r="O60" s="420"/>
      <c r="P60" s="420"/>
      <c r="Q60" s="420"/>
      <c r="R60" s="420" t="s">
        <v>1334</v>
      </c>
      <c r="S60" s="420"/>
      <c r="T60" s="420" t="s">
        <v>1335</v>
      </c>
      <c r="U60" s="421" t="s">
        <v>1336</v>
      </c>
      <c r="V60" s="420"/>
      <c r="W60" s="420" t="s">
        <v>1337</v>
      </c>
      <c r="X60" s="420"/>
      <c r="Y60" s="420"/>
      <c r="Z60" s="420"/>
    </row>
    <row r="61" spans="1:26">
      <c r="A61" s="419"/>
      <c r="B61" s="420"/>
      <c r="C61" s="422" t="s">
        <v>613</v>
      </c>
      <c r="D61" s="422" t="s">
        <v>1338</v>
      </c>
      <c r="E61" s="422" t="s">
        <v>1339</v>
      </c>
      <c r="F61" s="422" t="s">
        <v>1340</v>
      </c>
      <c r="G61" s="420"/>
      <c r="H61" s="422" t="s">
        <v>1339</v>
      </c>
      <c r="I61" s="422" t="s">
        <v>1340</v>
      </c>
      <c r="J61" s="420"/>
      <c r="K61" s="420"/>
      <c r="L61" s="420"/>
      <c r="M61" s="420"/>
      <c r="N61" s="420"/>
      <c r="O61" s="420"/>
      <c r="P61" s="420"/>
      <c r="Q61" s="420"/>
      <c r="R61" s="420" t="s">
        <v>1341</v>
      </c>
      <c r="S61" s="420"/>
      <c r="T61" s="420" t="s">
        <v>1335</v>
      </c>
      <c r="U61" s="421" t="s">
        <v>1336</v>
      </c>
      <c r="V61" s="420"/>
      <c r="W61" s="420" t="s">
        <v>1337</v>
      </c>
      <c r="X61" s="420"/>
      <c r="Y61" s="420"/>
      <c r="Z61" s="420"/>
    </row>
    <row r="62" spans="1:26">
      <c r="A62" s="419"/>
      <c r="B62" s="420"/>
      <c r="C62" s="423" t="s">
        <v>1342</v>
      </c>
      <c r="D62" s="423">
        <v>2</v>
      </c>
      <c r="E62" s="423">
        <v>128</v>
      </c>
      <c r="F62" s="423">
        <v>240</v>
      </c>
      <c r="G62" s="420"/>
      <c r="H62" s="423">
        <v>64</v>
      </c>
      <c r="I62" s="423">
        <v>120</v>
      </c>
      <c r="J62" s="420"/>
      <c r="K62" s="420"/>
      <c r="L62" s="420">
        <v>50</v>
      </c>
      <c r="M62" s="420">
        <v>75</v>
      </c>
      <c r="N62" s="420"/>
      <c r="O62" s="420"/>
      <c r="P62" s="420"/>
      <c r="Q62" s="420"/>
      <c r="R62" s="420"/>
      <c r="S62" s="420"/>
      <c r="T62" s="420"/>
      <c r="U62" s="420"/>
      <c r="V62" s="420"/>
      <c r="W62" s="420"/>
      <c r="X62" s="420"/>
      <c r="Y62" s="420"/>
      <c r="Z62" s="420"/>
    </row>
    <row r="63" spans="1:26">
      <c r="A63" s="419"/>
      <c r="B63" s="420"/>
      <c r="C63" s="423" t="s">
        <v>1343</v>
      </c>
      <c r="D63" s="423">
        <v>3</v>
      </c>
      <c r="E63" s="423">
        <v>51</v>
      </c>
      <c r="F63" s="423">
        <v>90</v>
      </c>
      <c r="G63" s="420"/>
      <c r="H63" s="423">
        <v>17</v>
      </c>
      <c r="I63" s="423">
        <v>30</v>
      </c>
      <c r="J63" s="420"/>
      <c r="K63" s="420"/>
      <c r="L63" s="420">
        <v>30</v>
      </c>
      <c r="M63" s="420" t="s">
        <v>1344</v>
      </c>
      <c r="N63" s="420"/>
      <c r="O63" s="420"/>
      <c r="P63" s="420"/>
      <c r="Q63" s="420"/>
      <c r="R63" s="420"/>
      <c r="S63" s="420"/>
      <c r="T63" s="420"/>
      <c r="U63" s="420"/>
      <c r="V63" s="420"/>
      <c r="W63" s="420"/>
      <c r="X63" s="420"/>
      <c r="Y63" s="420"/>
      <c r="Z63" s="420"/>
    </row>
    <row r="64" spans="1:26">
      <c r="A64" s="419"/>
      <c r="B64" s="420"/>
      <c r="C64" s="423" t="s">
        <v>1345</v>
      </c>
      <c r="D64" s="423">
        <v>5</v>
      </c>
      <c r="E64" s="423">
        <v>30</v>
      </c>
      <c r="F64" s="423">
        <v>60</v>
      </c>
      <c r="G64" s="420"/>
      <c r="H64" s="423">
        <v>6</v>
      </c>
      <c r="I64" s="423">
        <v>12</v>
      </c>
      <c r="J64" s="420"/>
      <c r="K64" s="420"/>
      <c r="L64" s="420"/>
      <c r="M64" s="420"/>
      <c r="N64" s="420"/>
      <c r="O64" s="420"/>
      <c r="P64" s="420"/>
      <c r="Q64" s="420"/>
      <c r="R64" s="420"/>
      <c r="S64" s="420"/>
      <c r="T64" s="420"/>
      <c r="U64" s="420"/>
      <c r="V64" s="420"/>
      <c r="W64" s="420"/>
      <c r="X64" s="420"/>
      <c r="Y64" s="420"/>
      <c r="Z64" s="420"/>
    </row>
    <row r="65" spans="1:26">
      <c r="A65" s="419"/>
      <c r="B65" s="420"/>
      <c r="C65" s="420"/>
      <c r="D65" s="420"/>
      <c r="E65" s="420">
        <v>209</v>
      </c>
      <c r="F65" s="420">
        <v>390</v>
      </c>
      <c r="G65" s="420"/>
      <c r="H65" s="420"/>
      <c r="I65" s="420"/>
      <c r="J65" s="420"/>
      <c r="K65" s="420"/>
      <c r="L65" s="420"/>
      <c r="M65" s="420"/>
      <c r="N65" s="420"/>
      <c r="O65" s="420">
        <v>14</v>
      </c>
      <c r="P65" s="420"/>
      <c r="Q65" s="420"/>
      <c r="R65" s="420" t="s">
        <v>1346</v>
      </c>
      <c r="S65" s="420"/>
      <c r="T65" s="420" t="s">
        <v>1347</v>
      </c>
      <c r="U65" s="420">
        <v>2</v>
      </c>
      <c r="V65" s="421">
        <v>5</v>
      </c>
      <c r="W65" s="420">
        <v>18</v>
      </c>
      <c r="X65" s="420"/>
      <c r="Y65" s="420"/>
      <c r="Z65" s="420"/>
    </row>
    <row r="66" spans="1:26">
      <c r="A66" s="419"/>
      <c r="B66" s="420"/>
      <c r="C66" s="420"/>
      <c r="D66" s="420"/>
      <c r="E66" s="420">
        <v>4702.5</v>
      </c>
      <c r="F66" s="420">
        <v>8775</v>
      </c>
      <c r="G66" s="420"/>
      <c r="H66" s="420"/>
      <c r="I66" s="420"/>
      <c r="J66" s="420"/>
      <c r="K66" s="420"/>
      <c r="L66" s="420"/>
      <c r="M66" s="420"/>
      <c r="N66" s="420"/>
      <c r="O66" s="420"/>
      <c r="P66" s="420"/>
      <c r="Q66" s="420"/>
      <c r="R66" s="420"/>
      <c r="S66" s="420"/>
      <c r="T66" s="420" t="s">
        <v>1348</v>
      </c>
      <c r="U66" s="420">
        <v>10</v>
      </c>
      <c r="V66" s="420"/>
      <c r="W66" s="420"/>
      <c r="X66" s="420"/>
      <c r="Y66" s="420"/>
      <c r="Z66" s="420"/>
    </row>
    <row r="67" spans="1:26">
      <c r="A67" s="419"/>
      <c r="B67" s="420" t="s">
        <v>1349</v>
      </c>
      <c r="C67" s="420"/>
      <c r="D67" s="420"/>
      <c r="E67" s="420"/>
      <c r="F67" s="420"/>
      <c r="G67" s="420"/>
      <c r="H67" s="420"/>
      <c r="I67" s="420"/>
      <c r="J67" s="420"/>
      <c r="K67" s="420"/>
      <c r="L67" s="420"/>
      <c r="M67" s="420"/>
      <c r="N67" s="420"/>
      <c r="O67" s="420"/>
      <c r="P67" s="420"/>
      <c r="Q67" s="420"/>
      <c r="R67" s="420"/>
      <c r="S67" s="420"/>
      <c r="T67" s="420"/>
      <c r="U67" s="420"/>
      <c r="V67" s="420"/>
      <c r="W67" s="420"/>
      <c r="X67" s="420"/>
      <c r="Y67" s="420"/>
      <c r="Z67" s="420"/>
    </row>
    <row r="68" spans="1:26">
      <c r="A68" s="419"/>
      <c r="B68" s="420"/>
      <c r="C68" s="420" t="s">
        <v>1350</v>
      </c>
      <c r="D68" s="420"/>
      <c r="E68" s="420"/>
      <c r="F68" s="420"/>
      <c r="G68" s="420"/>
      <c r="H68" s="420"/>
      <c r="I68" s="420"/>
      <c r="J68" s="420"/>
      <c r="K68" s="420"/>
      <c r="L68" s="420"/>
      <c r="M68" s="420"/>
      <c r="N68" s="420"/>
      <c r="O68" s="420"/>
      <c r="P68" s="420"/>
      <c r="Q68" s="420"/>
      <c r="R68" s="420"/>
      <c r="S68" s="420"/>
      <c r="T68" s="420"/>
      <c r="U68" s="420"/>
      <c r="V68" s="420"/>
      <c r="W68" s="420"/>
      <c r="X68" s="420"/>
      <c r="Y68" s="420"/>
      <c r="Z68" s="420"/>
    </row>
    <row r="69" spans="1:26">
      <c r="A69" s="419"/>
      <c r="B69" s="420"/>
      <c r="C69" s="422" t="s">
        <v>640</v>
      </c>
      <c r="D69" s="422" t="s">
        <v>919</v>
      </c>
      <c r="E69" s="422" t="s">
        <v>922</v>
      </c>
      <c r="F69" s="422" t="s">
        <v>1158</v>
      </c>
      <c r="G69" s="422" t="s">
        <v>1327</v>
      </c>
      <c r="H69" s="420"/>
      <c r="I69" s="420"/>
      <c r="J69" s="424" t="s">
        <v>1351</v>
      </c>
      <c r="K69" s="425"/>
      <c r="L69" s="425"/>
      <c r="M69" s="425"/>
      <c r="N69" s="425"/>
      <c r="O69" s="425"/>
      <c r="P69" s="425"/>
      <c r="Q69" s="425"/>
      <c r="R69" s="420"/>
      <c r="S69" s="420"/>
      <c r="T69" s="420"/>
      <c r="U69" s="420"/>
      <c r="V69" s="420"/>
      <c r="W69" s="420"/>
      <c r="X69" s="420"/>
      <c r="Y69" s="420"/>
      <c r="Z69" s="420"/>
    </row>
    <row r="70" spans="1:26">
      <c r="A70" s="419"/>
      <c r="B70" s="420"/>
      <c r="C70" s="426" t="s">
        <v>195</v>
      </c>
      <c r="D70" s="426">
        <v>200</v>
      </c>
      <c r="E70" s="426">
        <v>10</v>
      </c>
      <c r="F70" s="23">
        <v>220</v>
      </c>
      <c r="G70" s="427">
        <f>F70/SUM($F$70:$F$74)</f>
        <v>0.22</v>
      </c>
      <c r="H70" s="428">
        <v>2</v>
      </c>
      <c r="I70" s="420"/>
      <c r="J70" s="424" t="s">
        <v>1352</v>
      </c>
      <c r="K70" s="425"/>
      <c r="L70" s="425"/>
      <c r="M70" s="425"/>
      <c r="N70" s="425"/>
      <c r="O70" s="425"/>
      <c r="P70" s="425"/>
      <c r="Q70" s="425"/>
      <c r="R70" s="420"/>
      <c r="S70" s="420"/>
      <c r="T70" s="420"/>
      <c r="U70" s="420"/>
      <c r="V70" s="420"/>
      <c r="W70" s="420"/>
      <c r="X70" s="420"/>
      <c r="Y70" s="420"/>
      <c r="Z70" s="420"/>
    </row>
    <row r="71" spans="1:26">
      <c r="A71" s="419"/>
      <c r="B71" s="420"/>
      <c r="C71" s="426" t="s">
        <v>527</v>
      </c>
      <c r="D71" s="426">
        <v>10</v>
      </c>
      <c r="E71" s="426">
        <v>10</v>
      </c>
      <c r="F71" s="23">
        <v>280</v>
      </c>
      <c r="G71" s="427">
        <f>F71/SUM($F$70:$F$74)</f>
        <v>0.28</v>
      </c>
      <c r="H71" s="428">
        <v>2</v>
      </c>
      <c r="I71" s="420"/>
      <c r="J71" s="424" t="s">
        <v>1353</v>
      </c>
      <c r="K71" s="425"/>
      <c r="L71" s="425"/>
      <c r="M71" s="425"/>
      <c r="N71" s="425"/>
      <c r="O71" s="425"/>
      <c r="P71" s="425"/>
      <c r="Q71" s="425"/>
      <c r="R71" s="420"/>
      <c r="S71" s="420"/>
      <c r="T71" s="420"/>
      <c r="U71" s="420"/>
      <c r="V71" s="420"/>
      <c r="W71" s="420"/>
      <c r="X71" s="420"/>
      <c r="Y71" s="420"/>
      <c r="Z71" s="420"/>
    </row>
    <row r="72" spans="1:26">
      <c r="A72" s="419"/>
      <c r="B72" s="420"/>
      <c r="C72" s="426" t="s">
        <v>1254</v>
      </c>
      <c r="D72" s="426">
        <v>10</v>
      </c>
      <c r="E72" s="426">
        <v>10</v>
      </c>
      <c r="F72" s="23">
        <v>200</v>
      </c>
      <c r="G72" s="427">
        <f>F72/SUM($F$70:$F$74)</f>
        <v>0.2</v>
      </c>
      <c r="H72" s="428">
        <v>2</v>
      </c>
      <c r="I72" s="420"/>
      <c r="J72" s="424" t="s">
        <v>1354</v>
      </c>
      <c r="K72" s="425"/>
      <c r="L72" s="425"/>
      <c r="M72" s="425"/>
      <c r="N72" s="425"/>
      <c r="O72" s="425"/>
      <c r="P72" s="425"/>
      <c r="Q72" s="425"/>
      <c r="R72" s="420"/>
      <c r="S72" s="420"/>
      <c r="T72" s="420"/>
      <c r="U72" s="420"/>
      <c r="V72" s="420"/>
      <c r="W72" s="420"/>
      <c r="X72" s="420"/>
      <c r="Y72" s="420"/>
      <c r="Z72" s="420"/>
    </row>
    <row r="73" spans="1:26">
      <c r="A73" s="419"/>
      <c r="B73" s="429"/>
      <c r="C73" s="426" t="s">
        <v>213</v>
      </c>
      <c r="D73" s="426">
        <v>1</v>
      </c>
      <c r="E73" s="426">
        <v>30</v>
      </c>
      <c r="F73" s="23">
        <v>150</v>
      </c>
      <c r="G73" s="427">
        <f>F73/SUM($F$70:$F$74)</f>
        <v>0.15</v>
      </c>
      <c r="H73" s="428">
        <v>5.3</v>
      </c>
      <c r="I73" s="420"/>
      <c r="J73" s="424" t="s">
        <v>1355</v>
      </c>
      <c r="K73" s="425"/>
      <c r="L73" s="425"/>
      <c r="M73" s="425"/>
      <c r="N73" s="425"/>
      <c r="O73" s="425"/>
      <c r="P73" s="425"/>
      <c r="Q73" s="425"/>
      <c r="R73" s="420"/>
      <c r="S73" s="420"/>
      <c r="T73" s="420" t="s">
        <v>1356</v>
      </c>
      <c r="U73" s="420"/>
      <c r="V73" s="420"/>
      <c r="W73" s="420"/>
      <c r="X73" s="420"/>
      <c r="Y73" s="420"/>
      <c r="Z73" s="420"/>
    </row>
    <row r="74" spans="1:26">
      <c r="A74" s="419"/>
      <c r="B74" s="420"/>
      <c r="C74" s="426" t="s">
        <v>258</v>
      </c>
      <c r="D74" s="426">
        <v>1</v>
      </c>
      <c r="E74" s="426">
        <v>50</v>
      </c>
      <c r="F74" s="23">
        <v>150</v>
      </c>
      <c r="G74" s="427">
        <f>F74/SUM($F$70:$F$74)</f>
        <v>0.15</v>
      </c>
      <c r="H74" s="428">
        <v>11.3</v>
      </c>
      <c r="I74" s="420"/>
      <c r="J74" s="420"/>
      <c r="K74" s="420"/>
      <c r="L74" s="420"/>
      <c r="M74" s="420"/>
      <c r="N74" s="420"/>
      <c r="O74" s="420"/>
      <c r="P74" s="420"/>
      <c r="Q74" s="420"/>
      <c r="R74" s="420"/>
      <c r="S74" s="420"/>
      <c r="T74" s="420"/>
      <c r="U74" s="420"/>
      <c r="V74" s="420"/>
      <c r="W74" s="420"/>
      <c r="X74" s="420"/>
      <c r="Y74" s="420"/>
      <c r="Z74" s="420"/>
    </row>
    <row r="75" spans="1:26">
      <c r="A75" s="419"/>
      <c r="B75" s="420"/>
      <c r="C75" s="420"/>
      <c r="D75" s="420"/>
      <c r="E75" s="420"/>
      <c r="F75" s="420">
        <v>1000</v>
      </c>
      <c r="G75" s="420"/>
      <c r="H75" s="428">
        <v>22.5</v>
      </c>
      <c r="I75" s="420"/>
      <c r="J75" s="420"/>
      <c r="K75" s="420"/>
      <c r="L75" s="420"/>
      <c r="M75" s="420"/>
      <c r="N75" s="420"/>
      <c r="O75" s="420"/>
      <c r="P75" s="420"/>
      <c r="Q75" s="420"/>
      <c r="R75" s="420"/>
      <c r="S75" s="420"/>
      <c r="T75" s="420"/>
      <c r="U75" s="420"/>
      <c r="V75" s="420"/>
      <c r="W75" s="420"/>
      <c r="X75" s="420"/>
      <c r="Y75" s="420"/>
      <c r="Z75" s="420"/>
    </row>
    <row r="76" spans="1:26">
      <c r="A76" s="419"/>
      <c r="B76" s="420"/>
      <c r="C76" s="420"/>
      <c r="D76" s="420"/>
      <c r="E76" s="420"/>
      <c r="F76" s="420"/>
      <c r="G76" s="420"/>
      <c r="H76" s="420"/>
      <c r="I76" s="420"/>
      <c r="J76" s="420"/>
      <c r="K76" s="420"/>
      <c r="L76" s="420"/>
      <c r="M76" s="420"/>
      <c r="N76" s="420"/>
      <c r="O76" s="420"/>
      <c r="P76" s="420"/>
      <c r="Q76" s="420"/>
      <c r="R76" s="420"/>
      <c r="S76" s="420"/>
      <c r="T76" s="424" t="s">
        <v>1357</v>
      </c>
      <c r="U76" s="420"/>
      <c r="V76" s="420"/>
      <c r="W76" s="430" t="s">
        <v>1358</v>
      </c>
      <c r="X76" s="420"/>
      <c r="Y76" s="420"/>
      <c r="Z76" s="420"/>
    </row>
    <row r="77" spans="1:26">
      <c r="A77" s="419"/>
      <c r="B77" s="420"/>
      <c r="C77" s="420"/>
      <c r="D77" s="420"/>
      <c r="E77" s="420"/>
      <c r="F77" s="420"/>
      <c r="G77" s="420"/>
      <c r="H77" s="420"/>
      <c r="I77" s="420"/>
      <c r="J77" s="420"/>
      <c r="K77" s="420"/>
      <c r="L77" s="420"/>
      <c r="M77" s="420"/>
      <c r="N77" s="420"/>
      <c r="O77" s="420"/>
      <c r="P77" s="420"/>
      <c r="Q77" s="420"/>
      <c r="R77" s="420"/>
      <c r="S77" s="420"/>
      <c r="T77" s="420"/>
      <c r="U77" s="420"/>
      <c r="V77" s="420"/>
      <c r="W77" s="420"/>
      <c r="X77" s="420"/>
      <c r="Y77" s="420"/>
      <c r="Z77" s="420"/>
    </row>
    <row r="78" spans="1:26">
      <c r="A78" s="419"/>
      <c r="B78" s="420"/>
      <c r="C78" s="420"/>
      <c r="D78" s="420"/>
      <c r="E78" s="420"/>
      <c r="F78" s="420"/>
      <c r="G78" s="420"/>
      <c r="H78" s="420"/>
      <c r="I78" s="420"/>
      <c r="J78" s="420"/>
      <c r="K78" s="420">
        <v>52.5</v>
      </c>
      <c r="L78" s="420"/>
      <c r="M78" s="420"/>
      <c r="N78" s="420"/>
      <c r="O78" s="420"/>
      <c r="P78" s="420"/>
      <c r="Q78" s="420"/>
      <c r="R78" s="420"/>
      <c r="S78" s="420"/>
      <c r="T78" s="420" t="s">
        <v>1359</v>
      </c>
      <c r="U78" s="420"/>
      <c r="V78" s="425">
        <v>2</v>
      </c>
      <c r="W78" s="425">
        <v>5</v>
      </c>
      <c r="X78" s="425">
        <v>16</v>
      </c>
      <c r="Y78" s="420"/>
      <c r="Z78" s="420"/>
    </row>
    <row r="79" spans="1:26">
      <c r="A79" s="419"/>
      <c r="B79" s="420" t="s">
        <v>1360</v>
      </c>
      <c r="C79" s="420"/>
      <c r="D79" s="421" t="s">
        <v>1361</v>
      </c>
      <c r="E79" s="420"/>
      <c r="F79" s="420"/>
      <c r="G79" s="420"/>
      <c r="H79" s="420"/>
      <c r="I79" s="420"/>
      <c r="J79" s="420"/>
      <c r="K79" s="420"/>
      <c r="L79" s="420"/>
      <c r="M79" s="420"/>
      <c r="N79" s="420"/>
      <c r="O79" s="420"/>
      <c r="P79" s="420"/>
      <c r="Q79" s="420"/>
      <c r="R79" s="420"/>
      <c r="S79" s="420"/>
      <c r="T79" s="420" t="s">
        <v>1362</v>
      </c>
      <c r="U79" s="420"/>
      <c r="V79" s="425" t="s">
        <v>1363</v>
      </c>
      <c r="W79" s="420"/>
      <c r="X79" s="420"/>
      <c r="Y79" s="420"/>
      <c r="Z79" s="420"/>
    </row>
    <row r="80" spans="1:26">
      <c r="A80" s="419"/>
      <c r="B80" s="420"/>
      <c r="C80" s="422" t="s">
        <v>640</v>
      </c>
      <c r="D80" s="422" t="s">
        <v>919</v>
      </c>
      <c r="E80" s="422" t="s">
        <v>922</v>
      </c>
      <c r="F80" s="422" t="s">
        <v>1158</v>
      </c>
      <c r="G80" s="422" t="s">
        <v>1327</v>
      </c>
      <c r="H80" s="420"/>
      <c r="I80" s="420"/>
      <c r="J80" s="420"/>
      <c r="K80" s="420"/>
      <c r="L80" s="420"/>
      <c r="M80" s="420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420"/>
    </row>
    <row r="81" spans="1:26">
      <c r="A81" s="419"/>
      <c r="B81" s="429" t="s">
        <v>1364</v>
      </c>
      <c r="C81" s="423" t="s">
        <v>306</v>
      </c>
      <c r="D81" s="423">
        <v>1</v>
      </c>
      <c r="E81" s="423">
        <v>60</v>
      </c>
      <c r="F81" s="423">
        <v>175</v>
      </c>
      <c r="G81" s="431">
        <v>1</v>
      </c>
      <c r="H81" s="432">
        <v>60</v>
      </c>
      <c r="I81" s="420"/>
      <c r="J81" s="420"/>
      <c r="K81" s="420"/>
      <c r="L81" s="420"/>
      <c r="M81" s="420"/>
      <c r="N81" s="420"/>
      <c r="O81" s="420"/>
      <c r="P81" s="420"/>
      <c r="Q81" s="420"/>
      <c r="R81" s="420"/>
      <c r="S81" s="420"/>
      <c r="T81" s="420"/>
      <c r="U81" s="420"/>
      <c r="V81" s="420"/>
      <c r="W81" s="420"/>
      <c r="X81" s="420"/>
      <c r="Y81" s="420"/>
      <c r="Z81" s="420"/>
    </row>
    <row r="82" spans="1:26">
      <c r="A82" s="419"/>
      <c r="B82" s="420"/>
      <c r="C82" s="420"/>
      <c r="D82" s="420"/>
      <c r="E82" s="420"/>
      <c r="F82" s="420">
        <v>175</v>
      </c>
      <c r="G82" s="420"/>
      <c r="H82" s="432">
        <v>60</v>
      </c>
      <c r="I82" s="420"/>
      <c r="J82" s="420"/>
      <c r="K82" s="420"/>
      <c r="L82" s="420"/>
      <c r="M82" s="420"/>
      <c r="N82" s="420"/>
      <c r="O82" s="420"/>
      <c r="P82" s="420"/>
      <c r="Q82" s="420"/>
      <c r="R82" s="420"/>
      <c r="S82" s="420"/>
      <c r="T82" s="420"/>
      <c r="U82" s="420"/>
      <c r="V82" s="420"/>
      <c r="W82" s="420"/>
      <c r="X82" s="420"/>
      <c r="Y82" s="420"/>
      <c r="Z82" s="420"/>
    </row>
    <row r="83" spans="1:26">
      <c r="A83" s="419"/>
      <c r="B83" s="420"/>
      <c r="C83" s="420"/>
      <c r="D83" s="420"/>
      <c r="E83" s="420"/>
      <c r="F83" s="420"/>
      <c r="G83" s="420"/>
      <c r="H83" s="420"/>
      <c r="I83" s="420"/>
      <c r="J83" s="420"/>
      <c r="K83" s="420"/>
      <c r="L83" s="420"/>
      <c r="M83" s="420"/>
      <c r="N83" s="420"/>
      <c r="O83" s="420"/>
      <c r="P83" s="420"/>
      <c r="Q83" s="420"/>
      <c r="R83" s="420"/>
      <c r="S83" s="420"/>
      <c r="T83" s="420"/>
      <c r="U83" s="420"/>
      <c r="V83" s="420"/>
      <c r="W83" s="420"/>
      <c r="X83" s="420"/>
      <c r="Y83" s="420"/>
      <c r="Z83" s="420"/>
    </row>
    <row r="84" spans="1:26">
      <c r="A84" s="419"/>
      <c r="B84" s="420"/>
      <c r="C84" s="420"/>
      <c r="D84" s="420"/>
      <c r="E84" s="420"/>
      <c r="F84" s="420"/>
      <c r="G84" s="420"/>
      <c r="H84" s="420"/>
      <c r="I84" s="420"/>
      <c r="J84" s="420"/>
      <c r="K84" s="420"/>
      <c r="L84" s="420"/>
      <c r="M84" s="420"/>
      <c r="N84" s="420"/>
      <c r="O84" s="420"/>
      <c r="P84" s="420"/>
      <c r="Q84" s="420"/>
      <c r="R84" s="420"/>
      <c r="S84" s="420"/>
      <c r="T84" s="420"/>
      <c r="U84" s="420"/>
      <c r="V84" s="420"/>
      <c r="W84" s="420"/>
      <c r="X84" s="420"/>
      <c r="Y84" s="420"/>
      <c r="Z84" s="420"/>
    </row>
    <row r="85" spans="1:26">
      <c r="A85" s="419"/>
      <c r="B85" s="420" t="s">
        <v>1365</v>
      </c>
      <c r="C85" s="420"/>
      <c r="D85" s="420"/>
      <c r="E85" s="420"/>
      <c r="F85" s="420"/>
      <c r="G85" s="420"/>
      <c r="H85" s="420"/>
      <c r="I85" s="420"/>
      <c r="J85" s="420" t="s">
        <v>1366</v>
      </c>
      <c r="K85" s="420"/>
      <c r="L85" s="420"/>
      <c r="M85" s="420"/>
      <c r="N85" s="420"/>
      <c r="O85" s="420"/>
      <c r="P85" s="420"/>
      <c r="Q85" s="420"/>
      <c r="R85" s="420"/>
      <c r="S85" s="420"/>
      <c r="T85" s="420"/>
      <c r="U85" s="420"/>
      <c r="V85" s="420"/>
      <c r="W85" s="420"/>
      <c r="X85" s="420"/>
      <c r="Y85" s="420"/>
      <c r="Z85" s="420"/>
    </row>
    <row r="86" spans="1:26">
      <c r="A86" s="419"/>
      <c r="B86" s="420"/>
      <c r="C86" s="422" t="s">
        <v>1367</v>
      </c>
      <c r="D86" s="422" t="s">
        <v>640</v>
      </c>
      <c r="E86" s="422" t="s">
        <v>919</v>
      </c>
      <c r="F86" s="422" t="s">
        <v>922</v>
      </c>
      <c r="G86" s="420"/>
      <c r="H86" s="420">
        <v>600000</v>
      </c>
      <c r="I86" s="420"/>
      <c r="J86" s="420"/>
      <c r="K86" s="422" t="s">
        <v>640</v>
      </c>
      <c r="L86" s="422" t="s">
        <v>919</v>
      </c>
      <c r="M86" s="422" t="s">
        <v>922</v>
      </c>
      <c r="N86" s="422" t="s">
        <v>1158</v>
      </c>
      <c r="O86" s="422" t="s">
        <v>1327</v>
      </c>
      <c r="P86" s="420"/>
      <c r="Q86" s="420"/>
      <c r="R86" s="420"/>
      <c r="S86" s="420"/>
      <c r="T86" s="420"/>
      <c r="U86" s="420"/>
      <c r="V86" s="420"/>
      <c r="W86" s="420"/>
      <c r="X86" s="420"/>
      <c r="Y86" s="420"/>
      <c r="Z86" s="420"/>
    </row>
    <row r="87" spans="1:26">
      <c r="A87" s="419"/>
      <c r="B87" s="433">
        <v>0.05</v>
      </c>
      <c r="C87" s="434">
        <v>0.05</v>
      </c>
      <c r="D87" s="426" t="s">
        <v>1366</v>
      </c>
      <c r="E87" s="426">
        <v>1</v>
      </c>
      <c r="F87" s="435">
        <v>180.2</v>
      </c>
      <c r="G87" s="420"/>
      <c r="H87" s="420">
        <v>30000</v>
      </c>
      <c r="I87" s="420"/>
      <c r="J87" s="420"/>
      <c r="K87" s="426" t="s">
        <v>1368</v>
      </c>
      <c r="L87" s="426">
        <v>1</v>
      </c>
      <c r="M87" s="426">
        <v>4000</v>
      </c>
      <c r="N87" s="426">
        <v>5</v>
      </c>
      <c r="O87" s="436">
        <v>0.005</v>
      </c>
      <c r="P87" s="432">
        <v>20</v>
      </c>
      <c r="Q87" s="420"/>
      <c r="R87" s="420"/>
      <c r="S87" s="420"/>
      <c r="T87" s="420"/>
      <c r="U87" s="420"/>
      <c r="V87" s="420"/>
      <c r="W87" s="420"/>
      <c r="X87" s="420"/>
      <c r="Y87" s="420"/>
      <c r="Z87" s="420"/>
    </row>
    <row r="88" spans="1:26">
      <c r="A88" s="419"/>
      <c r="B88" s="433">
        <v>0.05</v>
      </c>
      <c r="C88" s="434">
        <v>0.1</v>
      </c>
      <c r="D88" s="426" t="s">
        <v>1366</v>
      </c>
      <c r="E88" s="426">
        <v>1</v>
      </c>
      <c r="F88" s="435">
        <v>180.2</v>
      </c>
      <c r="G88" s="420"/>
      <c r="H88" s="420">
        <v>60000</v>
      </c>
      <c r="I88" s="420"/>
      <c r="J88" s="420"/>
      <c r="K88" s="426" t="s">
        <v>258</v>
      </c>
      <c r="L88" s="426">
        <v>2</v>
      </c>
      <c r="M88" s="426">
        <v>100</v>
      </c>
      <c r="N88" s="426">
        <v>250</v>
      </c>
      <c r="O88" s="436">
        <v>0.25</v>
      </c>
      <c r="P88" s="432">
        <v>25</v>
      </c>
      <c r="Q88" s="420"/>
      <c r="R88" s="420"/>
      <c r="S88" s="420"/>
      <c r="T88" s="420"/>
      <c r="U88" s="420"/>
      <c r="V88" s="420"/>
      <c r="W88" s="420"/>
      <c r="X88" s="420"/>
      <c r="Y88" s="420"/>
      <c r="Z88" s="420"/>
    </row>
    <row r="89" spans="1:26">
      <c r="A89" s="419"/>
      <c r="B89" s="433">
        <v>0.1</v>
      </c>
      <c r="C89" s="434">
        <v>0.2</v>
      </c>
      <c r="D89" s="426" t="s">
        <v>1366</v>
      </c>
      <c r="E89" s="426">
        <v>1</v>
      </c>
      <c r="F89" s="435">
        <v>180.2</v>
      </c>
      <c r="G89" s="420"/>
      <c r="H89" s="420">
        <v>120000</v>
      </c>
      <c r="I89" s="420"/>
      <c r="J89" s="420"/>
      <c r="K89" s="426" t="s">
        <v>193</v>
      </c>
      <c r="L89" s="426">
        <v>30</v>
      </c>
      <c r="M89" s="426">
        <v>60</v>
      </c>
      <c r="N89" s="426">
        <v>200</v>
      </c>
      <c r="O89" s="436">
        <v>0.2</v>
      </c>
      <c r="P89" s="432">
        <v>12</v>
      </c>
      <c r="Q89" s="420"/>
      <c r="R89" s="420"/>
      <c r="S89" s="420"/>
      <c r="T89" s="420"/>
      <c r="U89" s="420"/>
      <c r="V89" s="420"/>
      <c r="W89" s="420"/>
      <c r="X89" s="420"/>
      <c r="Y89" s="420"/>
      <c r="Z89" s="420"/>
    </row>
    <row r="90" spans="1:26">
      <c r="A90" s="419"/>
      <c r="B90" s="433">
        <v>0.1</v>
      </c>
      <c r="C90" s="434">
        <v>0.3</v>
      </c>
      <c r="D90" s="426" t="s">
        <v>1366</v>
      </c>
      <c r="E90" s="426">
        <v>1</v>
      </c>
      <c r="F90" s="435">
        <v>180.2</v>
      </c>
      <c r="G90" s="420"/>
      <c r="H90" s="420">
        <v>180000</v>
      </c>
      <c r="I90" s="420"/>
      <c r="J90" s="420"/>
      <c r="K90" s="426" t="s">
        <v>306</v>
      </c>
      <c r="L90" s="426">
        <v>5</v>
      </c>
      <c r="M90" s="426">
        <v>300</v>
      </c>
      <c r="N90" s="426">
        <v>155</v>
      </c>
      <c r="O90" s="436">
        <v>0.155</v>
      </c>
      <c r="P90" s="432">
        <v>46.5</v>
      </c>
      <c r="Q90" s="420"/>
      <c r="R90" s="420"/>
      <c r="S90" s="420"/>
      <c r="T90" s="420"/>
      <c r="U90" s="420"/>
      <c r="V90" s="420"/>
      <c r="W90" s="420"/>
      <c r="X90" s="420"/>
      <c r="Y90" s="420"/>
      <c r="Z90" s="420"/>
    </row>
    <row r="91" spans="1:26">
      <c r="A91" s="419"/>
      <c r="B91" s="433">
        <v>0.15</v>
      </c>
      <c r="C91" s="434">
        <v>0.45</v>
      </c>
      <c r="D91" s="426" t="s">
        <v>1366</v>
      </c>
      <c r="E91" s="426">
        <v>1</v>
      </c>
      <c r="F91" s="435">
        <v>180.2</v>
      </c>
      <c r="G91" s="420"/>
      <c r="H91" s="420">
        <v>270000</v>
      </c>
      <c r="I91" s="420"/>
      <c r="J91" s="420"/>
      <c r="K91" s="426" t="s">
        <v>261</v>
      </c>
      <c r="L91" s="426">
        <v>1</v>
      </c>
      <c r="M91" s="426">
        <v>280</v>
      </c>
      <c r="N91" s="426">
        <v>140</v>
      </c>
      <c r="O91" s="436">
        <v>0.14</v>
      </c>
      <c r="P91" s="432">
        <v>39.2</v>
      </c>
      <c r="Q91" s="420"/>
      <c r="R91" s="420"/>
      <c r="S91" s="420"/>
      <c r="T91" s="420"/>
      <c r="U91" s="420"/>
      <c r="V91" s="420"/>
      <c r="W91" s="420"/>
      <c r="X91" s="420"/>
      <c r="Y91" s="420"/>
      <c r="Z91" s="420"/>
    </row>
    <row r="92" spans="1:26">
      <c r="A92" s="419"/>
      <c r="B92" s="433">
        <v>0.15</v>
      </c>
      <c r="C92" s="434">
        <v>0.6</v>
      </c>
      <c r="D92" s="426" t="s">
        <v>1366</v>
      </c>
      <c r="E92" s="426">
        <v>1</v>
      </c>
      <c r="F92" s="435">
        <v>180.2</v>
      </c>
      <c r="G92" s="420"/>
      <c r="H92" s="420">
        <v>360000</v>
      </c>
      <c r="I92" s="420"/>
      <c r="J92" s="420"/>
      <c r="K92" s="426" t="s">
        <v>213</v>
      </c>
      <c r="L92" s="426">
        <v>5</v>
      </c>
      <c r="M92" s="426">
        <v>150</v>
      </c>
      <c r="N92" s="426">
        <v>250</v>
      </c>
      <c r="O92" s="436">
        <v>0.25</v>
      </c>
      <c r="P92" s="432">
        <v>37.5</v>
      </c>
      <c r="Q92" s="420"/>
      <c r="R92" s="420"/>
      <c r="S92" s="420"/>
      <c r="T92" s="420"/>
      <c r="U92" s="420"/>
      <c r="V92" s="420"/>
      <c r="W92" s="420"/>
      <c r="X92" s="420"/>
      <c r="Y92" s="420"/>
      <c r="Z92" s="420"/>
    </row>
    <row r="93" spans="1:26">
      <c r="A93" s="419"/>
      <c r="B93" s="433">
        <v>0.2</v>
      </c>
      <c r="C93" s="434">
        <v>0.8</v>
      </c>
      <c r="D93" s="426" t="s">
        <v>1366</v>
      </c>
      <c r="E93" s="426">
        <v>1</v>
      </c>
      <c r="F93" s="435">
        <v>180.2</v>
      </c>
      <c r="G93" s="420"/>
      <c r="H93" s="420">
        <v>480000</v>
      </c>
      <c r="I93" s="420"/>
      <c r="J93" s="420"/>
      <c r="K93" s="420"/>
      <c r="L93" s="420"/>
      <c r="M93" s="420"/>
      <c r="N93" s="420">
        <v>1000</v>
      </c>
      <c r="O93" s="420"/>
      <c r="P93" s="432" cm="1">
        <f t="array" ref="P93">SUMPRODUCT(M87:M92,O87:O92)</f>
        <v>180.2</v>
      </c>
      <c r="Q93" s="420"/>
      <c r="R93" s="420"/>
      <c r="S93" s="420"/>
      <c r="T93" s="420"/>
      <c r="U93" s="420"/>
      <c r="V93" s="420"/>
      <c r="W93" s="420"/>
      <c r="X93" s="420"/>
      <c r="Y93" s="420"/>
      <c r="Z93" s="420"/>
    </row>
    <row r="94" spans="1:26">
      <c r="A94" s="419"/>
      <c r="B94" s="433">
        <v>0.2</v>
      </c>
      <c r="C94" s="434">
        <v>1</v>
      </c>
      <c r="D94" s="426" t="s">
        <v>1366</v>
      </c>
      <c r="E94" s="426">
        <v>1</v>
      </c>
      <c r="F94" s="435">
        <v>180.2</v>
      </c>
      <c r="G94" s="420"/>
      <c r="H94" s="420">
        <v>600000</v>
      </c>
      <c r="I94" s="420"/>
      <c r="J94" s="420"/>
      <c r="K94" s="420"/>
      <c r="L94" s="420"/>
      <c r="M94" s="420"/>
      <c r="N94" s="420"/>
      <c r="O94" s="420"/>
      <c r="P94" s="420"/>
      <c r="Q94" s="420"/>
      <c r="R94" s="420"/>
      <c r="S94" s="420"/>
      <c r="T94" s="420"/>
      <c r="U94" s="420"/>
      <c r="V94" s="420"/>
      <c r="W94" s="420"/>
      <c r="X94" s="420"/>
      <c r="Y94" s="420"/>
      <c r="Z94" s="420"/>
    </row>
    <row r="95" spans="1:26">
      <c r="A95" s="419"/>
      <c r="B95" s="420"/>
      <c r="C95" s="420"/>
      <c r="D95" s="420"/>
      <c r="E95" s="420"/>
      <c r="F95" s="420"/>
      <c r="G95" s="420"/>
      <c r="H95" s="420"/>
      <c r="I95" s="420"/>
      <c r="J95" s="420"/>
      <c r="K95" s="420"/>
      <c r="L95" s="420"/>
      <c r="M95" s="420"/>
      <c r="N95" s="420"/>
      <c r="O95" s="420"/>
      <c r="P95" s="420"/>
      <c r="Q95" s="420"/>
      <c r="R95" s="420"/>
      <c r="S95" s="420"/>
      <c r="T95" s="420"/>
      <c r="U95" s="420"/>
      <c r="V95" s="420"/>
      <c r="W95" s="420"/>
      <c r="X95" s="420"/>
      <c r="Y95" s="420"/>
      <c r="Z95" s="420"/>
    </row>
    <row r="96" spans="1:26">
      <c r="A96" s="419"/>
      <c r="B96" s="420"/>
      <c r="C96" s="420"/>
      <c r="D96" s="420"/>
      <c r="E96" s="420"/>
      <c r="F96" s="420"/>
      <c r="G96" s="420"/>
      <c r="H96" s="420"/>
      <c r="I96" s="420"/>
      <c r="J96" s="420"/>
      <c r="K96" s="420"/>
      <c r="L96" s="420"/>
      <c r="M96" s="420"/>
      <c r="N96" s="420"/>
      <c r="O96" s="420"/>
      <c r="P96" s="420"/>
      <c r="Q96" s="420"/>
      <c r="R96" s="420">
        <v>600000</v>
      </c>
      <c r="S96" s="420"/>
      <c r="T96" s="420"/>
      <c r="U96" s="420"/>
      <c r="V96" s="420"/>
      <c r="W96" s="420"/>
      <c r="X96" s="420"/>
      <c r="Y96" s="420"/>
      <c r="Z96" s="420"/>
    </row>
    <row r="97" spans="1:26">
      <c r="A97" s="419"/>
      <c r="B97" s="420"/>
      <c r="C97" s="420"/>
      <c r="D97" s="420"/>
      <c r="E97" s="420"/>
      <c r="F97" s="420"/>
      <c r="G97" s="420"/>
      <c r="H97" s="420"/>
      <c r="I97" s="420"/>
      <c r="J97" s="420"/>
      <c r="K97" s="420"/>
      <c r="L97" s="420"/>
      <c r="M97" s="420"/>
      <c r="N97" s="420"/>
      <c r="O97" s="420"/>
      <c r="P97" s="420"/>
      <c r="Q97" s="420"/>
      <c r="R97" s="420">
        <v>20160</v>
      </c>
      <c r="S97" s="420"/>
      <c r="T97" s="420"/>
      <c r="U97" s="420"/>
      <c r="V97" s="420"/>
      <c r="W97" s="420"/>
      <c r="X97" s="420"/>
      <c r="Y97" s="420"/>
      <c r="Z97" s="420"/>
    </row>
    <row r="98" spans="1:26">
      <c r="A98" s="419"/>
      <c r="B98" s="420"/>
      <c r="C98" s="437" t="s">
        <v>1369</v>
      </c>
      <c r="D98" s="437"/>
      <c r="E98" s="437"/>
      <c r="F98" s="437"/>
      <c r="G98" s="437"/>
      <c r="H98" s="437"/>
      <c r="I98" s="437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420"/>
      <c r="Z98" s="420"/>
    </row>
    <row r="99" spans="1:26">
      <c r="A99" s="419"/>
      <c r="B99" s="420"/>
      <c r="C99" s="437">
        <v>4000</v>
      </c>
      <c r="D99" s="437"/>
      <c r="E99" s="437"/>
      <c r="F99" s="437"/>
      <c r="G99" s="437"/>
      <c r="H99" s="437"/>
      <c r="I99" s="437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420"/>
      <c r="Z99" s="420"/>
    </row>
    <row r="100" spans="1:26">
      <c r="A100" s="419"/>
      <c r="B100" s="420"/>
      <c r="C100" s="437"/>
      <c r="D100" s="437"/>
      <c r="E100" s="437"/>
      <c r="F100" s="437"/>
      <c r="G100" s="437"/>
      <c r="H100" s="437"/>
      <c r="I100" s="437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420"/>
      <c r="Z100" s="420"/>
    </row>
    <row r="101" spans="1:26">
      <c r="A101" s="419"/>
      <c r="B101" s="420"/>
      <c r="C101" s="437"/>
      <c r="D101" s="437"/>
      <c r="E101" s="437"/>
      <c r="F101" s="437"/>
      <c r="G101" s="437"/>
      <c r="H101" s="437"/>
      <c r="I101" s="437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420"/>
      <c r="Z101" s="420"/>
    </row>
    <row r="102" spans="1:26">
      <c r="A102" s="419"/>
      <c r="B102" s="420"/>
      <c r="C102" s="202" t="s">
        <v>136</v>
      </c>
      <c r="D102" s="202" t="s">
        <v>1370</v>
      </c>
      <c r="E102" s="437"/>
      <c r="F102" s="202" t="s">
        <v>1371</v>
      </c>
      <c r="G102" s="202" t="s">
        <v>1372</v>
      </c>
      <c r="H102" s="202" t="s">
        <v>1373</v>
      </c>
      <c r="I102" s="202" t="s">
        <v>1374</v>
      </c>
      <c r="J102" s="202" t="s">
        <v>1375</v>
      </c>
      <c r="K102" s="282"/>
      <c r="L102" s="202" t="s">
        <v>962</v>
      </c>
      <c r="M102" s="202" t="s">
        <v>640</v>
      </c>
      <c r="N102" s="202" t="s">
        <v>639</v>
      </c>
      <c r="O102" s="282"/>
      <c r="P102" s="202" t="s">
        <v>136</v>
      </c>
      <c r="Q102" s="202" t="s">
        <v>1342</v>
      </c>
      <c r="R102" s="202" t="s">
        <v>1343</v>
      </c>
      <c r="S102" s="202" t="s">
        <v>1345</v>
      </c>
      <c r="T102" s="202" t="s">
        <v>1376</v>
      </c>
      <c r="U102" s="282"/>
      <c r="V102" s="282"/>
      <c r="W102" s="202" t="s">
        <v>1343</v>
      </c>
      <c r="X102" s="282"/>
      <c r="Y102" s="420"/>
      <c r="Z102" s="420"/>
    </row>
    <row r="103" spans="1:26">
      <c r="A103" s="419"/>
      <c r="B103" s="420"/>
      <c r="C103" s="196">
        <v>1</v>
      </c>
      <c r="D103" s="345">
        <v>1</v>
      </c>
      <c r="E103" s="437"/>
      <c r="F103" s="196">
        <v>4000</v>
      </c>
      <c r="G103" s="196">
        <f>_xlfn.XLOOKUP(C103,$P$103:$P$132,$T$103:$T$132)*F103+I103</f>
        <v>75000</v>
      </c>
      <c r="H103" s="196">
        <f>SUM($G$102:G103)</f>
        <v>75000</v>
      </c>
      <c r="I103" s="196">
        <v>15000</v>
      </c>
      <c r="J103" s="196">
        <f>MATCH(H103,$L$103:$L$110,1)</f>
        <v>2</v>
      </c>
      <c r="K103" s="282"/>
      <c r="L103" s="196">
        <v>30000</v>
      </c>
      <c r="M103" s="196" t="s">
        <v>1366</v>
      </c>
      <c r="N103" s="196">
        <v>1</v>
      </c>
      <c r="O103" s="282"/>
      <c r="P103" s="196">
        <v>1</v>
      </c>
      <c r="Q103" s="196">
        <v>5</v>
      </c>
      <c r="R103" s="196">
        <f>IFERROR(MATCH(Q103,$W$103:$W$152,1),0)</f>
        <v>0</v>
      </c>
      <c r="S103" s="196">
        <f t="shared" ref="S103:S132" si="1">INT((Q103-5)/10)</f>
        <v>0</v>
      </c>
      <c r="T103" s="196">
        <f>Q103*3+R103*2+S103*5</f>
        <v>15</v>
      </c>
      <c r="U103" s="282"/>
      <c r="V103" s="282"/>
      <c r="W103" s="282">
        <v>12</v>
      </c>
      <c r="X103" s="282"/>
      <c r="Y103" s="420"/>
      <c r="Z103" s="420"/>
    </row>
    <row r="104" spans="1:26">
      <c r="A104" s="419"/>
      <c r="B104" s="420"/>
      <c r="C104" s="196">
        <v>2</v>
      </c>
      <c r="D104" s="345">
        <v>0.5</v>
      </c>
      <c r="E104" s="438"/>
      <c r="F104" s="282">
        <f>F$103*$D104</f>
        <v>2000</v>
      </c>
      <c r="G104" s="196">
        <f t="shared" ref="G104:G132" si="2">_xlfn.XLOOKUP(C104,$P$103:$P$132,$T$103:$T$132)*F104+I104</f>
        <v>67000</v>
      </c>
      <c r="H104" s="196">
        <f>SUM($G$102:G104)</f>
        <v>142000</v>
      </c>
      <c r="I104" s="196">
        <v>15000</v>
      </c>
      <c r="J104" s="196">
        <f t="shared" ref="J104:J132" si="3">MATCH(H104,$L$103:$L$110,1)</f>
        <v>3</v>
      </c>
      <c r="K104" s="282"/>
      <c r="L104" s="196">
        <v>60000</v>
      </c>
      <c r="M104" s="196" t="s">
        <v>1366</v>
      </c>
      <c r="N104" s="196">
        <v>2</v>
      </c>
      <c r="O104" s="282"/>
      <c r="P104" s="196">
        <v>2</v>
      </c>
      <c r="Q104" s="196">
        <v>13</v>
      </c>
      <c r="R104" s="196">
        <f t="shared" ref="R104:R132" si="4">IFERROR(MATCH(Q104,$W$103:$W$152,1),0)</f>
        <v>1</v>
      </c>
      <c r="S104" s="196">
        <f t="shared" si="1"/>
        <v>0</v>
      </c>
      <c r="T104" s="196">
        <f>Q104*3+R104*2+S104*5-Q103*3-R103*2-S103*5</f>
        <v>26</v>
      </c>
      <c r="U104" s="282"/>
      <c r="V104" s="282"/>
      <c r="W104" s="282">
        <v>14</v>
      </c>
      <c r="X104" s="282"/>
      <c r="Y104" s="420"/>
      <c r="Z104" s="420"/>
    </row>
    <row r="105" spans="1:26">
      <c r="A105" s="419"/>
      <c r="B105" s="420"/>
      <c r="C105" s="196">
        <v>3</v>
      </c>
      <c r="D105" s="345">
        <v>0.4</v>
      </c>
      <c r="E105" s="438"/>
      <c r="F105" s="282">
        <f t="shared" ref="F105:F132" si="5">F$103*$D105</f>
        <v>1600</v>
      </c>
      <c r="G105" s="196">
        <f t="shared" si="2"/>
        <v>58200</v>
      </c>
      <c r="H105" s="196">
        <f>SUM($G$102:G105)</f>
        <v>200200</v>
      </c>
      <c r="I105" s="196">
        <v>15000</v>
      </c>
      <c r="J105" s="196">
        <f t="shared" si="3"/>
        <v>4</v>
      </c>
      <c r="K105" s="282"/>
      <c r="L105" s="196">
        <v>120000</v>
      </c>
      <c r="M105" s="196" t="s">
        <v>1366</v>
      </c>
      <c r="N105" s="196">
        <v>3</v>
      </c>
      <c r="O105" s="282"/>
      <c r="P105" s="196">
        <v>3</v>
      </c>
      <c r="Q105" s="196">
        <v>19</v>
      </c>
      <c r="R105" s="196">
        <f t="shared" si="4"/>
        <v>3</v>
      </c>
      <c r="S105" s="196">
        <f t="shared" si="1"/>
        <v>1</v>
      </c>
      <c r="T105" s="196">
        <f>Q105*3+R105*2+S105*5-Q104*3-R104*2-S104*5</f>
        <v>27</v>
      </c>
      <c r="U105" s="282"/>
      <c r="V105" s="282"/>
      <c r="W105" s="282">
        <v>17</v>
      </c>
      <c r="X105" s="282"/>
      <c r="Y105" s="420"/>
      <c r="Z105" s="420"/>
    </row>
    <row r="106" spans="1:26">
      <c r="A106" s="419"/>
      <c r="B106" s="420"/>
      <c r="C106" s="196">
        <v>4</v>
      </c>
      <c r="D106" s="345">
        <v>0.35</v>
      </c>
      <c r="E106" s="438"/>
      <c r="F106" s="282">
        <f t="shared" si="5"/>
        <v>1400</v>
      </c>
      <c r="G106" s="196">
        <f t="shared" si="2"/>
        <v>30400</v>
      </c>
      <c r="H106" s="196">
        <f>SUM($G$102:G106)</f>
        <v>230600</v>
      </c>
      <c r="I106" s="196">
        <v>15000</v>
      </c>
      <c r="J106" s="196">
        <f t="shared" si="3"/>
        <v>4</v>
      </c>
      <c r="K106" s="282"/>
      <c r="L106" s="196">
        <v>180000</v>
      </c>
      <c r="M106" s="196" t="s">
        <v>1366</v>
      </c>
      <c r="N106" s="196">
        <v>4</v>
      </c>
      <c r="O106" s="282"/>
      <c r="P106" s="196">
        <v>4</v>
      </c>
      <c r="Q106" s="196">
        <v>22</v>
      </c>
      <c r="R106" s="196">
        <f t="shared" si="4"/>
        <v>4</v>
      </c>
      <c r="S106" s="196">
        <f t="shared" si="1"/>
        <v>1</v>
      </c>
      <c r="T106" s="196">
        <f>Q106*3+R106*2+S106*5-Q105*3-R105*2-S105*5</f>
        <v>11</v>
      </c>
      <c r="U106" s="282"/>
      <c r="V106" s="282"/>
      <c r="W106" s="282">
        <v>21</v>
      </c>
      <c r="X106" s="282"/>
      <c r="Y106" s="420"/>
      <c r="Z106" s="420"/>
    </row>
    <row r="107" spans="1:26">
      <c r="A107" s="419"/>
      <c r="B107" s="420"/>
      <c r="C107" s="196">
        <v>5</v>
      </c>
      <c r="D107" s="345">
        <v>0.325</v>
      </c>
      <c r="E107" s="438"/>
      <c r="F107" s="282">
        <f t="shared" si="5"/>
        <v>1300</v>
      </c>
      <c r="G107" s="196">
        <f t="shared" si="2"/>
        <v>43600</v>
      </c>
      <c r="H107" s="196">
        <f>SUM($G$102:G107)</f>
        <v>274200</v>
      </c>
      <c r="I107" s="196">
        <v>15000</v>
      </c>
      <c r="J107" s="196">
        <f t="shared" si="3"/>
        <v>5</v>
      </c>
      <c r="K107" s="282"/>
      <c r="L107" s="196">
        <v>270000</v>
      </c>
      <c r="M107" s="196" t="s">
        <v>1366</v>
      </c>
      <c r="N107" s="196">
        <v>5</v>
      </c>
      <c r="O107" s="282"/>
      <c r="P107" s="196">
        <v>5</v>
      </c>
      <c r="Q107" s="196">
        <v>27</v>
      </c>
      <c r="R107" s="196">
        <f t="shared" si="4"/>
        <v>5</v>
      </c>
      <c r="S107" s="196">
        <f t="shared" si="1"/>
        <v>2</v>
      </c>
      <c r="T107" s="196">
        <f t="shared" ref="T104:T132" si="6">Q107*3+R107*2+S107*5-Q106*3-R106*2-S106*5</f>
        <v>22</v>
      </c>
      <c r="U107" s="282"/>
      <c r="V107" s="282"/>
      <c r="W107" s="282">
        <v>25</v>
      </c>
      <c r="X107" s="282"/>
      <c r="Y107" s="420"/>
      <c r="Z107" s="420"/>
    </row>
    <row r="108" spans="1:26">
      <c r="A108" s="419"/>
      <c r="B108" s="420"/>
      <c r="C108" s="196">
        <v>6</v>
      </c>
      <c r="D108" s="345">
        <v>0.3</v>
      </c>
      <c r="E108" s="438"/>
      <c r="F108" s="282">
        <f t="shared" si="5"/>
        <v>1200</v>
      </c>
      <c r="G108" s="196">
        <f t="shared" si="2"/>
        <v>18600</v>
      </c>
      <c r="H108" s="196">
        <f>SUM($G$102:G108)</f>
        <v>292800</v>
      </c>
      <c r="I108" s="196">
        <v>15000</v>
      </c>
      <c r="J108" s="196">
        <f t="shared" si="3"/>
        <v>5</v>
      </c>
      <c r="K108" s="282"/>
      <c r="L108" s="196">
        <v>360000</v>
      </c>
      <c r="M108" s="196" t="s">
        <v>1366</v>
      </c>
      <c r="N108" s="196">
        <v>6</v>
      </c>
      <c r="O108" s="282"/>
      <c r="P108" s="196">
        <v>6</v>
      </c>
      <c r="Q108" s="196">
        <v>28</v>
      </c>
      <c r="R108" s="196">
        <f t="shared" si="4"/>
        <v>5</v>
      </c>
      <c r="S108" s="196">
        <f t="shared" si="1"/>
        <v>2</v>
      </c>
      <c r="T108" s="196">
        <f t="shared" si="6"/>
        <v>3</v>
      </c>
      <c r="U108" s="282"/>
      <c r="V108" s="282"/>
      <c r="W108" s="282">
        <v>29</v>
      </c>
      <c r="X108" s="282"/>
      <c r="Y108" s="420"/>
      <c r="Z108" s="420"/>
    </row>
    <row r="109" spans="1:26">
      <c r="A109" s="419"/>
      <c r="B109" s="420"/>
      <c r="C109" s="196">
        <v>7</v>
      </c>
      <c r="D109" s="345">
        <v>0.275</v>
      </c>
      <c r="E109" s="438"/>
      <c r="F109" s="282">
        <f t="shared" si="5"/>
        <v>1100</v>
      </c>
      <c r="G109" s="196">
        <f t="shared" si="2"/>
        <v>23800</v>
      </c>
      <c r="H109" s="196">
        <f>SUM($G$102:G109)</f>
        <v>316600</v>
      </c>
      <c r="I109" s="196">
        <v>15000</v>
      </c>
      <c r="J109" s="196">
        <f t="shared" si="3"/>
        <v>5</v>
      </c>
      <c r="K109" s="282"/>
      <c r="L109" s="196">
        <v>480000</v>
      </c>
      <c r="M109" s="196" t="s">
        <v>1366</v>
      </c>
      <c r="N109" s="196">
        <v>7</v>
      </c>
      <c r="O109" s="282"/>
      <c r="P109" s="196">
        <v>7</v>
      </c>
      <c r="Q109" s="196">
        <v>30</v>
      </c>
      <c r="R109" s="196">
        <f t="shared" si="4"/>
        <v>6</v>
      </c>
      <c r="S109" s="196">
        <f t="shared" si="1"/>
        <v>2</v>
      </c>
      <c r="T109" s="196">
        <f t="shared" si="6"/>
        <v>8</v>
      </c>
      <c r="U109" s="282"/>
      <c r="V109" s="282"/>
      <c r="W109" s="282">
        <v>34</v>
      </c>
      <c r="X109" s="282"/>
      <c r="Y109" s="420"/>
      <c r="Z109" s="420"/>
    </row>
    <row r="110" spans="1:26">
      <c r="A110" s="419"/>
      <c r="B110" s="420"/>
      <c r="C110" s="196">
        <v>8</v>
      </c>
      <c r="D110" s="196">
        <v>0.25</v>
      </c>
      <c r="E110" s="438"/>
      <c r="F110" s="282">
        <f t="shared" si="5"/>
        <v>1000</v>
      </c>
      <c r="G110" s="196">
        <f t="shared" si="2"/>
        <v>18000</v>
      </c>
      <c r="H110" s="196">
        <f>SUM($G$102:G110)</f>
        <v>334600</v>
      </c>
      <c r="I110" s="196">
        <v>15000</v>
      </c>
      <c r="J110" s="196">
        <f t="shared" si="3"/>
        <v>5</v>
      </c>
      <c r="K110" s="282"/>
      <c r="L110" s="196">
        <v>600000</v>
      </c>
      <c r="M110" s="196" t="s">
        <v>1366</v>
      </c>
      <c r="N110" s="196">
        <v>8</v>
      </c>
      <c r="O110" s="282"/>
      <c r="P110" s="196">
        <v>8</v>
      </c>
      <c r="Q110" s="196">
        <v>31</v>
      </c>
      <c r="R110" s="196">
        <f t="shared" si="4"/>
        <v>6</v>
      </c>
      <c r="S110" s="196">
        <f t="shared" si="1"/>
        <v>2</v>
      </c>
      <c r="T110" s="196">
        <f t="shared" si="6"/>
        <v>3</v>
      </c>
      <c r="U110" s="282"/>
      <c r="V110" s="282"/>
      <c r="W110" s="282">
        <v>38</v>
      </c>
      <c r="X110" s="282"/>
      <c r="Y110" s="420"/>
      <c r="Z110" s="420"/>
    </row>
    <row r="111" spans="1:26">
      <c r="A111" s="419"/>
      <c r="B111" s="420"/>
      <c r="C111" s="196">
        <v>9</v>
      </c>
      <c r="D111" s="196">
        <v>0.225</v>
      </c>
      <c r="E111" s="438"/>
      <c r="F111" s="282">
        <f t="shared" si="5"/>
        <v>900</v>
      </c>
      <c r="G111" s="196">
        <f t="shared" si="2"/>
        <v>17700</v>
      </c>
      <c r="H111" s="196">
        <f>SUM($G$102:G111)</f>
        <v>352300</v>
      </c>
      <c r="I111" s="196">
        <v>15000</v>
      </c>
      <c r="J111" s="196">
        <f t="shared" si="3"/>
        <v>5</v>
      </c>
      <c r="K111" s="282"/>
      <c r="L111" s="282"/>
      <c r="M111" s="282"/>
      <c r="N111" s="282"/>
      <c r="O111" s="282"/>
      <c r="P111" s="196">
        <v>9</v>
      </c>
      <c r="Q111" s="196">
        <v>32</v>
      </c>
      <c r="R111" s="196">
        <f t="shared" si="4"/>
        <v>6</v>
      </c>
      <c r="S111" s="196">
        <f t="shared" si="1"/>
        <v>2</v>
      </c>
      <c r="T111" s="196">
        <f t="shared" si="6"/>
        <v>3</v>
      </c>
      <c r="U111" s="282"/>
      <c r="V111" s="282"/>
      <c r="W111" s="282">
        <v>42</v>
      </c>
      <c r="X111" s="282"/>
      <c r="Y111" s="420"/>
      <c r="Z111" s="420"/>
    </row>
    <row r="112" spans="1:26">
      <c r="A112" s="419"/>
      <c r="B112" s="420"/>
      <c r="C112" s="196">
        <v>10</v>
      </c>
      <c r="D112" s="196">
        <v>0.2</v>
      </c>
      <c r="E112" s="437"/>
      <c r="F112" s="282">
        <f t="shared" si="5"/>
        <v>800</v>
      </c>
      <c r="G112" s="196">
        <f t="shared" si="2"/>
        <v>17400</v>
      </c>
      <c r="H112" s="196">
        <f>SUM($G$102:G112)</f>
        <v>369700</v>
      </c>
      <c r="I112" s="196">
        <v>15000</v>
      </c>
      <c r="J112" s="196">
        <f t="shared" si="3"/>
        <v>6</v>
      </c>
      <c r="K112" s="282"/>
      <c r="L112" s="282"/>
      <c r="M112" s="282"/>
      <c r="N112" s="282"/>
      <c r="O112" s="282"/>
      <c r="P112" s="196">
        <v>10</v>
      </c>
      <c r="Q112" s="196">
        <v>33</v>
      </c>
      <c r="R112" s="196">
        <f t="shared" si="4"/>
        <v>6</v>
      </c>
      <c r="S112" s="196">
        <f t="shared" si="1"/>
        <v>2</v>
      </c>
      <c r="T112" s="196">
        <f t="shared" si="6"/>
        <v>3</v>
      </c>
      <c r="U112" s="282"/>
      <c r="V112" s="282"/>
      <c r="W112" s="282">
        <v>47</v>
      </c>
      <c r="X112" s="282"/>
      <c r="Y112" s="420"/>
      <c r="Z112" s="420"/>
    </row>
    <row r="113" spans="1:26">
      <c r="A113" s="419"/>
      <c r="B113" s="420"/>
      <c r="C113" s="196">
        <v>11</v>
      </c>
      <c r="D113" s="196">
        <f t="shared" ref="D113:D117" si="7">D112-0.01</f>
        <v>0.19</v>
      </c>
      <c r="E113" s="282"/>
      <c r="F113" s="282">
        <f t="shared" si="5"/>
        <v>760</v>
      </c>
      <c r="G113" s="196">
        <f t="shared" si="2"/>
        <v>24880</v>
      </c>
      <c r="H113" s="196">
        <f>SUM($G$102:G113)</f>
        <v>394580</v>
      </c>
      <c r="I113" s="196">
        <v>15000</v>
      </c>
      <c r="J113" s="196">
        <f t="shared" si="3"/>
        <v>6</v>
      </c>
      <c r="K113" s="282"/>
      <c r="L113" s="282"/>
      <c r="M113" s="282"/>
      <c r="N113" s="282"/>
      <c r="O113" s="282"/>
      <c r="P113" s="196">
        <v>11</v>
      </c>
      <c r="Q113" s="196">
        <v>35</v>
      </c>
      <c r="R113" s="196">
        <f t="shared" si="4"/>
        <v>7</v>
      </c>
      <c r="S113" s="196">
        <f t="shared" si="1"/>
        <v>3</v>
      </c>
      <c r="T113" s="196">
        <f t="shared" si="6"/>
        <v>13</v>
      </c>
      <c r="U113" s="282"/>
      <c r="V113" s="282"/>
      <c r="W113" s="282">
        <v>51</v>
      </c>
      <c r="X113" s="282"/>
      <c r="Y113" s="420"/>
      <c r="Z113" s="420"/>
    </row>
    <row r="114" spans="1:26">
      <c r="A114" s="419"/>
      <c r="B114" s="420"/>
      <c r="C114" s="196">
        <v>12</v>
      </c>
      <c r="D114" s="196">
        <f t="shared" si="7"/>
        <v>0.18</v>
      </c>
      <c r="E114" s="282"/>
      <c r="F114" s="282">
        <f t="shared" si="5"/>
        <v>720</v>
      </c>
      <c r="G114" s="196">
        <f t="shared" si="2"/>
        <v>19320</v>
      </c>
      <c r="H114" s="196">
        <f>SUM($G$102:G114)</f>
        <v>413900</v>
      </c>
      <c r="I114" s="196">
        <v>15000</v>
      </c>
      <c r="J114" s="196">
        <f t="shared" si="3"/>
        <v>6</v>
      </c>
      <c r="K114" s="282"/>
      <c r="L114" s="282"/>
      <c r="M114" s="282"/>
      <c r="N114" s="282"/>
      <c r="O114" s="282"/>
      <c r="P114" s="196">
        <v>12</v>
      </c>
      <c r="Q114" s="196">
        <v>37</v>
      </c>
      <c r="R114" s="196">
        <f t="shared" si="4"/>
        <v>7</v>
      </c>
      <c r="S114" s="196">
        <f t="shared" si="1"/>
        <v>3</v>
      </c>
      <c r="T114" s="196">
        <f t="shared" si="6"/>
        <v>6</v>
      </c>
      <c r="U114" s="282"/>
      <c r="V114" s="282"/>
      <c r="W114" s="282">
        <v>54</v>
      </c>
      <c r="X114" s="282"/>
      <c r="Y114" s="420"/>
      <c r="Z114" s="420"/>
    </row>
    <row r="115" spans="1:26">
      <c r="A115" s="419"/>
      <c r="B115" s="420"/>
      <c r="C115" s="196">
        <v>13</v>
      </c>
      <c r="D115" s="196">
        <f t="shared" si="7"/>
        <v>0.17</v>
      </c>
      <c r="E115" s="282"/>
      <c r="F115" s="282">
        <f t="shared" si="5"/>
        <v>680</v>
      </c>
      <c r="G115" s="196">
        <f t="shared" si="2"/>
        <v>18400</v>
      </c>
      <c r="H115" s="196">
        <f>SUM($G$102:G115)</f>
        <v>432300</v>
      </c>
      <c r="I115" s="196">
        <v>15000</v>
      </c>
      <c r="J115" s="196">
        <f t="shared" si="3"/>
        <v>6</v>
      </c>
      <c r="K115" s="282"/>
      <c r="L115" s="282"/>
      <c r="M115" s="282"/>
      <c r="N115" s="282"/>
      <c r="O115" s="282"/>
      <c r="P115" s="196">
        <v>13</v>
      </c>
      <c r="Q115" s="196">
        <v>38</v>
      </c>
      <c r="R115" s="196">
        <f t="shared" si="4"/>
        <v>8</v>
      </c>
      <c r="S115" s="196">
        <f t="shared" si="1"/>
        <v>3</v>
      </c>
      <c r="T115" s="196">
        <f t="shared" si="6"/>
        <v>5</v>
      </c>
      <c r="U115" s="282"/>
      <c r="V115" s="282"/>
      <c r="W115" s="401">
        <v>57</v>
      </c>
      <c r="X115" s="401"/>
      <c r="Y115" s="420"/>
      <c r="Z115" s="420"/>
    </row>
    <row r="116" spans="1:26">
      <c r="A116" s="419"/>
      <c r="B116" s="420"/>
      <c r="C116" s="196">
        <v>14</v>
      </c>
      <c r="D116" s="196">
        <f t="shared" si="7"/>
        <v>0.16</v>
      </c>
      <c r="E116" s="282"/>
      <c r="F116" s="282">
        <f t="shared" si="5"/>
        <v>640</v>
      </c>
      <c r="G116" s="196">
        <f t="shared" si="2"/>
        <v>16920</v>
      </c>
      <c r="H116" s="196">
        <f>SUM($G$102:G116)</f>
        <v>449220</v>
      </c>
      <c r="I116" s="196">
        <v>15000</v>
      </c>
      <c r="J116" s="196">
        <f t="shared" si="3"/>
        <v>6</v>
      </c>
      <c r="K116" s="282"/>
      <c r="L116" s="282"/>
      <c r="M116" s="282"/>
      <c r="N116" s="282"/>
      <c r="O116" s="282"/>
      <c r="P116" s="196">
        <v>14</v>
      </c>
      <c r="Q116" s="196">
        <v>39</v>
      </c>
      <c r="R116" s="196">
        <f t="shared" si="4"/>
        <v>8</v>
      </c>
      <c r="S116" s="196">
        <f t="shared" si="1"/>
        <v>3</v>
      </c>
      <c r="T116" s="196">
        <f t="shared" si="6"/>
        <v>3</v>
      </c>
      <c r="U116" s="282"/>
      <c r="V116" s="282"/>
      <c r="W116" s="401">
        <v>62</v>
      </c>
      <c r="X116" s="401"/>
      <c r="Y116" s="420"/>
      <c r="Z116" s="420"/>
    </row>
    <row r="117" spans="1:26">
      <c r="A117" s="419"/>
      <c r="B117" s="420"/>
      <c r="C117" s="196">
        <v>15</v>
      </c>
      <c r="D117" s="196">
        <f t="shared" si="7"/>
        <v>0.15</v>
      </c>
      <c r="E117" s="282"/>
      <c r="F117" s="282">
        <f t="shared" si="5"/>
        <v>600</v>
      </c>
      <c r="G117" s="196">
        <f t="shared" si="2"/>
        <v>15000</v>
      </c>
      <c r="H117" s="196">
        <f>SUM($G$102:G117)</f>
        <v>464220</v>
      </c>
      <c r="I117" s="196">
        <v>15000</v>
      </c>
      <c r="J117" s="196">
        <f t="shared" si="3"/>
        <v>6</v>
      </c>
      <c r="K117" s="282"/>
      <c r="L117" s="282"/>
      <c r="M117" s="282"/>
      <c r="N117" s="282"/>
      <c r="O117" s="282"/>
      <c r="P117" s="196">
        <v>15</v>
      </c>
      <c r="Q117" s="196">
        <v>39</v>
      </c>
      <c r="R117" s="196">
        <f t="shared" si="4"/>
        <v>8</v>
      </c>
      <c r="S117" s="196">
        <f t="shared" si="1"/>
        <v>3</v>
      </c>
      <c r="T117" s="196">
        <f t="shared" si="6"/>
        <v>0</v>
      </c>
      <c r="U117" s="282"/>
      <c r="V117" s="282"/>
      <c r="W117" s="401">
        <v>66</v>
      </c>
      <c r="X117" s="401"/>
      <c r="Y117" s="420"/>
      <c r="Z117" s="420"/>
    </row>
    <row r="118" spans="1:26">
      <c r="A118" s="419"/>
      <c r="B118" s="420"/>
      <c r="C118" s="196">
        <v>16</v>
      </c>
      <c r="D118" s="196">
        <f t="shared" ref="D118:D132" si="8">D117-0.005</f>
        <v>0.145</v>
      </c>
      <c r="E118" s="282"/>
      <c r="F118" s="282">
        <f t="shared" si="5"/>
        <v>580</v>
      </c>
      <c r="G118" s="196">
        <f t="shared" si="2"/>
        <v>16740</v>
      </c>
      <c r="H118" s="196">
        <f>SUM($G$102:G118)</f>
        <v>480960</v>
      </c>
      <c r="I118" s="196">
        <v>15000</v>
      </c>
      <c r="J118" s="196">
        <f t="shared" si="3"/>
        <v>7</v>
      </c>
      <c r="K118" s="282"/>
      <c r="L118" s="282"/>
      <c r="M118" s="282"/>
      <c r="N118" s="282"/>
      <c r="O118" s="282"/>
      <c r="P118" s="196">
        <v>16</v>
      </c>
      <c r="Q118" s="196">
        <v>40</v>
      </c>
      <c r="R118" s="196">
        <f t="shared" si="4"/>
        <v>8</v>
      </c>
      <c r="S118" s="196">
        <f t="shared" si="1"/>
        <v>3</v>
      </c>
      <c r="T118" s="196">
        <f t="shared" si="6"/>
        <v>3</v>
      </c>
      <c r="U118" s="282"/>
      <c r="V118" s="282"/>
      <c r="W118" s="401">
        <v>70</v>
      </c>
      <c r="X118" s="401"/>
      <c r="Y118" s="420"/>
      <c r="Z118" s="420"/>
    </row>
    <row r="119" spans="1:26">
      <c r="A119" s="419"/>
      <c r="B119" s="420"/>
      <c r="C119" s="196">
        <v>17</v>
      </c>
      <c r="D119" s="196">
        <f t="shared" si="8"/>
        <v>0.14</v>
      </c>
      <c r="E119" s="282"/>
      <c r="F119" s="282">
        <f t="shared" si="5"/>
        <v>560</v>
      </c>
      <c r="G119" s="196">
        <f t="shared" si="2"/>
        <v>19480</v>
      </c>
      <c r="H119" s="196">
        <f>SUM($G$102:G119)</f>
        <v>500440</v>
      </c>
      <c r="I119" s="196">
        <v>15000</v>
      </c>
      <c r="J119" s="196">
        <f t="shared" si="3"/>
        <v>7</v>
      </c>
      <c r="K119" s="282"/>
      <c r="L119" s="282"/>
      <c r="M119" s="282"/>
      <c r="N119" s="282"/>
      <c r="O119" s="282"/>
      <c r="P119" s="196">
        <v>17</v>
      </c>
      <c r="Q119" s="196">
        <v>42</v>
      </c>
      <c r="R119" s="196">
        <f t="shared" si="4"/>
        <v>9</v>
      </c>
      <c r="S119" s="196">
        <f t="shared" si="1"/>
        <v>3</v>
      </c>
      <c r="T119" s="196">
        <f t="shared" si="6"/>
        <v>8</v>
      </c>
      <c r="U119" s="282"/>
      <c r="V119" s="282"/>
      <c r="W119" s="401">
        <v>74</v>
      </c>
      <c r="X119" s="401"/>
      <c r="Y119" s="420"/>
      <c r="Z119" s="420"/>
    </row>
    <row r="120" spans="1:26">
      <c r="A120" s="419"/>
      <c r="B120" s="420"/>
      <c r="C120" s="196">
        <v>18</v>
      </c>
      <c r="D120" s="196">
        <f t="shared" si="8"/>
        <v>0.135</v>
      </c>
      <c r="E120" s="282"/>
      <c r="F120" s="282">
        <f t="shared" si="5"/>
        <v>540</v>
      </c>
      <c r="G120" s="196">
        <f t="shared" si="2"/>
        <v>18240</v>
      </c>
      <c r="H120" s="196">
        <f>SUM($G$102:G120)</f>
        <v>518680</v>
      </c>
      <c r="I120" s="196">
        <v>15000</v>
      </c>
      <c r="J120" s="196">
        <f t="shared" si="3"/>
        <v>7</v>
      </c>
      <c r="K120" s="282"/>
      <c r="L120" s="282"/>
      <c r="M120" s="282"/>
      <c r="N120" s="282"/>
      <c r="O120" s="282"/>
      <c r="P120" s="196">
        <v>18</v>
      </c>
      <c r="Q120" s="196">
        <v>44</v>
      </c>
      <c r="R120" s="196">
        <f t="shared" si="4"/>
        <v>9</v>
      </c>
      <c r="S120" s="196">
        <f t="shared" si="1"/>
        <v>3</v>
      </c>
      <c r="T120" s="196">
        <f t="shared" si="6"/>
        <v>6</v>
      </c>
      <c r="U120" s="282"/>
      <c r="V120" s="282"/>
      <c r="W120" s="401">
        <v>79</v>
      </c>
      <c r="X120" s="401"/>
      <c r="Y120" s="420"/>
      <c r="Z120" s="420"/>
    </row>
    <row r="121" spans="1:26">
      <c r="A121" s="419"/>
      <c r="B121" s="420"/>
      <c r="C121" s="196">
        <v>19</v>
      </c>
      <c r="D121" s="196">
        <f t="shared" si="8"/>
        <v>0.13</v>
      </c>
      <c r="E121" s="282"/>
      <c r="F121" s="282">
        <f t="shared" si="5"/>
        <v>520</v>
      </c>
      <c r="G121" s="196">
        <f t="shared" si="2"/>
        <v>20720</v>
      </c>
      <c r="H121" s="196">
        <f>SUM($G$102:G121)</f>
        <v>539400</v>
      </c>
      <c r="I121" s="196">
        <v>15000</v>
      </c>
      <c r="J121" s="196">
        <f t="shared" si="3"/>
        <v>7</v>
      </c>
      <c r="K121" s="282"/>
      <c r="L121" s="282"/>
      <c r="M121" s="282"/>
      <c r="N121" s="282"/>
      <c r="O121" s="282"/>
      <c r="P121" s="196">
        <v>19</v>
      </c>
      <c r="Q121" s="196">
        <v>46</v>
      </c>
      <c r="R121" s="196">
        <f t="shared" si="4"/>
        <v>9</v>
      </c>
      <c r="S121" s="196">
        <f t="shared" si="1"/>
        <v>4</v>
      </c>
      <c r="T121" s="196">
        <f t="shared" si="6"/>
        <v>11</v>
      </c>
      <c r="U121" s="282"/>
      <c r="V121" s="282"/>
      <c r="W121" s="401">
        <v>83</v>
      </c>
      <c r="X121" s="401"/>
      <c r="Y121" s="420"/>
      <c r="Z121" s="420"/>
    </row>
    <row r="122" spans="1:26">
      <c r="A122" s="419"/>
      <c r="B122" s="420"/>
      <c r="C122" s="196">
        <v>20</v>
      </c>
      <c r="D122" s="196">
        <f t="shared" si="8"/>
        <v>0.125</v>
      </c>
      <c r="E122" s="282"/>
      <c r="F122" s="282">
        <f t="shared" si="5"/>
        <v>500</v>
      </c>
      <c r="G122" s="196">
        <f t="shared" si="2"/>
        <v>17500</v>
      </c>
      <c r="H122" s="196">
        <f>SUM($G$102:G122)</f>
        <v>556900</v>
      </c>
      <c r="I122" s="196">
        <v>15000</v>
      </c>
      <c r="J122" s="196">
        <f t="shared" si="3"/>
        <v>7</v>
      </c>
      <c r="K122" s="282"/>
      <c r="L122" s="282"/>
      <c r="M122" s="282"/>
      <c r="N122" s="282"/>
      <c r="O122" s="282"/>
      <c r="P122" s="196">
        <v>20</v>
      </c>
      <c r="Q122" s="196">
        <v>47</v>
      </c>
      <c r="R122" s="196">
        <f t="shared" si="4"/>
        <v>10</v>
      </c>
      <c r="S122" s="196">
        <f t="shared" si="1"/>
        <v>4</v>
      </c>
      <c r="T122" s="196">
        <f t="shared" si="6"/>
        <v>5</v>
      </c>
      <c r="U122" s="282"/>
      <c r="V122" s="282"/>
      <c r="W122" s="401">
        <v>85</v>
      </c>
      <c r="X122" s="401"/>
      <c r="Y122" s="420"/>
      <c r="Z122" s="420"/>
    </row>
    <row r="123" spans="1:26">
      <c r="A123" s="419"/>
      <c r="B123" s="420"/>
      <c r="C123" s="196">
        <v>21</v>
      </c>
      <c r="D123" s="196">
        <f t="shared" si="8"/>
        <v>0.12</v>
      </c>
      <c r="E123" s="282"/>
      <c r="F123" s="282">
        <f t="shared" si="5"/>
        <v>480</v>
      </c>
      <c r="G123" s="196">
        <f t="shared" si="2"/>
        <v>16440</v>
      </c>
      <c r="H123" s="196">
        <f>SUM($G$102:G123)</f>
        <v>573340</v>
      </c>
      <c r="I123" s="196">
        <v>15000</v>
      </c>
      <c r="J123" s="196">
        <f t="shared" si="3"/>
        <v>7</v>
      </c>
      <c r="K123" s="282"/>
      <c r="L123" s="282"/>
      <c r="M123" s="282"/>
      <c r="N123" s="282"/>
      <c r="O123" s="282"/>
      <c r="P123" s="196">
        <v>21</v>
      </c>
      <c r="Q123" s="196">
        <v>48</v>
      </c>
      <c r="R123" s="196">
        <f t="shared" si="4"/>
        <v>10</v>
      </c>
      <c r="S123" s="196">
        <f t="shared" si="1"/>
        <v>4</v>
      </c>
      <c r="T123" s="196">
        <f t="shared" si="6"/>
        <v>3</v>
      </c>
      <c r="U123" s="282"/>
      <c r="V123" s="282"/>
      <c r="W123" s="401">
        <v>89</v>
      </c>
      <c r="X123" s="401"/>
      <c r="Y123" s="420"/>
      <c r="Z123" s="420"/>
    </row>
    <row r="124" spans="1:26">
      <c r="A124" s="419"/>
      <c r="B124" s="420"/>
      <c r="C124" s="196">
        <v>22</v>
      </c>
      <c r="D124" s="196">
        <f t="shared" si="8"/>
        <v>0.115</v>
      </c>
      <c r="E124" s="282"/>
      <c r="F124" s="282">
        <f t="shared" si="5"/>
        <v>460</v>
      </c>
      <c r="G124" s="196">
        <f t="shared" si="2"/>
        <v>16380</v>
      </c>
      <c r="H124" s="196">
        <f>SUM($G$102:G124)</f>
        <v>589720</v>
      </c>
      <c r="I124" s="196">
        <v>15000</v>
      </c>
      <c r="J124" s="196">
        <f t="shared" si="3"/>
        <v>7</v>
      </c>
      <c r="K124" s="282"/>
      <c r="L124" s="282"/>
      <c r="M124" s="282"/>
      <c r="N124" s="282"/>
      <c r="O124" s="282"/>
      <c r="P124" s="196">
        <v>22</v>
      </c>
      <c r="Q124" s="196">
        <v>49</v>
      </c>
      <c r="R124" s="196">
        <f t="shared" si="4"/>
        <v>10</v>
      </c>
      <c r="S124" s="196">
        <f t="shared" si="1"/>
        <v>4</v>
      </c>
      <c r="T124" s="196">
        <f t="shared" si="6"/>
        <v>3</v>
      </c>
      <c r="U124" s="282"/>
      <c r="V124" s="282"/>
      <c r="W124" s="401">
        <v>91</v>
      </c>
      <c r="X124" s="401"/>
      <c r="Y124" s="420"/>
      <c r="Z124" s="420"/>
    </row>
    <row r="125" spans="1:26">
      <c r="A125" s="419"/>
      <c r="B125" s="420"/>
      <c r="C125" s="196">
        <v>23</v>
      </c>
      <c r="D125" s="196">
        <f t="shared" si="8"/>
        <v>0.11</v>
      </c>
      <c r="E125" s="282"/>
      <c r="F125" s="282">
        <f t="shared" si="5"/>
        <v>440</v>
      </c>
      <c r="G125" s="196">
        <f t="shared" si="2"/>
        <v>16320</v>
      </c>
      <c r="H125" s="196">
        <f>SUM($G$102:G125)</f>
        <v>606040</v>
      </c>
      <c r="I125" s="196">
        <v>15000</v>
      </c>
      <c r="J125" s="196">
        <f t="shared" si="3"/>
        <v>8</v>
      </c>
      <c r="K125" s="282"/>
      <c r="L125" s="282"/>
      <c r="M125" s="282"/>
      <c r="N125" s="282"/>
      <c r="O125" s="282"/>
      <c r="P125" s="196">
        <v>23</v>
      </c>
      <c r="Q125" s="196">
        <v>50</v>
      </c>
      <c r="R125" s="196">
        <f t="shared" si="4"/>
        <v>10</v>
      </c>
      <c r="S125" s="196">
        <f t="shared" si="1"/>
        <v>4</v>
      </c>
      <c r="T125" s="196">
        <f t="shared" si="6"/>
        <v>3</v>
      </c>
      <c r="U125" s="282"/>
      <c r="V125" s="282"/>
      <c r="W125" s="401">
        <v>95</v>
      </c>
      <c r="X125" s="401"/>
      <c r="Y125" s="420"/>
      <c r="Z125" s="420"/>
    </row>
    <row r="126" spans="1:26">
      <c r="A126" s="419"/>
      <c r="B126" s="420"/>
      <c r="C126" s="196">
        <v>24</v>
      </c>
      <c r="D126" s="196">
        <f t="shared" si="8"/>
        <v>0.105</v>
      </c>
      <c r="E126" s="282"/>
      <c r="F126" s="282">
        <f t="shared" si="5"/>
        <v>420</v>
      </c>
      <c r="G126" s="196">
        <f t="shared" si="2"/>
        <v>17100</v>
      </c>
      <c r="H126" s="196">
        <f>SUM($G$102:G126)</f>
        <v>623140</v>
      </c>
      <c r="I126" s="196">
        <v>15000</v>
      </c>
      <c r="J126" s="196">
        <f t="shared" si="3"/>
        <v>8</v>
      </c>
      <c r="K126" s="282"/>
      <c r="L126" s="282"/>
      <c r="M126" s="282"/>
      <c r="N126" s="282"/>
      <c r="O126" s="282"/>
      <c r="P126" s="196">
        <v>24</v>
      </c>
      <c r="Q126" s="196">
        <v>51</v>
      </c>
      <c r="R126" s="196">
        <f t="shared" si="4"/>
        <v>11</v>
      </c>
      <c r="S126" s="196">
        <f t="shared" si="1"/>
        <v>4</v>
      </c>
      <c r="T126" s="196">
        <f t="shared" si="6"/>
        <v>5</v>
      </c>
      <c r="U126" s="282"/>
      <c r="V126" s="282"/>
      <c r="W126" s="401">
        <v>99</v>
      </c>
      <c r="X126" s="401"/>
      <c r="Y126" s="420"/>
      <c r="Z126" s="420"/>
    </row>
    <row r="127" spans="1:26">
      <c r="A127" s="419"/>
      <c r="B127" s="420"/>
      <c r="C127" s="196">
        <v>25</v>
      </c>
      <c r="D127" s="196">
        <f t="shared" si="8"/>
        <v>0.0999999999999999</v>
      </c>
      <c r="E127" s="282"/>
      <c r="F127" s="282">
        <f t="shared" si="5"/>
        <v>400</v>
      </c>
      <c r="G127" s="196">
        <f t="shared" si="2"/>
        <v>16200</v>
      </c>
      <c r="H127" s="196">
        <f>SUM($G$102:G127)</f>
        <v>639340</v>
      </c>
      <c r="I127" s="196">
        <v>15000</v>
      </c>
      <c r="J127" s="196">
        <f t="shared" si="3"/>
        <v>8</v>
      </c>
      <c r="K127" s="282"/>
      <c r="L127" s="282"/>
      <c r="M127" s="282"/>
      <c r="N127" s="282"/>
      <c r="O127" s="282"/>
      <c r="P127" s="196">
        <v>25</v>
      </c>
      <c r="Q127" s="196">
        <v>52</v>
      </c>
      <c r="R127" s="196">
        <f t="shared" si="4"/>
        <v>11</v>
      </c>
      <c r="S127" s="196">
        <f t="shared" si="1"/>
        <v>4</v>
      </c>
      <c r="T127" s="196">
        <f t="shared" si="6"/>
        <v>3</v>
      </c>
      <c r="U127" s="282"/>
      <c r="V127" s="282"/>
      <c r="W127" s="401">
        <v>101</v>
      </c>
      <c r="X127" s="401"/>
      <c r="Y127" s="420"/>
      <c r="Z127" s="420"/>
    </row>
    <row r="128" spans="1:26">
      <c r="A128" s="419"/>
      <c r="B128" s="420"/>
      <c r="C128" s="196">
        <v>26</v>
      </c>
      <c r="D128" s="196">
        <f t="shared" si="8"/>
        <v>0.0949999999999999</v>
      </c>
      <c r="E128" s="282"/>
      <c r="F128" s="282">
        <f t="shared" si="5"/>
        <v>380</v>
      </c>
      <c r="G128" s="196">
        <f t="shared" si="2"/>
        <v>16140</v>
      </c>
      <c r="H128" s="196">
        <f>SUM($G$102:G128)</f>
        <v>655480</v>
      </c>
      <c r="I128" s="196">
        <v>15000</v>
      </c>
      <c r="J128" s="196">
        <f t="shared" si="3"/>
        <v>8</v>
      </c>
      <c r="K128" s="282"/>
      <c r="L128" s="282"/>
      <c r="M128" s="282"/>
      <c r="N128" s="282"/>
      <c r="O128" s="282"/>
      <c r="P128" s="196">
        <v>26</v>
      </c>
      <c r="Q128" s="196">
        <v>53</v>
      </c>
      <c r="R128" s="196">
        <f t="shared" si="4"/>
        <v>11</v>
      </c>
      <c r="S128" s="196">
        <f t="shared" si="1"/>
        <v>4</v>
      </c>
      <c r="T128" s="196">
        <f t="shared" si="6"/>
        <v>3</v>
      </c>
      <c r="U128" s="282"/>
      <c r="V128" s="282"/>
      <c r="W128" s="401">
        <v>105</v>
      </c>
      <c r="X128" s="401"/>
      <c r="Y128" s="420"/>
      <c r="Z128" s="420"/>
    </row>
    <row r="129" spans="1:26">
      <c r="A129" s="419"/>
      <c r="B129" s="420"/>
      <c r="C129" s="196">
        <v>27</v>
      </c>
      <c r="D129" s="196">
        <f t="shared" si="8"/>
        <v>0.0899999999999999</v>
      </c>
      <c r="E129" s="282"/>
      <c r="F129" s="282">
        <f t="shared" si="5"/>
        <v>360</v>
      </c>
      <c r="G129" s="196">
        <f t="shared" si="2"/>
        <v>16800</v>
      </c>
      <c r="H129" s="196">
        <f>SUM($G$102:G129)</f>
        <v>672280</v>
      </c>
      <c r="I129" s="196">
        <v>15000</v>
      </c>
      <c r="J129" s="196">
        <f t="shared" si="3"/>
        <v>8</v>
      </c>
      <c r="K129" s="282"/>
      <c r="L129" s="282"/>
      <c r="M129" s="282"/>
      <c r="N129" s="282"/>
      <c r="O129" s="282"/>
      <c r="P129" s="196">
        <v>27</v>
      </c>
      <c r="Q129" s="196">
        <v>54</v>
      </c>
      <c r="R129" s="196">
        <f t="shared" si="4"/>
        <v>12</v>
      </c>
      <c r="S129" s="196">
        <f t="shared" si="1"/>
        <v>4</v>
      </c>
      <c r="T129" s="196">
        <f t="shared" si="6"/>
        <v>5</v>
      </c>
      <c r="U129" s="282"/>
      <c r="V129" s="282"/>
      <c r="W129" s="401">
        <v>109</v>
      </c>
      <c r="X129" s="401"/>
      <c r="Y129" s="420"/>
      <c r="Z129" s="420"/>
    </row>
    <row r="130" spans="1:26">
      <c r="A130" s="419"/>
      <c r="B130" s="420"/>
      <c r="C130" s="196">
        <v>28</v>
      </c>
      <c r="D130" s="196">
        <f t="shared" si="8"/>
        <v>0.0849999999999999</v>
      </c>
      <c r="E130" s="282"/>
      <c r="F130" s="282">
        <f t="shared" si="5"/>
        <v>340</v>
      </c>
      <c r="G130" s="196">
        <f t="shared" si="2"/>
        <v>17720</v>
      </c>
      <c r="H130" s="196">
        <f>SUM($G$102:G130)</f>
        <v>690000</v>
      </c>
      <c r="I130" s="196">
        <v>15000</v>
      </c>
      <c r="J130" s="196">
        <f t="shared" si="3"/>
        <v>8</v>
      </c>
      <c r="K130" s="282"/>
      <c r="L130" s="282"/>
      <c r="M130" s="282"/>
      <c r="N130" s="282"/>
      <c r="O130" s="282"/>
      <c r="P130" s="196">
        <v>28</v>
      </c>
      <c r="Q130" s="196">
        <v>55</v>
      </c>
      <c r="R130" s="196">
        <f t="shared" si="4"/>
        <v>12</v>
      </c>
      <c r="S130" s="196">
        <f t="shared" si="1"/>
        <v>5</v>
      </c>
      <c r="T130" s="196">
        <f t="shared" si="6"/>
        <v>8</v>
      </c>
      <c r="U130" s="282"/>
      <c r="V130" s="282"/>
      <c r="W130" s="401">
        <v>112</v>
      </c>
      <c r="X130" s="401"/>
      <c r="Y130" s="420"/>
      <c r="Z130" s="420"/>
    </row>
    <row r="131" spans="1:26">
      <c r="A131" s="419"/>
      <c r="B131" s="420"/>
      <c r="C131" s="196">
        <v>29</v>
      </c>
      <c r="D131" s="196">
        <f t="shared" si="8"/>
        <v>0.0799999999999999</v>
      </c>
      <c r="E131" s="282"/>
      <c r="F131" s="282">
        <f t="shared" si="5"/>
        <v>320</v>
      </c>
      <c r="G131" s="196">
        <f t="shared" si="2"/>
        <v>15960</v>
      </c>
      <c r="H131" s="196">
        <f>SUM($G$102:G131)</f>
        <v>705960</v>
      </c>
      <c r="I131" s="196">
        <v>15000</v>
      </c>
      <c r="J131" s="196">
        <f t="shared" si="3"/>
        <v>8</v>
      </c>
      <c r="K131" s="282"/>
      <c r="L131" s="282"/>
      <c r="M131" s="282"/>
      <c r="N131" s="282"/>
      <c r="O131" s="282"/>
      <c r="P131" s="196">
        <v>29</v>
      </c>
      <c r="Q131" s="196">
        <v>56</v>
      </c>
      <c r="R131" s="196">
        <f t="shared" si="4"/>
        <v>12</v>
      </c>
      <c r="S131" s="196">
        <f t="shared" si="1"/>
        <v>5</v>
      </c>
      <c r="T131" s="196">
        <f t="shared" si="6"/>
        <v>3</v>
      </c>
      <c r="U131" s="282"/>
      <c r="V131" s="282"/>
      <c r="W131" s="282">
        <v>116</v>
      </c>
      <c r="X131" s="282"/>
      <c r="Y131" s="420"/>
      <c r="Z131" s="420"/>
    </row>
    <row r="132" spans="1:26">
      <c r="A132" s="419"/>
      <c r="B132" s="420"/>
      <c r="C132" s="196">
        <v>30</v>
      </c>
      <c r="D132" s="196">
        <f t="shared" si="8"/>
        <v>0.0749999999999999</v>
      </c>
      <c r="E132" s="282"/>
      <c r="F132" s="282">
        <f t="shared" si="5"/>
        <v>300</v>
      </c>
      <c r="G132" s="196">
        <f t="shared" si="2"/>
        <v>16500</v>
      </c>
      <c r="H132" s="196">
        <f>SUM($G$102:G132)</f>
        <v>722460</v>
      </c>
      <c r="I132" s="196">
        <v>15000</v>
      </c>
      <c r="J132" s="196">
        <f t="shared" si="3"/>
        <v>8</v>
      </c>
      <c r="K132" s="282"/>
      <c r="L132" s="282"/>
      <c r="M132" s="282"/>
      <c r="N132" s="282"/>
      <c r="O132" s="282"/>
      <c r="P132" s="196">
        <v>30</v>
      </c>
      <c r="Q132" s="196">
        <v>57</v>
      </c>
      <c r="R132" s="196">
        <f t="shared" si="4"/>
        <v>13</v>
      </c>
      <c r="S132" s="196">
        <f t="shared" si="1"/>
        <v>5</v>
      </c>
      <c r="T132" s="196">
        <f t="shared" si="6"/>
        <v>5</v>
      </c>
      <c r="U132" s="282"/>
      <c r="V132" s="282"/>
      <c r="W132" s="282">
        <v>120</v>
      </c>
      <c r="X132" s="282"/>
      <c r="Y132" s="420"/>
      <c r="Z132" s="420"/>
    </row>
    <row r="133" spans="1:26">
      <c r="A133" s="419"/>
      <c r="B133" s="420"/>
      <c r="C133" s="282"/>
      <c r="D133" s="401"/>
      <c r="E133" s="401"/>
      <c r="F133" s="401"/>
      <c r="G133" s="401"/>
      <c r="H133" s="401"/>
      <c r="I133" s="401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>
        <v>124</v>
      </c>
      <c r="X133" s="282"/>
      <c r="Y133" s="420"/>
      <c r="Z133" s="420"/>
    </row>
    <row r="134" spans="1:26">
      <c r="A134" s="419"/>
      <c r="B134" s="420"/>
      <c r="C134" s="282"/>
      <c r="D134" s="401"/>
      <c r="E134" s="401"/>
      <c r="F134" s="401"/>
      <c r="G134" s="401"/>
      <c r="H134" s="401"/>
      <c r="I134" s="401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>
        <v>128</v>
      </c>
      <c r="X134" s="282"/>
      <c r="Y134" s="420"/>
      <c r="Z134" s="420"/>
    </row>
    <row r="135" spans="1:26">
      <c r="A135" s="419"/>
      <c r="B135" s="420"/>
      <c r="C135" s="282"/>
      <c r="D135" s="401"/>
      <c r="E135" s="401"/>
      <c r="F135" s="401"/>
      <c r="G135" s="401"/>
      <c r="H135" s="401"/>
      <c r="I135" s="401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>
        <v>132</v>
      </c>
      <c r="X135" s="282"/>
      <c r="Y135" s="420"/>
      <c r="Z135" s="420"/>
    </row>
    <row r="136" spans="1:26">
      <c r="A136" s="419"/>
      <c r="B136" s="420"/>
      <c r="C136" s="282"/>
      <c r="D136" s="401"/>
      <c r="E136" s="401"/>
      <c r="F136" s="401"/>
      <c r="G136" s="401"/>
      <c r="H136" s="401"/>
      <c r="I136" s="401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>
        <v>136</v>
      </c>
      <c r="X136" s="282"/>
      <c r="Y136" s="420"/>
      <c r="Z136" s="420"/>
    </row>
    <row r="137" spans="1:26">
      <c r="A137" s="419"/>
      <c r="B137" s="420"/>
      <c r="C137" s="282"/>
      <c r="D137" s="401"/>
      <c r="E137" s="401"/>
      <c r="F137" s="401"/>
      <c r="G137" s="401"/>
      <c r="H137" s="401"/>
      <c r="I137" s="401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>
        <v>140</v>
      </c>
      <c r="X137" s="282"/>
      <c r="Y137" s="420"/>
      <c r="Z137" s="420"/>
    </row>
    <row r="138" spans="1:26">
      <c r="A138" s="419"/>
      <c r="B138" s="420"/>
      <c r="C138" s="282"/>
      <c r="D138" s="401"/>
      <c r="E138" s="401"/>
      <c r="F138" s="401"/>
      <c r="G138" s="401"/>
      <c r="H138" s="401"/>
      <c r="I138" s="401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>
        <v>144</v>
      </c>
      <c r="X138" s="282"/>
      <c r="Y138" s="420"/>
      <c r="Z138" s="420"/>
    </row>
    <row r="139" spans="1:26">
      <c r="A139" s="419"/>
      <c r="B139" s="420"/>
      <c r="C139" s="282"/>
      <c r="D139" s="401"/>
      <c r="E139" s="401"/>
      <c r="F139" s="401"/>
      <c r="G139" s="401"/>
      <c r="H139" s="401"/>
      <c r="I139" s="401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>
        <v>148</v>
      </c>
      <c r="X139" s="282"/>
      <c r="Y139" s="420"/>
      <c r="Z139" s="420"/>
    </row>
    <row r="140" spans="1:26">
      <c r="A140" s="419"/>
      <c r="B140" s="420"/>
      <c r="C140" s="282"/>
      <c r="D140" s="401"/>
      <c r="E140" s="401"/>
      <c r="F140" s="401"/>
      <c r="G140" s="401"/>
      <c r="H140" s="401"/>
      <c r="I140" s="401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>
        <v>150</v>
      </c>
      <c r="X140" s="282"/>
      <c r="Y140" s="420"/>
      <c r="Z140" s="420"/>
    </row>
    <row r="141" spans="1:26">
      <c r="A141" s="419"/>
      <c r="B141" s="420"/>
      <c r="C141" s="282"/>
      <c r="D141" s="401"/>
      <c r="E141" s="401"/>
      <c r="F141" s="401"/>
      <c r="G141" s="401"/>
      <c r="H141" s="401"/>
      <c r="I141" s="401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>
        <v>154</v>
      </c>
      <c r="X141" s="282"/>
      <c r="Y141" s="420"/>
      <c r="Z141" s="420"/>
    </row>
    <row r="142" spans="1:26">
      <c r="A142" s="419"/>
      <c r="B142" s="420"/>
      <c r="C142" s="282"/>
      <c r="D142" s="401"/>
      <c r="E142" s="401"/>
      <c r="F142" s="401"/>
      <c r="G142" s="401"/>
      <c r="H142" s="401"/>
      <c r="I142" s="401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>
        <v>158</v>
      </c>
      <c r="X142" s="282"/>
      <c r="Y142" s="420"/>
      <c r="Z142" s="420"/>
    </row>
    <row r="143" spans="1:26">
      <c r="A143" s="419"/>
      <c r="B143" s="420"/>
      <c r="C143" s="282"/>
      <c r="D143" s="401"/>
      <c r="E143" s="401"/>
      <c r="F143" s="401"/>
      <c r="G143" s="401"/>
      <c r="H143" s="401"/>
      <c r="I143" s="401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>
        <v>162</v>
      </c>
      <c r="X143" s="282"/>
      <c r="Y143" s="420"/>
      <c r="Z143" s="420"/>
    </row>
    <row r="144" spans="1:26">
      <c r="A144" s="419"/>
      <c r="B144" s="420"/>
      <c r="C144" s="282"/>
      <c r="D144" s="401"/>
      <c r="E144" s="401"/>
      <c r="F144" s="401"/>
      <c r="G144" s="401"/>
      <c r="H144" s="401"/>
      <c r="I144" s="401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>
        <v>166</v>
      </c>
      <c r="X144" s="282"/>
      <c r="Y144" s="420"/>
      <c r="Z144" s="420"/>
    </row>
    <row r="145" spans="1:26">
      <c r="A145" s="419"/>
      <c r="B145" s="420"/>
      <c r="C145" s="282"/>
      <c r="D145" s="401"/>
      <c r="E145" s="401"/>
      <c r="F145" s="401"/>
      <c r="G145" s="401"/>
      <c r="H145" s="401"/>
      <c r="I145" s="401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>
        <v>170</v>
      </c>
      <c r="X145" s="282"/>
      <c r="Y145" s="420"/>
      <c r="Z145" s="420"/>
    </row>
    <row r="146" spans="1:26">
      <c r="A146" s="419"/>
      <c r="B146" s="420"/>
      <c r="C146" s="282"/>
      <c r="D146" s="401"/>
      <c r="E146" s="401"/>
      <c r="F146" s="401"/>
      <c r="G146" s="401"/>
      <c r="H146" s="401"/>
      <c r="I146" s="401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>
        <v>174</v>
      </c>
      <c r="X146" s="282"/>
      <c r="Y146" s="420"/>
      <c r="Z146" s="420"/>
    </row>
    <row r="147" spans="1:26">
      <c r="A147" s="419"/>
      <c r="B147" s="420"/>
      <c r="C147" s="282"/>
      <c r="D147" s="401"/>
      <c r="E147" s="401"/>
      <c r="F147" s="401"/>
      <c r="G147" s="401"/>
      <c r="H147" s="401"/>
      <c r="I147" s="401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>
        <v>178</v>
      </c>
      <c r="X147" s="282"/>
      <c r="Y147" s="420"/>
      <c r="Z147" s="420"/>
    </row>
    <row r="148" spans="1:26">
      <c r="V148" s="282"/>
      <c r="W148" s="282">
        <v>182</v>
      </c>
      <c r="X148" s="282"/>
      <c r="Y148" s="420"/>
      <c r="Z148" s="420"/>
    </row>
    <row r="149" spans="1:26">
      <c r="V149" s="282"/>
      <c r="W149" s="282">
        <v>186</v>
      </c>
      <c r="X149" s="282"/>
      <c r="Y149" s="420"/>
      <c r="Z149" s="420"/>
    </row>
    <row r="150" spans="1:26">
      <c r="V150" s="282"/>
      <c r="W150" s="282">
        <v>190</v>
      </c>
      <c r="X150" s="282"/>
      <c r="Y150" s="420"/>
      <c r="Z150" s="420"/>
    </row>
    <row r="151" spans="1:26">
      <c r="V151" s="282"/>
      <c r="W151" s="282">
        <v>194</v>
      </c>
      <c r="X151" s="282"/>
      <c r="Y151" s="420"/>
      <c r="Z151" s="420"/>
    </row>
    <row r="152" spans="1:26">
      <c r="V152" s="282"/>
      <c r="W152" s="282">
        <v>195</v>
      </c>
      <c r="X152" s="282"/>
      <c r="Y152" s="420"/>
      <c r="Z152" s="420"/>
    </row>
    <row r="153" spans="1:26">
      <c r="V153" s="282"/>
      <c r="W153" s="282"/>
      <c r="X153" s="282"/>
      <c r="Y153" s="420"/>
      <c r="Z153" s="420"/>
    </row>
  </sheetData>
  <mergeCells count="8">
    <mergeCell ref="F4:J4"/>
    <mergeCell ref="K4:M4"/>
    <mergeCell ref="F5:J5"/>
    <mergeCell ref="F6:J6"/>
    <mergeCell ref="F7:J7"/>
    <mergeCell ref="F8:J8"/>
    <mergeCell ref="F9:J9"/>
    <mergeCell ref="C5:C9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7"/>
  </sheetPr>
  <dimension ref="B1:T119"/>
  <sheetViews>
    <sheetView showGridLines="0" zoomScale="115" zoomScaleNormal="115" workbookViewId="0">
      <selection activeCell="E21" sqref="E21"/>
    </sheetView>
  </sheetViews>
  <sheetFormatPr defaultColWidth="9" defaultRowHeight="16.5"/>
  <cols>
    <col min="2" max="2" width="2.875" style="198" customWidth="1"/>
    <col min="3" max="3" width="9" style="198"/>
    <col min="4" max="4" width="14" style="198" customWidth="1"/>
    <col min="5" max="5" width="13.25" style="198" customWidth="1"/>
    <col min="6" max="6" width="9" style="198"/>
    <col min="7" max="8" width="11.75" style="198" customWidth="1"/>
    <col min="9" max="9" width="17.5" style="198" customWidth="1"/>
    <col min="10" max="10" width="9" style="198"/>
    <col min="11" max="11" width="9.375" style="198" customWidth="1"/>
    <col min="12" max="12" width="10.25" style="198" customWidth="1"/>
    <col min="13" max="14" width="9" style="198"/>
    <col min="15" max="16" width="12.625" style="198"/>
    <col min="17" max="18" width="9" style="198"/>
    <col min="19" max="19" width="12.75" style="198" customWidth="1"/>
    <col min="20" max="20" width="11.625" style="198" customWidth="1"/>
    <col min="21" max="21" width="12.875" style="198" customWidth="1"/>
  </cols>
  <sheetData>
    <row r="1" spans="2:20">
      <c r="B1" s="198" t="s">
        <v>1377</v>
      </c>
    </row>
    <row r="2" spans="2:20">
      <c r="D2" s="202" t="s">
        <v>918</v>
      </c>
      <c r="E2" s="202" t="s">
        <v>1378</v>
      </c>
      <c r="F2" s="202" t="s">
        <v>919</v>
      </c>
    </row>
    <row r="3" spans="2:20">
      <c r="D3" s="196" t="s">
        <v>306</v>
      </c>
      <c r="E3" s="196" t="s">
        <v>1379</v>
      </c>
      <c r="F3" s="196">
        <v>14</v>
      </c>
    </row>
    <row r="4" spans="2:20">
      <c r="B4" s="78"/>
      <c r="C4" s="78"/>
      <c r="D4" s="196"/>
      <c r="E4" s="196" t="s">
        <v>1380</v>
      </c>
      <c r="F4" s="196">
        <v>8</v>
      </c>
      <c r="G4" s="78"/>
      <c r="H4" s="78"/>
      <c r="L4" s="78"/>
      <c r="M4" s="78"/>
      <c r="N4" s="78"/>
    </row>
    <row r="5" spans="2:20">
      <c r="D5" s="196"/>
      <c r="E5" s="196" t="s">
        <v>1381</v>
      </c>
      <c r="F5" s="196">
        <v>75</v>
      </c>
      <c r="H5" s="78"/>
      <c r="L5" s="78"/>
      <c r="M5" s="78"/>
      <c r="N5" s="14"/>
      <c r="O5" s="14"/>
    </row>
    <row r="6" spans="2:20">
      <c r="B6" s="326"/>
      <c r="D6" s="196"/>
      <c r="E6" s="196" t="s">
        <v>1382</v>
      </c>
      <c r="F6" s="196">
        <v>6.2</v>
      </c>
      <c r="H6" s="78"/>
      <c r="N6" s="14"/>
      <c r="O6" s="14"/>
    </row>
    <row r="7" spans="2:20">
      <c r="B7" s="14"/>
      <c r="F7" s="198">
        <f>SUM(F3:F6)</f>
        <v>103.2</v>
      </c>
      <c r="H7" s="78"/>
      <c r="I7" s="78"/>
      <c r="J7" s="78"/>
      <c r="N7" s="14"/>
      <c r="O7" s="14"/>
    </row>
    <row r="8" spans="2:20">
      <c r="B8" s="328"/>
      <c r="C8" s="14" t="s">
        <v>1383</v>
      </c>
      <c r="E8" s="329"/>
      <c r="H8" s="78"/>
      <c r="I8" s="78"/>
      <c r="J8" s="78"/>
      <c r="N8" s="14"/>
      <c r="O8" s="14"/>
    </row>
    <row r="9" spans="2:20">
      <c r="B9" s="14"/>
      <c r="C9" s="326"/>
      <c r="D9" s="202" t="s">
        <v>1384</v>
      </c>
      <c r="E9" s="202" t="s">
        <v>1385</v>
      </c>
      <c r="F9" s="202" t="s">
        <v>1386</v>
      </c>
      <c r="G9" s="78"/>
      <c r="H9" s="78"/>
      <c r="I9" s="78"/>
      <c r="J9" s="78"/>
      <c r="N9" s="14"/>
      <c r="O9" s="14"/>
    </row>
    <row r="10" spans="2:20">
      <c r="B10" s="14"/>
      <c r="C10" s="14"/>
      <c r="D10" s="331">
        <v>150</v>
      </c>
      <c r="E10" s="382">
        <f>(1-(1-J13)^D10)/J13</f>
        <v>125.213340105447</v>
      </c>
      <c r="F10" s="383">
        <f>1/E10</f>
        <v>0.00798636949671544</v>
      </c>
      <c r="G10" s="384">
        <f>E10/D10</f>
        <v>0.834755600702982</v>
      </c>
      <c r="H10" s="78"/>
      <c r="I10" s="78"/>
      <c r="J10" s="78"/>
      <c r="K10" s="78"/>
      <c r="L10" s="78"/>
      <c r="M10" s="78"/>
      <c r="N10" s="14"/>
      <c r="O10" s="14"/>
      <c r="Q10" s="198" t="s">
        <v>1387</v>
      </c>
      <c r="S10" s="198" t="s">
        <v>1388</v>
      </c>
      <c r="T10" s="198" t="s">
        <v>1389</v>
      </c>
    </row>
    <row r="11" spans="2:20">
      <c r="B11" s="14"/>
      <c r="C11" s="14"/>
      <c r="D11" s="14" t="s">
        <v>1390</v>
      </c>
      <c r="E11" s="14"/>
      <c r="F11" s="14"/>
      <c r="G11" s="78"/>
      <c r="H11" s="78"/>
      <c r="I11" s="78"/>
      <c r="J11" s="78"/>
      <c r="K11" s="78"/>
      <c r="L11" s="78"/>
      <c r="M11" s="78" t="s">
        <v>1384</v>
      </c>
      <c r="N11" s="78" t="s">
        <v>1391</v>
      </c>
      <c r="O11" s="14" t="s">
        <v>1392</v>
      </c>
      <c r="Q11" s="335" t="s">
        <v>180</v>
      </c>
      <c r="R11" s="335" t="s">
        <v>1327</v>
      </c>
      <c r="S11" s="335" t="s">
        <v>1393</v>
      </c>
      <c r="T11" s="335" t="s">
        <v>1393</v>
      </c>
    </row>
    <row r="12" spans="2:20">
      <c r="B12" s="14"/>
      <c r="C12" s="14"/>
      <c r="D12" s="202" t="s">
        <v>1394</v>
      </c>
      <c r="E12" s="202" t="s">
        <v>1395</v>
      </c>
      <c r="F12" s="202" t="s">
        <v>1158</v>
      </c>
      <c r="G12" s="202" t="s">
        <v>1159</v>
      </c>
      <c r="H12" s="202" t="s">
        <v>1396</v>
      </c>
      <c r="I12" s="202" t="s">
        <v>1397</v>
      </c>
      <c r="J12" s="202" t="s">
        <v>1398</v>
      </c>
      <c r="K12" s="202" t="s">
        <v>1399</v>
      </c>
      <c r="L12" s="202" t="s">
        <v>1400</v>
      </c>
      <c r="M12" s="202" t="s">
        <v>1150</v>
      </c>
      <c r="N12" s="202" t="s">
        <v>1150</v>
      </c>
      <c r="Q12" s="196" t="str">
        <f>D26</f>
        <v>传说时装皮肤</v>
      </c>
      <c r="R12" s="336">
        <f ca="1">SUMIF($D$25:$J$58,Q12,$I$25:$I$58)</f>
        <v>0.000638909559737235</v>
      </c>
      <c r="S12" s="337">
        <f ca="1" t="shared" ref="S12:S21" si="0">SUMIF($D$25:$K$58,Q12,$K$25:$K$58)</f>
        <v>0.000638909559737235</v>
      </c>
      <c r="T12" s="338">
        <f ca="1" t="shared" ref="T12:T21" si="1">S12*3000</f>
        <v>1.9167286792117</v>
      </c>
    </row>
    <row r="13" spans="2:20">
      <c r="B13" s="14"/>
      <c r="C13" s="14"/>
      <c r="D13" s="195">
        <v>801</v>
      </c>
      <c r="E13" s="196" t="s">
        <v>1401</v>
      </c>
      <c r="F13" s="196">
        <f>SUM(G26:G28)</f>
        <v>25</v>
      </c>
      <c r="G13" s="196"/>
      <c r="H13" s="196">
        <f>D10</f>
        <v>150</v>
      </c>
      <c r="I13" s="196"/>
      <c r="J13" s="340">
        <f t="shared" ref="J13:J19" si="2">F13/$F$20</f>
        <v>0.0025</v>
      </c>
      <c r="K13" s="385">
        <f>1/E10</f>
        <v>0.00798636949671544</v>
      </c>
      <c r="L13" s="342">
        <f t="shared" ref="L13:L19" si="3">1/K13</f>
        <v>125.213340105447</v>
      </c>
      <c r="M13" s="343">
        <f>$J$29*J13</f>
        <v>9.1</v>
      </c>
      <c r="N13" s="343">
        <f>K13*$J$29</f>
        <v>29.0703849680442</v>
      </c>
      <c r="Q13" s="196" t="str">
        <f>D27</f>
        <v>传说武器皮肤</v>
      </c>
      <c r="R13" s="336">
        <f ca="1" t="shared" ref="R12:R21" si="4">SUMIF($D$25:$J$58,Q13,$I$25:$I$58)</f>
        <v>0.00255563823894894</v>
      </c>
      <c r="S13" s="337">
        <f ca="1" t="shared" si="0"/>
        <v>0.00255563823894894</v>
      </c>
      <c r="T13" s="338">
        <f ca="1" t="shared" si="1"/>
        <v>7.66691471684682</v>
      </c>
    </row>
    <row r="14" spans="2:20">
      <c r="B14" s="14"/>
      <c r="C14" s="14"/>
      <c r="D14" s="195">
        <v>802</v>
      </c>
      <c r="E14" s="196" t="s">
        <v>1402</v>
      </c>
      <c r="F14" s="196">
        <f>G35</f>
        <v>1650</v>
      </c>
      <c r="G14" s="196"/>
      <c r="H14" s="196"/>
      <c r="I14" s="196"/>
      <c r="J14" s="340">
        <f t="shared" si="2"/>
        <v>0.165</v>
      </c>
      <c r="K14" s="385">
        <f t="shared" ref="K14:K19" si="5">F14/SUM($F$14:$F$19)*(1-$K$13)</f>
        <v>0.164092480233626</v>
      </c>
      <c r="L14" s="342">
        <f t="shared" si="3"/>
        <v>6.09412447527305</v>
      </c>
      <c r="M14" s="343">
        <f>$J$35*J14</f>
        <v>15.55</v>
      </c>
      <c r="N14" s="343">
        <f>$J$35*K14</f>
        <v>15.464473137169</v>
      </c>
      <c r="O14" s="344">
        <f>K35</f>
        <v>0.362992456274385</v>
      </c>
      <c r="Q14" s="196" t="str">
        <f t="shared" ref="Q14:Q16" si="6">D32</f>
        <v>星辉秘契</v>
      </c>
      <c r="R14" s="336">
        <f ca="1" t="shared" si="4"/>
        <v>0.00994499880203794</v>
      </c>
      <c r="S14" s="337">
        <f ca="1" t="shared" si="0"/>
        <v>0.00994499880203794</v>
      </c>
      <c r="T14" s="338">
        <f ca="1" t="shared" si="1"/>
        <v>29.8349964061138</v>
      </c>
    </row>
    <row r="15" spans="2:20">
      <c r="B15" s="14"/>
      <c r="C15" s="14"/>
      <c r="D15" s="195">
        <v>803</v>
      </c>
      <c r="E15" s="196" t="s">
        <v>1403</v>
      </c>
      <c r="F15" s="196">
        <f>G41</f>
        <v>2125</v>
      </c>
      <c r="G15" s="196"/>
      <c r="H15" s="196"/>
      <c r="I15" s="196"/>
      <c r="J15" s="340">
        <f t="shared" si="2"/>
        <v>0.2125</v>
      </c>
      <c r="K15" s="385">
        <f t="shared" si="5"/>
        <v>0.211331224543306</v>
      </c>
      <c r="L15" s="342">
        <f t="shared" si="3"/>
        <v>4.73190841609437</v>
      </c>
      <c r="M15" s="343">
        <f>J15*$J$41</f>
        <v>18.36</v>
      </c>
      <c r="N15" s="343">
        <f>K15*$J$41</f>
        <v>18.2590178005416</v>
      </c>
      <c r="Q15" s="196" t="str">
        <f t="shared" si="6"/>
        <v>星之初愿</v>
      </c>
      <c r="R15" s="336">
        <f ca="1" t="shared" si="4"/>
        <v>0.104422487421398</v>
      </c>
      <c r="S15" s="337">
        <f ca="1" t="shared" si="0"/>
        <v>0.104422487421398</v>
      </c>
      <c r="T15" s="338">
        <f ca="1" t="shared" si="1"/>
        <v>313.267462264194</v>
      </c>
    </row>
    <row r="16" spans="2:20">
      <c r="B16" s="14"/>
      <c r="C16" s="14"/>
      <c r="D16" s="195">
        <v>804</v>
      </c>
      <c r="E16" s="196" t="str">
        <f>D44</f>
        <v>能量特饮</v>
      </c>
      <c r="F16" s="196">
        <f>G45</f>
        <v>1800</v>
      </c>
      <c r="G16" s="196"/>
      <c r="H16" s="196"/>
      <c r="I16" s="196"/>
      <c r="J16" s="340">
        <f t="shared" si="2"/>
        <v>0.18</v>
      </c>
      <c r="K16" s="385">
        <f t="shared" si="5"/>
        <v>0.179009978436683</v>
      </c>
      <c r="L16" s="342">
        <f t="shared" si="3"/>
        <v>5.5862807690003</v>
      </c>
      <c r="M16" s="343">
        <f>J16*$J$45</f>
        <v>9</v>
      </c>
      <c r="N16" s="343">
        <f>K16*$J$45</f>
        <v>8.95049892183415</v>
      </c>
      <c r="Q16" s="196" t="str">
        <f t="shared" si="6"/>
        <v>梦境招募器</v>
      </c>
      <c r="R16" s="336">
        <f ca="1" t="shared" si="4"/>
        <v>0.0497249940101897</v>
      </c>
      <c r="S16" s="337">
        <f ca="1" t="shared" si="0"/>
        <v>0.248624970050948</v>
      </c>
      <c r="T16" s="338">
        <f ca="1" t="shared" si="1"/>
        <v>745.874910152844</v>
      </c>
    </row>
    <row r="17" spans="2:20">
      <c r="B17" s="14"/>
      <c r="C17" s="14"/>
      <c r="D17" s="195">
        <v>805</v>
      </c>
      <c r="E17" s="196" t="str">
        <f>D48</f>
        <v>转运石</v>
      </c>
      <c r="F17" s="196">
        <f>G49</f>
        <v>1600</v>
      </c>
      <c r="G17" s="196"/>
      <c r="H17" s="196"/>
      <c r="I17" s="196"/>
      <c r="J17" s="340">
        <f t="shared" si="2"/>
        <v>0.16</v>
      </c>
      <c r="K17" s="385">
        <f t="shared" si="5"/>
        <v>0.159119980832607</v>
      </c>
      <c r="L17" s="342">
        <f t="shared" si="3"/>
        <v>6.28456586512534</v>
      </c>
      <c r="M17" s="343">
        <f>J17*$J$49</f>
        <v>6.336</v>
      </c>
      <c r="N17" s="343">
        <f>K17*$J$49</f>
        <v>6.30115124097124</v>
      </c>
      <c r="Q17" s="331" t="str">
        <f>D38</f>
        <v>星路里程</v>
      </c>
      <c r="R17" s="336">
        <f ca="1" t="shared" si="4"/>
        <v>0.216123046241335</v>
      </c>
      <c r="S17" s="337">
        <f ca="1" t="shared" si="0"/>
        <v>1.08781609648765</v>
      </c>
      <c r="T17" s="338">
        <f ca="1" t="shared" si="1"/>
        <v>3263.44828946294</v>
      </c>
    </row>
    <row r="18" spans="2:20">
      <c r="B18" s="329"/>
      <c r="C18" s="14"/>
      <c r="D18" s="195">
        <v>806</v>
      </c>
      <c r="E18" s="196" t="str">
        <f>D53</f>
        <v>金币</v>
      </c>
      <c r="F18" s="196">
        <f>G54</f>
        <v>1400</v>
      </c>
      <c r="G18" s="196"/>
      <c r="H18" s="196"/>
      <c r="I18" s="196"/>
      <c r="J18" s="340">
        <f t="shared" si="2"/>
        <v>0.14</v>
      </c>
      <c r="K18" s="385">
        <f t="shared" si="5"/>
        <v>0.139229983228531</v>
      </c>
      <c r="L18" s="342">
        <f t="shared" si="3"/>
        <v>7.18236098871467</v>
      </c>
      <c r="M18" s="343">
        <f>J18*$J$54</f>
        <v>4.625</v>
      </c>
      <c r="N18" s="343">
        <f>K18*$J$54</f>
        <v>4.59956194594254</v>
      </c>
      <c r="Q18" s="331" t="str">
        <f>D44</f>
        <v>能量特饮</v>
      </c>
      <c r="R18" s="336">
        <f ca="1" t="shared" si="4"/>
        <v>0.179009978436683</v>
      </c>
      <c r="S18" s="337">
        <f ca="1" t="shared" si="0"/>
        <v>8.95049892183414</v>
      </c>
      <c r="T18" s="338">
        <f ca="1" t="shared" si="1"/>
        <v>26851.4967655024</v>
      </c>
    </row>
    <row r="19" spans="2:20">
      <c r="B19" s="329"/>
      <c r="C19" s="14"/>
      <c r="D19" s="195">
        <v>807</v>
      </c>
      <c r="E19" s="283" t="str">
        <f>D57</f>
        <v>装备图纸</v>
      </c>
      <c r="F19" s="196">
        <f>G58</f>
        <v>1400</v>
      </c>
      <c r="G19" s="196"/>
      <c r="H19" s="196"/>
      <c r="I19" s="196"/>
      <c r="J19" s="340">
        <f t="shared" si="2"/>
        <v>0.14</v>
      </c>
      <c r="K19" s="385">
        <f t="shared" si="5"/>
        <v>0.139229983228531</v>
      </c>
      <c r="L19" s="342">
        <f t="shared" si="3"/>
        <v>7.18236098871467</v>
      </c>
      <c r="M19" s="343">
        <f>J19*$J$58</f>
        <v>4.35000000000002</v>
      </c>
      <c r="N19" s="343">
        <f>K19*$J$58</f>
        <v>4.32607447888652</v>
      </c>
      <c r="Q19" s="196" t="str">
        <f>D48</f>
        <v>转运石</v>
      </c>
      <c r="R19" s="336">
        <f ca="1" t="shared" si="4"/>
        <v>0.159119980832607</v>
      </c>
      <c r="S19" s="337">
        <f ca="1" t="shared" si="0"/>
        <v>19.0943976999128</v>
      </c>
      <c r="T19" s="338">
        <f ca="1" t="shared" si="1"/>
        <v>57283.1930997384</v>
      </c>
    </row>
    <row r="20" spans="2:20">
      <c r="B20" s="14"/>
      <c r="C20" s="14"/>
      <c r="D20" s="78"/>
      <c r="F20" s="78">
        <f>SUM(F13:F19)</f>
        <v>10000</v>
      </c>
      <c r="H20" s="78"/>
      <c r="I20" s="78"/>
      <c r="J20" s="78"/>
      <c r="K20" s="78"/>
      <c r="L20" s="14"/>
      <c r="M20" s="350">
        <f>SUM(M13:M19)</f>
        <v>67.321</v>
      </c>
      <c r="N20" s="350">
        <f>SUM(N13:N19)</f>
        <v>86.9711624933892</v>
      </c>
      <c r="O20" s="78">
        <v>60</v>
      </c>
      <c r="Q20" s="331" t="str">
        <f>D53</f>
        <v>金币</v>
      </c>
      <c r="R20" s="336">
        <f ca="1" t="shared" si="4"/>
        <v>0.139229983228531</v>
      </c>
      <c r="S20" s="337">
        <f ca="1" t="shared" si="0"/>
        <v>91.9912389188509</v>
      </c>
      <c r="T20" s="338">
        <f ca="1" t="shared" si="1"/>
        <v>275973.716756553</v>
      </c>
    </row>
    <row r="21" spans="2:20">
      <c r="C21" s="384"/>
      <c r="F21" s="78"/>
      <c r="H21" s="78"/>
      <c r="I21" s="78"/>
      <c r="J21" s="78"/>
      <c r="K21" s="78"/>
      <c r="L21" s="351" t="s">
        <v>1404</v>
      </c>
      <c r="M21" s="352">
        <f>M20/O20</f>
        <v>1.12201666666667</v>
      </c>
      <c r="N21" s="352">
        <f>N20/O20</f>
        <v>1.44951937488982</v>
      </c>
      <c r="O21" s="14"/>
      <c r="Q21" s="331" t="str">
        <f>D57</f>
        <v>装备图纸</v>
      </c>
      <c r="R21" s="336">
        <f ca="1" t="shared" si="4"/>
        <v>0.14420248262955</v>
      </c>
      <c r="S21" s="337">
        <f ca="1" t="shared" si="0"/>
        <v>1.4420248262955</v>
      </c>
      <c r="T21" s="338">
        <f ca="1" t="shared" si="1"/>
        <v>4326.0744788865</v>
      </c>
    </row>
    <row r="22" spans="2:20">
      <c r="E22" s="384"/>
      <c r="H22" s="78"/>
      <c r="I22" s="78"/>
      <c r="J22" s="78"/>
      <c r="K22" s="78"/>
      <c r="L22" s="14"/>
    </row>
    <row r="23" spans="2:20">
      <c r="D23" s="78"/>
      <c r="E23" s="384"/>
      <c r="H23" s="78"/>
      <c r="I23" s="78"/>
      <c r="J23" s="78"/>
      <c r="K23" s="78"/>
      <c r="L23" s="14"/>
    </row>
    <row r="24" spans="2:20">
      <c r="D24" s="78" t="s">
        <v>1405</v>
      </c>
      <c r="E24" s="384"/>
      <c r="H24" s="78"/>
      <c r="I24" s="78"/>
      <c r="J24" s="78"/>
      <c r="K24" s="78"/>
      <c r="L24" s="14"/>
    </row>
    <row r="25" spans="2:20">
      <c r="C25" s="195">
        <v>801</v>
      </c>
      <c r="D25" s="195">
        <v>801</v>
      </c>
      <c r="E25" s="196" t="s">
        <v>919</v>
      </c>
      <c r="F25" s="196" t="s">
        <v>922</v>
      </c>
      <c r="G25" s="196" t="s">
        <v>1158</v>
      </c>
      <c r="H25" s="196" t="s">
        <v>1406</v>
      </c>
      <c r="I25" s="195" t="s">
        <v>1407</v>
      </c>
      <c r="J25" s="196" t="s">
        <v>1150</v>
      </c>
      <c r="K25" s="196" t="s">
        <v>1408</v>
      </c>
      <c r="L25" s="200" t="s">
        <v>1409</v>
      </c>
      <c r="M25" s="78"/>
      <c r="N25" s="78"/>
    </row>
    <row r="26" spans="2:20">
      <c r="C26" s="198" t="s">
        <v>1410</v>
      </c>
      <c r="D26" s="196" t="s">
        <v>328</v>
      </c>
      <c r="E26" s="196">
        <v>1</v>
      </c>
      <c r="F26" s="196">
        <f>_xlfn.XLOOKUP(D26,价值表!$C:$C,价值表!$F:$F)*E26</f>
        <v>7000</v>
      </c>
      <c r="G26" s="196">
        <v>2</v>
      </c>
      <c r="H26" s="210">
        <f>G26/$G$29</f>
        <v>0.08</v>
      </c>
      <c r="I26" s="383">
        <f>H26*$K$13</f>
        <v>0.000638909559737235</v>
      </c>
      <c r="J26" s="357">
        <f t="shared" ref="J26:J28" si="7">F26*H26</f>
        <v>560</v>
      </c>
      <c r="K26" s="342">
        <f t="shared" ref="K26:K28" si="8">E26*I26</f>
        <v>0.000638909559737235</v>
      </c>
      <c r="L26" s="78">
        <v>5</v>
      </c>
      <c r="M26" s="78"/>
      <c r="N26" s="78"/>
    </row>
    <row r="27" spans="2:20">
      <c r="D27" s="196" t="s">
        <v>325</v>
      </c>
      <c r="E27" s="196">
        <v>1</v>
      </c>
      <c r="F27" s="196">
        <f>_xlfn.XLOOKUP(D27,价值表!$C:$C,价值表!$F:$F)*E27</f>
        <v>4000</v>
      </c>
      <c r="G27" s="196">
        <v>8</v>
      </c>
      <c r="H27" s="210">
        <f t="shared" ref="H26:H28" si="9">G27/$G$29</f>
        <v>0.32</v>
      </c>
      <c r="I27" s="383">
        <f t="shared" ref="I26:I28" si="10">H27*$K$13</f>
        <v>0.00255563823894894</v>
      </c>
      <c r="J27" s="357">
        <f t="shared" si="7"/>
        <v>1280</v>
      </c>
      <c r="K27" s="342">
        <f t="shared" si="8"/>
        <v>0.00255563823894894</v>
      </c>
      <c r="L27" s="78">
        <v>5</v>
      </c>
      <c r="M27" s="78"/>
      <c r="N27" s="78"/>
    </row>
    <row r="28" spans="2:20">
      <c r="D28" s="196" t="s">
        <v>309</v>
      </c>
      <c r="E28" s="208">
        <v>100</v>
      </c>
      <c r="F28" s="196">
        <f>_xlfn.XLOOKUP(D28,价值表!$C:$C,价值表!$F:$F)*E28</f>
        <v>3000</v>
      </c>
      <c r="G28" s="196">
        <v>15</v>
      </c>
      <c r="H28" s="210">
        <f t="shared" si="9"/>
        <v>0.6</v>
      </c>
      <c r="I28" s="383">
        <f t="shared" si="10"/>
        <v>0.00479182169802926</v>
      </c>
      <c r="J28" s="357">
        <f t="shared" si="7"/>
        <v>1800</v>
      </c>
      <c r="K28" s="342">
        <f t="shared" si="8"/>
        <v>0.479182169802926</v>
      </c>
      <c r="M28" s="78"/>
    </row>
    <row r="29" spans="2:20">
      <c r="D29" s="386"/>
      <c r="F29" s="78"/>
      <c r="G29" s="78">
        <f t="shared" ref="G29:K29" si="11">SUM(G26:G28)</f>
        <v>25</v>
      </c>
      <c r="I29" s="78"/>
      <c r="J29" s="359">
        <f t="shared" si="11"/>
        <v>3640</v>
      </c>
      <c r="K29" s="370">
        <f t="shared" si="11"/>
        <v>0.482376717601613</v>
      </c>
      <c r="L29" s="78"/>
      <c r="M29" s="78"/>
      <c r="N29" s="78"/>
    </row>
    <row r="30" spans="2:20">
      <c r="D30" s="78"/>
      <c r="E30" s="384"/>
      <c r="H30" s="78"/>
      <c r="I30" s="78"/>
      <c r="J30" s="78"/>
      <c r="K30" s="78"/>
      <c r="L30" s="14"/>
    </row>
    <row r="31" spans="2:20">
      <c r="C31" s="195">
        <v>802</v>
      </c>
      <c r="D31" s="195">
        <v>802</v>
      </c>
      <c r="E31" s="196" t="s">
        <v>919</v>
      </c>
      <c r="F31" s="196" t="s">
        <v>922</v>
      </c>
      <c r="G31" s="196" t="s">
        <v>1158</v>
      </c>
      <c r="H31" s="196" t="s">
        <v>1406</v>
      </c>
      <c r="I31" s="195" t="s">
        <v>1407</v>
      </c>
      <c r="J31" s="196" t="s">
        <v>1150</v>
      </c>
      <c r="K31" s="196" t="s">
        <v>1408</v>
      </c>
      <c r="M31" s="78"/>
      <c r="N31" s="78"/>
    </row>
    <row r="32" spans="2:20">
      <c r="C32" s="387" t="str">
        <f>E14</f>
        <v>高级抽奖道具</v>
      </c>
      <c r="D32" s="196" t="s">
        <v>261</v>
      </c>
      <c r="E32" s="196">
        <v>1</v>
      </c>
      <c r="F32" s="196">
        <f>_xlfn.XLOOKUP(D32,价值表!$C:$C,价值表!$F:$F)*E32</f>
        <v>280</v>
      </c>
      <c r="G32" s="324">
        <v>100</v>
      </c>
      <c r="H32" s="210">
        <f t="shared" ref="H32:H34" si="12">G32/$G$35</f>
        <v>0.0606060606060606</v>
      </c>
      <c r="I32" s="383">
        <f t="shared" ref="I32:I34" si="13">H32*$K$14</f>
        <v>0.00994499880203794</v>
      </c>
      <c r="J32" s="357">
        <f t="shared" ref="J32:J34" si="14">F32*H32</f>
        <v>16.969696969697</v>
      </c>
      <c r="K32" s="342">
        <f t="shared" ref="K32:K34" si="15">E32*I32</f>
        <v>0.00994499880203794</v>
      </c>
      <c r="L32" s="78"/>
      <c r="M32" s="78"/>
      <c r="N32" s="78"/>
    </row>
    <row r="33" spans="2:14">
      <c r="C33" s="388"/>
      <c r="D33" s="196" t="s">
        <v>258</v>
      </c>
      <c r="E33" s="196">
        <v>1</v>
      </c>
      <c r="F33" s="196">
        <f>_xlfn.XLOOKUP(D33,价值表!$C:$C,价值表!$F:$F)*E33</f>
        <v>50</v>
      </c>
      <c r="G33" s="324">
        <v>1050</v>
      </c>
      <c r="H33" s="210">
        <f t="shared" si="12"/>
        <v>0.636363636363636</v>
      </c>
      <c r="I33" s="383">
        <f t="shared" si="13"/>
        <v>0.104422487421398</v>
      </c>
      <c r="J33" s="357">
        <f t="shared" si="14"/>
        <v>31.8181818181818</v>
      </c>
      <c r="K33" s="342">
        <f t="shared" si="15"/>
        <v>0.104422487421398</v>
      </c>
      <c r="L33" s="78"/>
      <c r="M33" s="78"/>
      <c r="N33" s="78"/>
    </row>
    <row r="34" spans="2:14">
      <c r="C34" s="388"/>
      <c r="D34" s="196" t="s">
        <v>213</v>
      </c>
      <c r="E34" s="196">
        <v>5</v>
      </c>
      <c r="F34" s="196">
        <f>_xlfn.XLOOKUP(D34,价值表!$C:$C,价值表!$F:$F)*E34</f>
        <v>150</v>
      </c>
      <c r="G34" s="196">
        <v>500</v>
      </c>
      <c r="H34" s="210">
        <f t="shared" si="12"/>
        <v>0.303030303030303</v>
      </c>
      <c r="I34" s="383">
        <f t="shared" si="13"/>
        <v>0.0497249940101897</v>
      </c>
      <c r="J34" s="357">
        <f t="shared" si="14"/>
        <v>45.4545454545454</v>
      </c>
      <c r="K34" s="342">
        <f t="shared" si="15"/>
        <v>0.248624970050948</v>
      </c>
      <c r="L34" s="78"/>
      <c r="M34" s="78"/>
      <c r="N34" s="78"/>
    </row>
    <row r="35" spans="2:14">
      <c r="D35" s="386"/>
      <c r="F35" s="78"/>
      <c r="G35" s="78">
        <f t="shared" ref="G35:K35" si="16">SUM(G32:G34)</f>
        <v>1650</v>
      </c>
      <c r="I35" s="78"/>
      <c r="J35" s="359">
        <f t="shared" si="16"/>
        <v>94.2424242424242</v>
      </c>
      <c r="K35" s="370">
        <f t="shared" si="16"/>
        <v>0.362992456274385</v>
      </c>
      <c r="L35" s="78"/>
      <c r="M35" s="78"/>
      <c r="N35" s="78"/>
    </row>
    <row r="36" spans="2:14">
      <c r="D36" s="386"/>
      <c r="F36" s="78"/>
      <c r="G36" s="78"/>
      <c r="I36" s="78"/>
      <c r="J36" s="78"/>
      <c r="K36" s="78"/>
      <c r="L36" s="78"/>
      <c r="M36" s="78"/>
      <c r="N36" s="78"/>
    </row>
    <row r="37" spans="2:14">
      <c r="C37" s="195">
        <v>803</v>
      </c>
      <c r="D37" s="195">
        <v>803</v>
      </c>
      <c r="E37" s="196" t="s">
        <v>919</v>
      </c>
      <c r="F37" s="196" t="s">
        <v>922</v>
      </c>
      <c r="G37" s="196" t="s">
        <v>1158</v>
      </c>
      <c r="H37" s="196" t="s">
        <v>1406</v>
      </c>
      <c r="I37" s="195" t="s">
        <v>1407</v>
      </c>
      <c r="J37" s="196" t="s">
        <v>1150</v>
      </c>
      <c r="K37" s="196" t="s">
        <v>1408</v>
      </c>
      <c r="L37" s="78"/>
      <c r="M37" s="78"/>
      <c r="N37" s="78"/>
    </row>
    <row r="38" spans="2:14">
      <c r="B38" s="198" t="s">
        <v>1411</v>
      </c>
      <c r="C38" s="387" t="str">
        <f>E15</f>
        <v>代币</v>
      </c>
      <c r="D38" s="196" t="s">
        <v>309</v>
      </c>
      <c r="E38" s="196">
        <v>5</v>
      </c>
      <c r="F38" s="196">
        <f>_xlfn.XLOOKUP(D38,价值表!$C:$C,价值表!$F:$F)*E38</f>
        <v>150</v>
      </c>
      <c r="G38" s="196">
        <v>350</v>
      </c>
      <c r="H38" s="210">
        <f t="shared" ref="H38:H40" si="17">G38/$G$41</f>
        <v>0.164705882352941</v>
      </c>
      <c r="I38" s="389">
        <f t="shared" ref="I38:I40" si="18">H38*$K$15</f>
        <v>0.0348074958071328</v>
      </c>
      <c r="J38" s="357">
        <f t="shared" ref="J38:J40" si="19">F38*H38</f>
        <v>24.7058823529412</v>
      </c>
      <c r="K38" s="390">
        <f t="shared" ref="K38:K40" si="20">E38*I38</f>
        <v>0.174037479035664</v>
      </c>
      <c r="L38" s="78"/>
      <c r="M38" s="78"/>
      <c r="N38" s="78"/>
    </row>
    <row r="39" spans="2:14">
      <c r="C39" s="388"/>
      <c r="D39" s="196" t="s">
        <v>309</v>
      </c>
      <c r="E39" s="196">
        <v>3</v>
      </c>
      <c r="F39" s="196">
        <f>_xlfn.XLOOKUP(D39,价值表!$C:$C,价值表!$F:$F)*E39</f>
        <v>90</v>
      </c>
      <c r="G39" s="196">
        <v>820</v>
      </c>
      <c r="H39" s="210">
        <f t="shared" si="17"/>
        <v>0.385882352941176</v>
      </c>
      <c r="I39" s="389">
        <f t="shared" si="18"/>
        <v>0.0815489901767111</v>
      </c>
      <c r="J39" s="357">
        <f t="shared" si="19"/>
        <v>34.7294117647058</v>
      </c>
      <c r="K39" s="390">
        <f t="shared" si="20"/>
        <v>0.244646970530133</v>
      </c>
      <c r="L39" s="78"/>
      <c r="M39" s="78"/>
      <c r="N39" s="78"/>
    </row>
    <row r="40" spans="2:14">
      <c r="C40" s="388"/>
      <c r="D40" s="196" t="s">
        <v>309</v>
      </c>
      <c r="E40" s="196">
        <v>2</v>
      </c>
      <c r="F40" s="196">
        <f>_xlfn.XLOOKUP(D40,价值表!$C:$C,价值表!$F:$F)*E40</f>
        <v>60</v>
      </c>
      <c r="G40" s="196">
        <v>955</v>
      </c>
      <c r="H40" s="210">
        <f t="shared" si="17"/>
        <v>0.449411764705882</v>
      </c>
      <c r="I40" s="389">
        <f t="shared" si="18"/>
        <v>0.0949747385594623</v>
      </c>
      <c r="J40" s="357">
        <f t="shared" si="19"/>
        <v>26.9647058823529</v>
      </c>
      <c r="K40" s="390">
        <f t="shared" si="20"/>
        <v>0.189949477118925</v>
      </c>
      <c r="L40" s="78"/>
      <c r="M40" s="78"/>
      <c r="N40" s="78"/>
    </row>
    <row r="41" spans="2:14">
      <c r="D41" s="386"/>
      <c r="F41" s="78"/>
      <c r="G41" s="78">
        <f t="shared" ref="G41:K41" si="21">SUM(G38:G40)</f>
        <v>2125</v>
      </c>
      <c r="I41" s="78"/>
      <c r="J41" s="359">
        <f t="shared" si="21"/>
        <v>86.3999999999999</v>
      </c>
      <c r="K41" s="391">
        <f t="shared" si="21"/>
        <v>0.608633926684722</v>
      </c>
      <c r="L41" s="78"/>
      <c r="M41" s="78"/>
      <c r="N41" s="78"/>
    </row>
    <row r="42" spans="2:14">
      <c r="D42" s="386"/>
      <c r="F42" s="78"/>
      <c r="G42" s="78"/>
      <c r="I42" s="78"/>
      <c r="J42" s="78"/>
      <c r="K42" s="78"/>
      <c r="L42" s="78"/>
      <c r="M42" s="78"/>
      <c r="N42" s="78"/>
    </row>
    <row r="43" spans="2:14">
      <c r="C43" s="195">
        <v>804</v>
      </c>
      <c r="D43" s="195">
        <v>804</v>
      </c>
      <c r="E43" s="196" t="s">
        <v>919</v>
      </c>
      <c r="F43" s="196" t="s">
        <v>922</v>
      </c>
      <c r="G43" s="196" t="s">
        <v>1158</v>
      </c>
      <c r="H43" s="196" t="s">
        <v>1406</v>
      </c>
      <c r="I43" s="195" t="s">
        <v>1407</v>
      </c>
      <c r="J43" s="196" t="s">
        <v>1150</v>
      </c>
      <c r="K43" s="196" t="s">
        <v>1408</v>
      </c>
      <c r="L43" s="78"/>
      <c r="M43" s="78"/>
      <c r="N43" s="78"/>
    </row>
    <row r="44" spans="2:14">
      <c r="C44" s="392" t="str">
        <f>E16</f>
        <v>能量特饮</v>
      </c>
      <c r="D44" s="196" t="s">
        <v>209</v>
      </c>
      <c r="E44" s="196">
        <v>50</v>
      </c>
      <c r="F44" s="196">
        <f>_xlfn.XLOOKUP(D44,价值表!$C:$C,价值表!$F:$F)*E44</f>
        <v>50</v>
      </c>
      <c r="G44" s="324">
        <v>1800</v>
      </c>
      <c r="H44" s="210">
        <f>G44/$G$45</f>
        <v>1</v>
      </c>
      <c r="I44" s="389">
        <f>H44*$K$16</f>
        <v>0.179009978436683</v>
      </c>
      <c r="J44" s="357">
        <f>F44*H44</f>
        <v>50</v>
      </c>
      <c r="K44" s="357">
        <f>E44*I44</f>
        <v>8.95049892183414</v>
      </c>
      <c r="L44" s="78"/>
      <c r="M44" s="78"/>
      <c r="N44" s="78"/>
    </row>
    <row r="45" spans="2:14">
      <c r="D45" s="386"/>
      <c r="F45" s="78"/>
      <c r="G45" s="198">
        <f t="shared" ref="G45:K45" si="22">SUM(G44:G44)</f>
        <v>1800</v>
      </c>
      <c r="I45" s="78"/>
      <c r="J45" s="359">
        <f t="shared" si="22"/>
        <v>50</v>
      </c>
      <c r="K45" s="359">
        <f t="shared" si="22"/>
        <v>8.95049892183414</v>
      </c>
      <c r="L45" s="78"/>
      <c r="M45" s="78"/>
      <c r="N45" s="78"/>
    </row>
    <row r="46" spans="2:14">
      <c r="D46" s="386"/>
      <c r="F46" s="78"/>
      <c r="I46" s="78"/>
      <c r="J46" s="78"/>
      <c r="K46" s="78"/>
      <c r="L46" s="78"/>
      <c r="M46" s="78"/>
      <c r="N46" s="78"/>
    </row>
    <row r="47" spans="2:14">
      <c r="C47" s="195">
        <v>805</v>
      </c>
      <c r="D47" s="195">
        <v>805</v>
      </c>
      <c r="E47" s="196" t="s">
        <v>919</v>
      </c>
      <c r="F47" s="196" t="s">
        <v>922</v>
      </c>
      <c r="G47" s="196" t="s">
        <v>1158</v>
      </c>
      <c r="H47" s="196" t="s">
        <v>1406</v>
      </c>
      <c r="I47" s="195" t="s">
        <v>1407</v>
      </c>
      <c r="J47" s="196" t="s">
        <v>1150</v>
      </c>
      <c r="K47" s="196" t="s">
        <v>1408</v>
      </c>
      <c r="L47" s="78"/>
      <c r="M47" s="78"/>
      <c r="N47" s="78"/>
    </row>
    <row r="48" spans="2:14">
      <c r="C48" s="387" t="str">
        <f>E17</f>
        <v>转运石</v>
      </c>
      <c r="D48" s="196" t="s">
        <v>237</v>
      </c>
      <c r="E48" s="196">
        <v>120</v>
      </c>
      <c r="F48" s="196">
        <f>_xlfn.XLOOKUP(D48,价值表!$C:$C,价值表!$F:$F)*E48</f>
        <v>39.6</v>
      </c>
      <c r="G48" s="324">
        <v>1600</v>
      </c>
      <c r="H48" s="210">
        <f>G48/$G$49</f>
        <v>1</v>
      </c>
      <c r="I48" s="389">
        <f>H48*$K$17</f>
        <v>0.159119980832607</v>
      </c>
      <c r="J48" s="357">
        <f t="shared" ref="J48:J53" si="23">F48*H48</f>
        <v>39.6</v>
      </c>
      <c r="K48" s="357">
        <f t="shared" ref="K48:K53" si="24">E48*I48</f>
        <v>19.0943976999128</v>
      </c>
      <c r="L48" s="78"/>
      <c r="M48" s="78"/>
      <c r="N48" s="78"/>
    </row>
    <row r="49" spans="2:14">
      <c r="D49" s="386"/>
      <c r="F49" s="78"/>
      <c r="G49" s="78">
        <f t="shared" ref="G49:K49" si="25">SUM(G48:G48)</f>
        <v>1600</v>
      </c>
      <c r="I49" s="78"/>
      <c r="J49" s="359">
        <f t="shared" si="25"/>
        <v>39.6</v>
      </c>
      <c r="K49" s="359">
        <f t="shared" si="25"/>
        <v>19.0943976999128</v>
      </c>
      <c r="L49" s="78"/>
      <c r="M49" s="78"/>
      <c r="N49" s="78"/>
    </row>
    <row r="50" spans="2:14">
      <c r="D50" s="386"/>
      <c r="G50" s="78"/>
      <c r="I50" s="78"/>
      <c r="J50" s="78"/>
      <c r="K50" s="78"/>
      <c r="L50" s="78"/>
      <c r="M50" s="78"/>
      <c r="N50" s="78"/>
    </row>
    <row r="51" spans="2:14">
      <c r="C51" s="195">
        <v>806</v>
      </c>
      <c r="D51" s="195">
        <v>806</v>
      </c>
      <c r="E51" s="196" t="s">
        <v>919</v>
      </c>
      <c r="F51" s="196" t="s">
        <v>922</v>
      </c>
      <c r="G51" s="196" t="s">
        <v>1158</v>
      </c>
      <c r="H51" s="196" t="s">
        <v>1406</v>
      </c>
      <c r="I51" s="195" t="s">
        <v>1407</v>
      </c>
      <c r="J51" s="196" t="s">
        <v>1150</v>
      </c>
      <c r="K51" s="196" t="s">
        <v>1408</v>
      </c>
      <c r="L51" s="78"/>
      <c r="M51" s="78"/>
      <c r="N51" s="78"/>
    </row>
    <row r="52" spans="2:14">
      <c r="C52" s="392" t="s">
        <v>195</v>
      </c>
      <c r="D52" s="196" t="s">
        <v>195</v>
      </c>
      <c r="E52" s="196">
        <v>5000</v>
      </c>
      <c r="F52" s="196">
        <f>_xlfn.XLOOKUP(D52,价值表!$C:$C,价值表!$F:$F)*E52</f>
        <v>250</v>
      </c>
      <c r="G52" s="324">
        <v>50</v>
      </c>
      <c r="H52" s="210">
        <f>G52/$G$54</f>
        <v>0.0357142857142857</v>
      </c>
      <c r="I52" s="389">
        <f>H52*$K$18</f>
        <v>0.00497249940101897</v>
      </c>
      <c r="J52" s="357">
        <f t="shared" si="23"/>
        <v>8.92857142857143</v>
      </c>
      <c r="K52" s="357">
        <f t="shared" si="24"/>
        <v>24.8624970050948</v>
      </c>
      <c r="L52" s="78"/>
      <c r="M52" s="78"/>
      <c r="N52" s="78"/>
    </row>
    <row r="53" spans="2:14">
      <c r="C53" s="393"/>
      <c r="D53" s="196" t="s">
        <v>195</v>
      </c>
      <c r="E53" s="196">
        <v>500</v>
      </c>
      <c r="F53" s="196">
        <f>_xlfn.XLOOKUP(D53,价值表!$C:$C,价值表!$F:$F)*E53</f>
        <v>25</v>
      </c>
      <c r="G53" s="324">
        <v>1350</v>
      </c>
      <c r="H53" s="210">
        <f>G53/$G$54</f>
        <v>0.964285714285714</v>
      </c>
      <c r="I53" s="389">
        <f>H53*$K$18</f>
        <v>0.134257483827512</v>
      </c>
      <c r="J53" s="357">
        <f t="shared" si="23"/>
        <v>24.1071428571429</v>
      </c>
      <c r="K53" s="357">
        <f t="shared" si="24"/>
        <v>67.1287419137561</v>
      </c>
      <c r="L53" s="78"/>
      <c r="M53" s="78"/>
      <c r="N53" s="78"/>
    </row>
    <row r="54" spans="2:14">
      <c r="D54" s="394"/>
      <c r="F54" s="78"/>
      <c r="G54" s="78">
        <f>SUM(G52:G53)</f>
        <v>1400</v>
      </c>
      <c r="I54" s="78"/>
      <c r="J54" s="359">
        <f>SUM(J51:J53)</f>
        <v>33.0357142857143</v>
      </c>
      <c r="K54" s="359">
        <f>SUM(K51:K53)</f>
        <v>91.9912389188509</v>
      </c>
      <c r="L54" s="78"/>
      <c r="M54" s="78"/>
      <c r="N54" s="78"/>
    </row>
    <row r="55" spans="2:14">
      <c r="D55" s="394"/>
      <c r="F55" s="78"/>
      <c r="G55" s="78"/>
      <c r="I55" s="78"/>
      <c r="J55" s="78"/>
      <c r="K55" s="78"/>
      <c r="L55" s="78"/>
      <c r="M55" s="78"/>
      <c r="N55" s="78"/>
    </row>
    <row r="56" spans="2:14">
      <c r="C56" s="195">
        <v>807</v>
      </c>
      <c r="D56" s="195">
        <v>807</v>
      </c>
      <c r="E56" s="196" t="s">
        <v>919</v>
      </c>
      <c r="F56" s="196" t="s">
        <v>922</v>
      </c>
      <c r="G56" s="196" t="s">
        <v>1158</v>
      </c>
      <c r="H56" s="196" t="s">
        <v>1406</v>
      </c>
      <c r="I56" s="195" t="s">
        <v>1407</v>
      </c>
      <c r="J56" s="196" t="s">
        <v>1150</v>
      </c>
      <c r="K56" s="196" t="s">
        <v>1408</v>
      </c>
      <c r="L56" s="78"/>
      <c r="M56" s="78"/>
      <c r="N56" s="78"/>
    </row>
    <row r="57" spans="2:14">
      <c r="C57" s="395" t="str">
        <f>E19</f>
        <v>装备图纸</v>
      </c>
      <c r="D57" s="283" t="s">
        <v>242</v>
      </c>
      <c r="E57" s="196">
        <v>10</v>
      </c>
      <c r="F57" s="196">
        <f>_xlfn.XLOOKUP(D57,价值表!$C:$C,价值表!$F:$F)*E57</f>
        <v>30</v>
      </c>
      <c r="G57" s="324">
        <v>1450</v>
      </c>
      <c r="H57" s="210">
        <f>G57/$G$58</f>
        <v>1.03571428571429</v>
      </c>
      <c r="I57" s="389">
        <f>H57*$K$19</f>
        <v>0.14420248262955</v>
      </c>
      <c r="J57" s="357">
        <f>F57*H57</f>
        <v>31.0714285714287</v>
      </c>
      <c r="K57" s="357">
        <f>E57*I57</f>
        <v>1.4420248262955</v>
      </c>
      <c r="L57" s="78"/>
      <c r="M57" s="78"/>
      <c r="N57" s="78"/>
    </row>
    <row r="58" spans="2:14">
      <c r="B58" s="78"/>
      <c r="C58" s="386"/>
      <c r="E58" s="78"/>
      <c r="F58" s="78"/>
      <c r="G58" s="78">
        <v>1400</v>
      </c>
      <c r="H58" s="78"/>
      <c r="I58" s="78"/>
      <c r="J58" s="359">
        <f>SUM(J56:J57)</f>
        <v>31.0714285714287</v>
      </c>
      <c r="K58" s="359">
        <f>SUM(K56:K57)</f>
        <v>1.4420248262955</v>
      </c>
      <c r="L58" s="78"/>
      <c r="M58" s="78"/>
      <c r="N58" s="78"/>
    </row>
    <row r="59" spans="2:14">
      <c r="B59" s="78"/>
      <c r="C59" s="386"/>
      <c r="F59" s="78"/>
      <c r="G59" s="78"/>
      <c r="H59" s="78"/>
      <c r="I59" s="78"/>
      <c r="J59" s="78"/>
      <c r="K59" s="78"/>
      <c r="L59" s="78"/>
      <c r="M59" s="78"/>
      <c r="N59" s="78"/>
    </row>
    <row r="60" spans="2:14">
      <c r="B60" s="78"/>
      <c r="C60" s="386"/>
      <c r="F60" s="78"/>
      <c r="G60" s="78"/>
      <c r="H60" s="78"/>
      <c r="I60" s="78"/>
      <c r="J60" s="78"/>
      <c r="K60" s="78"/>
      <c r="L60" s="78"/>
      <c r="M60" s="78"/>
      <c r="N60" s="78"/>
    </row>
    <row r="61" spans="2:14">
      <c r="B61" s="78"/>
      <c r="C61" s="360" t="s">
        <v>1412</v>
      </c>
      <c r="I61" s="78"/>
      <c r="J61" s="78"/>
      <c r="K61" s="78"/>
    </row>
    <row r="62" spans="2:14">
      <c r="B62" s="78"/>
      <c r="I62" s="78"/>
      <c r="J62" s="78"/>
      <c r="K62" s="78"/>
    </row>
    <row r="63" spans="2:14">
      <c r="B63" s="78"/>
      <c r="D63" s="202" t="s">
        <v>1413</v>
      </c>
      <c r="E63" s="202" t="s">
        <v>1180</v>
      </c>
      <c r="F63" s="202" t="s">
        <v>1181</v>
      </c>
      <c r="G63" s="202" t="s">
        <v>1182</v>
      </c>
      <c r="H63" s="202" t="s">
        <v>1095</v>
      </c>
      <c r="I63" s="78"/>
      <c r="J63" s="78"/>
      <c r="K63" s="78"/>
    </row>
    <row r="64" spans="2:14">
      <c r="B64" s="78"/>
      <c r="C64" s="198">
        <f>D64</f>
        <v>5</v>
      </c>
      <c r="D64" s="196">
        <v>5</v>
      </c>
      <c r="E64" s="327" t="s">
        <v>306</v>
      </c>
      <c r="F64" s="196">
        <v>2</v>
      </c>
      <c r="G64" s="196">
        <f>_xlfn.XLOOKUP(E64,价值表!$C:$C,价值表!$F:$F)*F64</f>
        <v>200</v>
      </c>
      <c r="H64" s="363">
        <f t="shared" ref="H64:H93" si="26">G64/C64/60</f>
        <v>0.666666666666667</v>
      </c>
      <c r="K64" s="78"/>
    </row>
    <row r="65" spans="2:14">
      <c r="B65" s="78"/>
      <c r="C65" s="198">
        <f t="shared" ref="C65:C93" si="27">D65-D64</f>
        <v>10</v>
      </c>
      <c r="D65" s="196">
        <v>15</v>
      </c>
      <c r="E65" s="196" t="s">
        <v>188</v>
      </c>
      <c r="F65" s="196">
        <v>100</v>
      </c>
      <c r="G65" s="196">
        <f>_xlfn.XLOOKUP(E65,价值表!$C:$C,价值表!$F:$F)*F65</f>
        <v>100</v>
      </c>
      <c r="H65" s="363">
        <f t="shared" si="26"/>
        <v>0.166666666666667</v>
      </c>
      <c r="K65" s="78"/>
    </row>
    <row r="66" spans="2:14">
      <c r="B66" s="78"/>
      <c r="C66" s="198">
        <f t="shared" si="27"/>
        <v>20</v>
      </c>
      <c r="D66" s="196">
        <v>35</v>
      </c>
      <c r="E66" s="196" t="s">
        <v>309</v>
      </c>
      <c r="F66" s="196">
        <v>50</v>
      </c>
      <c r="G66" s="196">
        <f>_xlfn.XLOOKUP(E66,价值表!$C:$C,价值表!$F:$F)*F66</f>
        <v>1500</v>
      </c>
      <c r="H66" s="363">
        <f t="shared" si="26"/>
        <v>1.25</v>
      </c>
      <c r="K66" s="78"/>
    </row>
    <row r="67" spans="2:14">
      <c r="B67" s="78"/>
      <c r="C67" s="198">
        <f t="shared" si="27"/>
        <v>25</v>
      </c>
      <c r="D67" s="196">
        <v>60</v>
      </c>
      <c r="E67" s="327" t="s">
        <v>306</v>
      </c>
      <c r="F67" s="196">
        <v>3</v>
      </c>
      <c r="G67" s="196">
        <f>_xlfn.XLOOKUP(E67,价值表!$C:$C,价值表!$F:$F)*F67</f>
        <v>300</v>
      </c>
      <c r="H67" s="363">
        <f t="shared" si="26"/>
        <v>0.2</v>
      </c>
      <c r="K67" s="78"/>
    </row>
    <row r="68" spans="2:14">
      <c r="B68" s="78"/>
      <c r="C68" s="198">
        <f t="shared" si="27"/>
        <v>25</v>
      </c>
      <c r="D68" s="196">
        <v>85</v>
      </c>
      <c r="E68" s="327" t="s">
        <v>306</v>
      </c>
      <c r="F68" s="196">
        <v>3</v>
      </c>
      <c r="G68" s="196">
        <f>_xlfn.XLOOKUP(E68,价值表!$C:$C,价值表!$F:$F)*F68</f>
        <v>300</v>
      </c>
      <c r="H68" s="363">
        <f t="shared" si="26"/>
        <v>0.2</v>
      </c>
      <c r="K68" s="78"/>
    </row>
    <row r="69" spans="2:14">
      <c r="B69" s="78"/>
      <c r="C69" s="198">
        <f t="shared" si="27"/>
        <v>30</v>
      </c>
      <c r="D69" s="196">
        <v>115</v>
      </c>
      <c r="E69" s="196" t="s">
        <v>309</v>
      </c>
      <c r="F69" s="196">
        <v>50</v>
      </c>
      <c r="G69" s="196">
        <f>_xlfn.XLOOKUP(E69,价值表!$C:$C,价值表!$F:$F)*F69</f>
        <v>1500</v>
      </c>
      <c r="H69" s="363">
        <f t="shared" si="26"/>
        <v>0.833333333333333</v>
      </c>
      <c r="K69" s="78"/>
    </row>
    <row r="70" spans="2:14">
      <c r="B70" s="78"/>
      <c r="C70" s="198">
        <f t="shared" si="27"/>
        <v>30</v>
      </c>
      <c r="D70" s="196">
        <v>145</v>
      </c>
      <c r="E70" s="327" t="s">
        <v>306</v>
      </c>
      <c r="F70" s="196">
        <v>3</v>
      </c>
      <c r="G70" s="196">
        <f>_xlfn.XLOOKUP(E70,价值表!$C:$C,价值表!$F:$F)*F70</f>
        <v>300</v>
      </c>
      <c r="H70" s="363">
        <f t="shared" si="26"/>
        <v>0.166666666666667</v>
      </c>
      <c r="K70" s="78"/>
    </row>
    <row r="71" spans="2:14">
      <c r="B71" s="78"/>
      <c r="C71" s="198">
        <f t="shared" si="27"/>
        <v>30</v>
      </c>
      <c r="D71" s="196">
        <v>175</v>
      </c>
      <c r="E71" s="327" t="s">
        <v>306</v>
      </c>
      <c r="F71" s="196">
        <v>3</v>
      </c>
      <c r="G71" s="196">
        <f>_xlfn.XLOOKUP(E71,价值表!$C:$C,价值表!$F:$F)*F71</f>
        <v>300</v>
      </c>
      <c r="H71" s="363">
        <f t="shared" si="26"/>
        <v>0.166666666666667</v>
      </c>
      <c r="K71" s="78"/>
    </row>
    <row r="72" spans="2:14">
      <c r="B72" s="78"/>
      <c r="C72" s="198">
        <f t="shared" si="27"/>
        <v>40</v>
      </c>
      <c r="D72" s="196">
        <v>215</v>
      </c>
      <c r="E72" s="196" t="s">
        <v>188</v>
      </c>
      <c r="F72" s="196">
        <v>150</v>
      </c>
      <c r="G72" s="196">
        <f>_xlfn.XLOOKUP(E72,价值表!$C:$C,价值表!$F:$F)*F72</f>
        <v>150</v>
      </c>
      <c r="H72" s="363">
        <f t="shared" si="26"/>
        <v>0.0625</v>
      </c>
      <c r="K72" s="78"/>
    </row>
    <row r="73" spans="2:14">
      <c r="B73" s="78"/>
      <c r="C73" s="198">
        <f t="shared" si="27"/>
        <v>35</v>
      </c>
      <c r="D73" s="196">
        <v>250</v>
      </c>
      <c r="E73" s="327" t="s">
        <v>306</v>
      </c>
      <c r="F73" s="196">
        <v>3</v>
      </c>
      <c r="G73" s="196">
        <f>_xlfn.XLOOKUP(E73,价值表!$C:$C,价值表!$F:$F)*F73</f>
        <v>300</v>
      </c>
      <c r="H73" s="363">
        <f t="shared" si="26"/>
        <v>0.142857142857143</v>
      </c>
      <c r="K73" s="78"/>
    </row>
    <row r="74" spans="2:14">
      <c r="B74" s="78"/>
      <c r="C74" s="198">
        <f t="shared" si="27"/>
        <v>40</v>
      </c>
      <c r="D74" s="196">
        <v>290</v>
      </c>
      <c r="E74" s="327" t="s">
        <v>306</v>
      </c>
      <c r="F74" s="196">
        <v>3</v>
      </c>
      <c r="G74" s="196">
        <f>_xlfn.XLOOKUP(E74,价值表!$C:$C,价值表!$F:$F)*F74</f>
        <v>300</v>
      </c>
      <c r="H74" s="363">
        <f t="shared" si="26"/>
        <v>0.125</v>
      </c>
      <c r="I74" s="78"/>
      <c r="J74" s="78"/>
      <c r="K74" s="78"/>
      <c r="N74" s="78"/>
    </row>
    <row r="75" spans="2:14">
      <c r="B75" s="78"/>
      <c r="C75" s="198">
        <f t="shared" si="27"/>
        <v>45</v>
      </c>
      <c r="D75" s="196">
        <v>335</v>
      </c>
      <c r="E75" s="196" t="s">
        <v>188</v>
      </c>
      <c r="F75" s="196">
        <v>200</v>
      </c>
      <c r="G75" s="196">
        <f>_xlfn.XLOOKUP(E75,价值表!$C:$C,价值表!$F:$F)*F75</f>
        <v>200</v>
      </c>
      <c r="H75" s="363">
        <f t="shared" si="26"/>
        <v>0.0740740740740741</v>
      </c>
      <c r="I75" s="78"/>
      <c r="J75" s="78"/>
      <c r="K75" s="78"/>
      <c r="N75" s="78"/>
    </row>
    <row r="76" spans="2:14">
      <c r="B76" s="78"/>
      <c r="C76" s="198">
        <f t="shared" si="27"/>
        <v>45</v>
      </c>
      <c r="D76" s="196">
        <v>380</v>
      </c>
      <c r="E76" s="396" t="s">
        <v>332</v>
      </c>
      <c r="F76" s="196">
        <v>1</v>
      </c>
      <c r="G76" s="196">
        <f>_xlfn.XLOOKUP(E76,价值表!$C:$C,价值表!$F:$F)*F76</f>
        <v>6000</v>
      </c>
      <c r="H76" s="363">
        <f t="shared" si="26"/>
        <v>2.22222222222222</v>
      </c>
      <c r="I76" s="78"/>
      <c r="J76" s="78"/>
      <c r="K76" s="78"/>
      <c r="N76" s="78"/>
    </row>
    <row r="77" spans="2:14">
      <c r="B77" s="78"/>
      <c r="C77" s="198">
        <f t="shared" si="27"/>
        <v>100</v>
      </c>
      <c r="D77" s="196">
        <v>480</v>
      </c>
      <c r="E77" s="327" t="s">
        <v>306</v>
      </c>
      <c r="F77" s="196">
        <v>3</v>
      </c>
      <c r="G77" s="196">
        <f>_xlfn.XLOOKUP(E77,价值表!$C:$C,价值表!$F:$F)*F77</f>
        <v>300</v>
      </c>
      <c r="H77" s="363">
        <f t="shared" si="26"/>
        <v>0.05</v>
      </c>
      <c r="I77" s="78"/>
      <c r="J77" s="78"/>
      <c r="K77" s="78"/>
      <c r="N77" s="78"/>
    </row>
    <row r="78" spans="2:14">
      <c r="B78" s="78"/>
      <c r="C78" s="198">
        <f t="shared" si="27"/>
        <v>95</v>
      </c>
      <c r="D78" s="196">
        <v>575</v>
      </c>
      <c r="E78" s="196" t="s">
        <v>309</v>
      </c>
      <c r="F78" s="196">
        <v>50</v>
      </c>
      <c r="G78" s="196">
        <f>_xlfn.XLOOKUP(E78,价值表!$C:$C,价值表!$F:$F)*F78</f>
        <v>1500</v>
      </c>
      <c r="H78" s="363">
        <f t="shared" si="26"/>
        <v>0.263157894736842</v>
      </c>
      <c r="I78" s="78"/>
      <c r="J78" s="78"/>
      <c r="K78" s="78"/>
      <c r="N78" s="78"/>
    </row>
    <row r="79" spans="2:14">
      <c r="B79" s="78"/>
      <c r="C79" s="198">
        <f t="shared" si="27"/>
        <v>185</v>
      </c>
      <c r="D79" s="196">
        <v>760</v>
      </c>
      <c r="E79" s="327" t="s">
        <v>306</v>
      </c>
      <c r="F79" s="196">
        <v>3</v>
      </c>
      <c r="G79" s="196">
        <f>_xlfn.XLOOKUP(E79,价值表!$C:$C,价值表!$F:$F)*F79</f>
        <v>300</v>
      </c>
      <c r="H79" s="363">
        <f t="shared" si="26"/>
        <v>0.027027027027027</v>
      </c>
      <c r="I79" s="78"/>
      <c r="J79" s="78"/>
      <c r="K79" s="78"/>
      <c r="N79" s="78"/>
    </row>
    <row r="80" spans="2:14">
      <c r="B80" s="78"/>
      <c r="C80" s="198">
        <f t="shared" si="27"/>
        <v>170</v>
      </c>
      <c r="D80" s="196">
        <v>930</v>
      </c>
      <c r="E80" s="396" t="s">
        <v>322</v>
      </c>
      <c r="F80" s="196">
        <v>1</v>
      </c>
      <c r="G80" s="196">
        <f>_xlfn.XLOOKUP(E80,价值表!$C:$C,价值表!$F:$F)*F80</f>
        <v>4000</v>
      </c>
      <c r="H80" s="363">
        <f t="shared" si="26"/>
        <v>0.392156862745098</v>
      </c>
      <c r="I80" s="78"/>
      <c r="J80" s="78"/>
      <c r="K80" s="78"/>
      <c r="N80" s="78"/>
    </row>
    <row r="81" spans="2:15">
      <c r="B81" s="78"/>
      <c r="C81" s="198">
        <f t="shared" si="27"/>
        <v>210</v>
      </c>
      <c r="D81" s="196">
        <v>1140</v>
      </c>
      <c r="E81" s="196" t="s">
        <v>188</v>
      </c>
      <c r="F81" s="196">
        <v>500</v>
      </c>
      <c r="G81" s="196">
        <f>_xlfn.XLOOKUP(E81,价值表!$C:$C,价值表!$F:$F)*F81</f>
        <v>500</v>
      </c>
      <c r="H81" s="363">
        <f t="shared" si="26"/>
        <v>0.0396825396825397</v>
      </c>
      <c r="I81" s="78"/>
      <c r="J81" s="78"/>
      <c r="K81" s="78"/>
      <c r="N81" s="78"/>
    </row>
    <row r="82" spans="2:15">
      <c r="B82" s="78"/>
      <c r="C82" s="198">
        <f t="shared" si="27"/>
        <v>310</v>
      </c>
      <c r="D82" s="196">
        <v>1450</v>
      </c>
      <c r="E82" s="327" t="s">
        <v>306</v>
      </c>
      <c r="F82" s="196">
        <v>5</v>
      </c>
      <c r="G82" s="196">
        <f>_xlfn.XLOOKUP(E82,价值表!$C:$C,价值表!$F:$F)*F82</f>
        <v>500</v>
      </c>
      <c r="H82" s="363">
        <f t="shared" si="26"/>
        <v>0.0268817204301075</v>
      </c>
      <c r="I82" s="78"/>
      <c r="J82" s="78"/>
      <c r="K82" s="78"/>
      <c r="N82" s="78"/>
    </row>
    <row r="83" spans="2:15">
      <c r="B83" s="78"/>
      <c r="C83" s="198">
        <f t="shared" si="27"/>
        <v>300</v>
      </c>
      <c r="D83" s="196">
        <v>1750</v>
      </c>
      <c r="E83" s="196" t="s">
        <v>188</v>
      </c>
      <c r="F83" s="196">
        <v>500</v>
      </c>
      <c r="G83" s="196">
        <f>_xlfn.XLOOKUP(E83,价值表!$C:$C,价值表!$F:$F)*F83</f>
        <v>500</v>
      </c>
      <c r="H83" s="363">
        <f t="shared" si="26"/>
        <v>0.0277777777777778</v>
      </c>
      <c r="I83" s="78"/>
      <c r="J83" s="78"/>
      <c r="K83" s="78"/>
      <c r="N83" s="78"/>
    </row>
    <row r="84" spans="2:15">
      <c r="B84" s="78"/>
      <c r="C84" s="198">
        <f t="shared" si="27"/>
        <v>300</v>
      </c>
      <c r="D84" s="196">
        <v>2050</v>
      </c>
      <c r="E84" s="327" t="s">
        <v>306</v>
      </c>
      <c r="F84" s="196">
        <v>5</v>
      </c>
      <c r="G84" s="196">
        <f>_xlfn.XLOOKUP(E84,价值表!$C:$C,价值表!$F:$F)*F84</f>
        <v>500</v>
      </c>
      <c r="H84" s="363">
        <f t="shared" si="26"/>
        <v>0.0277777777777778</v>
      </c>
      <c r="I84" s="78"/>
      <c r="J84" s="78"/>
      <c r="K84" s="78"/>
      <c r="N84" s="78"/>
    </row>
    <row r="85" spans="2:15">
      <c r="B85" s="78"/>
      <c r="C85" s="198">
        <f t="shared" si="27"/>
        <v>400</v>
      </c>
      <c r="D85" s="196">
        <v>2450</v>
      </c>
      <c r="E85" s="196" t="s">
        <v>188</v>
      </c>
      <c r="F85" s="196">
        <v>500</v>
      </c>
      <c r="G85" s="196">
        <f>_xlfn.XLOOKUP(E85,价值表!$C:$C,价值表!$F:$F)*F85</f>
        <v>500</v>
      </c>
      <c r="H85" s="363">
        <f t="shared" si="26"/>
        <v>0.0208333333333333</v>
      </c>
      <c r="I85" s="78"/>
      <c r="J85" s="78"/>
      <c r="K85" s="78"/>
      <c r="N85" s="78"/>
    </row>
    <row r="86" spans="2:15">
      <c r="B86" s="78"/>
      <c r="C86" s="198">
        <f t="shared" si="27"/>
        <v>400</v>
      </c>
      <c r="D86" s="196">
        <v>2850</v>
      </c>
      <c r="E86" s="327" t="s">
        <v>306</v>
      </c>
      <c r="F86" s="196">
        <v>5</v>
      </c>
      <c r="G86" s="196">
        <f>_xlfn.XLOOKUP(E86,价值表!$C:$C,价值表!$F:$F)*F86</f>
        <v>500</v>
      </c>
      <c r="H86" s="363">
        <f t="shared" si="26"/>
        <v>0.0208333333333333</v>
      </c>
      <c r="I86" s="78"/>
      <c r="J86" s="78"/>
      <c r="K86" s="78"/>
      <c r="N86" s="78"/>
    </row>
    <row r="87" spans="2:15">
      <c r="B87" s="78"/>
      <c r="C87" s="198">
        <f t="shared" si="27"/>
        <v>400</v>
      </c>
      <c r="D87" s="196">
        <v>3250</v>
      </c>
      <c r="E87" s="196" t="s">
        <v>188</v>
      </c>
      <c r="F87" s="196">
        <v>500</v>
      </c>
      <c r="G87" s="196">
        <f>_xlfn.XLOOKUP(E87,价值表!$C:$C,价值表!$F:$F)*F87</f>
        <v>500</v>
      </c>
      <c r="H87" s="363">
        <f t="shared" si="26"/>
        <v>0.0208333333333333</v>
      </c>
      <c r="I87" s="78"/>
      <c r="J87" s="78"/>
      <c r="K87" s="78"/>
      <c r="N87" s="78"/>
    </row>
    <row r="88" spans="2:15">
      <c r="B88" s="78"/>
      <c r="C88" s="198">
        <f t="shared" si="27"/>
        <v>400</v>
      </c>
      <c r="D88" s="196">
        <v>3650</v>
      </c>
      <c r="E88" s="327" t="s">
        <v>306</v>
      </c>
      <c r="F88" s="196">
        <v>5</v>
      </c>
      <c r="G88" s="196">
        <f>_xlfn.XLOOKUP(E88,价值表!$C:$C,价值表!$F:$F)*F88</f>
        <v>500</v>
      </c>
      <c r="H88" s="363">
        <f t="shared" si="26"/>
        <v>0.0208333333333333</v>
      </c>
      <c r="I88" s="78"/>
      <c r="J88" s="78"/>
      <c r="K88" s="78"/>
      <c r="N88" s="78"/>
    </row>
    <row r="89" spans="2:15">
      <c r="B89" s="78"/>
      <c r="C89" s="198">
        <f t="shared" si="27"/>
        <v>500</v>
      </c>
      <c r="D89" s="196">
        <v>4150</v>
      </c>
      <c r="E89" s="196" t="s">
        <v>188</v>
      </c>
      <c r="F89" s="196">
        <v>500</v>
      </c>
      <c r="G89" s="196">
        <f>_xlfn.XLOOKUP(E89,价值表!$C:$C,价值表!$F:$F)*F89</f>
        <v>500</v>
      </c>
      <c r="H89" s="363">
        <f t="shared" si="26"/>
        <v>0.0166666666666667</v>
      </c>
      <c r="I89" s="78"/>
      <c r="J89" s="78"/>
      <c r="K89" s="78"/>
      <c r="N89" s="78"/>
      <c r="O89" s="198">
        <f>2000*0.61</f>
        <v>1220</v>
      </c>
    </row>
    <row r="90" spans="2:15">
      <c r="B90" s="78"/>
      <c r="C90" s="198">
        <f t="shared" si="27"/>
        <v>500</v>
      </c>
      <c r="D90" s="196">
        <v>4650</v>
      </c>
      <c r="E90" s="327" t="s">
        <v>306</v>
      </c>
      <c r="F90" s="196">
        <v>5</v>
      </c>
      <c r="G90" s="196">
        <f>_xlfn.XLOOKUP(E90,价值表!$C:$C,价值表!$F:$F)*F90</f>
        <v>500</v>
      </c>
      <c r="H90" s="363">
        <f t="shared" si="26"/>
        <v>0.0166666666666667</v>
      </c>
      <c r="I90" s="78"/>
      <c r="J90" s="78"/>
      <c r="K90" s="78"/>
      <c r="N90" s="78"/>
    </row>
    <row r="91" spans="2:15">
      <c r="B91" s="78"/>
      <c r="C91" s="198">
        <f t="shared" si="27"/>
        <v>500</v>
      </c>
      <c r="D91" s="196">
        <v>5150</v>
      </c>
      <c r="E91" s="196" t="s">
        <v>188</v>
      </c>
      <c r="F91" s="196">
        <v>500</v>
      </c>
      <c r="G91" s="196">
        <f>_xlfn.XLOOKUP(E91,价值表!$C:$C,价值表!$F:$F)*F91</f>
        <v>500</v>
      </c>
      <c r="H91" s="363">
        <f t="shared" si="26"/>
        <v>0.0166666666666667</v>
      </c>
      <c r="I91" s="78"/>
      <c r="J91" s="78"/>
      <c r="K91" s="78"/>
      <c r="N91" s="78"/>
    </row>
    <row r="92" spans="2:15">
      <c r="B92" s="78"/>
      <c r="C92" s="198">
        <f t="shared" si="27"/>
        <v>500</v>
      </c>
      <c r="D92" s="196">
        <v>5650</v>
      </c>
      <c r="E92" s="327" t="s">
        <v>306</v>
      </c>
      <c r="F92" s="196">
        <v>5</v>
      </c>
      <c r="G92" s="196">
        <f>_xlfn.XLOOKUP(E92,价值表!$C:$C,价值表!$F:$F)*F92</f>
        <v>500</v>
      </c>
      <c r="H92" s="363">
        <f t="shared" si="26"/>
        <v>0.0166666666666667</v>
      </c>
      <c r="I92" s="78"/>
      <c r="J92" s="78"/>
      <c r="K92" s="78"/>
      <c r="N92" s="78"/>
    </row>
    <row r="93" spans="2:15">
      <c r="B93" s="78"/>
      <c r="C93" s="198">
        <f t="shared" si="27"/>
        <v>500</v>
      </c>
      <c r="D93" s="196">
        <v>6150</v>
      </c>
      <c r="E93" s="196" t="s">
        <v>188</v>
      </c>
      <c r="F93" s="196">
        <v>500</v>
      </c>
      <c r="G93" s="196">
        <f>_xlfn.XLOOKUP(E93,价值表!$C:$C,价值表!$F:$F)*F93</f>
        <v>500</v>
      </c>
      <c r="H93" s="363">
        <f t="shared" si="26"/>
        <v>0.0166666666666667</v>
      </c>
      <c r="I93" s="78"/>
      <c r="J93" s="78"/>
      <c r="K93" s="78"/>
      <c r="N93" s="78"/>
    </row>
    <row r="94" spans="2:15">
      <c r="B94" s="78"/>
      <c r="C94" s="386"/>
      <c r="F94" s="78"/>
      <c r="G94" s="78"/>
      <c r="H94" s="78"/>
      <c r="I94" s="78"/>
      <c r="J94" s="78"/>
      <c r="K94" s="78"/>
      <c r="L94" s="78"/>
      <c r="M94" s="78"/>
      <c r="N94" s="78"/>
    </row>
    <row r="95" spans="2:15">
      <c r="B95" s="78"/>
      <c r="C95" s="78"/>
      <c r="F95" s="78"/>
      <c r="G95" s="78"/>
      <c r="H95" s="368"/>
      <c r="I95" s="369"/>
      <c r="J95" s="368"/>
      <c r="K95" s="370"/>
      <c r="L95" s="78"/>
      <c r="M95" s="78"/>
      <c r="N95" s="78"/>
    </row>
    <row r="97" spans="3:13">
      <c r="C97" s="198" t="s">
        <v>1414</v>
      </c>
    </row>
    <row r="98" spans="3:13">
      <c r="D98" s="202" t="s">
        <v>1415</v>
      </c>
      <c r="E98" s="202" t="s">
        <v>1123</v>
      </c>
      <c r="F98" s="202" t="s">
        <v>919</v>
      </c>
      <c r="G98" s="202" t="s">
        <v>922</v>
      </c>
      <c r="H98" s="202" t="s">
        <v>1416</v>
      </c>
      <c r="I98" s="202" t="s">
        <v>1417</v>
      </c>
      <c r="J98" s="202" t="s">
        <v>919</v>
      </c>
      <c r="K98" s="202" t="s">
        <v>922</v>
      </c>
      <c r="L98" s="202" t="s">
        <v>954</v>
      </c>
    </row>
    <row r="99" spans="3:13">
      <c r="D99" s="196" t="s">
        <v>1418</v>
      </c>
      <c r="E99" s="196" t="s">
        <v>328</v>
      </c>
      <c r="F99" s="196">
        <v>1</v>
      </c>
      <c r="G99" s="196">
        <f>_xlfn.XLOOKUP(E99,价值表!$C:$C,价值表!$F:$F)*F99</f>
        <v>7000</v>
      </c>
      <c r="H99" s="196">
        <v>5</v>
      </c>
      <c r="I99" s="204" t="s">
        <v>309</v>
      </c>
      <c r="J99" s="204">
        <v>240</v>
      </c>
      <c r="K99" s="196">
        <v>7200</v>
      </c>
      <c r="L99" s="210">
        <f t="shared" ref="L99:L110" si="28">K99/G99</f>
        <v>1.02857142857143</v>
      </c>
    </row>
    <row r="100" spans="3:13">
      <c r="D100" s="196" t="s">
        <v>1368</v>
      </c>
      <c r="E100" s="196" t="s">
        <v>325</v>
      </c>
      <c r="F100" s="196">
        <v>1</v>
      </c>
      <c r="G100" s="196">
        <f>_xlfn.XLOOKUP(E100,价值表!$C:$C,价值表!$F:$F)*F100</f>
        <v>4000</v>
      </c>
      <c r="H100" s="196">
        <v>5</v>
      </c>
      <c r="I100" s="204" t="s">
        <v>309</v>
      </c>
      <c r="J100" s="204">
        <v>120</v>
      </c>
      <c r="K100" s="196">
        <v>3600</v>
      </c>
      <c r="L100" s="210">
        <f t="shared" si="28"/>
        <v>0.9</v>
      </c>
    </row>
    <row r="101" spans="3:13">
      <c r="D101" s="196" t="s">
        <v>1419</v>
      </c>
      <c r="E101" s="196" t="s">
        <v>332</v>
      </c>
      <c r="F101" s="196">
        <v>1</v>
      </c>
      <c r="G101" s="196">
        <f>_xlfn.XLOOKUP(E101,价值表!$C:$C,价值表!$F:$F)*F101</f>
        <v>6000</v>
      </c>
      <c r="H101" s="196">
        <v>5</v>
      </c>
      <c r="I101" s="204" t="s">
        <v>309</v>
      </c>
      <c r="J101" s="204">
        <v>90</v>
      </c>
      <c r="K101" s="196">
        <v>2700</v>
      </c>
      <c r="L101" s="210">
        <f t="shared" si="28"/>
        <v>0.45</v>
      </c>
    </row>
    <row r="102" spans="3:13">
      <c r="D102" s="196" t="s">
        <v>801</v>
      </c>
      <c r="E102" s="196" t="s">
        <v>332</v>
      </c>
      <c r="F102" s="196">
        <v>1</v>
      </c>
      <c r="G102" s="196">
        <f>_xlfn.XLOOKUP(E102,价值表!$C:$C,价值表!$F:$F)*F102</f>
        <v>6000</v>
      </c>
      <c r="H102" s="196">
        <v>1</v>
      </c>
      <c r="I102" s="204" t="s">
        <v>309</v>
      </c>
      <c r="J102" s="196">
        <v>120</v>
      </c>
      <c r="K102" s="196">
        <v>3600</v>
      </c>
      <c r="L102" s="210">
        <f t="shared" si="28"/>
        <v>0.6</v>
      </c>
      <c r="M102" s="198">
        <f>SUMPRODUCT(H99:H102,J99:J102)</f>
        <v>2370</v>
      </c>
    </row>
    <row r="103" spans="3:13">
      <c r="D103" s="196" t="s">
        <v>836</v>
      </c>
      <c r="E103" s="196" t="s">
        <v>322</v>
      </c>
      <c r="F103" s="196">
        <v>1</v>
      </c>
      <c r="G103" s="196">
        <f>_xlfn.XLOOKUP(E103,价值表!$C:$C,价值表!$F:$F)*F103</f>
        <v>4000</v>
      </c>
      <c r="H103" s="196">
        <v>5</v>
      </c>
      <c r="I103" s="204" t="s">
        <v>309</v>
      </c>
      <c r="J103" s="204">
        <v>120</v>
      </c>
      <c r="K103" s="196">
        <v>3600</v>
      </c>
      <c r="L103" s="210">
        <f t="shared" si="28"/>
        <v>0.9</v>
      </c>
    </row>
    <row r="104" spans="3:13">
      <c r="D104" s="397" t="s">
        <v>1420</v>
      </c>
      <c r="E104" s="397" t="s">
        <v>331</v>
      </c>
      <c r="F104" s="397">
        <v>1</v>
      </c>
      <c r="G104" s="196">
        <f>_xlfn.XLOOKUP(E104,价值表!$C:$C,价值表!$F:$F)*F104</f>
        <v>2000</v>
      </c>
      <c r="H104" s="397">
        <v>4</v>
      </c>
      <c r="I104" s="398" t="s">
        <v>309</v>
      </c>
      <c r="J104" s="398">
        <v>75</v>
      </c>
      <c r="K104" s="397">
        <v>2250</v>
      </c>
      <c r="L104" s="399">
        <f t="shared" si="28"/>
        <v>1.125</v>
      </c>
    </row>
    <row r="105" spans="3:13">
      <c r="D105" s="397" t="s">
        <v>945</v>
      </c>
      <c r="E105" s="397" t="s">
        <v>331</v>
      </c>
      <c r="F105" s="397">
        <v>1</v>
      </c>
      <c r="G105" s="196">
        <f>_xlfn.XLOOKUP(E105,价值表!$C:$C,价值表!$F:$F)*F105</f>
        <v>2000</v>
      </c>
      <c r="H105" s="397">
        <v>4</v>
      </c>
      <c r="I105" s="398" t="s">
        <v>309</v>
      </c>
      <c r="J105" s="398">
        <v>75</v>
      </c>
      <c r="K105" s="397">
        <v>2250</v>
      </c>
      <c r="L105" s="399">
        <f t="shared" si="28"/>
        <v>1.125</v>
      </c>
    </row>
    <row r="106" spans="3:13">
      <c r="D106" s="397" t="s">
        <v>1421</v>
      </c>
      <c r="E106" s="397" t="s">
        <v>327</v>
      </c>
      <c r="F106" s="397">
        <v>1</v>
      </c>
      <c r="G106" s="196">
        <f>_xlfn.XLOOKUP(E106,价值表!$C:$C,价值表!$F:$F)*F106</f>
        <v>2500</v>
      </c>
      <c r="H106" s="397">
        <v>4</v>
      </c>
      <c r="I106" s="398" t="s">
        <v>309</v>
      </c>
      <c r="J106" s="398">
        <v>60</v>
      </c>
      <c r="K106" s="397">
        <v>1800</v>
      </c>
      <c r="L106" s="399">
        <f t="shared" si="28"/>
        <v>0.72</v>
      </c>
    </row>
    <row r="107" spans="3:13">
      <c r="D107" s="196" t="s">
        <v>213</v>
      </c>
      <c r="E107" s="196" t="s">
        <v>213</v>
      </c>
      <c r="F107" s="196">
        <v>50</v>
      </c>
      <c r="G107" s="196">
        <f>_xlfn.XLOOKUP(E107,价值表!$C:$C,价值表!$F:$F)*F107</f>
        <v>1500</v>
      </c>
      <c r="H107" s="196">
        <v>10</v>
      </c>
      <c r="I107" s="204" t="s">
        <v>309</v>
      </c>
      <c r="J107" s="204">
        <v>60</v>
      </c>
      <c r="K107" s="196">
        <v>1800</v>
      </c>
      <c r="L107" s="210">
        <f t="shared" si="28"/>
        <v>1.2</v>
      </c>
    </row>
    <row r="108" spans="3:13">
      <c r="D108" s="196" t="s">
        <v>265</v>
      </c>
      <c r="E108" s="196" t="s">
        <v>265</v>
      </c>
      <c r="F108" s="196">
        <v>50</v>
      </c>
      <c r="G108" s="196">
        <f>_xlfn.XLOOKUP(E108,价值表!$C:$C,价值表!$F:$F)*F108</f>
        <v>3000</v>
      </c>
      <c r="H108" s="196">
        <v>10</v>
      </c>
      <c r="I108" s="204" t="s">
        <v>309</v>
      </c>
      <c r="J108" s="204">
        <v>120</v>
      </c>
      <c r="K108" s="196">
        <v>3600</v>
      </c>
      <c r="L108" s="210">
        <f t="shared" si="28"/>
        <v>1.2</v>
      </c>
    </row>
    <row r="109" spans="3:13">
      <c r="D109" s="196" t="s">
        <v>261</v>
      </c>
      <c r="E109" s="196" t="s">
        <v>261</v>
      </c>
      <c r="F109" s="196">
        <v>1</v>
      </c>
      <c r="G109" s="196">
        <f>_xlfn.XLOOKUP(E109,价值表!$C:$C,价值表!$F:$F)*F109</f>
        <v>280</v>
      </c>
      <c r="H109" s="196">
        <v>10</v>
      </c>
      <c r="I109" s="204" t="s">
        <v>309</v>
      </c>
      <c r="J109" s="196">
        <v>8</v>
      </c>
      <c r="K109" s="196">
        <v>240</v>
      </c>
      <c r="L109" s="210">
        <f t="shared" si="28"/>
        <v>0.857142857142857</v>
      </c>
    </row>
    <row r="110" spans="3:13">
      <c r="D110" s="196" t="s">
        <v>258</v>
      </c>
      <c r="E110" s="196" t="s">
        <v>258</v>
      </c>
      <c r="F110" s="196">
        <v>2</v>
      </c>
      <c r="G110" s="196">
        <f>_xlfn.XLOOKUP(E110,价值表!$C:$C,价值表!$F:$F)*F110</f>
        <v>100</v>
      </c>
      <c r="H110" s="196">
        <v>20</v>
      </c>
      <c r="I110" s="204" t="s">
        <v>309</v>
      </c>
      <c r="J110" s="196">
        <v>3</v>
      </c>
      <c r="K110" s="196">
        <v>90</v>
      </c>
      <c r="L110" s="210">
        <f t="shared" si="28"/>
        <v>0.9</v>
      </c>
    </row>
    <row r="115" spans="3:16">
      <c r="C115" s="360" t="s">
        <v>1174</v>
      </c>
    </row>
    <row r="116" spans="3:16">
      <c r="D116" s="202" t="s">
        <v>1195</v>
      </c>
      <c r="E116" s="202" t="s">
        <v>1196</v>
      </c>
      <c r="F116" s="202" t="s">
        <v>1197</v>
      </c>
      <c r="G116" s="202" t="s">
        <v>1099</v>
      </c>
      <c r="H116" s="202" t="s">
        <v>919</v>
      </c>
      <c r="I116" s="202" t="s">
        <v>922</v>
      </c>
      <c r="J116" s="202" t="s">
        <v>1099</v>
      </c>
      <c r="K116" s="202" t="s">
        <v>919</v>
      </c>
      <c r="L116" s="202" t="s">
        <v>922</v>
      </c>
      <c r="M116" s="202" t="s">
        <v>965</v>
      </c>
      <c r="N116" s="202" t="s">
        <v>1095</v>
      </c>
    </row>
    <row r="117" spans="3:16">
      <c r="D117" s="196" t="s">
        <v>1118</v>
      </c>
      <c r="E117" s="196">
        <v>6</v>
      </c>
      <c r="F117" s="196">
        <v>5</v>
      </c>
      <c r="G117" s="196" t="s">
        <v>188</v>
      </c>
      <c r="H117" s="196">
        <f t="shared" ref="H117:H119" si="29">E117*10</f>
        <v>60</v>
      </c>
      <c r="I117" s="196">
        <f>_xlfn.XLOOKUP(G117,价值表!$C:$C,价值表!$F:$F)*H117</f>
        <v>60</v>
      </c>
      <c r="J117" s="327" t="s">
        <v>306</v>
      </c>
      <c r="K117" s="196">
        <v>5</v>
      </c>
      <c r="L117" s="196">
        <v>300</v>
      </c>
      <c r="M117" s="196">
        <f t="shared" ref="M117:M119" si="30">I117+L117</f>
        <v>360</v>
      </c>
      <c r="N117" s="363">
        <f t="shared" ref="N117:N119" si="31">M117/E117/10</f>
        <v>6</v>
      </c>
      <c r="O117" s="375">
        <f t="shared" ref="O117:O119" si="32">1/N117</f>
        <v>0.166666666666667</v>
      </c>
      <c r="P117" s="198">
        <f>SUMPRODUCT(K117:K119,F117:F119)</f>
        <v>200</v>
      </c>
    </row>
    <row r="118" spans="3:16">
      <c r="D118" s="196" t="s">
        <v>1199</v>
      </c>
      <c r="E118" s="196">
        <v>30</v>
      </c>
      <c r="F118" s="196">
        <v>5</v>
      </c>
      <c r="G118" s="196" t="s">
        <v>188</v>
      </c>
      <c r="H118" s="196">
        <f t="shared" si="29"/>
        <v>300</v>
      </c>
      <c r="I118" s="196">
        <f>_xlfn.XLOOKUP(G118,价值表!$C:$C,价值表!$F:$F)*H118</f>
        <v>300</v>
      </c>
      <c r="J118" s="327" t="s">
        <v>306</v>
      </c>
      <c r="K118" s="196">
        <v>10</v>
      </c>
      <c r="L118" s="196">
        <v>600</v>
      </c>
      <c r="M118" s="196">
        <f t="shared" si="30"/>
        <v>900</v>
      </c>
      <c r="N118" s="363">
        <f t="shared" si="31"/>
        <v>3</v>
      </c>
      <c r="O118" s="375">
        <f t="shared" si="32"/>
        <v>0.333333333333333</v>
      </c>
    </row>
    <row r="119" spans="3:16">
      <c r="D119" s="196" t="s">
        <v>1200</v>
      </c>
      <c r="E119" s="196">
        <v>98</v>
      </c>
      <c r="F119" s="196">
        <v>5</v>
      </c>
      <c r="G119" s="196" t="s">
        <v>188</v>
      </c>
      <c r="H119" s="196">
        <f t="shared" si="29"/>
        <v>980</v>
      </c>
      <c r="I119" s="196">
        <f>_xlfn.XLOOKUP(G119,价值表!$C:$C,价值表!$F:$F)*H119</f>
        <v>980</v>
      </c>
      <c r="J119" s="327" t="s">
        <v>306</v>
      </c>
      <c r="K119" s="196">
        <v>25</v>
      </c>
      <c r="L119" s="196">
        <v>1500</v>
      </c>
      <c r="M119" s="196">
        <f t="shared" si="30"/>
        <v>2480</v>
      </c>
      <c r="N119" s="363">
        <f t="shared" si="31"/>
        <v>2.53061224489796</v>
      </c>
      <c r="O119" s="375">
        <f t="shared" si="32"/>
        <v>0.395161290322581</v>
      </c>
    </row>
  </sheetData>
  <mergeCells count="4">
    <mergeCell ref="C32:C34"/>
    <mergeCell ref="C38:C40"/>
    <mergeCell ref="C52:C53"/>
    <mergeCell ref="D3:D6"/>
  </mergeCells>
  <conditionalFormatting sqref="C25:D25">
    <cfRule type="duplicateValues" dxfId="1" priority="1"/>
  </conditionalFormatting>
  <conditionalFormatting sqref="C31:D31">
    <cfRule type="duplicateValues" dxfId="1" priority="7"/>
  </conditionalFormatting>
  <conditionalFormatting sqref="C37:D37">
    <cfRule type="duplicateValues" dxfId="1" priority="6"/>
  </conditionalFormatting>
  <conditionalFormatting sqref="C43:D43">
    <cfRule type="duplicateValues" dxfId="1" priority="5"/>
  </conditionalFormatting>
  <conditionalFormatting sqref="C47:D47">
    <cfRule type="duplicateValues" dxfId="1" priority="4"/>
  </conditionalFormatting>
  <conditionalFormatting sqref="C51:D51">
    <cfRule type="duplicateValues" dxfId="1" priority="3"/>
  </conditionalFormatting>
  <conditionalFormatting sqref="C56:D56">
    <cfRule type="duplicateValues" dxfId="1" priority="2"/>
  </conditionalFormatting>
  <conditionalFormatting sqref="D13:D19">
    <cfRule type="duplicateValues" dxfId="1" priority="8"/>
  </conditionalFormatting>
  <dataValidations count="1">
    <dataValidation type="textLength" operator="between" allowBlank="1" showInputMessage="1" showErrorMessage="1" errorTitle="输入有误" error="文本内容大长(0 ~ 9999999999)" sqref="E8 B18:B19">
      <formula1>0</formula1>
      <formula2>65535</formula2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7"/>
  </sheetPr>
  <dimension ref="A1:Z139"/>
  <sheetViews>
    <sheetView showGridLines="0" workbookViewId="0">
      <selection activeCell="B95" sqref="B95:L100"/>
    </sheetView>
  </sheetViews>
  <sheetFormatPr defaultColWidth="9" defaultRowHeight="16.5"/>
  <cols>
    <col min="1" max="3" width="9" style="192"/>
    <col min="4" max="4" width="17.6583333333333" style="192" customWidth="1"/>
    <col min="5" max="5" width="15.0833333333333" style="192" customWidth="1"/>
    <col min="6" max="7" width="9" style="192"/>
    <col min="8" max="8" width="9.375" style="192"/>
    <col min="9" max="9" width="12.625" style="192"/>
    <col min="10" max="13" width="9" style="192"/>
    <col min="14" max="14" width="12.625" style="192"/>
    <col min="15" max="18" width="9" style="192"/>
    <col min="19" max="19" width="11.875" style="192" customWidth="1"/>
    <col min="20" max="26" width="9" style="192"/>
    <col min="27" max="16384" width="9" style="322"/>
  </cols>
  <sheetData>
    <row r="1" s="322" customFormat="1" spans="1:26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8" t="s">
        <v>1422</v>
      </c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="282" customFormat="1" spans="1:26">
      <c r="B2" s="198" t="s">
        <v>1377</v>
      </c>
      <c r="L2" s="195" t="s">
        <v>318</v>
      </c>
      <c r="M2" s="195" t="s">
        <v>469</v>
      </c>
      <c r="N2" s="195" t="s">
        <v>471</v>
      </c>
      <c r="O2" s="195" t="s">
        <v>318</v>
      </c>
    </row>
    <row r="3" s="282" customFormat="1" spans="1:26">
      <c r="D3" s="202" t="s">
        <v>918</v>
      </c>
      <c r="E3" s="202" t="s">
        <v>1378</v>
      </c>
      <c r="F3" s="202" t="s">
        <v>919</v>
      </c>
      <c r="L3" s="196">
        <v>1</v>
      </c>
      <c r="M3" s="196">
        <v>2</v>
      </c>
      <c r="N3" s="196">
        <v>3</v>
      </c>
      <c r="O3" s="196">
        <v>4</v>
      </c>
      <c r="P3" s="78"/>
    </row>
    <row r="4" s="282" customFormat="1" spans="1:26">
      <c r="D4" s="323" t="s">
        <v>316</v>
      </c>
      <c r="E4" s="196" t="s">
        <v>1380</v>
      </c>
      <c r="F4" s="196">
        <v>9</v>
      </c>
      <c r="K4" s="198" t="s">
        <v>261</v>
      </c>
      <c r="L4" s="196">
        <v>5</v>
      </c>
      <c r="M4" s="78"/>
      <c r="N4" s="78"/>
      <c r="O4" s="78"/>
      <c r="P4" s="196">
        <v>17</v>
      </c>
      <c r="Q4" s="198" t="s">
        <v>237</v>
      </c>
      <c r="R4" s="198" t="s">
        <v>1422</v>
      </c>
    </row>
    <row r="5" s="282" customFormat="1" spans="1:26">
      <c r="A5" s="78"/>
      <c r="B5" s="78"/>
      <c r="C5" s="78"/>
      <c r="D5" s="324"/>
      <c r="E5" s="196" t="s">
        <v>1381</v>
      </c>
      <c r="F5" s="196">
        <f>75</f>
        <v>75</v>
      </c>
      <c r="G5" s="78"/>
      <c r="H5" s="78"/>
      <c r="J5" s="198" t="s">
        <v>1422</v>
      </c>
      <c r="K5" s="198" t="s">
        <v>195</v>
      </c>
      <c r="L5" s="195">
        <v>6</v>
      </c>
      <c r="M5" s="78"/>
      <c r="N5" s="78"/>
      <c r="O5" s="78"/>
      <c r="P5" s="196">
        <v>16</v>
      </c>
      <c r="Q5" s="198" t="s">
        <v>265</v>
      </c>
    </row>
    <row r="6" s="282" customFormat="1" spans="1:26">
      <c r="A6" s="78"/>
      <c r="E6" s="325" t="s">
        <v>559</v>
      </c>
      <c r="F6" s="282">
        <v>40</v>
      </c>
      <c r="H6" s="78"/>
      <c r="J6" s="198" t="s">
        <v>1422</v>
      </c>
      <c r="K6" s="198" t="s">
        <v>258</v>
      </c>
      <c r="L6" s="195">
        <v>7</v>
      </c>
      <c r="M6" s="78"/>
      <c r="N6" s="78"/>
      <c r="O6" s="78"/>
      <c r="P6" s="196">
        <v>15</v>
      </c>
      <c r="Q6" s="198" t="s">
        <v>527</v>
      </c>
      <c r="R6" s="198" t="s">
        <v>1422</v>
      </c>
    </row>
    <row r="7" s="282" customFormat="1" spans="1:26">
      <c r="A7" s="78"/>
      <c r="B7" s="326"/>
      <c r="E7" s="325" t="s">
        <v>1423</v>
      </c>
      <c r="F7" s="78">
        <v>15</v>
      </c>
      <c r="J7" s="198" t="s">
        <v>1422</v>
      </c>
      <c r="K7" s="198" t="s">
        <v>242</v>
      </c>
      <c r="L7" s="196">
        <v>8</v>
      </c>
      <c r="M7" s="78"/>
      <c r="N7" s="78"/>
      <c r="O7" s="78"/>
      <c r="P7" s="196">
        <v>14</v>
      </c>
      <c r="Q7" s="198" t="s">
        <v>213</v>
      </c>
    </row>
    <row r="8" s="282" customFormat="1" spans="1:26">
      <c r="A8" s="78"/>
      <c r="B8" s="14"/>
      <c r="G8" s="198">
        <f>SUM(F4:F7)</f>
        <v>139</v>
      </c>
      <c r="I8" s="78"/>
      <c r="J8" s="78"/>
      <c r="K8" s="78"/>
      <c r="L8" s="196">
        <v>9</v>
      </c>
      <c r="M8" s="327">
        <v>10</v>
      </c>
      <c r="N8" s="196">
        <v>11</v>
      </c>
      <c r="O8" s="195">
        <v>12</v>
      </c>
      <c r="P8" s="195">
        <v>13</v>
      </c>
    </row>
    <row r="9" s="282" customFormat="1" spans="1:26">
      <c r="A9" s="78"/>
      <c r="B9" s="328"/>
      <c r="C9" s="14" t="s">
        <v>1383</v>
      </c>
      <c r="E9" s="329"/>
      <c r="F9" s="329"/>
      <c r="I9" s="78"/>
      <c r="J9" s="78"/>
      <c r="K9" s="78"/>
      <c r="L9" s="330" t="s">
        <v>527</v>
      </c>
      <c r="M9" s="330" t="s">
        <v>242</v>
      </c>
      <c r="N9" s="330" t="s">
        <v>237</v>
      </c>
      <c r="O9" s="196" t="s">
        <v>258</v>
      </c>
      <c r="P9" s="330" t="s">
        <v>195</v>
      </c>
    </row>
    <row r="10" s="282" customFormat="1" spans="1:26">
      <c r="A10" s="78"/>
      <c r="B10" s="14"/>
      <c r="C10" s="326"/>
      <c r="D10" s="202" t="s">
        <v>1384</v>
      </c>
      <c r="E10" s="202" t="s">
        <v>1385</v>
      </c>
      <c r="F10" s="202" t="s">
        <v>1386</v>
      </c>
      <c r="G10" s="78"/>
      <c r="I10" s="78"/>
      <c r="J10" s="78"/>
      <c r="K10" s="78"/>
      <c r="O10" s="14"/>
      <c r="P10" s="14"/>
    </row>
    <row r="11" s="282" customFormat="1" spans="1:26">
      <c r="A11" s="78"/>
      <c r="B11" s="14"/>
      <c r="C11" s="14"/>
      <c r="D11" s="331">
        <v>150</v>
      </c>
      <c r="E11" s="332">
        <f>(1-(1-L14)^D11)/L14</f>
        <v>125.213340105447</v>
      </c>
      <c r="F11" s="333">
        <f>1/E11</f>
        <v>0.00798636949671544</v>
      </c>
      <c r="G11" s="334">
        <f>E11/D11</f>
        <v>0.834755600702982</v>
      </c>
      <c r="I11" s="78"/>
      <c r="J11" s="78"/>
      <c r="K11" s="78"/>
      <c r="L11" s="78"/>
      <c r="M11" s="78"/>
      <c r="N11" s="78"/>
      <c r="O11" s="14"/>
      <c r="P11" s="14"/>
      <c r="S11" s="198" t="s">
        <v>1387</v>
      </c>
      <c r="U11" s="198" t="s">
        <v>1388</v>
      </c>
      <c r="V11" s="198" t="s">
        <v>1389</v>
      </c>
    </row>
    <row r="12" s="282" customFormat="1" spans="1:26">
      <c r="A12" s="78"/>
      <c r="B12" s="14"/>
      <c r="C12" s="14"/>
      <c r="D12" s="14" t="s">
        <v>1390</v>
      </c>
      <c r="E12" s="14"/>
      <c r="F12" s="14"/>
      <c r="G12" s="14"/>
      <c r="H12" s="78"/>
      <c r="I12" s="78"/>
      <c r="J12" s="78"/>
      <c r="K12" s="78"/>
      <c r="L12" s="78"/>
      <c r="M12" s="78"/>
      <c r="N12" s="78" t="s">
        <v>1384</v>
      </c>
      <c r="O12" s="78" t="s">
        <v>1391</v>
      </c>
      <c r="P12" s="14" t="s">
        <v>1392</v>
      </c>
      <c r="S12" s="335" t="s">
        <v>180</v>
      </c>
      <c r="T12" s="335" t="s">
        <v>1327</v>
      </c>
      <c r="U12" s="335" t="s">
        <v>1393</v>
      </c>
      <c r="V12" s="335" t="s">
        <v>1393</v>
      </c>
    </row>
    <row r="13" s="282" customFormat="1" spans="1:26">
      <c r="A13" s="78"/>
      <c r="B13" s="14"/>
      <c r="C13" s="14"/>
      <c r="D13" s="202" t="s">
        <v>1424</v>
      </c>
      <c r="E13" s="202" t="s">
        <v>178</v>
      </c>
      <c r="F13" s="202" t="s">
        <v>919</v>
      </c>
      <c r="G13" s="202" t="s">
        <v>922</v>
      </c>
      <c r="H13" s="202" t="s">
        <v>1158</v>
      </c>
      <c r="I13" s="202" t="s">
        <v>1159</v>
      </c>
      <c r="J13" s="202" t="s">
        <v>1396</v>
      </c>
      <c r="K13" s="202" t="s">
        <v>1397</v>
      </c>
      <c r="L13" s="202" t="s">
        <v>1398</v>
      </c>
      <c r="M13" s="202" t="s">
        <v>1399</v>
      </c>
      <c r="N13" s="202" t="s">
        <v>1400</v>
      </c>
      <c r="O13" s="202" t="s">
        <v>1150</v>
      </c>
      <c r="P13" s="202" t="s">
        <v>1150</v>
      </c>
      <c r="S13" s="196" t="str">
        <f>E38</f>
        <v>奇异权杖</v>
      </c>
      <c r="T13" s="336">
        <f ca="1" t="shared" ref="T13:T15" si="0">SUMIF($E$37:$K$68,S13,$J$37:$J$68)</f>
        <v>0.00319454779868618</v>
      </c>
      <c r="U13" s="337">
        <f ca="1" t="shared" ref="U13:U15" si="1">SUMIF($E$37:$N$68,S13,$N$37:$N$68)</f>
        <v>0.00319454779868618</v>
      </c>
      <c r="V13" s="338">
        <f ca="1" t="shared" ref="V13:V23" si="2">U13*1000</f>
        <v>3.19454779868618</v>
      </c>
    </row>
    <row r="14" s="282" customFormat="1" spans="1:26">
      <c r="A14" s="78"/>
      <c r="B14" s="14"/>
      <c r="C14" s="14"/>
      <c r="D14" s="195"/>
      <c r="E14" s="196" t="s">
        <v>1425</v>
      </c>
      <c r="F14" s="196">
        <v>1</v>
      </c>
      <c r="G14" s="196">
        <f>H34</f>
        <v>4560</v>
      </c>
      <c r="H14" s="196">
        <f>SUM(F32:F33)</f>
        <v>25</v>
      </c>
      <c r="I14" s="339">
        <v>30</v>
      </c>
      <c r="J14" s="196">
        <f>D11</f>
        <v>150</v>
      </c>
      <c r="K14" s="196"/>
      <c r="L14" s="340">
        <f t="shared" ref="L14:L27" si="3">H14/$H$28</f>
        <v>0.0025</v>
      </c>
      <c r="M14" s="341">
        <f>1/E11</f>
        <v>0.00798636949671544</v>
      </c>
      <c r="N14" s="342">
        <f t="shared" ref="N14:N27" si="4">1/M14</f>
        <v>125.213340105447</v>
      </c>
      <c r="O14" s="343">
        <f t="shared" ref="O14:O27" si="5">G14*L14</f>
        <v>11.4</v>
      </c>
      <c r="P14" s="343">
        <f t="shared" ref="P14:P27" si="6">M14*G14</f>
        <v>36.4178449050224</v>
      </c>
      <c r="S14" s="196" t="str">
        <f>E39</f>
        <v>祈愿水晶</v>
      </c>
      <c r="T14" s="336">
        <f ca="1" t="shared" si="0"/>
        <v>0.00351400257855479</v>
      </c>
      <c r="U14" s="337">
        <f ca="1" t="shared" si="1"/>
        <v>0.00894473383632129</v>
      </c>
      <c r="V14" s="338">
        <f ca="1" t="shared" si="2"/>
        <v>8.94473383632129</v>
      </c>
    </row>
    <row r="15" s="282" customFormat="1" spans="1:26">
      <c r="A15" s="78"/>
      <c r="B15" s="14"/>
      <c r="C15" s="14"/>
      <c r="D15" s="195">
        <v>5</v>
      </c>
      <c r="E15" s="196" t="s">
        <v>261</v>
      </c>
      <c r="F15" s="196">
        <v>1</v>
      </c>
      <c r="G15" s="196">
        <f>_xlfn.XLOOKUP(E15,价值表!$C:$C,价值表!$F:$F)*F15</f>
        <v>280</v>
      </c>
      <c r="H15" s="196">
        <v>350</v>
      </c>
      <c r="I15" s="196"/>
      <c r="J15" s="196"/>
      <c r="K15" s="196"/>
      <c r="L15" s="340">
        <f t="shared" si="3"/>
        <v>0.035</v>
      </c>
      <c r="M15" s="341">
        <f t="shared" ref="M15:M27" si="7">H15/SUM($H$15:$H$27)*(1-$M$14)</f>
        <v>0.0348074958071328</v>
      </c>
      <c r="N15" s="342">
        <f t="shared" si="4"/>
        <v>28.7294439548587</v>
      </c>
      <c r="O15" s="343">
        <f t="shared" si="5"/>
        <v>9.8</v>
      </c>
      <c r="P15" s="343">
        <f t="shared" si="6"/>
        <v>9.74609882599718</v>
      </c>
      <c r="Q15" s="344">
        <f t="shared" ref="Q15:Q27" si="8">F15*M15</f>
        <v>0.0348074958071328</v>
      </c>
      <c r="S15" s="196" t="str">
        <f>E44</f>
        <v>神秘影袍</v>
      </c>
      <c r="T15" s="336">
        <f ca="1" t="shared" si="0"/>
        <v>0.00127781911947447</v>
      </c>
      <c r="U15" s="337">
        <f ca="1" t="shared" si="1"/>
        <v>0.00127781911947447</v>
      </c>
      <c r="V15" s="338">
        <f ca="1" t="shared" si="2"/>
        <v>1.27781911947447</v>
      </c>
    </row>
    <row r="16" s="282" customFormat="1" spans="1:26">
      <c r="A16" s="78"/>
      <c r="B16" s="14"/>
      <c r="C16" s="14"/>
      <c r="D16" s="195">
        <v>12</v>
      </c>
      <c r="E16" s="196" t="s">
        <v>258</v>
      </c>
      <c r="F16" s="196">
        <v>1</v>
      </c>
      <c r="G16" s="196">
        <f>_xlfn.XLOOKUP(E16,价值表!$C:$C,价值表!$F:$F)*F16</f>
        <v>50</v>
      </c>
      <c r="H16" s="196">
        <v>1200</v>
      </c>
      <c r="I16" s="196"/>
      <c r="J16" s="196"/>
      <c r="K16" s="196"/>
      <c r="L16" s="340">
        <f t="shared" si="3"/>
        <v>0.12</v>
      </c>
      <c r="M16" s="341">
        <f t="shared" si="7"/>
        <v>0.119339985624455</v>
      </c>
      <c r="N16" s="342">
        <f t="shared" si="4"/>
        <v>8.37942115350045</v>
      </c>
      <c r="O16" s="343">
        <f t="shared" si="5"/>
        <v>6</v>
      </c>
      <c r="P16" s="343">
        <f t="shared" si="6"/>
        <v>5.96699928122275</v>
      </c>
      <c r="Q16" s="344">
        <f t="shared" si="8"/>
        <v>0.119339985624455</v>
      </c>
      <c r="S16" s="196" t="str">
        <f t="array" ref="S16:S23">_xlfn.UNIQUE(E15:E27)</f>
        <v>星辉秘契</v>
      </c>
      <c r="T16" s="336">
        <f ca="1" t="shared" ref="T16:T23" si="9">SUMIF($E$13:$P$27,S16,$M$13:$M$27)</f>
        <v>0.0348074958071328</v>
      </c>
      <c r="U16" s="337">
        <f ca="1" t="shared" ref="U16:U23" si="10">SUMIF($E$13:$Q$27,S16,$Q$13:$Q$27)</f>
        <v>0.0348074958071328</v>
      </c>
      <c r="V16" s="338">
        <f ca="1" t="shared" si="2"/>
        <v>34.8074958071328</v>
      </c>
    </row>
    <row r="17" s="282" customFormat="1" spans="1:22">
      <c r="A17" s="78"/>
      <c r="B17" s="14"/>
      <c r="C17" s="14"/>
      <c r="D17" s="195">
        <v>7</v>
      </c>
      <c r="E17" s="196" t="s">
        <v>258</v>
      </c>
      <c r="F17" s="196">
        <v>5</v>
      </c>
      <c r="G17" s="196">
        <f>_xlfn.XLOOKUP(E17,价值表!$C:$C,价值表!$F:$F)*F17</f>
        <v>250</v>
      </c>
      <c r="H17" s="196">
        <v>200</v>
      </c>
      <c r="I17" s="196"/>
      <c r="J17" s="196"/>
      <c r="K17" s="196"/>
      <c r="L17" s="340">
        <f t="shared" si="3"/>
        <v>0.02</v>
      </c>
      <c r="M17" s="341">
        <f t="shared" si="7"/>
        <v>0.0198899976040759</v>
      </c>
      <c r="N17" s="342">
        <f t="shared" si="4"/>
        <v>50.2765269210027</v>
      </c>
      <c r="O17" s="343">
        <f t="shared" si="5"/>
        <v>5</v>
      </c>
      <c r="P17" s="343">
        <f t="shared" si="6"/>
        <v>4.97249940101898</v>
      </c>
      <c r="Q17" s="344">
        <f t="shared" si="8"/>
        <v>0.0994499880203794</v>
      </c>
      <c r="S17" s="196" t="str">
        <v>星之初愿</v>
      </c>
      <c r="T17" s="336">
        <f ca="1" t="shared" si="9"/>
        <v>0.139229983228531</v>
      </c>
      <c r="U17" s="337">
        <f ca="1" t="shared" si="10"/>
        <v>0.218789973644834</v>
      </c>
      <c r="V17" s="338">
        <f ca="1" t="shared" si="2"/>
        <v>218.789973644834</v>
      </c>
    </row>
    <row r="18" s="282" customFormat="1" spans="1:22">
      <c r="A18" s="78"/>
      <c r="B18" s="14"/>
      <c r="C18" s="14"/>
      <c r="D18" s="195">
        <v>16</v>
      </c>
      <c r="E18" s="345" t="s">
        <v>265</v>
      </c>
      <c r="F18" s="196">
        <v>2</v>
      </c>
      <c r="G18" s="196">
        <f>_xlfn.XLOOKUP(E18,价值表!$C:$C,价值表!$F:$F)*F18</f>
        <v>120</v>
      </c>
      <c r="H18" s="196">
        <v>525</v>
      </c>
      <c r="I18" s="196"/>
      <c r="J18" s="196"/>
      <c r="K18" s="196"/>
      <c r="L18" s="340">
        <f t="shared" si="3"/>
        <v>0.0525</v>
      </c>
      <c r="M18" s="341">
        <f t="shared" si="7"/>
        <v>0.0522112437106992</v>
      </c>
      <c r="N18" s="342">
        <f t="shared" si="4"/>
        <v>19.1529626365725</v>
      </c>
      <c r="O18" s="343">
        <f t="shared" si="5"/>
        <v>6.3</v>
      </c>
      <c r="P18" s="343">
        <f t="shared" si="6"/>
        <v>6.2653492452839</v>
      </c>
      <c r="Q18" s="344">
        <f t="shared" si="8"/>
        <v>0.104422487421398</v>
      </c>
      <c r="S18" s="331" t="str">
        <v>幻梦晶核</v>
      </c>
      <c r="T18" s="336">
        <f ca="1" t="shared" si="9"/>
        <v>0.0522112437106992</v>
      </c>
      <c r="U18" s="337">
        <f ca="1" t="shared" si="10"/>
        <v>0.104422487421398</v>
      </c>
      <c r="V18" s="338">
        <f ca="1" t="shared" si="2"/>
        <v>104.422487421398</v>
      </c>
    </row>
    <row r="19" s="282" customFormat="1" spans="1:22">
      <c r="A19" s="78"/>
      <c r="B19" s="329"/>
      <c r="C19" s="14"/>
      <c r="D19" s="195">
        <v>14</v>
      </c>
      <c r="E19" s="196" t="s">
        <v>213</v>
      </c>
      <c r="F19" s="196">
        <v>5</v>
      </c>
      <c r="G19" s="196">
        <f>_xlfn.XLOOKUP(E19,价值表!$C:$C,价值表!$F:$F)*F19</f>
        <v>150</v>
      </c>
      <c r="H19" s="196">
        <v>650</v>
      </c>
      <c r="I19" s="196"/>
      <c r="J19" s="196"/>
      <c r="K19" s="196"/>
      <c r="L19" s="340">
        <f t="shared" si="3"/>
        <v>0.065</v>
      </c>
      <c r="M19" s="341">
        <f t="shared" si="7"/>
        <v>0.0646424922132466</v>
      </c>
      <c r="N19" s="342">
        <f t="shared" si="4"/>
        <v>15.4697005910778</v>
      </c>
      <c r="O19" s="343">
        <f t="shared" si="5"/>
        <v>9.75</v>
      </c>
      <c r="P19" s="343">
        <f t="shared" si="6"/>
        <v>9.69637383198699</v>
      </c>
      <c r="Q19" s="344">
        <f t="shared" si="8"/>
        <v>0.323212461066233</v>
      </c>
      <c r="S19" s="331" t="str">
        <v>梦境招募器</v>
      </c>
      <c r="T19" s="336">
        <f ca="1" t="shared" si="9"/>
        <v>0.0646424922132466</v>
      </c>
      <c r="U19" s="337">
        <f ca="1" t="shared" si="10"/>
        <v>0.323212461066233</v>
      </c>
      <c r="V19" s="338">
        <f ca="1" t="shared" si="2"/>
        <v>323.212461066233</v>
      </c>
    </row>
    <row r="20" s="282" customFormat="1" spans="1:22">
      <c r="A20" s="78"/>
      <c r="B20" s="329"/>
      <c r="C20" s="14"/>
      <c r="D20" s="195">
        <v>9</v>
      </c>
      <c r="E20" s="346" t="s">
        <v>209</v>
      </c>
      <c r="F20" s="197">
        <v>50</v>
      </c>
      <c r="G20" s="196">
        <f>_xlfn.XLOOKUP(E20,价值表!$C:$C,价值表!$F:$F)*F20</f>
        <v>50</v>
      </c>
      <c r="H20" s="323">
        <v>1600</v>
      </c>
      <c r="I20" s="323"/>
      <c r="J20" s="323"/>
      <c r="K20" s="323"/>
      <c r="L20" s="347">
        <f t="shared" si="3"/>
        <v>0.16</v>
      </c>
      <c r="M20" s="341">
        <f t="shared" si="7"/>
        <v>0.159119980832607</v>
      </c>
      <c r="N20" s="348">
        <f t="shared" si="4"/>
        <v>6.28456586512534</v>
      </c>
      <c r="O20" s="343">
        <f t="shared" si="5"/>
        <v>8</v>
      </c>
      <c r="P20" s="343">
        <f t="shared" si="6"/>
        <v>7.95599904163035</v>
      </c>
      <c r="Q20" s="344">
        <f t="shared" si="8"/>
        <v>7.95599904163035</v>
      </c>
      <c r="S20" s="196" t="str">
        <v>能量特饮</v>
      </c>
      <c r="T20" s="336">
        <f ca="1" t="shared" si="9"/>
        <v>0.198899976040759</v>
      </c>
      <c r="U20" s="337">
        <f ca="1" t="shared" si="10"/>
        <v>11.9339985624455</v>
      </c>
      <c r="V20" s="338">
        <f ca="1" t="shared" si="2"/>
        <v>11933.9985624455</v>
      </c>
    </row>
    <row r="21" s="282" customFormat="1" spans="1:22">
      <c r="A21" s="78"/>
      <c r="B21" s="329"/>
      <c r="C21" s="14"/>
      <c r="D21" s="195">
        <v>15</v>
      </c>
      <c r="E21" s="330" t="s">
        <v>209</v>
      </c>
      <c r="F21" s="330">
        <v>100</v>
      </c>
      <c r="G21" s="196">
        <f>_xlfn.XLOOKUP(E21,价值表!$C:$C,价值表!$F:$F)*F21</f>
        <v>100</v>
      </c>
      <c r="H21" s="196">
        <v>400</v>
      </c>
      <c r="I21" s="196"/>
      <c r="J21" s="196"/>
      <c r="K21" s="196"/>
      <c r="L21" s="340">
        <f t="shared" si="3"/>
        <v>0.04</v>
      </c>
      <c r="M21" s="341">
        <f t="shared" si="7"/>
        <v>0.0397799952081518</v>
      </c>
      <c r="N21" s="342">
        <f t="shared" si="4"/>
        <v>25.1382634605013</v>
      </c>
      <c r="O21" s="343">
        <f t="shared" si="5"/>
        <v>4</v>
      </c>
      <c r="P21" s="343">
        <f t="shared" si="6"/>
        <v>3.97799952081518</v>
      </c>
      <c r="Q21" s="344">
        <f t="shared" si="8"/>
        <v>3.97799952081518</v>
      </c>
      <c r="S21" s="196" t="str">
        <v>装备图纸</v>
      </c>
      <c r="T21" s="336">
        <f ca="1" t="shared" si="9"/>
        <v>0.164092480233626</v>
      </c>
      <c r="U21" s="337">
        <f ca="1" t="shared" si="10"/>
        <v>2.08844974842796</v>
      </c>
      <c r="V21" s="338">
        <f ca="1" t="shared" si="2"/>
        <v>2088.44974842796</v>
      </c>
    </row>
    <row r="22" s="282" customFormat="1" spans="1:22">
      <c r="A22" s="78"/>
      <c r="B22" s="329"/>
      <c r="C22" s="14"/>
      <c r="D22" s="195">
        <v>10</v>
      </c>
      <c r="E22" s="330" t="s">
        <v>242</v>
      </c>
      <c r="F22" s="330">
        <v>10</v>
      </c>
      <c r="G22" s="196">
        <f>_xlfn.XLOOKUP(E22,价值表!$C:$C,价值表!$F:$F)*F22</f>
        <v>30</v>
      </c>
      <c r="H22" s="196">
        <v>1200</v>
      </c>
      <c r="I22" s="196"/>
      <c r="J22" s="196"/>
      <c r="K22" s="196"/>
      <c r="L22" s="340">
        <f t="shared" si="3"/>
        <v>0.12</v>
      </c>
      <c r="M22" s="341">
        <f t="shared" si="7"/>
        <v>0.119339985624455</v>
      </c>
      <c r="N22" s="342">
        <f t="shared" si="4"/>
        <v>8.37942115350045</v>
      </c>
      <c r="O22" s="343">
        <f t="shared" si="5"/>
        <v>3.6</v>
      </c>
      <c r="P22" s="343">
        <f t="shared" si="6"/>
        <v>3.58019956873365</v>
      </c>
      <c r="Q22" s="344">
        <f t="shared" si="8"/>
        <v>1.19339985624455</v>
      </c>
      <c r="S22" s="196" t="str">
        <v>转运石</v>
      </c>
      <c r="T22" s="336">
        <f ca="1" t="shared" si="9"/>
        <v>0.179009978436683</v>
      </c>
      <c r="U22" s="337">
        <f ca="1" t="shared" si="10"/>
        <v>26.2547968373801</v>
      </c>
      <c r="V22" s="338">
        <f ca="1" t="shared" si="2"/>
        <v>26254.7968373801</v>
      </c>
    </row>
    <row r="23" s="282" customFormat="1" spans="1:22">
      <c r="A23" s="78"/>
      <c r="B23" s="329"/>
      <c r="C23" s="14"/>
      <c r="D23" s="195">
        <v>8</v>
      </c>
      <c r="E23" s="330" t="s">
        <v>242</v>
      </c>
      <c r="F23" s="330">
        <v>20</v>
      </c>
      <c r="G23" s="196">
        <f>_xlfn.XLOOKUP(E23,价值表!$C:$C,价值表!$F:$F)*F23</f>
        <v>60</v>
      </c>
      <c r="H23" s="196">
        <v>450</v>
      </c>
      <c r="I23" s="196"/>
      <c r="J23" s="196"/>
      <c r="K23" s="196"/>
      <c r="L23" s="340">
        <f t="shared" si="3"/>
        <v>0.045</v>
      </c>
      <c r="M23" s="341">
        <f t="shared" si="7"/>
        <v>0.0447524946091707</v>
      </c>
      <c r="N23" s="342">
        <f t="shared" si="4"/>
        <v>22.3451230760012</v>
      </c>
      <c r="O23" s="343">
        <f t="shared" si="5"/>
        <v>2.7</v>
      </c>
      <c r="P23" s="343">
        <f t="shared" si="6"/>
        <v>2.68514967655024</v>
      </c>
      <c r="Q23" s="344">
        <f t="shared" si="8"/>
        <v>0.895049892183414</v>
      </c>
      <c r="S23" s="196" t="str">
        <v>金币</v>
      </c>
      <c r="T23" s="336">
        <f ca="1" t="shared" si="9"/>
        <v>0.159119980832607</v>
      </c>
      <c r="U23" s="337">
        <f ca="1" t="shared" si="10"/>
        <v>99.4499880203794</v>
      </c>
      <c r="V23" s="338">
        <f ca="1" t="shared" si="2"/>
        <v>99449.9880203794</v>
      </c>
    </row>
    <row r="24" s="282" customFormat="1" spans="1:22">
      <c r="A24" s="78"/>
      <c r="B24" s="329"/>
      <c r="C24" s="14"/>
      <c r="D24" s="195">
        <v>11</v>
      </c>
      <c r="E24" s="330" t="s">
        <v>237</v>
      </c>
      <c r="F24" s="330">
        <v>120</v>
      </c>
      <c r="G24" s="196">
        <f>_xlfn.XLOOKUP(E24,价值表!$C:$C,价值表!$F:$F)*F24</f>
        <v>39.6</v>
      </c>
      <c r="H24" s="196">
        <v>1400</v>
      </c>
      <c r="I24" s="196"/>
      <c r="J24" s="196"/>
      <c r="K24" s="196"/>
      <c r="L24" s="340">
        <f t="shared" si="3"/>
        <v>0.14</v>
      </c>
      <c r="M24" s="341">
        <f t="shared" si="7"/>
        <v>0.139229983228531</v>
      </c>
      <c r="N24" s="342">
        <f t="shared" si="4"/>
        <v>7.18236098871467</v>
      </c>
      <c r="O24" s="343">
        <f t="shared" si="5"/>
        <v>5.544</v>
      </c>
      <c r="P24" s="343">
        <f t="shared" si="6"/>
        <v>5.51350733584983</v>
      </c>
      <c r="Q24" s="344">
        <f t="shared" si="8"/>
        <v>16.7075979874237</v>
      </c>
    </row>
    <row r="25" s="282" customFormat="1" spans="1:22">
      <c r="A25" s="78"/>
      <c r="B25" s="329"/>
      <c r="C25" s="14"/>
      <c r="D25" s="195">
        <v>17</v>
      </c>
      <c r="E25" s="330" t="s">
        <v>237</v>
      </c>
      <c r="F25" s="330">
        <v>240</v>
      </c>
      <c r="G25" s="196">
        <f>_xlfn.XLOOKUP(E25,价值表!$C:$C,价值表!$F:$F)*F25</f>
        <v>79.2</v>
      </c>
      <c r="H25" s="196">
        <v>400</v>
      </c>
      <c r="I25" s="196"/>
      <c r="J25" s="196"/>
      <c r="K25" s="196"/>
      <c r="L25" s="340">
        <f t="shared" si="3"/>
        <v>0.04</v>
      </c>
      <c r="M25" s="341">
        <f t="shared" si="7"/>
        <v>0.0397799952081518</v>
      </c>
      <c r="N25" s="342">
        <f t="shared" si="4"/>
        <v>25.1382634605013</v>
      </c>
      <c r="O25" s="343">
        <f t="shared" si="5"/>
        <v>3.168</v>
      </c>
      <c r="P25" s="343">
        <f t="shared" si="6"/>
        <v>3.15057562048562</v>
      </c>
      <c r="Q25" s="344">
        <f t="shared" si="8"/>
        <v>9.54719884995642</v>
      </c>
    </row>
    <row r="26" s="282" customFormat="1" spans="1:22">
      <c r="A26" s="78"/>
      <c r="B26" s="329"/>
      <c r="C26" s="14"/>
      <c r="D26" s="195">
        <v>13</v>
      </c>
      <c r="E26" s="330" t="s">
        <v>195</v>
      </c>
      <c r="F26" s="330">
        <v>500</v>
      </c>
      <c r="G26" s="196">
        <f>_xlfn.XLOOKUP(E26,价值表!$C:$C,价值表!$F:$F)*F26</f>
        <v>25</v>
      </c>
      <c r="H26" s="196">
        <v>1200</v>
      </c>
      <c r="I26" s="196"/>
      <c r="J26" s="196"/>
      <c r="K26" s="196"/>
      <c r="L26" s="340">
        <f t="shared" si="3"/>
        <v>0.12</v>
      </c>
      <c r="M26" s="341">
        <f t="shared" si="7"/>
        <v>0.119339985624455</v>
      </c>
      <c r="N26" s="342">
        <f t="shared" si="4"/>
        <v>8.37942115350045</v>
      </c>
      <c r="O26" s="343">
        <f t="shared" si="5"/>
        <v>3</v>
      </c>
      <c r="P26" s="343">
        <f t="shared" si="6"/>
        <v>2.98349964061137</v>
      </c>
      <c r="Q26" s="344">
        <f t="shared" si="8"/>
        <v>59.6699928122276</v>
      </c>
    </row>
    <row r="27" s="282" customFormat="1" spans="1:22">
      <c r="A27" s="78"/>
      <c r="B27" s="329"/>
      <c r="C27" s="14"/>
      <c r="D27" s="195">
        <v>6</v>
      </c>
      <c r="E27" s="330" t="s">
        <v>195</v>
      </c>
      <c r="F27" s="330">
        <v>1000</v>
      </c>
      <c r="G27" s="290">
        <f>_xlfn.XLOOKUP(E27,价值表!$C:$C,价值表!$F:$F)*F27</f>
        <v>50</v>
      </c>
      <c r="H27" s="196">
        <v>400</v>
      </c>
      <c r="I27" s="196"/>
      <c r="J27" s="196"/>
      <c r="K27" s="196"/>
      <c r="L27" s="340">
        <f t="shared" si="3"/>
        <v>0.04</v>
      </c>
      <c r="M27" s="341">
        <f t="shared" si="7"/>
        <v>0.0397799952081518</v>
      </c>
      <c r="N27" s="342">
        <f t="shared" si="4"/>
        <v>25.1382634605013</v>
      </c>
      <c r="O27" s="343">
        <f t="shared" si="5"/>
        <v>2</v>
      </c>
      <c r="P27" s="343">
        <f t="shared" si="6"/>
        <v>1.98899976040759</v>
      </c>
      <c r="Q27" s="344">
        <f t="shared" si="8"/>
        <v>39.7799952081518</v>
      </c>
    </row>
    <row r="28" s="282" customFormat="1" spans="1:22">
      <c r="A28" s="78"/>
      <c r="B28" s="14"/>
      <c r="C28" s="14"/>
      <c r="D28" s="78"/>
      <c r="H28" s="78">
        <f t="shared" ref="H28:M28" si="11">SUM(H14:H27)</f>
        <v>10000</v>
      </c>
      <c r="J28" s="78"/>
      <c r="K28" s="78"/>
      <c r="L28" s="349">
        <f t="shared" si="11"/>
        <v>1</v>
      </c>
      <c r="M28" s="349">
        <f t="shared" si="11"/>
        <v>1</v>
      </c>
      <c r="N28" s="14"/>
      <c r="O28" s="350">
        <f>SUM(O14:O27)</f>
        <v>80.262</v>
      </c>
      <c r="P28" s="350">
        <f>SUM(P14:P27)</f>
        <v>104.901095655616</v>
      </c>
      <c r="Q28" s="78">
        <v>60</v>
      </c>
    </row>
    <row r="29" s="282" customFormat="1" spans="1:22">
      <c r="A29" s="78"/>
      <c r="C29" s="334"/>
      <c r="G29" s="78"/>
      <c r="I29" s="78"/>
      <c r="J29" s="78"/>
      <c r="K29" s="78"/>
      <c r="L29" s="78"/>
      <c r="M29" s="351" t="s">
        <v>1404</v>
      </c>
      <c r="N29" s="352">
        <f>O28/Q28</f>
        <v>1.3377</v>
      </c>
      <c r="O29" s="352">
        <f>P28/Q28</f>
        <v>1.74835159426027</v>
      </c>
      <c r="P29" s="14"/>
    </row>
    <row r="30" s="282" customFormat="1" spans="1:22">
      <c r="A30" s="78"/>
      <c r="D30" s="198">
        <v>801</v>
      </c>
      <c r="E30" s="334"/>
      <c r="H30" s="78"/>
      <c r="I30" s="78"/>
      <c r="J30" s="78"/>
      <c r="K30" s="78"/>
      <c r="L30" s="14"/>
      <c r="S30" s="78"/>
      <c r="T30" s="78"/>
      <c r="U30" s="78"/>
      <c r="V30" s="78"/>
    </row>
    <row r="31" s="282" customFormat="1" spans="1:22">
      <c r="A31" s="78"/>
      <c r="E31" s="333" t="s">
        <v>1426</v>
      </c>
      <c r="F31" s="196" t="s">
        <v>1158</v>
      </c>
      <c r="G31" s="196" t="s">
        <v>1327</v>
      </c>
      <c r="H31" s="78"/>
      <c r="I31" s="78"/>
      <c r="J31" s="78"/>
      <c r="K31" s="78"/>
      <c r="L31" s="14"/>
      <c r="S31" s="78"/>
      <c r="T31" s="78"/>
      <c r="U31" s="78"/>
      <c r="V31" s="78"/>
    </row>
    <row r="32" s="282" customFormat="1" spans="1:22">
      <c r="A32" s="78"/>
      <c r="E32" s="353" t="s">
        <v>1427</v>
      </c>
      <c r="F32" s="196">
        <f>H40</f>
        <v>18</v>
      </c>
      <c r="G32" s="354">
        <f>F32/$F$34</f>
        <v>0.72</v>
      </c>
      <c r="H32" s="198">
        <f>K40*G32</f>
        <v>2560</v>
      </c>
      <c r="I32" s="78"/>
      <c r="J32" s="78"/>
      <c r="K32" s="78"/>
      <c r="L32" s="14"/>
      <c r="S32" s="78"/>
      <c r="T32" s="78"/>
      <c r="U32" s="78"/>
      <c r="V32" s="78"/>
    </row>
    <row r="33" s="282" customFormat="1" spans="1:26">
      <c r="A33" s="78"/>
      <c r="E33" s="353" t="s">
        <v>1428</v>
      </c>
      <c r="F33" s="196">
        <f>H46</f>
        <v>7</v>
      </c>
      <c r="G33" s="354">
        <f>F33/$F$34</f>
        <v>0.28</v>
      </c>
      <c r="H33" s="198">
        <f>K46*G33</f>
        <v>2000</v>
      </c>
      <c r="I33" s="78"/>
      <c r="J33" s="78"/>
      <c r="K33" s="78"/>
      <c r="L33" s="14"/>
      <c r="S33" s="78"/>
      <c r="T33" s="78"/>
      <c r="U33" s="78"/>
      <c r="V33" s="78"/>
    </row>
    <row r="34" s="282" customFormat="1" spans="1:26">
      <c r="A34" s="78"/>
      <c r="E34" s="334"/>
      <c r="F34" s="198">
        <f>SUM(F32:F33)</f>
        <v>25</v>
      </c>
      <c r="H34" s="78">
        <f>SUM(H32:H33)</f>
        <v>4560</v>
      </c>
      <c r="I34" s="78"/>
      <c r="J34" s="78"/>
      <c r="K34" s="78"/>
      <c r="L34" s="14"/>
    </row>
    <row r="35" s="282" customFormat="1" spans="1:26">
      <c r="A35" s="78"/>
      <c r="E35" s="334"/>
      <c r="H35" s="78"/>
      <c r="I35" s="78"/>
      <c r="J35" s="78"/>
      <c r="K35" s="78"/>
      <c r="L35" s="14"/>
    </row>
    <row r="36" s="282" customFormat="1" spans="1:26">
      <c r="A36" s="78"/>
      <c r="D36" s="78"/>
      <c r="E36" s="334"/>
      <c r="H36" s="78"/>
      <c r="I36" s="78"/>
      <c r="J36" s="78"/>
      <c r="K36" s="78"/>
      <c r="L36" s="14"/>
    </row>
    <row r="37" s="322" customFormat="1" spans="1:26">
      <c r="A37" s="192"/>
      <c r="B37" s="192"/>
      <c r="C37" s="78" t="s">
        <v>1424</v>
      </c>
      <c r="D37" s="78" t="s">
        <v>1427</v>
      </c>
      <c r="E37" s="195" t="s">
        <v>1427</v>
      </c>
      <c r="F37" s="196" t="s">
        <v>919</v>
      </c>
      <c r="G37" s="196" t="s">
        <v>922</v>
      </c>
      <c r="H37" s="196" t="s">
        <v>1158</v>
      </c>
      <c r="I37" s="196" t="s">
        <v>1406</v>
      </c>
      <c r="J37" s="195" t="s">
        <v>1407</v>
      </c>
      <c r="K37" s="196" t="s">
        <v>1150</v>
      </c>
      <c r="L37" s="196" t="s">
        <v>1408</v>
      </c>
      <c r="M37" s="200" t="s">
        <v>1409</v>
      </c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</row>
    <row r="38" s="322" customFormat="1" spans="1:26">
      <c r="A38" s="192"/>
      <c r="B38" s="192"/>
      <c r="C38" s="192"/>
      <c r="D38" s="78">
        <v>2</v>
      </c>
      <c r="E38" s="195" t="s">
        <v>469</v>
      </c>
      <c r="F38" s="195">
        <v>1</v>
      </c>
      <c r="G38" s="196">
        <v>4000</v>
      </c>
      <c r="H38" s="355">
        <v>10</v>
      </c>
      <c r="I38" s="210">
        <f>H38/$H$40</f>
        <v>0.555555555555556</v>
      </c>
      <c r="J38" s="356">
        <f>I38*$M$14*$G$32</f>
        <v>0.00319454779868618</v>
      </c>
      <c r="K38" s="357">
        <f>G38*I38</f>
        <v>2222.22222222222</v>
      </c>
      <c r="L38" s="342">
        <f>F38*J38</f>
        <v>0.00319454779868618</v>
      </c>
      <c r="M38" s="358">
        <v>3</v>
      </c>
      <c r="N38" s="78">
        <f>F38*J38</f>
        <v>0.00319454779868618</v>
      </c>
      <c r="O38" s="192"/>
      <c r="P38" s="192"/>
      <c r="Q38" s="192"/>
      <c r="R38" s="192"/>
      <c r="S38" s="192"/>
      <c r="T38" s="192"/>
      <c r="U38" s="192"/>
      <c r="V38" s="192"/>
      <c r="W38" s="192"/>
      <c r="X38" s="78" t="s">
        <v>1429</v>
      </c>
      <c r="Y38" s="192"/>
      <c r="Z38" s="192"/>
    </row>
    <row r="39" s="322" customFormat="1" spans="1:26">
      <c r="A39" s="192"/>
      <c r="B39" s="192"/>
      <c r="C39" s="192"/>
      <c r="D39" s="78">
        <v>1</v>
      </c>
      <c r="E39" s="195" t="s">
        <v>318</v>
      </c>
      <c r="F39" s="195">
        <v>2</v>
      </c>
      <c r="G39" s="196">
        <v>3000</v>
      </c>
      <c r="H39" s="355">
        <v>8</v>
      </c>
      <c r="I39" s="210">
        <f>H39/$H$40</f>
        <v>0.444444444444444</v>
      </c>
      <c r="J39" s="356">
        <f>I39*$M$14*$G$32</f>
        <v>0.00255563823894894</v>
      </c>
      <c r="K39" s="357">
        <f>G39*I39</f>
        <v>1333.33333333333</v>
      </c>
      <c r="L39" s="342">
        <f>F39*J39</f>
        <v>0.00511127647789788</v>
      </c>
      <c r="M39" s="358"/>
      <c r="N39" s="78">
        <f>F39*J39</f>
        <v>0.00511127647789788</v>
      </c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</row>
    <row r="40" s="322" customFormat="1" spans="1:26">
      <c r="A40" s="192"/>
      <c r="B40" s="192"/>
      <c r="C40" s="192"/>
      <c r="D40" s="192"/>
      <c r="E40" s="192"/>
      <c r="F40" s="192"/>
      <c r="G40" s="192"/>
      <c r="H40" s="78">
        <f>SUM(H38:H39)</f>
        <v>18</v>
      </c>
      <c r="I40" s="192"/>
      <c r="J40" s="192"/>
      <c r="K40" s="359">
        <f>SUM(K38:K39)</f>
        <v>3555.55555555556</v>
      </c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3" s="322" customFormat="1" spans="1:26">
      <c r="A43" s="192"/>
      <c r="B43" s="192"/>
      <c r="C43" s="192"/>
      <c r="D43" s="78" t="s">
        <v>1430</v>
      </c>
      <c r="E43" s="195" t="s">
        <v>1428</v>
      </c>
      <c r="F43" s="195" t="s">
        <v>919</v>
      </c>
      <c r="G43" s="196" t="s">
        <v>922</v>
      </c>
      <c r="H43" s="196" t="s">
        <v>1158</v>
      </c>
      <c r="I43" s="196" t="s">
        <v>1406</v>
      </c>
      <c r="J43" s="195" t="s">
        <v>1407</v>
      </c>
      <c r="K43" s="196" t="s">
        <v>1150</v>
      </c>
      <c r="L43" s="196" t="s">
        <v>1408</v>
      </c>
      <c r="M43" s="200" t="s">
        <v>1409</v>
      </c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 s="322" customFormat="1" spans="1:26">
      <c r="A44" s="192"/>
      <c r="B44" s="192"/>
      <c r="C44" s="192"/>
      <c r="D44" s="78">
        <v>3</v>
      </c>
      <c r="E44" s="195" t="s">
        <v>471</v>
      </c>
      <c r="F44" s="195">
        <v>1</v>
      </c>
      <c r="G44" s="196">
        <v>8000</v>
      </c>
      <c r="H44" s="355">
        <v>4</v>
      </c>
      <c r="I44" s="210">
        <f>H44/$H$46</f>
        <v>0.571428571428571</v>
      </c>
      <c r="J44" s="356">
        <f>I44*$M$14*$G$33</f>
        <v>0.00127781911947447</v>
      </c>
      <c r="K44" s="357">
        <f>G44*I44</f>
        <v>4571.42857142857</v>
      </c>
      <c r="L44" s="342">
        <f>F44*J44</f>
        <v>0.00127781911947447</v>
      </c>
      <c r="M44" s="358">
        <v>3</v>
      </c>
      <c r="N44" s="78">
        <f>F44*J44</f>
        <v>0.00127781911947447</v>
      </c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</row>
    <row r="45" s="322" customFormat="1" spans="1:26">
      <c r="A45" s="192"/>
      <c r="B45" s="192"/>
      <c r="C45" s="192"/>
      <c r="D45" s="78">
        <v>4</v>
      </c>
      <c r="E45" s="195" t="s">
        <v>318</v>
      </c>
      <c r="F45" s="195">
        <v>4</v>
      </c>
      <c r="G45" s="196">
        <v>6000</v>
      </c>
      <c r="H45" s="355">
        <v>3</v>
      </c>
      <c r="I45" s="210">
        <f>H45/$H$46</f>
        <v>0.428571428571429</v>
      </c>
      <c r="J45" s="356">
        <f>I45*$M$14*$G$33</f>
        <v>0.000958364339605853</v>
      </c>
      <c r="K45" s="357">
        <f>G45*I45</f>
        <v>2571.42857142857</v>
      </c>
      <c r="L45" s="342">
        <f>F45*J45</f>
        <v>0.00383345735842341</v>
      </c>
      <c r="M45" s="358"/>
      <c r="N45" s="78">
        <f>F45*J45</f>
        <v>0.00383345735842341</v>
      </c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 s="322" customFormat="1" spans="1:26">
      <c r="A46" s="192"/>
      <c r="B46" s="192"/>
      <c r="C46" s="192"/>
      <c r="D46" s="192"/>
      <c r="E46" s="192"/>
      <c r="F46" s="192"/>
      <c r="G46" s="192"/>
      <c r="H46" s="78">
        <f>SUM(H44:H45)</f>
        <v>7</v>
      </c>
      <c r="I46" s="192"/>
      <c r="J46" s="192"/>
      <c r="K46" s="359">
        <f>SUM(K44:K45)</f>
        <v>7142.85714285714</v>
      </c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</row>
    <row r="48" s="322" customFormat="1" spans="1:26">
      <c r="A48" s="192"/>
      <c r="B48" s="192"/>
      <c r="C48" s="360" t="s">
        <v>1412</v>
      </c>
      <c r="D48" s="198"/>
      <c r="E48" s="198"/>
      <c r="F48" s="198"/>
      <c r="G48" s="198"/>
      <c r="H48" s="198"/>
      <c r="I48" s="192"/>
      <c r="J48" s="192"/>
      <c r="K48" s="192"/>
      <c r="L48" s="198"/>
      <c r="M48" s="198"/>
      <c r="N48" s="198"/>
      <c r="O48" s="198"/>
      <c r="P48" s="198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s="322" customFormat="1" spans="1:26">
      <c r="A49" s="192"/>
      <c r="B49" s="192"/>
      <c r="C49" s="198"/>
      <c r="D49" s="198"/>
      <c r="E49" s="198"/>
      <c r="F49" s="198"/>
      <c r="G49" s="198"/>
      <c r="H49" s="198"/>
      <c r="I49" s="192"/>
      <c r="J49" s="192"/>
      <c r="K49" s="192"/>
      <c r="L49" s="198"/>
      <c r="M49" s="198"/>
      <c r="N49" s="198"/>
      <c r="O49" s="198"/>
      <c r="P49" s="198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 s="322" customFormat="1" spans="1:26">
      <c r="A50" s="192"/>
      <c r="B50" s="192"/>
      <c r="C50" s="198"/>
      <c r="D50" s="202" t="s">
        <v>1413</v>
      </c>
      <c r="E50" s="202" t="s">
        <v>1180</v>
      </c>
      <c r="F50" s="202" t="s">
        <v>1181</v>
      </c>
      <c r="G50" s="202" t="s">
        <v>1182</v>
      </c>
      <c r="H50" s="202" t="s">
        <v>1095</v>
      </c>
      <c r="I50" s="192"/>
      <c r="J50" s="192"/>
      <c r="K50" s="192"/>
      <c r="L50" s="198"/>
      <c r="M50" s="198"/>
      <c r="N50" s="198"/>
      <c r="O50" s="198"/>
      <c r="P50" s="198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 s="322" customFormat="1" spans="1:26">
      <c r="A51" s="192"/>
      <c r="B51" s="192"/>
      <c r="C51" s="198">
        <f>D51</f>
        <v>5</v>
      </c>
      <c r="D51" s="361">
        <v>5</v>
      </c>
      <c r="E51" s="362" t="s">
        <v>316</v>
      </c>
      <c r="F51" s="361">
        <v>2</v>
      </c>
      <c r="G51" s="196">
        <f>_xlfn.XLOOKUP(E51,价值表!$C:$C,价值表!$F:$F)*F51</f>
        <v>120</v>
      </c>
      <c r="H51" s="363">
        <f t="shared" ref="H51:H80" si="12">G51/C51/60</f>
        <v>0.4</v>
      </c>
      <c r="I51" s="198"/>
      <c r="J51" s="198"/>
      <c r="K51" s="192"/>
      <c r="L51" s="192"/>
      <c r="M51" s="198"/>
      <c r="N51" s="198"/>
      <c r="O51" s="198"/>
      <c r="P51" s="198"/>
      <c r="Q51" s="192"/>
      <c r="R51" s="192"/>
      <c r="S51" s="192"/>
      <c r="T51" s="192"/>
      <c r="U51" s="192"/>
      <c r="V51" s="192"/>
      <c r="W51" s="192"/>
      <c r="X51" s="192"/>
      <c r="Y51" s="192"/>
      <c r="Z51" s="192"/>
    </row>
    <row r="52" s="322" customFormat="1" spans="1:26">
      <c r="A52" s="192"/>
      <c r="B52" s="192"/>
      <c r="C52" s="198">
        <f t="shared" ref="C52:C80" si="13">D52-D51</f>
        <v>10</v>
      </c>
      <c r="D52" s="361">
        <v>15</v>
      </c>
      <c r="E52" s="361" t="s">
        <v>188</v>
      </c>
      <c r="F52" s="361">
        <v>100</v>
      </c>
      <c r="G52" s="196">
        <f>_xlfn.XLOOKUP(E52,价值表!$C:$C,价值表!$F:$F)*F52</f>
        <v>100</v>
      </c>
      <c r="H52" s="363">
        <f t="shared" si="12"/>
        <v>0.166666666666667</v>
      </c>
      <c r="I52" s="198"/>
      <c r="J52" s="198"/>
      <c r="K52" s="198"/>
      <c r="L52" s="198"/>
      <c r="M52" s="198"/>
      <c r="N52" s="198"/>
      <c r="O52" s="198"/>
      <c r="P52" s="198"/>
      <c r="Q52" s="192"/>
      <c r="R52" s="192"/>
      <c r="S52" s="192"/>
      <c r="T52" s="192"/>
      <c r="U52" s="192"/>
      <c r="V52" s="192"/>
      <c r="W52" s="192"/>
      <c r="X52" s="192"/>
      <c r="Y52" s="192"/>
      <c r="Z52" s="192"/>
    </row>
    <row r="53" s="322" customFormat="1" spans="1:26">
      <c r="A53" s="192"/>
      <c r="B53" s="192"/>
      <c r="C53" s="198">
        <f t="shared" si="13"/>
        <v>20</v>
      </c>
      <c r="D53" s="361">
        <v>35</v>
      </c>
      <c r="E53" s="364" t="s">
        <v>318</v>
      </c>
      <c r="F53" s="364">
        <v>1</v>
      </c>
      <c r="G53" s="196">
        <f>_xlfn.XLOOKUP(E53,价值表!$C:$C,价值表!$F:$F)*F53</f>
        <v>1500</v>
      </c>
      <c r="H53" s="363">
        <f t="shared" si="12"/>
        <v>1.25</v>
      </c>
      <c r="I53" s="198"/>
      <c r="J53" s="198"/>
      <c r="K53" s="192"/>
      <c r="L53" s="198"/>
      <c r="M53" s="198"/>
      <c r="N53" s="198"/>
      <c r="O53" s="198"/>
      <c r="P53" s="198"/>
      <c r="Q53" s="192"/>
      <c r="R53" s="192"/>
      <c r="S53" s="192"/>
      <c r="T53" s="192"/>
      <c r="U53" s="192"/>
      <c r="V53" s="192"/>
      <c r="W53" s="192"/>
      <c r="X53" s="192"/>
      <c r="Y53" s="192"/>
      <c r="Z53" s="192"/>
    </row>
    <row r="54" s="322" customFormat="1" spans="1:26">
      <c r="A54" s="192"/>
      <c r="B54" s="192"/>
      <c r="C54" s="198">
        <f t="shared" si="13"/>
        <v>25</v>
      </c>
      <c r="D54" s="361">
        <v>60</v>
      </c>
      <c r="E54" s="362" t="s">
        <v>316</v>
      </c>
      <c r="F54" s="361">
        <v>3</v>
      </c>
      <c r="G54" s="196">
        <f>_xlfn.XLOOKUP(E54,价值表!$C:$C,价值表!$F:$F)*F54</f>
        <v>180</v>
      </c>
      <c r="H54" s="363">
        <f t="shared" si="12"/>
        <v>0.12</v>
      </c>
      <c r="I54" s="198"/>
      <c r="J54" s="198"/>
      <c r="K54" s="192"/>
      <c r="L54" s="198"/>
      <c r="M54" s="198"/>
      <c r="N54" s="198"/>
      <c r="O54" s="198"/>
      <c r="P54" s="198"/>
      <c r="Q54" s="192"/>
      <c r="R54" s="192"/>
      <c r="S54" s="192"/>
      <c r="T54" s="192"/>
      <c r="U54" s="192"/>
      <c r="V54" s="192"/>
      <c r="W54" s="192"/>
      <c r="X54" s="192"/>
      <c r="Y54" s="192"/>
      <c r="Z54" s="192"/>
    </row>
    <row r="55" s="322" customFormat="1" spans="1:26">
      <c r="A55" s="192"/>
      <c r="B55" s="192"/>
      <c r="C55" s="198">
        <f t="shared" si="13"/>
        <v>25</v>
      </c>
      <c r="D55" s="361">
        <v>85</v>
      </c>
      <c r="E55" s="362" t="s">
        <v>316</v>
      </c>
      <c r="F55" s="361">
        <v>3</v>
      </c>
      <c r="G55" s="196">
        <f>_xlfn.XLOOKUP(E55,价值表!$C:$C,价值表!$F:$F)*F55</f>
        <v>180</v>
      </c>
      <c r="H55" s="363">
        <f t="shared" si="12"/>
        <v>0.12</v>
      </c>
      <c r="I55" s="198"/>
      <c r="J55" s="198"/>
      <c r="K55" s="192"/>
      <c r="L55" s="198"/>
      <c r="M55" s="198"/>
      <c r="N55" s="198"/>
      <c r="O55" s="198"/>
      <c r="P55" s="198"/>
      <c r="Q55" s="192"/>
      <c r="R55" s="192"/>
      <c r="S55" s="192"/>
      <c r="T55" s="192"/>
      <c r="U55" s="192"/>
      <c r="V55" s="192"/>
      <c r="W55" s="192"/>
      <c r="X55" s="192"/>
      <c r="Y55" s="192"/>
      <c r="Z55" s="192"/>
    </row>
    <row r="56" s="322" customFormat="1" spans="1:26">
      <c r="A56" s="192"/>
      <c r="B56" s="192"/>
      <c r="C56" s="198">
        <f t="shared" si="13"/>
        <v>30</v>
      </c>
      <c r="D56" s="361">
        <v>115</v>
      </c>
      <c r="E56" s="364" t="s">
        <v>318</v>
      </c>
      <c r="F56" s="364">
        <v>1</v>
      </c>
      <c r="G56" s="196">
        <f>_xlfn.XLOOKUP(E56,价值表!$C:$C,价值表!$F:$F)*F56</f>
        <v>1500</v>
      </c>
      <c r="H56" s="363">
        <f t="shared" si="12"/>
        <v>0.833333333333333</v>
      </c>
      <c r="I56" s="198"/>
      <c r="J56" s="198"/>
      <c r="K56" s="192"/>
      <c r="L56" s="198"/>
      <c r="M56" s="198"/>
      <c r="N56" s="198"/>
      <c r="O56" s="198"/>
      <c r="P56" s="198"/>
      <c r="Q56" s="192"/>
      <c r="R56" s="192"/>
      <c r="S56" s="192"/>
      <c r="T56" s="192"/>
      <c r="U56" s="192"/>
      <c r="V56" s="192"/>
      <c r="W56" s="192"/>
      <c r="X56" s="192"/>
      <c r="Y56" s="192"/>
      <c r="Z56" s="192"/>
    </row>
    <row r="57" s="322" customFormat="1" spans="1:26">
      <c r="A57" s="192"/>
      <c r="B57" s="192"/>
      <c r="C57" s="198">
        <f t="shared" si="13"/>
        <v>30</v>
      </c>
      <c r="D57" s="361">
        <v>145</v>
      </c>
      <c r="E57" s="362" t="s">
        <v>316</v>
      </c>
      <c r="F57" s="361">
        <v>3</v>
      </c>
      <c r="G57" s="196">
        <f>_xlfn.XLOOKUP(E57,价值表!$C:$C,价值表!$F:$F)*F57</f>
        <v>180</v>
      </c>
      <c r="H57" s="363">
        <f t="shared" si="12"/>
        <v>0.1</v>
      </c>
      <c r="I57" s="198"/>
      <c r="J57" s="198"/>
      <c r="K57" s="192"/>
      <c r="L57" s="198"/>
      <c r="M57" s="198"/>
      <c r="N57" s="198"/>
      <c r="O57" s="198"/>
      <c r="P57" s="198"/>
      <c r="Q57" s="192"/>
      <c r="R57" s="192"/>
      <c r="S57" s="192"/>
      <c r="T57" s="192"/>
      <c r="U57" s="192"/>
      <c r="V57" s="192"/>
      <c r="W57" s="192"/>
      <c r="X57" s="192"/>
      <c r="Y57" s="192"/>
      <c r="Z57" s="192"/>
    </row>
    <row r="58" s="322" customFormat="1" spans="1:26">
      <c r="A58" s="192"/>
      <c r="B58" s="192"/>
      <c r="C58" s="198">
        <f t="shared" si="13"/>
        <v>30</v>
      </c>
      <c r="D58" s="361">
        <v>175</v>
      </c>
      <c r="E58" s="362" t="s">
        <v>316</v>
      </c>
      <c r="F58" s="361">
        <v>3</v>
      </c>
      <c r="G58" s="196">
        <f>_xlfn.XLOOKUP(E58,价值表!$C:$C,价值表!$F:$F)*F58</f>
        <v>180</v>
      </c>
      <c r="H58" s="363">
        <f t="shared" si="12"/>
        <v>0.1</v>
      </c>
      <c r="I58" s="198"/>
      <c r="J58" s="198"/>
      <c r="K58" s="192"/>
      <c r="L58" s="198"/>
      <c r="M58" s="198"/>
      <c r="N58" s="198"/>
      <c r="O58" s="198"/>
      <c r="P58" s="198"/>
      <c r="Q58" s="192"/>
      <c r="R58" s="192"/>
      <c r="S58" s="192"/>
      <c r="T58" s="192"/>
      <c r="U58" s="192"/>
      <c r="V58" s="192"/>
      <c r="W58" s="192"/>
      <c r="X58" s="192"/>
      <c r="Y58" s="192"/>
      <c r="Z58" s="192"/>
    </row>
    <row r="59" s="322" customFormat="1" spans="1:26">
      <c r="A59" s="192"/>
      <c r="B59" s="192"/>
      <c r="C59" s="198">
        <f t="shared" si="13"/>
        <v>40</v>
      </c>
      <c r="D59" s="361">
        <v>215</v>
      </c>
      <c r="E59" s="361" t="s">
        <v>188</v>
      </c>
      <c r="F59" s="361">
        <v>150</v>
      </c>
      <c r="G59" s="196">
        <f>_xlfn.XLOOKUP(E59,价值表!$C:$C,价值表!$F:$F)*F59</f>
        <v>150</v>
      </c>
      <c r="H59" s="363">
        <f t="shared" si="12"/>
        <v>0.0625</v>
      </c>
      <c r="I59" s="198"/>
      <c r="J59" s="198"/>
      <c r="K59" s="192"/>
      <c r="L59" s="198"/>
      <c r="M59" s="198"/>
      <c r="N59" s="198"/>
      <c r="O59" s="198"/>
      <c r="P59" s="198"/>
      <c r="Q59" s="192"/>
      <c r="R59" s="192"/>
      <c r="S59" s="192"/>
      <c r="T59" s="192"/>
      <c r="U59" s="192"/>
      <c r="V59" s="192"/>
      <c r="W59" s="192"/>
      <c r="X59" s="192"/>
      <c r="Y59" s="192"/>
      <c r="Z59" s="192"/>
    </row>
    <row r="60" s="322" customFormat="1" spans="1:26">
      <c r="A60" s="192"/>
      <c r="B60" s="192"/>
      <c r="C60" s="198">
        <f t="shared" si="13"/>
        <v>35</v>
      </c>
      <c r="D60" s="361">
        <v>250</v>
      </c>
      <c r="E60" s="362" t="s">
        <v>316</v>
      </c>
      <c r="F60" s="361">
        <v>3</v>
      </c>
      <c r="G60" s="196">
        <f>_xlfn.XLOOKUP(E60,价值表!$C:$C,价值表!$F:$F)*F60</f>
        <v>180</v>
      </c>
      <c r="H60" s="363">
        <f t="shared" si="12"/>
        <v>0.0857142857142857</v>
      </c>
      <c r="I60" s="198"/>
      <c r="J60" s="198"/>
      <c r="K60" s="192"/>
      <c r="L60" s="198"/>
      <c r="M60" s="198"/>
      <c r="N60" s="198"/>
      <c r="O60" s="198"/>
      <c r="P60" s="198"/>
      <c r="Q60" s="192"/>
      <c r="R60" s="192"/>
      <c r="S60" s="192"/>
      <c r="T60" s="192"/>
      <c r="U60" s="192"/>
      <c r="V60" s="192"/>
      <c r="W60" s="192"/>
      <c r="X60" s="192"/>
      <c r="Y60" s="192"/>
      <c r="Z60" s="192"/>
    </row>
    <row r="61" s="322" customFormat="1" spans="1:26">
      <c r="A61" s="192"/>
      <c r="B61" s="192"/>
      <c r="C61" s="198">
        <f t="shared" si="13"/>
        <v>40</v>
      </c>
      <c r="D61" s="361">
        <v>290</v>
      </c>
      <c r="E61" s="362" t="s">
        <v>316</v>
      </c>
      <c r="F61" s="361">
        <v>3</v>
      </c>
      <c r="G61" s="196">
        <f>_xlfn.XLOOKUP(E61,价值表!$C:$C,价值表!$F:$F)*F61</f>
        <v>180</v>
      </c>
      <c r="H61" s="363">
        <f t="shared" si="12"/>
        <v>0.075</v>
      </c>
      <c r="I61" s="192"/>
      <c r="J61" s="192"/>
      <c r="K61" s="192"/>
      <c r="L61" s="198"/>
      <c r="M61" s="198"/>
      <c r="N61" s="192"/>
      <c r="O61" s="198"/>
      <c r="P61" s="198"/>
      <c r="Q61" s="192"/>
      <c r="R61" s="192"/>
      <c r="S61" s="192"/>
      <c r="T61" s="192"/>
      <c r="U61" s="192"/>
      <c r="V61" s="192"/>
      <c r="W61" s="192"/>
      <c r="X61" s="192"/>
      <c r="Y61" s="192"/>
      <c r="Z61" s="192"/>
    </row>
    <row r="62" s="322" customFormat="1" spans="1:26">
      <c r="A62" s="192"/>
      <c r="B62" s="192"/>
      <c r="C62" s="198">
        <f t="shared" si="13"/>
        <v>45</v>
      </c>
      <c r="D62" s="361">
        <v>335</v>
      </c>
      <c r="E62" s="361" t="s">
        <v>188</v>
      </c>
      <c r="F62" s="361">
        <v>200</v>
      </c>
      <c r="G62" s="196">
        <f>_xlfn.XLOOKUP(E62,价值表!$C:$C,价值表!$F:$F)*F62</f>
        <v>200</v>
      </c>
      <c r="H62" s="363">
        <f t="shared" si="12"/>
        <v>0.0740740740740741</v>
      </c>
      <c r="I62" s="192"/>
      <c r="J62" s="192"/>
      <c r="K62" s="192"/>
      <c r="L62" s="198"/>
      <c r="M62" s="198"/>
      <c r="N62" s="192"/>
      <c r="O62" s="198"/>
      <c r="P62" s="198"/>
      <c r="Q62" s="192"/>
      <c r="R62" s="192"/>
      <c r="S62" s="192"/>
      <c r="T62" s="192"/>
      <c r="U62" s="192"/>
      <c r="V62" s="192"/>
      <c r="W62" s="192"/>
      <c r="X62" s="192"/>
      <c r="Y62" s="192"/>
      <c r="Z62" s="192"/>
    </row>
    <row r="63" s="322" customFormat="1" spans="1:26">
      <c r="A63" s="192"/>
      <c r="B63" s="192"/>
      <c r="C63" s="198">
        <f t="shared" si="13"/>
        <v>45</v>
      </c>
      <c r="D63" s="361">
        <v>380</v>
      </c>
      <c r="E63" s="364" t="s">
        <v>318</v>
      </c>
      <c r="F63" s="361">
        <v>2</v>
      </c>
      <c r="G63" s="196">
        <f>_xlfn.XLOOKUP(E63,价值表!$C:$C,价值表!$F:$F)*F63</f>
        <v>3000</v>
      </c>
      <c r="H63" s="365">
        <f t="shared" si="12"/>
        <v>1.11111111111111</v>
      </c>
      <c r="I63" s="192"/>
      <c r="J63" s="192"/>
      <c r="K63" s="192"/>
      <c r="L63" s="198"/>
      <c r="M63" s="198"/>
      <c r="N63" s="192"/>
      <c r="O63" s="198"/>
      <c r="P63" s="198"/>
      <c r="Q63" s="192"/>
      <c r="R63" s="192"/>
      <c r="S63" s="192"/>
      <c r="T63" s="192"/>
      <c r="U63" s="192"/>
      <c r="V63" s="192"/>
      <c r="W63" s="192"/>
      <c r="X63" s="192"/>
      <c r="Y63" s="192"/>
      <c r="Z63" s="192"/>
    </row>
    <row r="64" s="322" customFormat="1" spans="1:26">
      <c r="A64" s="192"/>
      <c r="B64" s="192"/>
      <c r="C64" s="198">
        <f t="shared" si="13"/>
        <v>100</v>
      </c>
      <c r="D64" s="361">
        <v>480</v>
      </c>
      <c r="E64" s="362" t="s">
        <v>316</v>
      </c>
      <c r="F64" s="361">
        <v>3</v>
      </c>
      <c r="G64" s="196">
        <f>_xlfn.XLOOKUP(E64,价值表!$C:$C,价值表!$F:$F)*F64</f>
        <v>180</v>
      </c>
      <c r="H64" s="363">
        <f t="shared" si="12"/>
        <v>0.03</v>
      </c>
      <c r="I64" s="192"/>
      <c r="J64" s="192"/>
      <c r="K64" s="192"/>
      <c r="L64" s="198"/>
      <c r="M64" s="198"/>
      <c r="N64" s="192"/>
      <c r="O64" s="198"/>
      <c r="P64" s="198"/>
      <c r="Q64" s="192"/>
      <c r="R64" s="192"/>
      <c r="S64" s="192"/>
      <c r="T64" s="192"/>
      <c r="U64" s="192"/>
      <c r="V64" s="192"/>
      <c r="W64" s="192"/>
      <c r="X64" s="192"/>
      <c r="Y64" s="192"/>
      <c r="Z64" s="192"/>
    </row>
    <row r="65" s="322" customFormat="1" spans="1:26">
      <c r="A65" s="192"/>
      <c r="B65" s="192"/>
      <c r="C65" s="198">
        <f t="shared" si="13"/>
        <v>95</v>
      </c>
      <c r="D65" s="361">
        <v>575</v>
      </c>
      <c r="E65" s="364" t="s">
        <v>318</v>
      </c>
      <c r="F65" s="364">
        <v>1</v>
      </c>
      <c r="G65" s="196">
        <f>_xlfn.XLOOKUP(E65,价值表!$C:$C,价值表!$F:$F)*F65</f>
        <v>1500</v>
      </c>
      <c r="H65" s="363">
        <f t="shared" si="12"/>
        <v>0.263157894736842</v>
      </c>
      <c r="I65" s="192"/>
      <c r="J65" s="192"/>
      <c r="K65" s="192"/>
      <c r="L65" s="198"/>
      <c r="M65" s="198"/>
      <c r="N65" s="192"/>
      <c r="O65" s="198"/>
      <c r="P65" s="198"/>
      <c r="Q65" s="192"/>
      <c r="R65" s="192"/>
      <c r="S65" s="192"/>
      <c r="T65" s="192"/>
      <c r="U65" s="192"/>
      <c r="V65" s="192"/>
      <c r="W65" s="192"/>
      <c r="X65" s="192"/>
      <c r="Y65" s="192"/>
      <c r="Z65" s="192"/>
    </row>
    <row r="66" s="322" customFormat="1" spans="1:26">
      <c r="A66" s="192"/>
      <c r="B66" s="192"/>
      <c r="C66" s="198">
        <f t="shared" si="13"/>
        <v>185</v>
      </c>
      <c r="D66" s="361">
        <v>760</v>
      </c>
      <c r="E66" s="362" t="s">
        <v>316</v>
      </c>
      <c r="F66" s="361">
        <v>3</v>
      </c>
      <c r="G66" s="196">
        <f>_xlfn.XLOOKUP(E66,价值表!$C:$C,价值表!$F:$F)*F66</f>
        <v>180</v>
      </c>
      <c r="H66" s="363">
        <f t="shared" si="12"/>
        <v>0.0162162162162162</v>
      </c>
      <c r="I66" s="192"/>
      <c r="J66" s="192"/>
      <c r="K66" s="192"/>
      <c r="L66" s="198"/>
      <c r="M66" s="198"/>
      <c r="N66" s="192"/>
      <c r="O66" s="198"/>
      <c r="P66" s="198"/>
      <c r="Q66" s="192"/>
      <c r="R66" s="192"/>
      <c r="S66" s="192"/>
      <c r="T66" s="192"/>
      <c r="U66" s="192"/>
      <c r="V66" s="192"/>
      <c r="W66" s="192"/>
      <c r="X66" s="192"/>
      <c r="Y66" s="192"/>
      <c r="Z66" s="192"/>
    </row>
    <row r="67" s="322" customFormat="1" spans="1:26">
      <c r="A67" s="192"/>
      <c r="B67" s="192"/>
      <c r="C67" s="198">
        <f t="shared" si="13"/>
        <v>170</v>
      </c>
      <c r="D67" s="361">
        <v>930</v>
      </c>
      <c r="E67" s="364" t="s">
        <v>318</v>
      </c>
      <c r="F67" s="361">
        <v>2</v>
      </c>
      <c r="G67" s="196">
        <f>_xlfn.XLOOKUP(E67,价值表!$C:$C,价值表!$F:$F)*F67</f>
        <v>3000</v>
      </c>
      <c r="H67" s="365">
        <f t="shared" si="12"/>
        <v>0.294117647058824</v>
      </c>
      <c r="I67" s="192"/>
      <c r="J67" s="192"/>
      <c r="K67" s="192"/>
      <c r="L67" s="198"/>
      <c r="M67" s="198"/>
      <c r="N67" s="192"/>
      <c r="O67" s="198"/>
      <c r="P67" s="198"/>
      <c r="Q67" s="192"/>
      <c r="R67" s="192"/>
      <c r="S67" s="192"/>
      <c r="T67" s="192"/>
      <c r="U67" s="192"/>
      <c r="V67" s="192"/>
      <c r="W67" s="192"/>
      <c r="X67" s="192"/>
      <c r="Y67" s="192"/>
      <c r="Z67" s="192"/>
    </row>
    <row r="68" s="322" customFormat="1" spans="1:26">
      <c r="A68" s="192"/>
      <c r="B68" s="192"/>
      <c r="C68" s="198">
        <f t="shared" si="13"/>
        <v>210</v>
      </c>
      <c r="D68" s="361">
        <v>1140</v>
      </c>
      <c r="E68" s="361" t="s">
        <v>188</v>
      </c>
      <c r="F68" s="361">
        <v>500</v>
      </c>
      <c r="G68" s="196">
        <f>_xlfn.XLOOKUP(E68,价值表!$C:$C,价值表!$F:$F)*F68</f>
        <v>500</v>
      </c>
      <c r="H68" s="363">
        <f t="shared" si="12"/>
        <v>0.0396825396825397</v>
      </c>
      <c r="I68" s="192"/>
      <c r="J68" s="192"/>
      <c r="K68" s="192"/>
      <c r="L68" s="198"/>
      <c r="M68" s="198"/>
      <c r="N68" s="192"/>
      <c r="O68" s="198"/>
      <c r="P68" s="198"/>
      <c r="Q68" s="192"/>
      <c r="R68" s="192"/>
      <c r="S68" s="192"/>
      <c r="T68" s="192"/>
      <c r="U68" s="192"/>
      <c r="V68" s="192"/>
      <c r="W68" s="192"/>
      <c r="X68" s="192"/>
      <c r="Y68" s="192"/>
      <c r="Z68" s="192"/>
    </row>
    <row r="69" s="322" customFormat="1" spans="1:26">
      <c r="A69" s="192"/>
      <c r="B69" s="192"/>
      <c r="C69" s="198">
        <f t="shared" si="13"/>
        <v>310</v>
      </c>
      <c r="D69" s="361">
        <v>1450</v>
      </c>
      <c r="E69" s="366" t="s">
        <v>323</v>
      </c>
      <c r="F69" s="361">
        <v>1</v>
      </c>
      <c r="G69" s="196">
        <f>_xlfn.XLOOKUP(E69,价值表!$C:$C,价值表!$F:$F)*F69</f>
        <v>8000</v>
      </c>
      <c r="H69" s="365">
        <f t="shared" si="12"/>
        <v>0.43010752688172</v>
      </c>
      <c r="I69" s="192"/>
      <c r="J69" s="192"/>
      <c r="K69" s="192"/>
      <c r="L69" s="198"/>
      <c r="M69" s="198"/>
      <c r="N69" s="192"/>
      <c r="O69" s="198"/>
      <c r="P69" s="198"/>
      <c r="Q69" s="192"/>
      <c r="R69" s="192"/>
      <c r="S69" s="192"/>
      <c r="T69" s="192"/>
      <c r="U69" s="192"/>
      <c r="V69" s="192"/>
      <c r="W69" s="192"/>
      <c r="X69" s="192"/>
      <c r="Y69" s="192"/>
      <c r="Z69" s="192"/>
    </row>
    <row r="70" s="322" customFormat="1" spans="1:26">
      <c r="A70" s="192"/>
      <c r="B70" s="192"/>
      <c r="C70" s="198">
        <f t="shared" si="13"/>
        <v>300</v>
      </c>
      <c r="D70" s="361">
        <v>1750</v>
      </c>
      <c r="E70" s="361" t="s">
        <v>188</v>
      </c>
      <c r="F70" s="361">
        <v>500</v>
      </c>
      <c r="G70" s="196">
        <f>_xlfn.XLOOKUP(E70,价值表!$C:$C,价值表!$F:$F)*F70</f>
        <v>500</v>
      </c>
      <c r="H70" s="363">
        <f t="shared" si="12"/>
        <v>0.0277777777777778</v>
      </c>
      <c r="I70" s="192"/>
      <c r="J70" s="192"/>
      <c r="K70" s="192"/>
      <c r="L70" s="198"/>
      <c r="M70" s="198"/>
      <c r="N70" s="192"/>
      <c r="O70" s="198"/>
      <c r="P70" s="198"/>
      <c r="Q70" s="192"/>
      <c r="R70" s="192"/>
      <c r="S70" s="192"/>
      <c r="T70" s="192"/>
      <c r="U70" s="192"/>
      <c r="V70" s="192"/>
      <c r="W70" s="192"/>
      <c r="X70" s="192"/>
      <c r="Y70" s="192"/>
      <c r="Z70" s="192"/>
    </row>
    <row r="71" s="322" customFormat="1" spans="1:26">
      <c r="A71" s="192"/>
      <c r="B71" s="192"/>
      <c r="C71" s="198">
        <f t="shared" si="13"/>
        <v>300</v>
      </c>
      <c r="D71" s="361">
        <v>2050</v>
      </c>
      <c r="E71" s="362" t="s">
        <v>316</v>
      </c>
      <c r="F71" s="361">
        <v>5</v>
      </c>
      <c r="G71" s="196">
        <f>_xlfn.XLOOKUP(E71,价值表!$C:$C,价值表!$F:$F)*F71</f>
        <v>300</v>
      </c>
      <c r="H71" s="363">
        <f t="shared" si="12"/>
        <v>0.0166666666666667</v>
      </c>
      <c r="I71" s="192"/>
      <c r="J71" s="192"/>
      <c r="K71" s="192"/>
      <c r="L71" s="198"/>
      <c r="M71" s="198"/>
      <c r="N71" s="192"/>
      <c r="O71" s="198"/>
      <c r="P71" s="198"/>
      <c r="Q71" s="192"/>
      <c r="R71" s="192"/>
      <c r="S71" s="192"/>
      <c r="T71" s="192"/>
      <c r="U71" s="192"/>
      <c r="V71" s="192"/>
      <c r="W71" s="192"/>
      <c r="X71" s="192"/>
      <c r="Y71" s="192"/>
      <c r="Z71" s="192"/>
    </row>
    <row r="72" s="322" customFormat="1" spans="1:26">
      <c r="A72" s="192"/>
      <c r="B72" s="192"/>
      <c r="C72" s="198">
        <f t="shared" si="13"/>
        <v>400</v>
      </c>
      <c r="D72" s="361">
        <v>2450</v>
      </c>
      <c r="E72" s="361" t="s">
        <v>188</v>
      </c>
      <c r="F72" s="361">
        <v>500</v>
      </c>
      <c r="G72" s="196">
        <f>_xlfn.XLOOKUP(E72,价值表!$C:$C,价值表!$F:$F)*F72</f>
        <v>500</v>
      </c>
      <c r="H72" s="363">
        <f t="shared" si="12"/>
        <v>0.0208333333333333</v>
      </c>
      <c r="I72" s="192"/>
      <c r="J72" s="192"/>
      <c r="K72" s="192"/>
      <c r="L72" s="198"/>
      <c r="M72" s="198"/>
      <c r="N72" s="192"/>
      <c r="O72" s="198"/>
      <c r="P72" s="198"/>
      <c r="Q72" s="192"/>
      <c r="R72" s="192"/>
      <c r="S72" s="192"/>
      <c r="T72" s="192"/>
      <c r="U72" s="192"/>
      <c r="V72" s="192"/>
      <c r="W72" s="192"/>
      <c r="X72" s="192"/>
      <c r="Y72" s="192"/>
      <c r="Z72" s="192"/>
    </row>
    <row r="73" s="322" customFormat="1" spans="1:26">
      <c r="A73" s="192"/>
      <c r="B73" s="192"/>
      <c r="C73" s="198">
        <f t="shared" si="13"/>
        <v>400</v>
      </c>
      <c r="D73" s="361">
        <v>2850</v>
      </c>
      <c r="E73" s="362" t="s">
        <v>316</v>
      </c>
      <c r="F73" s="361">
        <v>5</v>
      </c>
      <c r="G73" s="196">
        <f>_xlfn.XLOOKUP(E73,价值表!$C:$C,价值表!$F:$F)*F73</f>
        <v>300</v>
      </c>
      <c r="H73" s="363">
        <f t="shared" si="12"/>
        <v>0.0125</v>
      </c>
      <c r="I73" s="192"/>
      <c r="J73" s="192"/>
      <c r="K73" s="192"/>
      <c r="L73" s="198"/>
      <c r="M73" s="198"/>
      <c r="N73" s="192"/>
      <c r="O73" s="198"/>
      <c r="P73" s="198"/>
      <c r="Q73" s="192"/>
      <c r="R73" s="192"/>
      <c r="S73" s="192"/>
      <c r="T73" s="192"/>
      <c r="U73" s="192"/>
      <c r="V73" s="192"/>
      <c r="W73" s="192"/>
      <c r="X73" s="192"/>
      <c r="Y73" s="192"/>
      <c r="Z73" s="192"/>
    </row>
    <row r="74" s="322" customFormat="1" spans="1:26">
      <c r="A74" s="192"/>
      <c r="B74" s="192"/>
      <c r="C74" s="198">
        <f t="shared" si="13"/>
        <v>400</v>
      </c>
      <c r="D74" s="361">
        <v>3250</v>
      </c>
      <c r="E74" s="361" t="s">
        <v>188</v>
      </c>
      <c r="F74" s="361">
        <v>500</v>
      </c>
      <c r="G74" s="196">
        <f>_xlfn.XLOOKUP(E74,价值表!$C:$C,价值表!$F:$F)*F74</f>
        <v>500</v>
      </c>
      <c r="H74" s="363">
        <f t="shared" si="12"/>
        <v>0.0208333333333333</v>
      </c>
      <c r="I74" s="192"/>
      <c r="J74" s="192"/>
      <c r="K74" s="192"/>
      <c r="L74" s="198"/>
      <c r="M74" s="198"/>
      <c r="N74" s="192"/>
      <c r="O74" s="198"/>
      <c r="P74" s="198"/>
      <c r="Q74" s="192"/>
      <c r="R74" s="192"/>
      <c r="S74" s="192"/>
      <c r="T74" s="192"/>
      <c r="U74" s="192"/>
      <c r="V74" s="192"/>
      <c r="W74" s="192"/>
      <c r="X74" s="192"/>
      <c r="Y74" s="192"/>
      <c r="Z74" s="192"/>
    </row>
    <row r="75" s="322" customFormat="1" spans="1:26">
      <c r="A75" s="192"/>
      <c r="B75" s="192"/>
      <c r="C75" s="198">
        <f t="shared" si="13"/>
        <v>400</v>
      </c>
      <c r="D75" s="361">
        <v>3650</v>
      </c>
      <c r="E75" s="362" t="s">
        <v>316</v>
      </c>
      <c r="F75" s="361">
        <v>5</v>
      </c>
      <c r="G75" s="196">
        <f>_xlfn.XLOOKUP(E75,价值表!$C:$C,价值表!$F:$F)*F75</f>
        <v>300</v>
      </c>
      <c r="H75" s="363">
        <f t="shared" si="12"/>
        <v>0.0125</v>
      </c>
      <c r="I75" s="192"/>
      <c r="J75" s="192"/>
      <c r="K75" s="192"/>
      <c r="L75" s="198"/>
      <c r="M75" s="198"/>
      <c r="N75" s="192"/>
      <c r="O75" s="198"/>
      <c r="P75" s="198"/>
      <c r="Q75" s="192"/>
      <c r="R75" s="192"/>
      <c r="S75" s="192"/>
      <c r="T75" s="192"/>
      <c r="U75" s="192"/>
      <c r="V75" s="192"/>
      <c r="W75" s="192"/>
      <c r="X75" s="192"/>
      <c r="Y75" s="192"/>
      <c r="Z75" s="192"/>
    </row>
    <row r="76" s="322" customFormat="1" spans="1:26">
      <c r="A76" s="192"/>
      <c r="B76" s="192"/>
      <c r="C76" s="198">
        <f t="shared" si="13"/>
        <v>500</v>
      </c>
      <c r="D76" s="361">
        <v>4150</v>
      </c>
      <c r="E76" s="361" t="s">
        <v>188</v>
      </c>
      <c r="F76" s="361">
        <v>500</v>
      </c>
      <c r="G76" s="196">
        <f>_xlfn.XLOOKUP(E76,价值表!$C:$C,价值表!$F:$F)*F76</f>
        <v>500</v>
      </c>
      <c r="H76" s="363">
        <f t="shared" si="12"/>
        <v>0.0166666666666667</v>
      </c>
      <c r="I76" s="192"/>
      <c r="J76" s="192"/>
      <c r="K76" s="192"/>
      <c r="L76" s="198"/>
      <c r="M76" s="198"/>
      <c r="N76" s="192"/>
      <c r="O76" s="198"/>
      <c r="P76" s="198"/>
      <c r="Q76" s="192"/>
      <c r="R76" s="192"/>
      <c r="S76" s="192"/>
      <c r="T76" s="192"/>
      <c r="U76" s="192"/>
      <c r="V76" s="192"/>
      <c r="W76" s="192"/>
      <c r="X76" s="192"/>
      <c r="Y76" s="192"/>
      <c r="Z76" s="192"/>
    </row>
    <row r="77" s="322" customFormat="1" spans="1:26">
      <c r="A77" s="192"/>
      <c r="B77" s="192"/>
      <c r="C77" s="198">
        <f t="shared" si="13"/>
        <v>500</v>
      </c>
      <c r="D77" s="361">
        <v>4650</v>
      </c>
      <c r="E77" s="362" t="s">
        <v>316</v>
      </c>
      <c r="F77" s="361">
        <v>5</v>
      </c>
      <c r="G77" s="196">
        <f>_xlfn.XLOOKUP(E77,价值表!$C:$C,价值表!$F:$F)*F77</f>
        <v>300</v>
      </c>
      <c r="H77" s="363">
        <f t="shared" si="12"/>
        <v>0.01</v>
      </c>
      <c r="I77" s="192"/>
      <c r="J77" s="192"/>
      <c r="K77" s="192"/>
      <c r="L77" s="198"/>
      <c r="M77" s="198"/>
      <c r="N77" s="192"/>
      <c r="O77" s="198"/>
      <c r="P77" s="198"/>
      <c r="Q77" s="192"/>
      <c r="R77" s="192"/>
      <c r="S77" s="192"/>
      <c r="T77" s="192"/>
      <c r="U77" s="192"/>
      <c r="V77" s="192"/>
      <c r="W77" s="192"/>
      <c r="X77" s="192"/>
      <c r="Y77" s="192"/>
      <c r="Z77" s="192"/>
    </row>
    <row r="78" s="322" customFormat="1" spans="1:26">
      <c r="A78" s="192"/>
      <c r="B78" s="192"/>
      <c r="C78" s="198">
        <f t="shared" si="13"/>
        <v>500</v>
      </c>
      <c r="D78" s="361">
        <v>5150</v>
      </c>
      <c r="E78" s="361" t="s">
        <v>188</v>
      </c>
      <c r="F78" s="361">
        <v>500</v>
      </c>
      <c r="G78" s="196">
        <f>_xlfn.XLOOKUP(E78,价值表!$C:$C,价值表!$F:$F)*F78</f>
        <v>500</v>
      </c>
      <c r="H78" s="363">
        <f t="shared" si="12"/>
        <v>0.0166666666666667</v>
      </c>
      <c r="I78" s="192"/>
      <c r="J78" s="192"/>
      <c r="K78" s="192"/>
      <c r="L78" s="198"/>
      <c r="M78" s="198"/>
      <c r="N78" s="192"/>
      <c r="O78" s="198"/>
      <c r="P78" s="198"/>
      <c r="Q78" s="192"/>
      <c r="R78" s="192"/>
      <c r="S78" s="192"/>
      <c r="T78" s="192"/>
      <c r="U78" s="192"/>
      <c r="V78" s="192"/>
      <c r="W78" s="192"/>
      <c r="X78" s="192"/>
      <c r="Y78" s="192"/>
      <c r="Z78" s="192"/>
    </row>
    <row r="79" s="322" customFormat="1" spans="1:26">
      <c r="A79" s="192"/>
      <c r="B79" s="192"/>
      <c r="C79" s="198">
        <f t="shared" si="13"/>
        <v>500</v>
      </c>
      <c r="D79" s="361">
        <v>5650</v>
      </c>
      <c r="E79" s="362" t="s">
        <v>316</v>
      </c>
      <c r="F79" s="361">
        <v>5</v>
      </c>
      <c r="G79" s="196">
        <f>_xlfn.XLOOKUP(E79,价值表!$C:$C,价值表!$F:$F)*F79</f>
        <v>300</v>
      </c>
      <c r="H79" s="363">
        <f t="shared" si="12"/>
        <v>0.01</v>
      </c>
      <c r="I79" s="192"/>
      <c r="J79" s="192"/>
      <c r="K79" s="192"/>
      <c r="L79" s="198"/>
      <c r="M79" s="198"/>
      <c r="N79" s="192"/>
      <c r="O79" s="198"/>
      <c r="P79" s="198"/>
      <c r="Q79" s="192"/>
      <c r="R79" s="192"/>
      <c r="S79" s="192"/>
      <c r="T79" s="192"/>
      <c r="U79" s="192"/>
      <c r="V79" s="192"/>
      <c r="W79" s="192"/>
      <c r="X79" s="192"/>
      <c r="Y79" s="192"/>
      <c r="Z79" s="192"/>
    </row>
    <row r="80" s="322" customFormat="1" spans="1:26">
      <c r="A80" s="192"/>
      <c r="B80" s="192"/>
      <c r="C80" s="198">
        <f t="shared" si="13"/>
        <v>500</v>
      </c>
      <c r="D80" s="361">
        <v>6150</v>
      </c>
      <c r="E80" s="361" t="s">
        <v>188</v>
      </c>
      <c r="F80" s="361">
        <v>500</v>
      </c>
      <c r="G80" s="196">
        <f>_xlfn.XLOOKUP(E80,价值表!$C:$C,价值表!$F:$F)*F80</f>
        <v>500</v>
      </c>
      <c r="H80" s="363">
        <f t="shared" si="12"/>
        <v>0.0166666666666667</v>
      </c>
      <c r="I80" s="192"/>
      <c r="J80" s="192"/>
      <c r="K80" s="192"/>
      <c r="L80" s="198"/>
      <c r="M80" s="198"/>
      <c r="N80" s="192"/>
      <c r="O80" s="198"/>
      <c r="P80" s="198"/>
      <c r="Q80" s="192"/>
      <c r="R80" s="192"/>
      <c r="S80" s="192"/>
      <c r="T80" s="192"/>
      <c r="U80" s="192"/>
      <c r="V80" s="192"/>
      <c r="W80" s="192"/>
      <c r="X80" s="192"/>
      <c r="Y80" s="192"/>
      <c r="Z80" s="192"/>
    </row>
    <row r="81" s="322" customFormat="1" spans="1:26">
      <c r="A81" s="192"/>
      <c r="B81" s="192"/>
      <c r="C81" s="367"/>
      <c r="D81" s="198"/>
      <c r="E81" s="198"/>
      <c r="F81" s="192"/>
      <c r="G81" s="192"/>
      <c r="H81" s="192"/>
      <c r="I81" s="192"/>
      <c r="J81" s="192"/>
      <c r="K81" s="192"/>
      <c r="L81" s="192"/>
      <c r="M81" s="192"/>
      <c r="N81" s="192"/>
      <c r="O81" s="198"/>
      <c r="P81" s="198"/>
      <c r="Q81" s="192"/>
      <c r="R81" s="192"/>
      <c r="S81" s="192"/>
      <c r="T81" s="192"/>
      <c r="U81" s="192"/>
      <c r="V81" s="192"/>
      <c r="W81" s="192"/>
      <c r="X81" s="192"/>
      <c r="Y81" s="192"/>
      <c r="Z81" s="192"/>
    </row>
    <row r="82" s="322" customFormat="1" spans="1:26">
      <c r="A82" s="192"/>
      <c r="B82" s="192"/>
      <c r="C82" s="192"/>
      <c r="D82" s="198"/>
      <c r="E82" s="198"/>
      <c r="F82" s="192"/>
      <c r="G82" s="192"/>
      <c r="H82" s="368"/>
      <c r="I82" s="369"/>
      <c r="J82" s="368"/>
      <c r="K82" s="370"/>
      <c r="L82" s="192"/>
      <c r="M82" s="192"/>
      <c r="N82" s="192"/>
      <c r="O82" s="198"/>
      <c r="P82" s="198"/>
      <c r="Q82" s="192"/>
      <c r="R82" s="192"/>
      <c r="S82" s="192"/>
      <c r="T82" s="192"/>
      <c r="U82" s="192"/>
      <c r="V82" s="192"/>
      <c r="W82" s="192"/>
      <c r="X82" s="192"/>
      <c r="Y82" s="192"/>
      <c r="Z82" s="192"/>
    </row>
    <row r="83" s="322" customFormat="1" spans="1:26">
      <c r="A83" s="192"/>
      <c r="B83" s="192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2"/>
      <c r="R83" s="192"/>
      <c r="S83" s="192"/>
      <c r="T83" s="192"/>
      <c r="U83" s="192"/>
      <c r="V83" s="192"/>
      <c r="W83" s="192"/>
      <c r="X83" s="192"/>
      <c r="Y83" s="192"/>
      <c r="Z83" s="192"/>
    </row>
    <row r="84" s="322" customFormat="1" spans="1:26">
      <c r="A84" s="192"/>
      <c r="B84" s="192"/>
      <c r="C84" s="198" t="s">
        <v>1414</v>
      </c>
      <c r="D84" s="371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2"/>
      <c r="R84" s="192"/>
      <c r="S84" s="192"/>
      <c r="T84" s="192"/>
      <c r="U84" s="192"/>
      <c r="V84" s="192"/>
      <c r="W84" s="192"/>
      <c r="X84" s="192"/>
      <c r="Y84" s="192"/>
      <c r="Z84" s="192"/>
    </row>
    <row r="85" s="322" customFormat="1" spans="1:26">
      <c r="A85" s="192"/>
      <c r="B85" s="192"/>
      <c r="C85" s="198"/>
      <c r="D85" s="202" t="s">
        <v>1415</v>
      </c>
      <c r="E85" s="202" t="s">
        <v>919</v>
      </c>
      <c r="F85" s="202" t="s">
        <v>922</v>
      </c>
      <c r="G85" s="202" t="s">
        <v>1416</v>
      </c>
      <c r="H85" s="202" t="s">
        <v>1417</v>
      </c>
      <c r="I85" s="202" t="s">
        <v>919</v>
      </c>
      <c r="J85" s="202" t="s">
        <v>922</v>
      </c>
      <c r="K85" s="202" t="s">
        <v>954</v>
      </c>
      <c r="L85" s="198"/>
      <c r="M85" s="198"/>
      <c r="N85" s="198"/>
      <c r="O85" s="198"/>
      <c r="P85" s="198"/>
      <c r="Q85" s="192"/>
      <c r="R85" s="192"/>
      <c r="S85" s="192"/>
      <c r="T85" s="192"/>
      <c r="U85" s="192"/>
      <c r="V85" s="192"/>
      <c r="W85" s="192"/>
      <c r="X85" s="192"/>
      <c r="Y85" s="192"/>
      <c r="Z85" s="192"/>
    </row>
    <row r="86" s="322" customFormat="1" spans="1:26">
      <c r="A86" s="192"/>
      <c r="B86" s="192"/>
      <c r="C86" s="198">
        <v>1</v>
      </c>
      <c r="D86" s="361" t="s">
        <v>471</v>
      </c>
      <c r="E86" s="361">
        <v>1</v>
      </c>
      <c r="F86" s="196">
        <v>8000</v>
      </c>
      <c r="G86" s="355">
        <v>3</v>
      </c>
      <c r="H86" s="204" t="s">
        <v>318</v>
      </c>
      <c r="I86" s="204">
        <v>6</v>
      </c>
      <c r="J86" s="196">
        <f>_xlfn.XLOOKUP(H86,价值表!$C:$C,价值表!$F:$F)*I86</f>
        <v>9000</v>
      </c>
      <c r="K86" s="210">
        <f t="shared" ref="K86:K95" si="14">J86/F86</f>
        <v>1.125</v>
      </c>
      <c r="L86" s="198"/>
      <c r="M86" s="198"/>
      <c r="N86" s="198"/>
      <c r="O86" s="198"/>
      <c r="P86" s="198"/>
      <c r="Q86" s="192"/>
      <c r="R86" s="192"/>
      <c r="S86" s="192"/>
      <c r="T86" s="192"/>
      <c r="U86" s="192"/>
      <c r="V86" s="192"/>
      <c r="W86" s="192"/>
      <c r="X86" s="192"/>
      <c r="Y86" s="192"/>
      <c r="Z86" s="192"/>
    </row>
    <row r="87" s="322" customFormat="1" spans="1:26">
      <c r="A87" s="192"/>
      <c r="B87" s="192"/>
      <c r="C87" s="198">
        <v>2</v>
      </c>
      <c r="D87" s="361" t="s">
        <v>469</v>
      </c>
      <c r="E87" s="361">
        <v>1</v>
      </c>
      <c r="F87" s="196">
        <v>4000</v>
      </c>
      <c r="G87" s="355">
        <v>3</v>
      </c>
      <c r="H87" s="204" t="s">
        <v>318</v>
      </c>
      <c r="I87" s="204">
        <v>3</v>
      </c>
      <c r="J87" s="196">
        <f>_xlfn.XLOOKUP(H87,价值表!$C:$C,价值表!$F:$F)*I87</f>
        <v>4500</v>
      </c>
      <c r="K87" s="210">
        <f t="shared" si="14"/>
        <v>1.125</v>
      </c>
      <c r="L87" s="198"/>
      <c r="M87" s="198"/>
      <c r="N87" s="198"/>
      <c r="O87" s="198"/>
      <c r="P87" s="198"/>
      <c r="Q87" s="192"/>
      <c r="R87" s="192"/>
      <c r="S87" s="192"/>
      <c r="T87" s="192"/>
      <c r="U87" s="192"/>
      <c r="V87" s="192"/>
      <c r="W87" s="192"/>
      <c r="X87" s="192"/>
      <c r="Y87" s="192"/>
      <c r="Z87" s="192"/>
    </row>
    <row r="88" s="322" customFormat="1" spans="1:26">
      <c r="A88" s="372">
        <v>100020</v>
      </c>
      <c r="B88" s="372" t="s">
        <v>449</v>
      </c>
      <c r="C88" s="198">
        <v>3</v>
      </c>
      <c r="D88" s="361" t="s">
        <v>323</v>
      </c>
      <c r="E88" s="361">
        <v>1</v>
      </c>
      <c r="F88" s="196">
        <f>_xlfn.XLOOKUP(D88,价值表!$C:$C,价值表!$F:$F)*E88</f>
        <v>8000</v>
      </c>
      <c r="G88" s="361">
        <v>5</v>
      </c>
      <c r="H88" s="204" t="s">
        <v>318</v>
      </c>
      <c r="I88" s="204">
        <v>5</v>
      </c>
      <c r="J88" s="196">
        <f>_xlfn.XLOOKUP(H88,价值表!$C:$C,价值表!$F:$F)*I88</f>
        <v>7500</v>
      </c>
      <c r="K88" s="210">
        <f t="shared" si="14"/>
        <v>0.9375</v>
      </c>
      <c r="L88" s="198"/>
      <c r="M88" s="198"/>
      <c r="N88" s="198"/>
      <c r="O88" s="198"/>
      <c r="P88" s="198"/>
      <c r="Q88" s="192"/>
      <c r="R88" s="192"/>
      <c r="S88" s="192"/>
      <c r="T88" s="192"/>
      <c r="U88" s="192"/>
      <c r="V88" s="192"/>
      <c r="W88" s="192"/>
      <c r="X88" s="192"/>
      <c r="Y88" s="192"/>
      <c r="Z88" s="192"/>
    </row>
    <row r="89" s="322" customFormat="1" spans="1:26">
      <c r="A89" s="373">
        <v>100012</v>
      </c>
      <c r="B89" s="372" t="s">
        <v>452</v>
      </c>
      <c r="C89" s="198">
        <v>4</v>
      </c>
      <c r="D89" s="361" t="s">
        <v>332</v>
      </c>
      <c r="E89" s="361">
        <v>1</v>
      </c>
      <c r="F89" s="196">
        <f>_xlfn.XLOOKUP(D89,价值表!$C:$C,价值表!$F:$F)*E89</f>
        <v>6000</v>
      </c>
      <c r="G89" s="361">
        <v>5</v>
      </c>
      <c r="H89" s="204" t="s">
        <v>318</v>
      </c>
      <c r="I89" s="213">
        <v>4</v>
      </c>
      <c r="J89" s="196">
        <f>_xlfn.XLOOKUP(H89,价值表!$C:$C,价值表!$F:$F)*I89</f>
        <v>6000</v>
      </c>
      <c r="K89" s="210">
        <f t="shared" si="14"/>
        <v>1</v>
      </c>
      <c r="L89" s="198"/>
      <c r="M89" s="198"/>
      <c r="N89" s="198"/>
      <c r="O89" s="198"/>
      <c r="P89" s="198"/>
      <c r="Q89" s="192"/>
      <c r="R89" s="192"/>
      <c r="S89" s="192"/>
      <c r="T89" s="192"/>
      <c r="U89" s="192"/>
      <c r="V89" s="192"/>
      <c r="W89" s="192"/>
      <c r="X89" s="192"/>
      <c r="Y89" s="192"/>
      <c r="Z89" s="192"/>
    </row>
    <row r="90" s="322" customFormat="1" spans="1:26">
      <c r="A90" s="372">
        <v>100022</v>
      </c>
      <c r="B90" s="372" t="s">
        <v>447</v>
      </c>
      <c r="C90" s="198">
        <v>5</v>
      </c>
      <c r="D90" s="374" t="s">
        <v>322</v>
      </c>
      <c r="E90" s="361">
        <v>1</v>
      </c>
      <c r="F90" s="196">
        <f>_xlfn.XLOOKUP(D90,价值表!$C:$C,价值表!$F:$F)*E90</f>
        <v>4000</v>
      </c>
      <c r="G90" s="361">
        <v>5</v>
      </c>
      <c r="H90" s="204" t="s">
        <v>318</v>
      </c>
      <c r="I90" s="204">
        <v>2</v>
      </c>
      <c r="J90" s="196">
        <f>_xlfn.XLOOKUP(H90,价值表!$C:$C,价值表!$F:$F)*I90</f>
        <v>3000</v>
      </c>
      <c r="K90" s="210">
        <f t="shared" si="14"/>
        <v>0.75</v>
      </c>
      <c r="L90" s="198"/>
      <c r="M90" s="198"/>
      <c r="N90" s="198"/>
      <c r="O90" s="198"/>
      <c r="P90" s="198"/>
      <c r="Q90" s="192"/>
      <c r="R90" s="192"/>
      <c r="S90" s="192"/>
      <c r="T90" s="192"/>
      <c r="U90" s="192"/>
      <c r="V90" s="192"/>
      <c r="W90" s="192"/>
      <c r="X90" s="192"/>
      <c r="Y90" s="192"/>
      <c r="Z90" s="192"/>
    </row>
    <row r="91" s="322" customFormat="1" spans="1:26">
      <c r="A91" s="192"/>
      <c r="B91" s="192"/>
      <c r="C91" s="198">
        <v>6</v>
      </c>
      <c r="D91" s="361" t="s">
        <v>265</v>
      </c>
      <c r="E91" s="361">
        <v>30</v>
      </c>
      <c r="F91" s="196">
        <f>_xlfn.XLOOKUP(D91,价值表!$C:$C,价值表!$F:$F)*E91</f>
        <v>1800</v>
      </c>
      <c r="G91" s="361">
        <v>20</v>
      </c>
      <c r="H91" s="204" t="s">
        <v>318</v>
      </c>
      <c r="I91" s="204">
        <v>1</v>
      </c>
      <c r="J91" s="196">
        <f>_xlfn.XLOOKUP(H91,价值表!$C:$C,价值表!$F:$F)*I91</f>
        <v>1500</v>
      </c>
      <c r="K91" s="210">
        <f t="shared" si="14"/>
        <v>0.833333333333333</v>
      </c>
      <c r="L91" s="198"/>
      <c r="M91" s="198"/>
      <c r="N91" s="198"/>
      <c r="O91" s="198"/>
      <c r="P91" s="198"/>
      <c r="Q91" s="192"/>
      <c r="R91" s="192"/>
      <c r="S91" s="192"/>
      <c r="T91" s="192"/>
      <c r="U91" s="192"/>
      <c r="V91" s="192"/>
      <c r="W91" s="192"/>
      <c r="X91" s="192"/>
      <c r="Y91" s="192"/>
      <c r="Z91" s="192"/>
    </row>
    <row r="92" s="322" customFormat="1" spans="1:26">
      <c r="A92" s="192"/>
      <c r="B92" s="192"/>
      <c r="C92" s="198">
        <v>7</v>
      </c>
      <c r="D92" s="361" t="s">
        <v>261</v>
      </c>
      <c r="E92" s="361">
        <v>5</v>
      </c>
      <c r="F92" s="196">
        <f>_xlfn.XLOOKUP(D92,价值表!$C:$C,价值表!$F:$F)*E92</f>
        <v>1400</v>
      </c>
      <c r="G92" s="361">
        <v>5</v>
      </c>
      <c r="H92" s="204" t="s">
        <v>318</v>
      </c>
      <c r="I92" s="196">
        <v>1</v>
      </c>
      <c r="J92" s="196">
        <f>_xlfn.XLOOKUP(H92,价值表!$C:$C,价值表!$F:$F)*I92</f>
        <v>1500</v>
      </c>
      <c r="K92" s="210">
        <f t="shared" si="14"/>
        <v>1.07142857142857</v>
      </c>
      <c r="L92" s="198"/>
      <c r="M92" s="198"/>
      <c r="N92" s="198"/>
      <c r="O92" s="198"/>
      <c r="P92" s="198"/>
      <c r="Q92" s="192"/>
      <c r="R92" s="192"/>
      <c r="S92" s="192"/>
      <c r="T92" s="192"/>
      <c r="U92" s="192"/>
      <c r="V92" s="192"/>
      <c r="W92" s="192"/>
      <c r="X92" s="192"/>
      <c r="Y92" s="192"/>
      <c r="Z92" s="192"/>
    </row>
    <row r="93" s="322" customFormat="1" spans="1:26">
      <c r="A93" s="192"/>
      <c r="B93" s="192"/>
      <c r="C93" s="198">
        <v>8</v>
      </c>
      <c r="D93" s="361" t="s">
        <v>213</v>
      </c>
      <c r="E93" s="361">
        <v>50</v>
      </c>
      <c r="F93" s="196">
        <f>_xlfn.XLOOKUP(D93,价值表!$C:$C,价值表!$F:$F)*E93</f>
        <v>1500</v>
      </c>
      <c r="G93" s="361">
        <v>5</v>
      </c>
      <c r="H93" s="204" t="s">
        <v>318</v>
      </c>
      <c r="I93" s="204">
        <v>1</v>
      </c>
      <c r="J93" s="196">
        <f>_xlfn.XLOOKUP(H93,价值表!$C:$C,价值表!$F:$F)*I93</f>
        <v>1500</v>
      </c>
      <c r="K93" s="210">
        <f t="shared" si="14"/>
        <v>1</v>
      </c>
      <c r="L93" s="198"/>
      <c r="M93" s="198"/>
      <c r="N93" s="198"/>
      <c r="O93" s="198"/>
      <c r="P93" s="198"/>
      <c r="Q93" s="192"/>
      <c r="R93" s="192"/>
      <c r="S93" s="192"/>
      <c r="T93" s="192"/>
      <c r="U93" s="192"/>
      <c r="V93" s="192"/>
      <c r="W93" s="192"/>
      <c r="X93" s="192"/>
      <c r="Y93" s="192"/>
      <c r="Z93" s="192"/>
    </row>
    <row r="94" s="322" customFormat="1" spans="1:26">
      <c r="A94" s="192"/>
      <c r="B94" s="192"/>
      <c r="C94" s="198">
        <v>9</v>
      </c>
      <c r="D94" s="361" t="s">
        <v>208</v>
      </c>
      <c r="E94" s="361">
        <v>500</v>
      </c>
      <c r="F94" s="196">
        <f>_xlfn.XLOOKUP(D94,价值表!$C:$C,价值表!$F:$F)*E94</f>
        <v>1000</v>
      </c>
      <c r="G94" s="361">
        <v>20</v>
      </c>
      <c r="H94" s="204" t="s">
        <v>318</v>
      </c>
      <c r="I94" s="196">
        <v>1</v>
      </c>
      <c r="J94" s="196">
        <f>_xlfn.XLOOKUP(H94,价值表!$C:$C,价值表!$F:$F)*I94</f>
        <v>1500</v>
      </c>
      <c r="K94" s="210">
        <f t="shared" si="14"/>
        <v>1.5</v>
      </c>
      <c r="L94" s="198"/>
      <c r="M94" s="198"/>
      <c r="N94" s="198"/>
      <c r="O94" s="198"/>
      <c r="P94" s="198"/>
      <c r="Q94" s="192"/>
      <c r="R94" s="192"/>
      <c r="S94" s="192"/>
      <c r="T94" s="192"/>
      <c r="U94" s="192"/>
      <c r="V94" s="192"/>
      <c r="W94" s="192"/>
      <c r="X94" s="192"/>
      <c r="Y94" s="192"/>
      <c r="Z94" s="192"/>
    </row>
    <row r="95" s="322" customFormat="1" spans="1:26">
      <c r="A95" s="192"/>
      <c r="B95" s="192"/>
      <c r="C95" s="198">
        <v>10</v>
      </c>
      <c r="D95" s="361" t="s">
        <v>242</v>
      </c>
      <c r="E95" s="361">
        <v>500</v>
      </c>
      <c r="F95" s="196">
        <f>_xlfn.XLOOKUP(D95,价值表!$C:$C,价值表!$F:$F)*E95</f>
        <v>1500</v>
      </c>
      <c r="G95" s="361">
        <v>5</v>
      </c>
      <c r="H95" s="204" t="s">
        <v>318</v>
      </c>
      <c r="I95" s="196">
        <v>1</v>
      </c>
      <c r="J95" s="196">
        <f>_xlfn.XLOOKUP(H95,价值表!$C:$C,价值表!$F:$F)*I95</f>
        <v>1500</v>
      </c>
      <c r="K95" s="210">
        <f t="shared" si="14"/>
        <v>1</v>
      </c>
      <c r="L95" s="198"/>
      <c r="M95" s="198"/>
      <c r="N95" s="198"/>
      <c r="O95" s="198"/>
      <c r="P95" s="198"/>
      <c r="Q95" s="192"/>
      <c r="R95" s="192"/>
      <c r="S95" s="192"/>
      <c r="T95" s="192"/>
      <c r="U95" s="192"/>
      <c r="V95" s="192"/>
      <c r="W95" s="192"/>
      <c r="X95" s="192"/>
      <c r="Y95" s="192"/>
      <c r="Z95" s="192"/>
    </row>
    <row r="96" s="322" customFormat="1" spans="1:26">
      <c r="A96" s="192"/>
      <c r="B96" s="192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2"/>
      <c r="R96" s="192"/>
      <c r="S96" s="192"/>
      <c r="T96" s="192"/>
      <c r="U96" s="192"/>
      <c r="V96" s="192"/>
      <c r="W96" s="192"/>
      <c r="X96" s="192"/>
      <c r="Y96" s="192"/>
      <c r="Z96" s="192"/>
    </row>
    <row r="97" s="322" customFormat="1" spans="1:26">
      <c r="A97" s="192"/>
      <c r="B97" s="192"/>
      <c r="C97" s="198"/>
      <c r="D97" s="198"/>
      <c r="E97" s="198"/>
      <c r="F97" s="198"/>
      <c r="G97" s="198"/>
      <c r="H97" s="198"/>
      <c r="I97" s="198"/>
      <c r="J97" s="198"/>
      <c r="K97" s="198"/>
      <c r="L97" s="198">
        <f>SUMPRODUCT(I86:I95,G86:G95)</f>
        <v>137</v>
      </c>
      <c r="M97" s="198"/>
      <c r="N97" s="198"/>
      <c r="O97" s="198"/>
      <c r="P97" s="198"/>
      <c r="Q97" s="192"/>
      <c r="R97" s="192"/>
      <c r="S97" s="192"/>
      <c r="T97" s="192"/>
      <c r="U97" s="192"/>
      <c r="V97" s="192"/>
      <c r="W97" s="192"/>
      <c r="X97" s="192"/>
      <c r="Y97" s="192"/>
      <c r="Z97" s="192"/>
    </row>
    <row r="98" s="322" customFormat="1" spans="1:26">
      <c r="A98" s="192"/>
      <c r="B98" s="192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2"/>
      <c r="R98" s="192"/>
      <c r="S98" s="192"/>
      <c r="T98" s="192"/>
      <c r="U98" s="192"/>
      <c r="V98" s="192"/>
      <c r="W98" s="192"/>
      <c r="X98" s="192"/>
      <c r="Y98" s="192"/>
      <c r="Z98" s="192"/>
    </row>
    <row r="99" s="322" customFormat="1" spans="1:26">
      <c r="A99" s="192"/>
      <c r="B99" s="192"/>
      <c r="C99" s="360" t="s">
        <v>1174</v>
      </c>
      <c r="D99" s="371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2"/>
      <c r="R99" s="192"/>
      <c r="S99" s="192"/>
      <c r="T99" s="192"/>
      <c r="U99" s="192"/>
      <c r="V99" s="192"/>
      <c r="W99" s="192"/>
      <c r="X99" s="192"/>
      <c r="Y99" s="192"/>
      <c r="Z99" s="192"/>
    </row>
    <row r="100" s="322" customFormat="1" spans="1:26">
      <c r="A100" s="192"/>
      <c r="B100" s="192"/>
      <c r="C100" s="198"/>
      <c r="D100" s="202" t="s">
        <v>1195</v>
      </c>
      <c r="E100" s="202" t="s">
        <v>1196</v>
      </c>
      <c r="F100" s="202" t="s">
        <v>1197</v>
      </c>
      <c r="G100" s="202" t="s">
        <v>1099</v>
      </c>
      <c r="H100" s="202" t="s">
        <v>919</v>
      </c>
      <c r="I100" s="202" t="s">
        <v>922</v>
      </c>
      <c r="J100" s="202" t="s">
        <v>1099</v>
      </c>
      <c r="K100" s="202" t="s">
        <v>919</v>
      </c>
      <c r="L100" s="202" t="s">
        <v>922</v>
      </c>
      <c r="M100" s="202" t="s">
        <v>965</v>
      </c>
      <c r="N100" s="202" t="s">
        <v>1095</v>
      </c>
      <c r="O100" s="198"/>
      <c r="P100" s="198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</row>
    <row r="101" s="322" customFormat="1" spans="1:26">
      <c r="A101" s="192"/>
      <c r="B101" s="192"/>
      <c r="C101" s="198">
        <f t="shared" ref="C101:C103" si="15">E101/K101</f>
        <v>1.2</v>
      </c>
      <c r="D101" s="196" t="s">
        <v>1118</v>
      </c>
      <c r="E101" s="196">
        <v>6</v>
      </c>
      <c r="F101" s="196">
        <v>5</v>
      </c>
      <c r="G101" s="196" t="s">
        <v>188</v>
      </c>
      <c r="H101" s="361">
        <f t="shared" ref="H101:H103" si="16">E101*10</f>
        <v>60</v>
      </c>
      <c r="I101" s="196">
        <f>_xlfn.XLOOKUP(G101,价值表!$C:$C,价值表!$F:$F)*H101</f>
        <v>60</v>
      </c>
      <c r="J101" s="327" t="s">
        <v>316</v>
      </c>
      <c r="K101" s="361">
        <v>5</v>
      </c>
      <c r="L101" s="196">
        <f>_xlfn.XLOOKUP(J101,价值表!$C:$C,价值表!$F:$F)*K101</f>
        <v>300</v>
      </c>
      <c r="M101" s="196">
        <f t="shared" ref="M101:M103" si="17">I101+L101</f>
        <v>360</v>
      </c>
      <c r="N101" s="363">
        <f t="shared" ref="N101:N103" si="18">M101/E101/10</f>
        <v>6</v>
      </c>
      <c r="O101" s="375">
        <f t="shared" ref="O101:O103" si="19">1/N101</f>
        <v>0.166666666666667</v>
      </c>
      <c r="P101" s="376" t="str">
        <f t="shared" ref="P101:P103" si="20">INT(1/N101*10)&amp;"折"</f>
        <v>1折</v>
      </c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</row>
    <row r="102" s="322" customFormat="1" spans="1:26">
      <c r="A102" s="192"/>
      <c r="B102" s="192"/>
      <c r="C102" s="198">
        <f t="shared" si="15"/>
        <v>3</v>
      </c>
      <c r="D102" s="196" t="s">
        <v>1199</v>
      </c>
      <c r="E102" s="196">
        <v>30</v>
      </c>
      <c r="F102" s="196">
        <v>5</v>
      </c>
      <c r="G102" s="196" t="s">
        <v>188</v>
      </c>
      <c r="H102" s="361">
        <f t="shared" si="16"/>
        <v>300</v>
      </c>
      <c r="I102" s="196">
        <f>_xlfn.XLOOKUP(G102,价值表!$C:$C,价值表!$F:$F)*H102</f>
        <v>300</v>
      </c>
      <c r="J102" s="327" t="s">
        <v>316</v>
      </c>
      <c r="K102" s="361">
        <v>10</v>
      </c>
      <c r="L102" s="196">
        <f>_xlfn.XLOOKUP(J102,价值表!$C:$C,价值表!$F:$F)*K102</f>
        <v>600</v>
      </c>
      <c r="M102" s="196">
        <f t="shared" si="17"/>
        <v>900</v>
      </c>
      <c r="N102" s="363">
        <f t="shared" si="18"/>
        <v>3</v>
      </c>
      <c r="O102" s="375">
        <f t="shared" si="19"/>
        <v>0.333333333333333</v>
      </c>
      <c r="P102" s="376" t="str">
        <f t="shared" si="20"/>
        <v>3折</v>
      </c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</row>
    <row r="103" s="322" customFormat="1" spans="1:26">
      <c r="A103" s="192"/>
      <c r="B103" s="192"/>
      <c r="C103" s="198">
        <f t="shared" si="15"/>
        <v>3.92</v>
      </c>
      <c r="D103" s="196" t="s">
        <v>1200</v>
      </c>
      <c r="E103" s="196">
        <v>98</v>
      </c>
      <c r="F103" s="196">
        <v>5</v>
      </c>
      <c r="G103" s="196" t="s">
        <v>188</v>
      </c>
      <c r="H103" s="361">
        <f t="shared" si="16"/>
        <v>980</v>
      </c>
      <c r="I103" s="196">
        <f>_xlfn.XLOOKUP(G103,价值表!$C:$C,价值表!$F:$F)*H103</f>
        <v>980</v>
      </c>
      <c r="J103" s="327" t="s">
        <v>316</v>
      </c>
      <c r="K103" s="361">
        <v>25</v>
      </c>
      <c r="L103" s="196">
        <f>_xlfn.XLOOKUP(J103,价值表!$C:$C,价值表!$F:$F)*K103</f>
        <v>1500</v>
      </c>
      <c r="M103" s="196">
        <f t="shared" si="17"/>
        <v>2480</v>
      </c>
      <c r="N103" s="363">
        <f t="shared" si="18"/>
        <v>2.53061224489796</v>
      </c>
      <c r="O103" s="375">
        <f t="shared" si="19"/>
        <v>0.395161290322581</v>
      </c>
      <c r="P103" s="376" t="str">
        <f t="shared" si="20"/>
        <v>3折</v>
      </c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</row>
    <row r="104" s="322" customFormat="1" spans="1:26">
      <c r="A104" s="192"/>
      <c r="B104" s="192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</row>
    <row r="105" s="322" customFormat="1" spans="1:26">
      <c r="A105" s="192"/>
      <c r="B105" s="192"/>
      <c r="C105" s="198"/>
      <c r="D105" s="198"/>
      <c r="E105" s="198"/>
      <c r="F105" s="198">
        <f>SUMPRODUCT(E101:E103,F101:F103)</f>
        <v>670</v>
      </c>
      <c r="G105" s="198"/>
      <c r="H105" s="198"/>
      <c r="I105" s="198">
        <f>SUMPRODUCT(I101:I103,F101:F103)</f>
        <v>6700</v>
      </c>
      <c r="J105" s="198"/>
      <c r="K105" s="198">
        <f>SUMPRODUCT(K101:K103,F101:F103)</f>
        <v>200</v>
      </c>
      <c r="L105" s="198"/>
      <c r="M105" s="198"/>
      <c r="N105" s="198"/>
      <c r="O105" s="198"/>
      <c r="P105" s="198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</row>
    <row r="106" s="322" customFormat="1" spans="1:26">
      <c r="A106" s="192"/>
      <c r="B106" s="192"/>
      <c r="C106" s="198"/>
      <c r="D106" s="198"/>
      <c r="E106" s="198"/>
      <c r="F106" s="198"/>
      <c r="G106" s="198"/>
      <c r="H106" s="198"/>
      <c r="I106" s="198">
        <f>I105/60</f>
        <v>111.666666666667</v>
      </c>
      <c r="J106" s="198"/>
      <c r="K106" s="198"/>
      <c r="L106" s="198"/>
      <c r="M106" s="198"/>
      <c r="N106" s="198"/>
      <c r="O106" s="198"/>
      <c r="P106" s="198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</row>
    <row r="107" s="322" customFormat="1" spans="1:26">
      <c r="A107" s="192"/>
      <c r="B107" s="192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</row>
    <row r="108" spans="1:26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77"/>
    </row>
    <row r="109" spans="1:26">
      <c r="A109" s="301"/>
      <c r="B109" s="301" t="s">
        <v>1431</v>
      </c>
      <c r="C109" s="301" t="s">
        <v>1432</v>
      </c>
      <c r="D109" s="301" t="s">
        <v>1433</v>
      </c>
      <c r="E109" s="301"/>
      <c r="F109" s="301" t="s">
        <v>1434</v>
      </c>
      <c r="G109" s="301"/>
      <c r="H109" s="301" t="s">
        <v>1095</v>
      </c>
      <c r="I109" s="301"/>
      <c r="J109" s="301" t="s">
        <v>1435</v>
      </c>
      <c r="K109" s="301" t="s">
        <v>1436</v>
      </c>
      <c r="L109" s="301"/>
      <c r="M109" s="301"/>
      <c r="N109" s="301"/>
      <c r="O109" s="301"/>
      <c r="P109" s="301"/>
      <c r="Q109" s="301"/>
      <c r="R109" s="301"/>
      <c r="S109" s="377"/>
    </row>
    <row r="110" spans="1:26">
      <c r="A110" s="301"/>
      <c r="B110" s="301"/>
      <c r="C110" s="301" t="s">
        <v>1437</v>
      </c>
      <c r="D110" s="301" t="s">
        <v>1438</v>
      </c>
      <c r="E110" s="301"/>
      <c r="F110" s="301">
        <v>68</v>
      </c>
      <c r="G110" s="301"/>
      <c r="H110" s="301">
        <v>16.55882</v>
      </c>
      <c r="I110" s="301"/>
      <c r="J110" s="301" t="s">
        <v>1437</v>
      </c>
      <c r="K110" s="301" t="s">
        <v>1439</v>
      </c>
      <c r="L110" s="301"/>
      <c r="M110" s="301"/>
      <c r="N110" s="301"/>
      <c r="O110" s="301"/>
      <c r="P110" s="301"/>
      <c r="Q110" s="301"/>
      <c r="R110" s="301"/>
      <c r="S110" s="377"/>
    </row>
    <row r="111" spans="1:26">
      <c r="A111" s="301"/>
      <c r="B111" s="301"/>
      <c r="C111" s="301"/>
      <c r="D111" s="378" t="s">
        <v>1440</v>
      </c>
      <c r="E111" s="379"/>
      <c r="F111" s="379"/>
      <c r="G111" s="301"/>
      <c r="H111" s="378" t="s">
        <v>1075</v>
      </c>
      <c r="I111" s="379"/>
      <c r="J111" s="379"/>
      <c r="K111" s="379"/>
      <c r="L111" s="379"/>
      <c r="M111" s="379"/>
      <c r="N111" s="301"/>
      <c r="O111" s="301"/>
      <c r="P111" s="301"/>
      <c r="Q111" s="301"/>
      <c r="R111" s="301"/>
      <c r="S111" s="377"/>
    </row>
    <row r="112" spans="1:26">
      <c r="A112" s="301"/>
      <c r="B112" s="302" t="s">
        <v>1441</v>
      </c>
      <c r="C112" s="302" t="s">
        <v>1442</v>
      </c>
      <c r="D112" s="380" t="s">
        <v>1180</v>
      </c>
      <c r="E112" s="380" t="s">
        <v>919</v>
      </c>
      <c r="F112" s="380" t="s">
        <v>922</v>
      </c>
      <c r="G112" s="301"/>
      <c r="H112" s="381" t="s">
        <v>1180</v>
      </c>
      <c r="I112" s="380" t="s">
        <v>919</v>
      </c>
      <c r="J112" s="380" t="s">
        <v>922</v>
      </c>
      <c r="K112" s="380" t="s">
        <v>1180</v>
      </c>
      <c r="L112" s="380" t="s">
        <v>919</v>
      </c>
      <c r="M112" s="380" t="s">
        <v>922</v>
      </c>
      <c r="N112" s="301"/>
      <c r="O112" s="301"/>
      <c r="P112" s="301"/>
      <c r="Q112" s="301"/>
      <c r="R112" s="301" t="s">
        <v>1443</v>
      </c>
      <c r="S112" s="377"/>
    </row>
    <row r="113" spans="1:19">
      <c r="A113" s="301"/>
      <c r="B113" s="315">
        <v>0</v>
      </c>
      <c r="C113" s="315">
        <v>1</v>
      </c>
      <c r="D113" s="316" t="s">
        <v>316</v>
      </c>
      <c r="E113" s="308">
        <v>2</v>
      </c>
      <c r="F113" s="196">
        <f>_xlfn.XLOOKUP(D113,价值表!$C:$C,价值表!$F:$F)*E113</f>
        <v>120</v>
      </c>
      <c r="G113" s="301"/>
      <c r="H113" s="315" t="s">
        <v>188</v>
      </c>
      <c r="I113" s="308">
        <v>680</v>
      </c>
      <c r="J113" s="196">
        <f>_xlfn.XLOOKUP(H113,价值表!$C:$C,价值表!$F:$F)*I113</f>
        <v>680</v>
      </c>
      <c r="K113" s="316" t="s">
        <v>316</v>
      </c>
      <c r="L113" s="308">
        <v>15</v>
      </c>
      <c r="M113" s="196">
        <f>_xlfn.XLOOKUP(K113,价值表!$C:$C,价值表!$F:$F)*L113</f>
        <v>900</v>
      </c>
      <c r="N113" s="301"/>
      <c r="O113" s="301"/>
      <c r="P113" s="301"/>
      <c r="Q113" s="301"/>
      <c r="R113" s="312" t="s">
        <v>188</v>
      </c>
      <c r="S113" s="314" cm="1">
        <f t="array" ref="S113">SUMPRODUCT($L$113:$L$137,--($K$113:$K$137=R113))+SUMPRODUCT($I$113:$I$137,--($H$113:$H$137=R113))</f>
        <v>1680</v>
      </c>
    </row>
    <row r="114" spans="1:19">
      <c r="A114" s="301"/>
      <c r="B114" s="315">
        <v>50</v>
      </c>
      <c r="C114" s="315">
        <v>2</v>
      </c>
      <c r="D114" s="316" t="s">
        <v>213</v>
      </c>
      <c r="E114" s="308">
        <v>2</v>
      </c>
      <c r="F114" s="196">
        <f>_xlfn.XLOOKUP(D114,价值表!$C:$C,价值表!$F:$F)*E114</f>
        <v>60</v>
      </c>
      <c r="G114" s="301"/>
      <c r="H114" s="315" t="s">
        <v>213</v>
      </c>
      <c r="I114" s="308">
        <v>5</v>
      </c>
      <c r="J114" s="196">
        <f>_xlfn.XLOOKUP(H114,价值表!$C:$C,价值表!$F:$F)*I114</f>
        <v>150</v>
      </c>
      <c r="K114" s="316" t="s">
        <v>195</v>
      </c>
      <c r="L114" s="308">
        <v>2000</v>
      </c>
      <c r="M114" s="196">
        <f>_xlfn.XLOOKUP(K114,价值表!$C:$C,价值表!$F:$F)*L114</f>
        <v>100</v>
      </c>
      <c r="N114" s="301"/>
      <c r="O114" s="301"/>
      <c r="P114" s="301"/>
      <c r="Q114" s="301"/>
      <c r="R114" s="315" t="s">
        <v>213</v>
      </c>
      <c r="S114" s="314" cm="1">
        <f t="array" ref="S114">SUMPRODUCT($L$113:$L$137,--($K$113:$K$137=R114))+SUMPRODUCT($I$113:$I$137,--($H$113:$H$137=R114))</f>
        <v>25</v>
      </c>
    </row>
    <row r="115" spans="1:19">
      <c r="A115" s="301"/>
      <c r="B115" s="315">
        <v>50</v>
      </c>
      <c r="C115" s="315">
        <v>3</v>
      </c>
      <c r="D115" s="316" t="s">
        <v>258</v>
      </c>
      <c r="E115" s="308">
        <v>1</v>
      </c>
      <c r="F115" s="196">
        <f>_xlfn.XLOOKUP(D115,价值表!$C:$C,价值表!$F:$F)*E115</f>
        <v>50</v>
      </c>
      <c r="G115" s="301"/>
      <c r="H115" s="315" t="s">
        <v>258</v>
      </c>
      <c r="I115" s="308">
        <v>5</v>
      </c>
      <c r="J115" s="196">
        <f>_xlfn.XLOOKUP(H115,价值表!$C:$C,价值表!$F:$F)*I115</f>
        <v>250</v>
      </c>
      <c r="K115" s="316" t="s">
        <v>195</v>
      </c>
      <c r="L115" s="308">
        <v>2000</v>
      </c>
      <c r="M115" s="196">
        <f>_xlfn.XLOOKUP(K115,价值表!$C:$C,价值表!$F:$F)*L115</f>
        <v>100</v>
      </c>
      <c r="N115" s="301"/>
      <c r="O115" s="301"/>
      <c r="P115" s="301"/>
      <c r="Q115" s="301"/>
      <c r="R115" s="315" t="s">
        <v>258</v>
      </c>
      <c r="S115" s="314" cm="1">
        <f t="array" ref="S115">SUMPRODUCT($L$113:$L$137,--($K$113:$K$137=R115))+SUMPRODUCT($I$113:$I$137,--($H$113:$H$137=R115))</f>
        <v>25</v>
      </c>
    </row>
    <row r="116" spans="1:19">
      <c r="A116" s="301"/>
      <c r="B116" s="315">
        <v>50</v>
      </c>
      <c r="C116" s="315">
        <v>4</v>
      </c>
      <c r="D116" s="316" t="s">
        <v>258</v>
      </c>
      <c r="E116" s="308">
        <v>2</v>
      </c>
      <c r="F116" s="196">
        <f>_xlfn.XLOOKUP(D116,价值表!$C:$C,价值表!$F:$F)*E116</f>
        <v>100</v>
      </c>
      <c r="G116" s="301"/>
      <c r="H116" s="315" t="s">
        <v>261</v>
      </c>
      <c r="I116" s="308">
        <v>2</v>
      </c>
      <c r="J116" s="196">
        <f>_xlfn.XLOOKUP(H116,价值表!$C:$C,价值表!$F:$F)*I116</f>
        <v>560</v>
      </c>
      <c r="K116" s="316" t="s">
        <v>195</v>
      </c>
      <c r="L116" s="308">
        <v>2000</v>
      </c>
      <c r="M116" s="196">
        <f>_xlfn.XLOOKUP(K116,价值表!$C:$C,价值表!$F:$F)*L116</f>
        <v>100</v>
      </c>
      <c r="N116" s="301"/>
      <c r="O116" s="301"/>
      <c r="P116" s="301"/>
      <c r="Q116" s="301"/>
      <c r="R116" s="315" t="s">
        <v>261</v>
      </c>
      <c r="S116" s="314" cm="1">
        <f t="array" ref="S116">SUMPRODUCT($L$113:$L$137,--($K$113:$K$137=R116))+SUMPRODUCT($I$113:$I$137,--($H$113:$H$137=R116))</f>
        <v>10</v>
      </c>
    </row>
    <row r="117" spans="1:19">
      <c r="A117" s="301"/>
      <c r="B117" s="315">
        <v>50</v>
      </c>
      <c r="C117" s="315">
        <v>5</v>
      </c>
      <c r="D117" s="316" t="s">
        <v>316</v>
      </c>
      <c r="E117" s="308">
        <v>2</v>
      </c>
      <c r="F117" s="196">
        <f>_xlfn.XLOOKUP(D117,价值表!$C:$C,价值表!$F:$F)*E117</f>
        <v>120</v>
      </c>
      <c r="G117" s="301"/>
      <c r="H117" s="315" t="s">
        <v>316</v>
      </c>
      <c r="I117" s="308">
        <v>5</v>
      </c>
      <c r="J117" s="196">
        <f>_xlfn.XLOOKUP(H117,价值表!$C:$C,价值表!$F:$F)*I117</f>
        <v>300</v>
      </c>
      <c r="K117" s="316" t="s">
        <v>188</v>
      </c>
      <c r="L117" s="308">
        <v>200</v>
      </c>
      <c r="M117" s="196">
        <f>_xlfn.XLOOKUP(K117,价值表!$C:$C,价值表!$F:$F)*L117</f>
        <v>200</v>
      </c>
      <c r="N117" s="301"/>
      <c r="O117" s="301"/>
      <c r="P117" s="301"/>
      <c r="Q117" s="301"/>
      <c r="R117" s="315" t="s">
        <v>316</v>
      </c>
      <c r="S117" s="314" cm="1">
        <f t="array" ref="S117">SUMPRODUCT($L$113:$L$137,--($K$113:$K$137=R117))+SUMPRODUCT($I$113:$I$137,--($H$113:$H$137=R117))</f>
        <v>40</v>
      </c>
    </row>
    <row r="118" spans="1:19">
      <c r="A118" s="301"/>
      <c r="B118" s="315">
        <v>50</v>
      </c>
      <c r="C118" s="315">
        <v>6</v>
      </c>
      <c r="D118" s="316" t="s">
        <v>263</v>
      </c>
      <c r="E118" s="308">
        <v>20</v>
      </c>
      <c r="F118" s="196">
        <f>_xlfn.XLOOKUP(D118,价值表!$C:$C,价值表!$F:$F)*E118</f>
        <v>100</v>
      </c>
      <c r="G118" s="301"/>
      <c r="H118" s="315" t="s">
        <v>265</v>
      </c>
      <c r="I118" s="308">
        <v>2</v>
      </c>
      <c r="J118" s="196">
        <f>_xlfn.XLOOKUP(H118,价值表!$C:$C,价值表!$F:$F)*I118</f>
        <v>120</v>
      </c>
      <c r="K118" s="316" t="s">
        <v>195</v>
      </c>
      <c r="L118" s="308">
        <v>2000</v>
      </c>
      <c r="M118" s="196">
        <f>_xlfn.XLOOKUP(K118,价值表!$C:$C,价值表!$F:$F)*L118</f>
        <v>100</v>
      </c>
      <c r="N118" s="301"/>
      <c r="O118" s="301"/>
      <c r="P118" s="301"/>
      <c r="Q118" s="301"/>
      <c r="R118" s="315" t="s">
        <v>265</v>
      </c>
      <c r="S118" s="314" cm="1">
        <f t="array" ref="S118">SUMPRODUCT($L$113:$L$137,--($K$113:$K$137=R118))+SUMPRODUCT($I$113:$I$137,--($H$113:$H$137=R118))</f>
        <v>8</v>
      </c>
    </row>
    <row r="119" spans="1:19">
      <c r="A119" s="301"/>
      <c r="B119" s="315">
        <v>50</v>
      </c>
      <c r="C119" s="315">
        <v>7</v>
      </c>
      <c r="D119" s="316" t="s">
        <v>213</v>
      </c>
      <c r="E119" s="308">
        <v>2</v>
      </c>
      <c r="F119" s="196">
        <f>_xlfn.XLOOKUP(D119,价值表!$C:$C,价值表!$F:$F)*E119</f>
        <v>60</v>
      </c>
      <c r="G119" s="301"/>
      <c r="H119" s="315" t="s">
        <v>213</v>
      </c>
      <c r="I119" s="308">
        <v>5</v>
      </c>
      <c r="J119" s="196">
        <f>_xlfn.XLOOKUP(H119,价值表!$C:$C,价值表!$F:$F)*I119</f>
        <v>150</v>
      </c>
      <c r="K119" s="316" t="s">
        <v>195</v>
      </c>
      <c r="L119" s="308">
        <v>2000</v>
      </c>
      <c r="M119" s="196">
        <f>_xlfn.XLOOKUP(K119,价值表!$C:$C,价值表!$F:$F)*L119</f>
        <v>100</v>
      </c>
      <c r="N119" s="301"/>
      <c r="O119" s="301"/>
      <c r="P119" s="301"/>
      <c r="Q119" s="301"/>
      <c r="R119" s="315" t="s">
        <v>195</v>
      </c>
      <c r="S119" s="314" cm="1">
        <f t="array" ref="S119">SUMPRODUCT($L$113:$L$137,--($K$113:$K$137=R119))+SUMPRODUCT($I$113:$I$137,--($H$113:$H$137=R119))</f>
        <v>38000</v>
      </c>
    </row>
    <row r="120" spans="1:19">
      <c r="A120" s="301"/>
      <c r="B120" s="315">
        <v>50</v>
      </c>
      <c r="C120" s="315">
        <v>8</v>
      </c>
      <c r="D120" s="316" t="s">
        <v>258</v>
      </c>
      <c r="E120" s="308">
        <v>1</v>
      </c>
      <c r="F120" s="196">
        <f>_xlfn.XLOOKUP(D120,价值表!$C:$C,价值表!$F:$F)*E120</f>
        <v>50</v>
      </c>
      <c r="G120" s="301"/>
      <c r="H120" s="315" t="s">
        <v>258</v>
      </c>
      <c r="I120" s="308">
        <v>5</v>
      </c>
      <c r="J120" s="196">
        <f>_xlfn.XLOOKUP(H120,价值表!$C:$C,价值表!$F:$F)*I120</f>
        <v>250</v>
      </c>
      <c r="K120" s="316" t="s">
        <v>195</v>
      </c>
      <c r="L120" s="308">
        <v>2000</v>
      </c>
      <c r="M120" s="196">
        <f>_xlfn.XLOOKUP(K120,价值表!$C:$C,价值表!$F:$F)*L120</f>
        <v>100</v>
      </c>
      <c r="N120" s="301"/>
      <c r="O120" s="301"/>
      <c r="P120" s="301"/>
      <c r="Q120" s="301"/>
      <c r="R120" s="301"/>
      <c r="S120" s="377"/>
    </row>
    <row r="121" spans="1:19">
      <c r="A121" s="301"/>
      <c r="B121" s="315">
        <v>50</v>
      </c>
      <c r="C121" s="315">
        <v>9</v>
      </c>
      <c r="D121" s="316" t="s">
        <v>258</v>
      </c>
      <c r="E121" s="308">
        <v>2</v>
      </c>
      <c r="F121" s="196">
        <f>_xlfn.XLOOKUP(D121,价值表!$C:$C,价值表!$F:$F)*E121</f>
        <v>100</v>
      </c>
      <c r="G121" s="301"/>
      <c r="H121" s="315" t="s">
        <v>261</v>
      </c>
      <c r="I121" s="308">
        <v>2</v>
      </c>
      <c r="J121" s="196">
        <f>_xlfn.XLOOKUP(H121,价值表!$C:$C,价值表!$F:$F)*I121</f>
        <v>560</v>
      </c>
      <c r="K121" s="316" t="s">
        <v>195</v>
      </c>
      <c r="L121" s="308">
        <v>2000</v>
      </c>
      <c r="M121" s="196">
        <f>_xlfn.XLOOKUP(K121,价值表!$C:$C,价值表!$F:$F)*L121</f>
        <v>100</v>
      </c>
      <c r="N121" s="301"/>
      <c r="O121" s="301"/>
      <c r="P121" s="301"/>
      <c r="Q121" s="301"/>
      <c r="R121" s="301"/>
      <c r="S121" s="377"/>
    </row>
    <row r="122" spans="1:19">
      <c r="A122" s="301"/>
      <c r="B122" s="315">
        <v>50</v>
      </c>
      <c r="C122" s="315">
        <v>10</v>
      </c>
      <c r="D122" s="316" t="s">
        <v>316</v>
      </c>
      <c r="E122" s="308">
        <v>2</v>
      </c>
      <c r="F122" s="196">
        <f>_xlfn.XLOOKUP(D122,价值表!$C:$C,价值表!$F:$F)*E122</f>
        <v>120</v>
      </c>
      <c r="G122" s="301"/>
      <c r="H122" s="315" t="s">
        <v>316</v>
      </c>
      <c r="I122" s="308">
        <v>5</v>
      </c>
      <c r="J122" s="196">
        <f>_xlfn.XLOOKUP(H122,价值表!$C:$C,价值表!$F:$F)*I122</f>
        <v>300</v>
      </c>
      <c r="K122" s="316" t="s">
        <v>188</v>
      </c>
      <c r="L122" s="308">
        <v>200</v>
      </c>
      <c r="M122" s="196">
        <f>_xlfn.XLOOKUP(K122,价值表!$C:$C,价值表!$F:$F)*L122</f>
        <v>200</v>
      </c>
      <c r="N122" s="301"/>
      <c r="O122" s="301"/>
      <c r="P122" s="301"/>
      <c r="Q122" s="301"/>
      <c r="R122" s="301" t="s">
        <v>1444</v>
      </c>
      <c r="S122" s="377"/>
    </row>
    <row r="123" spans="1:19">
      <c r="A123" s="301"/>
      <c r="B123" s="315">
        <v>50</v>
      </c>
      <c r="C123" s="315">
        <v>11</v>
      </c>
      <c r="D123" s="316" t="s">
        <v>263</v>
      </c>
      <c r="E123" s="308">
        <v>20</v>
      </c>
      <c r="F123" s="196">
        <f>_xlfn.XLOOKUP(D123,价值表!$C:$C,价值表!$F:$F)*E123</f>
        <v>100</v>
      </c>
      <c r="G123" s="301"/>
      <c r="H123" s="315" t="s">
        <v>265</v>
      </c>
      <c r="I123" s="308">
        <v>2</v>
      </c>
      <c r="J123" s="196">
        <f>_xlfn.XLOOKUP(H123,价值表!$C:$C,价值表!$F:$F)*I123</f>
        <v>120</v>
      </c>
      <c r="K123" s="316" t="s">
        <v>195</v>
      </c>
      <c r="L123" s="308">
        <v>2000</v>
      </c>
      <c r="M123" s="196">
        <f>_xlfn.XLOOKUP(K123,价值表!$C:$C,价值表!$F:$F)*L123</f>
        <v>100</v>
      </c>
      <c r="N123" s="301"/>
      <c r="O123" s="301"/>
      <c r="P123" s="301"/>
      <c r="Q123" s="301"/>
      <c r="R123" s="316" t="s">
        <v>316</v>
      </c>
      <c r="S123" s="314" cm="1">
        <f t="array" ref="S123">SUMPRODUCT($E$113:$E$137,--($D$113:$D$137=R123))</f>
        <v>17</v>
      </c>
    </row>
    <row r="124" spans="1:19">
      <c r="A124" s="301"/>
      <c r="B124" s="315">
        <v>50</v>
      </c>
      <c r="C124" s="315">
        <v>12</v>
      </c>
      <c r="D124" s="316" t="s">
        <v>213</v>
      </c>
      <c r="E124" s="308">
        <v>2</v>
      </c>
      <c r="F124" s="196">
        <f>_xlfn.XLOOKUP(D124,价值表!$C:$C,价值表!$F:$F)*E124</f>
        <v>60</v>
      </c>
      <c r="G124" s="301"/>
      <c r="H124" s="315" t="s">
        <v>213</v>
      </c>
      <c r="I124" s="308">
        <v>5</v>
      </c>
      <c r="J124" s="196">
        <f>_xlfn.XLOOKUP(H124,价值表!$C:$C,价值表!$F:$F)*I124</f>
        <v>150</v>
      </c>
      <c r="K124" s="316" t="s">
        <v>195</v>
      </c>
      <c r="L124" s="308">
        <v>2000</v>
      </c>
      <c r="M124" s="196">
        <f>_xlfn.XLOOKUP(K124,价值表!$C:$C,价值表!$F:$F)*L124</f>
        <v>100</v>
      </c>
      <c r="N124" s="301"/>
      <c r="O124" s="301"/>
      <c r="P124" s="301"/>
      <c r="Q124" s="301"/>
      <c r="R124" s="315" t="s">
        <v>213</v>
      </c>
      <c r="S124" s="314" cm="1">
        <f t="array" ref="S124">SUMPRODUCT($E$113:$E$137,--($D$113:$D$137=R124))</f>
        <v>10</v>
      </c>
    </row>
    <row r="125" spans="1:19">
      <c r="A125" s="301"/>
      <c r="B125" s="315">
        <v>50</v>
      </c>
      <c r="C125" s="315">
        <v>13</v>
      </c>
      <c r="D125" s="316" t="s">
        <v>258</v>
      </c>
      <c r="E125" s="308">
        <v>1</v>
      </c>
      <c r="F125" s="196">
        <f>_xlfn.XLOOKUP(D125,价值表!$C:$C,价值表!$F:$F)*E125</f>
        <v>50</v>
      </c>
      <c r="G125" s="301"/>
      <c r="H125" s="315" t="s">
        <v>258</v>
      </c>
      <c r="I125" s="308">
        <v>5</v>
      </c>
      <c r="J125" s="196">
        <f>_xlfn.XLOOKUP(H125,价值表!$C:$C,价值表!$F:$F)*I125</f>
        <v>250</v>
      </c>
      <c r="K125" s="316" t="s">
        <v>195</v>
      </c>
      <c r="L125" s="308">
        <v>2000</v>
      </c>
      <c r="M125" s="196">
        <f>_xlfn.XLOOKUP(K125,价值表!$C:$C,价值表!$F:$F)*L125</f>
        <v>100</v>
      </c>
      <c r="N125" s="301"/>
      <c r="O125" s="301"/>
      <c r="P125" s="301"/>
      <c r="Q125" s="301"/>
      <c r="R125" s="315" t="s">
        <v>258</v>
      </c>
      <c r="S125" s="314" cm="1">
        <f t="array" ref="S125">SUMPRODUCT($E$113:$E$137,--($D$113:$D$137=R125))</f>
        <v>15</v>
      </c>
    </row>
    <row r="126" spans="1:19">
      <c r="A126" s="301"/>
      <c r="B126" s="315">
        <v>50</v>
      </c>
      <c r="C126" s="315">
        <v>14</v>
      </c>
      <c r="D126" s="316" t="s">
        <v>258</v>
      </c>
      <c r="E126" s="308">
        <v>2</v>
      </c>
      <c r="F126" s="196">
        <f>_xlfn.XLOOKUP(D126,价值表!$C:$C,价值表!$F:$F)*E126</f>
        <v>100</v>
      </c>
      <c r="G126" s="301"/>
      <c r="H126" s="315" t="s">
        <v>261</v>
      </c>
      <c r="I126" s="308">
        <v>2</v>
      </c>
      <c r="J126" s="196">
        <f>_xlfn.XLOOKUP(H126,价值表!$C:$C,价值表!$F:$F)*I126</f>
        <v>560</v>
      </c>
      <c r="K126" s="316" t="s">
        <v>195</v>
      </c>
      <c r="L126" s="308">
        <v>2000</v>
      </c>
      <c r="M126" s="196">
        <f>_xlfn.XLOOKUP(K126,价值表!$C:$C,价值表!$F:$F)*L126</f>
        <v>100</v>
      </c>
      <c r="N126" s="301"/>
      <c r="O126" s="301"/>
      <c r="P126" s="301"/>
      <c r="Q126" s="301"/>
      <c r="R126" s="315" t="s">
        <v>263</v>
      </c>
      <c r="S126" s="314" cm="1">
        <f t="array" ref="S126">SUMPRODUCT($E$113:$E$137,--($D$113:$D$137=R126))</f>
        <v>80</v>
      </c>
    </row>
    <row r="127" spans="1:19">
      <c r="A127" s="301"/>
      <c r="B127" s="315">
        <v>50</v>
      </c>
      <c r="C127" s="315">
        <v>15</v>
      </c>
      <c r="D127" s="316" t="s">
        <v>316</v>
      </c>
      <c r="E127" s="308">
        <v>3</v>
      </c>
      <c r="F127" s="196">
        <f>_xlfn.XLOOKUP(D127,价值表!$C:$C,价值表!$F:$F)*E127</f>
        <v>180</v>
      </c>
      <c r="G127" s="301"/>
      <c r="H127" s="315" t="s">
        <v>316</v>
      </c>
      <c r="I127" s="308">
        <v>5</v>
      </c>
      <c r="J127" s="196">
        <f>_xlfn.XLOOKUP(H127,价值表!$C:$C,价值表!$F:$F)*I127</f>
        <v>300</v>
      </c>
      <c r="K127" s="316" t="s">
        <v>188</v>
      </c>
      <c r="L127" s="308">
        <v>200</v>
      </c>
      <c r="M127" s="196">
        <f>_xlfn.XLOOKUP(K127,价值表!$C:$C,价值表!$F:$F)*L127</f>
        <v>200</v>
      </c>
      <c r="N127" s="301"/>
      <c r="O127" s="301"/>
      <c r="P127" s="301"/>
      <c r="Q127" s="301">
        <v>2</v>
      </c>
      <c r="R127" s="301"/>
      <c r="S127" s="377"/>
    </row>
    <row r="128" spans="1:19">
      <c r="A128" s="301"/>
      <c r="B128" s="315">
        <v>50</v>
      </c>
      <c r="C128" s="315">
        <v>16</v>
      </c>
      <c r="D128" s="316" t="s">
        <v>263</v>
      </c>
      <c r="E128" s="308">
        <v>20</v>
      </c>
      <c r="F128" s="196">
        <f>_xlfn.XLOOKUP(D128,价值表!$C:$C,价值表!$F:$F)*E128</f>
        <v>100</v>
      </c>
      <c r="G128" s="301"/>
      <c r="H128" s="315" t="s">
        <v>265</v>
      </c>
      <c r="I128" s="308">
        <v>2</v>
      </c>
      <c r="J128" s="196">
        <f>_xlfn.XLOOKUP(H128,价值表!$C:$C,价值表!$F:$F)*I128</f>
        <v>120</v>
      </c>
      <c r="K128" s="316" t="s">
        <v>195</v>
      </c>
      <c r="L128" s="308">
        <v>2000</v>
      </c>
      <c r="M128" s="196">
        <f>_xlfn.XLOOKUP(K128,价值表!$C:$C,价值表!$F:$F)*L128</f>
        <v>100</v>
      </c>
      <c r="N128" s="301"/>
      <c r="O128" s="301"/>
      <c r="P128" s="301"/>
      <c r="Q128" s="301"/>
      <c r="R128" s="301"/>
      <c r="S128" s="377"/>
    </row>
    <row r="129" spans="1:19">
      <c r="A129" s="301"/>
      <c r="B129" s="315">
        <v>50</v>
      </c>
      <c r="C129" s="315">
        <v>17</v>
      </c>
      <c r="D129" s="316" t="s">
        <v>213</v>
      </c>
      <c r="E129" s="308">
        <v>2</v>
      </c>
      <c r="F129" s="196">
        <f>_xlfn.XLOOKUP(D129,价值表!$C:$C,价值表!$F:$F)*E129</f>
        <v>60</v>
      </c>
      <c r="G129" s="301"/>
      <c r="H129" s="315" t="s">
        <v>213</v>
      </c>
      <c r="I129" s="308">
        <v>5</v>
      </c>
      <c r="J129" s="196">
        <f>_xlfn.XLOOKUP(H129,价值表!$C:$C,价值表!$F:$F)*I129</f>
        <v>150</v>
      </c>
      <c r="K129" s="316" t="s">
        <v>195</v>
      </c>
      <c r="L129" s="308">
        <v>2000</v>
      </c>
      <c r="M129" s="196">
        <f>_xlfn.XLOOKUP(K129,价值表!$C:$C,价值表!$F:$F)*L129</f>
        <v>100</v>
      </c>
      <c r="N129" s="301"/>
      <c r="O129" s="301"/>
      <c r="P129" s="301"/>
      <c r="Q129" s="301"/>
      <c r="R129" s="301"/>
      <c r="S129" s="377"/>
    </row>
    <row r="130" spans="1:19">
      <c r="A130" s="301"/>
      <c r="B130" s="315">
        <v>50</v>
      </c>
      <c r="C130" s="315">
        <v>18</v>
      </c>
      <c r="D130" s="316" t="s">
        <v>258</v>
      </c>
      <c r="E130" s="308">
        <v>1</v>
      </c>
      <c r="F130" s="196">
        <f>_xlfn.XLOOKUP(D130,价值表!$C:$C,价值表!$F:$F)*E130</f>
        <v>50</v>
      </c>
      <c r="G130" s="301"/>
      <c r="H130" s="315" t="s">
        <v>258</v>
      </c>
      <c r="I130" s="308">
        <v>5</v>
      </c>
      <c r="J130" s="196">
        <f>_xlfn.XLOOKUP(H130,价值表!$C:$C,价值表!$F:$F)*I130</f>
        <v>250</v>
      </c>
      <c r="K130" s="316" t="s">
        <v>195</v>
      </c>
      <c r="L130" s="308">
        <v>2000</v>
      </c>
      <c r="M130" s="196">
        <f>_xlfn.XLOOKUP(K130,价值表!$C:$C,价值表!$F:$F)*L130</f>
        <v>100</v>
      </c>
      <c r="N130" s="301"/>
      <c r="O130" s="301"/>
      <c r="P130" s="301"/>
      <c r="Q130" s="301"/>
      <c r="R130" s="301"/>
      <c r="S130" s="377"/>
    </row>
    <row r="131" spans="1:19">
      <c r="A131" s="301"/>
      <c r="B131" s="315">
        <v>50</v>
      </c>
      <c r="C131" s="315">
        <v>19</v>
      </c>
      <c r="D131" s="316" t="s">
        <v>258</v>
      </c>
      <c r="E131" s="308">
        <v>2</v>
      </c>
      <c r="F131" s="196">
        <f>_xlfn.XLOOKUP(D131,价值表!$C:$C,价值表!$F:$F)*E131</f>
        <v>100</v>
      </c>
      <c r="G131" s="301"/>
      <c r="H131" s="315" t="s">
        <v>261</v>
      </c>
      <c r="I131" s="308">
        <v>2</v>
      </c>
      <c r="J131" s="196">
        <f>_xlfn.XLOOKUP(H131,价值表!$C:$C,价值表!$F:$F)*I131</f>
        <v>560</v>
      </c>
      <c r="K131" s="316" t="s">
        <v>195</v>
      </c>
      <c r="L131" s="308">
        <v>2000</v>
      </c>
      <c r="M131" s="196">
        <f>_xlfn.XLOOKUP(K131,价值表!$C:$C,价值表!$F:$F)*L131</f>
        <v>100</v>
      </c>
      <c r="N131" s="301"/>
      <c r="O131" s="301"/>
      <c r="P131" s="301"/>
      <c r="Q131" s="301"/>
      <c r="R131" s="301"/>
      <c r="S131" s="377"/>
    </row>
    <row r="132" spans="1:19">
      <c r="A132" s="301"/>
      <c r="B132" s="315">
        <v>50</v>
      </c>
      <c r="C132" s="315">
        <v>20</v>
      </c>
      <c r="D132" s="316" t="s">
        <v>316</v>
      </c>
      <c r="E132" s="308">
        <v>3</v>
      </c>
      <c r="F132" s="196">
        <f>_xlfn.XLOOKUP(D132,价值表!$C:$C,价值表!$F:$F)*E132</f>
        <v>180</v>
      </c>
      <c r="G132" s="301"/>
      <c r="H132" s="315" t="s">
        <v>316</v>
      </c>
      <c r="I132" s="308">
        <v>5</v>
      </c>
      <c r="J132" s="196">
        <f>_xlfn.XLOOKUP(H132,价值表!$C:$C,价值表!$F:$F)*I132</f>
        <v>300</v>
      </c>
      <c r="K132" s="316" t="s">
        <v>188</v>
      </c>
      <c r="L132" s="308">
        <v>200</v>
      </c>
      <c r="M132" s="196">
        <f>_xlfn.XLOOKUP(K132,价值表!$C:$C,价值表!$F:$F)*L132</f>
        <v>200</v>
      </c>
      <c r="N132" s="301"/>
      <c r="O132" s="301"/>
      <c r="P132" s="301"/>
      <c r="Q132" s="301"/>
      <c r="R132" s="301"/>
      <c r="S132" s="377"/>
    </row>
    <row r="133" spans="1:19">
      <c r="A133" s="301"/>
      <c r="B133" s="315">
        <v>50</v>
      </c>
      <c r="C133" s="315">
        <v>21</v>
      </c>
      <c r="D133" s="316" t="s">
        <v>263</v>
      </c>
      <c r="E133" s="308">
        <v>20</v>
      </c>
      <c r="F133" s="196">
        <f>_xlfn.XLOOKUP(D133,价值表!$C:$C,价值表!$F:$F)*E133</f>
        <v>100</v>
      </c>
      <c r="G133" s="301"/>
      <c r="H133" s="315" t="s">
        <v>265</v>
      </c>
      <c r="I133" s="308">
        <v>2</v>
      </c>
      <c r="J133" s="196">
        <f>_xlfn.XLOOKUP(H133,价值表!$C:$C,价值表!$F:$F)*I133</f>
        <v>120</v>
      </c>
      <c r="K133" s="316" t="s">
        <v>195</v>
      </c>
      <c r="L133" s="308">
        <v>2000</v>
      </c>
      <c r="M133" s="196">
        <f>_xlfn.XLOOKUP(K133,价值表!$C:$C,价值表!$F:$F)*L133</f>
        <v>100</v>
      </c>
      <c r="N133" s="301"/>
      <c r="O133" s="301"/>
      <c r="P133" s="301"/>
      <c r="Q133" s="301"/>
      <c r="R133" s="301"/>
      <c r="S133" s="377"/>
    </row>
    <row r="134" spans="1:19">
      <c r="A134" s="301"/>
      <c r="B134" s="315">
        <v>50</v>
      </c>
      <c r="C134" s="315">
        <v>22</v>
      </c>
      <c r="D134" s="316" t="s">
        <v>213</v>
      </c>
      <c r="E134" s="308">
        <v>2</v>
      </c>
      <c r="F134" s="196">
        <f>_xlfn.XLOOKUP(D134,价值表!$C:$C,价值表!$F:$F)*E134</f>
        <v>60</v>
      </c>
      <c r="G134" s="301"/>
      <c r="H134" s="315" t="s">
        <v>213</v>
      </c>
      <c r="I134" s="308">
        <v>5</v>
      </c>
      <c r="J134" s="196">
        <f>_xlfn.XLOOKUP(H134,价值表!$C:$C,价值表!$F:$F)*I134</f>
        <v>150</v>
      </c>
      <c r="K134" s="316" t="s">
        <v>195</v>
      </c>
      <c r="L134" s="308">
        <v>2000</v>
      </c>
      <c r="M134" s="196">
        <f>_xlfn.XLOOKUP(K134,价值表!$C:$C,价值表!$F:$F)*L134</f>
        <v>100</v>
      </c>
      <c r="N134" s="301"/>
      <c r="O134" s="301"/>
      <c r="P134" s="301"/>
      <c r="Q134" s="301"/>
      <c r="R134" s="301"/>
      <c r="S134" s="377"/>
    </row>
    <row r="135" spans="1:19">
      <c r="A135" s="301"/>
      <c r="B135" s="315">
        <v>50</v>
      </c>
      <c r="C135" s="315">
        <v>23</v>
      </c>
      <c r="D135" s="316" t="s">
        <v>258</v>
      </c>
      <c r="E135" s="308">
        <v>1</v>
      </c>
      <c r="F135" s="196">
        <f>_xlfn.XLOOKUP(D135,价值表!$C:$C,价值表!$F:$F)*E135</f>
        <v>50</v>
      </c>
      <c r="G135" s="301"/>
      <c r="H135" s="315" t="s">
        <v>258</v>
      </c>
      <c r="I135" s="308">
        <v>5</v>
      </c>
      <c r="J135" s="196">
        <f>_xlfn.XLOOKUP(H135,价值表!$C:$C,价值表!$F:$F)*I135</f>
        <v>250</v>
      </c>
      <c r="K135" s="316" t="s">
        <v>195</v>
      </c>
      <c r="L135" s="308">
        <v>2000</v>
      </c>
      <c r="M135" s="196">
        <f>_xlfn.XLOOKUP(K135,价值表!$C:$C,价值表!$F:$F)*L135</f>
        <v>100</v>
      </c>
      <c r="N135" s="301"/>
      <c r="O135" s="301"/>
      <c r="P135" s="301"/>
      <c r="Q135" s="301"/>
      <c r="R135" s="301"/>
      <c r="S135" s="377"/>
    </row>
    <row r="136" spans="1:19">
      <c r="A136" s="301"/>
      <c r="B136" s="315">
        <v>50</v>
      </c>
      <c r="C136" s="315">
        <v>24</v>
      </c>
      <c r="D136" s="316" t="s">
        <v>258</v>
      </c>
      <c r="E136" s="308">
        <v>2</v>
      </c>
      <c r="F136" s="196">
        <f>_xlfn.XLOOKUP(D136,价值表!$C:$C,价值表!$F:$F)*E136</f>
        <v>100</v>
      </c>
      <c r="G136" s="301"/>
      <c r="H136" s="315" t="s">
        <v>261</v>
      </c>
      <c r="I136" s="308">
        <v>2</v>
      </c>
      <c r="J136" s="196">
        <f>_xlfn.XLOOKUP(H136,价值表!$C:$C,价值表!$F:$F)*I136</f>
        <v>560</v>
      </c>
      <c r="K136" s="316" t="s">
        <v>195</v>
      </c>
      <c r="L136" s="308">
        <v>2000</v>
      </c>
      <c r="M136" s="196">
        <f>_xlfn.XLOOKUP(K136,价值表!$C:$C,价值表!$F:$F)*L136</f>
        <v>100</v>
      </c>
      <c r="N136" s="301"/>
      <c r="O136" s="301"/>
      <c r="P136" s="301"/>
      <c r="Q136" s="301"/>
      <c r="R136" s="301"/>
      <c r="S136" s="377"/>
    </row>
    <row r="137" spans="1:19">
      <c r="A137" s="301"/>
      <c r="B137" s="315">
        <v>50</v>
      </c>
      <c r="C137" s="315">
        <v>25</v>
      </c>
      <c r="D137" s="316" t="s">
        <v>316</v>
      </c>
      <c r="E137" s="308">
        <v>5</v>
      </c>
      <c r="F137" s="196">
        <f>_xlfn.XLOOKUP(D137,价值表!$C:$C,价值表!$F:$F)*E137</f>
        <v>300</v>
      </c>
      <c r="G137" s="301"/>
      <c r="H137" s="315" t="s">
        <v>316</v>
      </c>
      <c r="I137" s="308">
        <v>5</v>
      </c>
      <c r="J137" s="196">
        <f>_xlfn.XLOOKUP(H137,价值表!$C:$C,价值表!$F:$F)*I137</f>
        <v>300</v>
      </c>
      <c r="K137" s="316" t="s">
        <v>188</v>
      </c>
      <c r="L137" s="308">
        <v>200</v>
      </c>
      <c r="M137" s="196">
        <f>_xlfn.XLOOKUP(K137,价值表!$C:$C,价值表!$F:$F)*L137</f>
        <v>200</v>
      </c>
      <c r="N137" s="301"/>
      <c r="O137" s="301"/>
      <c r="P137" s="301"/>
      <c r="Q137" s="301"/>
      <c r="R137" s="301"/>
      <c r="S137" s="377"/>
    </row>
    <row r="138" spans="1:19">
      <c r="A138" s="301"/>
      <c r="B138" s="301"/>
      <c r="C138" s="301"/>
      <c r="D138" s="301"/>
      <c r="E138" s="301"/>
      <c r="F138" s="301">
        <v>1773</v>
      </c>
      <c r="G138" s="301"/>
      <c r="H138" s="301"/>
      <c r="I138" s="301"/>
      <c r="J138" s="301">
        <v>7460</v>
      </c>
      <c r="K138" s="301"/>
      <c r="L138" s="301"/>
      <c r="M138" s="301">
        <v>3800</v>
      </c>
      <c r="N138" s="301"/>
      <c r="O138" s="301">
        <v>11260</v>
      </c>
      <c r="P138" s="301"/>
      <c r="Q138" s="301"/>
      <c r="R138" s="301"/>
      <c r="S138" s="377"/>
    </row>
    <row r="139" spans="1:19">
      <c r="A139" s="322"/>
      <c r="B139" s="322"/>
      <c r="C139" s="322"/>
      <c r="D139" s="322"/>
      <c r="E139" s="322"/>
      <c r="F139" s="322"/>
      <c r="G139" s="322"/>
      <c r="H139" s="322"/>
      <c r="I139" s="322"/>
      <c r="J139" s="322"/>
      <c r="K139" s="322"/>
      <c r="L139" s="322"/>
      <c r="M139" s="322"/>
      <c r="N139" s="322"/>
      <c r="O139" s="322"/>
      <c r="P139" s="322"/>
      <c r="Q139" s="322"/>
      <c r="R139" s="322"/>
      <c r="S139" s="322"/>
    </row>
  </sheetData>
  <mergeCells count="3">
    <mergeCell ref="D111:F111"/>
    <mergeCell ref="H111:M111"/>
    <mergeCell ref="D4:D5"/>
  </mergeCells>
  <conditionalFormatting sqref="E37">
    <cfRule type="duplicateValues" dxfId="1" priority="1"/>
  </conditionalFormatting>
  <conditionalFormatting sqref="D14:D27">
    <cfRule type="duplicateValues" dxfId="1" priority="2"/>
  </conditionalFormatting>
  <dataValidations count="1">
    <dataValidation type="textLength" operator="between" allowBlank="1" showInputMessage="1" showErrorMessage="1" errorTitle="输入有误" error="文本内容大长(0 ~ 9999999999)" sqref="E9:F9 B19:B27">
      <formula1>0</formula1>
      <formula2>65535</formula2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7"/>
  </sheetPr>
  <dimension ref="A1:W122"/>
  <sheetViews>
    <sheetView showGridLines="0" topLeftCell="A9" workbookViewId="0">
      <selection activeCell="B95" sqref="B92:L122"/>
    </sheetView>
  </sheetViews>
  <sheetFormatPr defaultColWidth="9" defaultRowHeight="16.5"/>
  <cols>
    <col min="1" max="1" width="9" style="284"/>
    <col min="2" max="16384" width="9" style="113"/>
  </cols>
  <sheetData>
    <row r="1" spans="1:6">
      <c r="A1" s="284" t="s">
        <v>1209</v>
      </c>
    </row>
    <row r="2" spans="1:6">
      <c r="B2" s="285" t="s">
        <v>1445</v>
      </c>
      <c r="C2" s="118"/>
      <c r="D2" s="118"/>
      <c r="E2" s="118"/>
      <c r="F2" s="118"/>
    </row>
    <row r="3" ht="15" customHeight="1" spans="1:6">
      <c r="B3" s="286" t="s">
        <v>136</v>
      </c>
      <c r="C3" s="286" t="s">
        <v>178</v>
      </c>
      <c r="D3" s="286" t="s">
        <v>919</v>
      </c>
      <c r="E3" s="286" t="s">
        <v>922</v>
      </c>
      <c r="F3" s="286" t="s">
        <v>1446</v>
      </c>
    </row>
    <row r="4" spans="1:6">
      <c r="B4" s="287">
        <v>31</v>
      </c>
      <c r="C4" s="288" t="s">
        <v>188</v>
      </c>
      <c r="D4" s="289">
        <v>288</v>
      </c>
      <c r="E4" s="290">
        <f>_xlfn.XLOOKUP(C4,价值表!$C:$C,价值表!$F:$F)*D4</f>
        <v>288</v>
      </c>
      <c r="F4" s="287">
        <f>SUM(E4:E9)</f>
        <v>1675</v>
      </c>
    </row>
    <row r="5" spans="1:6">
      <c r="B5" s="287">
        <v>32</v>
      </c>
      <c r="C5" s="291" t="s">
        <v>316</v>
      </c>
      <c r="D5" s="292">
        <v>3</v>
      </c>
      <c r="E5" s="290">
        <f>_xlfn.XLOOKUP(C5,价值表!$C:$C,价值表!$F:$F)*D5</f>
        <v>180</v>
      </c>
      <c r="F5" s="287"/>
    </row>
    <row r="6" spans="1:6">
      <c r="B6" s="287">
        <v>33</v>
      </c>
      <c r="C6" s="291" t="s">
        <v>195</v>
      </c>
      <c r="D6" s="290">
        <v>5000</v>
      </c>
      <c r="E6" s="290">
        <f>_xlfn.XLOOKUP(C6,价值表!$C:$C,价值表!$F:$F)*D6</f>
        <v>250</v>
      </c>
      <c r="F6" s="287"/>
    </row>
    <row r="7" spans="1:6">
      <c r="B7" s="287">
        <v>34</v>
      </c>
      <c r="C7" s="291" t="s">
        <v>265</v>
      </c>
      <c r="D7" s="290">
        <v>6</v>
      </c>
      <c r="E7" s="290">
        <f>_xlfn.XLOOKUP(C7,价值表!$C:$C,价值表!$F:$F)*D7</f>
        <v>360</v>
      </c>
      <c r="F7" s="287"/>
    </row>
    <row r="8" spans="1:6">
      <c r="B8" s="287">
        <v>35</v>
      </c>
      <c r="C8" s="291" t="s">
        <v>237</v>
      </c>
      <c r="D8" s="290">
        <v>900</v>
      </c>
      <c r="E8" s="290">
        <f>_xlfn.XLOOKUP(C8,价值表!$C:$C,价值表!$F:$F)*D8</f>
        <v>297</v>
      </c>
      <c r="F8" s="287"/>
    </row>
    <row r="9" spans="1:6">
      <c r="B9" s="287">
        <v>36</v>
      </c>
      <c r="C9" s="291" t="s">
        <v>213</v>
      </c>
      <c r="D9" s="290">
        <v>10</v>
      </c>
      <c r="E9" s="290">
        <f>_xlfn.XLOOKUP(C9,价值表!$C:$C,价值表!$F:$F)*D9</f>
        <v>300</v>
      </c>
      <c r="F9" s="287"/>
    </row>
    <row r="10" customHeight="1" spans="1:6">
      <c r="B10" s="287">
        <v>37</v>
      </c>
      <c r="C10" s="293" t="s">
        <v>322</v>
      </c>
      <c r="D10" s="294">
        <v>1</v>
      </c>
      <c r="E10" s="290">
        <f>_xlfn.XLOOKUP(C10,价值表!$C:$C,价值表!$F:$F)*D10</f>
        <v>4000</v>
      </c>
      <c r="F10" s="295"/>
    </row>
    <row r="11" spans="1:6">
      <c r="B11" s="287">
        <v>38</v>
      </c>
      <c r="C11" s="291" t="s">
        <v>188</v>
      </c>
      <c r="D11" s="290">
        <v>188</v>
      </c>
      <c r="E11" s="290">
        <f>_xlfn.XLOOKUP(C11,价值表!$C:$C,价值表!$F:$F)*D11</f>
        <v>188</v>
      </c>
      <c r="F11" s="287">
        <f>SUM(E11:E16)</f>
        <v>1848</v>
      </c>
    </row>
    <row r="12" spans="1:6">
      <c r="B12" s="287">
        <v>39</v>
      </c>
      <c r="C12" s="291" t="s">
        <v>213</v>
      </c>
      <c r="D12" s="290">
        <v>10</v>
      </c>
      <c r="E12" s="290">
        <f>_xlfn.XLOOKUP(C12,价值表!$C:$C,价值表!$F:$F)*D12</f>
        <v>300</v>
      </c>
      <c r="F12" s="287"/>
    </row>
    <row r="13" spans="1:6">
      <c r="B13" s="287">
        <v>40</v>
      </c>
      <c r="C13" s="291" t="s">
        <v>316</v>
      </c>
      <c r="D13" s="292">
        <v>3</v>
      </c>
      <c r="E13" s="290">
        <f>_xlfn.XLOOKUP(C13,价值表!$C:$C,价值表!$F:$F)*D13</f>
        <v>180</v>
      </c>
      <c r="F13" s="287"/>
    </row>
    <row r="14" spans="1:6">
      <c r="B14" s="287">
        <v>41</v>
      </c>
      <c r="C14" s="291" t="s">
        <v>208</v>
      </c>
      <c r="D14" s="290">
        <v>200</v>
      </c>
      <c r="E14" s="290">
        <f>_xlfn.XLOOKUP(C14,价值表!$C:$C,价值表!$F:$F)*D14</f>
        <v>400</v>
      </c>
      <c r="F14" s="287"/>
    </row>
    <row r="15" spans="1:6">
      <c r="B15" s="287">
        <v>42</v>
      </c>
      <c r="C15" s="296" t="s">
        <v>261</v>
      </c>
      <c r="D15" s="297">
        <v>1</v>
      </c>
      <c r="E15" s="290">
        <f>_xlfn.XLOOKUP(C15,价值表!$C:$C,价值表!$F:$F)*D15</f>
        <v>280</v>
      </c>
      <c r="F15" s="287"/>
    </row>
    <row r="16" spans="1:6">
      <c r="B16" s="287">
        <v>43</v>
      </c>
      <c r="C16" s="288" t="s">
        <v>258</v>
      </c>
      <c r="D16" s="289">
        <v>10</v>
      </c>
      <c r="E16" s="290">
        <f>_xlfn.XLOOKUP(C16,价值表!$C:$C,价值表!$F:$F)*D16</f>
        <v>500</v>
      </c>
      <c r="F16" s="287"/>
    </row>
    <row r="17" customHeight="1" spans="2:6">
      <c r="B17" s="287">
        <v>45</v>
      </c>
      <c r="C17" s="293" t="s">
        <v>332</v>
      </c>
      <c r="D17" s="294">
        <v>1</v>
      </c>
      <c r="E17" s="290">
        <f>_xlfn.XLOOKUP(C17,价值表!$C:$C,价值表!$F:$F)*D17</f>
        <v>6000</v>
      </c>
      <c r="F17" s="295"/>
    </row>
    <row r="18" spans="2:6">
      <c r="B18" s="287">
        <v>46</v>
      </c>
      <c r="C18" s="291" t="s">
        <v>188</v>
      </c>
      <c r="D18" s="290">
        <v>188</v>
      </c>
      <c r="E18" s="290">
        <f>_xlfn.XLOOKUP(C18,价值表!$C:$C,价值表!$F:$F)*D18</f>
        <v>188</v>
      </c>
      <c r="F18" s="287">
        <f>SUM(E18:E23)</f>
        <v>1878</v>
      </c>
    </row>
    <row r="19" spans="2:6">
      <c r="B19" s="287">
        <v>47</v>
      </c>
      <c r="C19" s="291" t="s">
        <v>316</v>
      </c>
      <c r="D19" s="292">
        <v>3</v>
      </c>
      <c r="E19" s="290">
        <f>_xlfn.XLOOKUP(C19,价值表!$C:$C,价值表!$F:$F)*D19</f>
        <v>180</v>
      </c>
      <c r="F19" s="287"/>
    </row>
    <row r="20" spans="2:6">
      <c r="B20" s="287">
        <v>48</v>
      </c>
      <c r="C20" s="291" t="s">
        <v>213</v>
      </c>
      <c r="D20" s="290">
        <v>10</v>
      </c>
      <c r="E20" s="290">
        <f>_xlfn.XLOOKUP(C20,价值表!$C:$C,价值表!$F:$F)*D20</f>
        <v>300</v>
      </c>
      <c r="F20" s="287"/>
    </row>
    <row r="21" spans="2:6">
      <c r="B21" s="287">
        <v>49</v>
      </c>
      <c r="C21" s="291" t="s">
        <v>195</v>
      </c>
      <c r="D21" s="290">
        <v>5000</v>
      </c>
      <c r="E21" s="290">
        <f>_xlfn.XLOOKUP(C21,价值表!$C:$C,价值表!$F:$F)*D21</f>
        <v>250</v>
      </c>
      <c r="F21" s="287"/>
    </row>
    <row r="22" spans="2:6">
      <c r="B22" s="287">
        <v>50</v>
      </c>
      <c r="C22" s="291" t="s">
        <v>208</v>
      </c>
      <c r="D22" s="290">
        <v>200</v>
      </c>
      <c r="E22" s="290">
        <f>_xlfn.XLOOKUP(C22,价值表!$C:$C,价值表!$F:$F)*D22</f>
        <v>400</v>
      </c>
      <c r="F22" s="287"/>
    </row>
    <row r="23" spans="2:6">
      <c r="B23" s="287">
        <v>51</v>
      </c>
      <c r="C23" s="291" t="s">
        <v>261</v>
      </c>
      <c r="D23" s="290">
        <v>2</v>
      </c>
      <c r="E23" s="290">
        <f>_xlfn.XLOOKUP(C23,价值表!$C:$C,价值表!$F:$F)*D23</f>
        <v>560</v>
      </c>
      <c r="F23" s="287"/>
    </row>
    <row r="24" customHeight="1" spans="2:6">
      <c r="B24" s="287">
        <v>52</v>
      </c>
      <c r="C24" s="298" t="s">
        <v>265</v>
      </c>
      <c r="D24" s="299">
        <v>18</v>
      </c>
      <c r="E24" s="290">
        <f>_xlfn.XLOOKUP(C24,价值表!$C:$C,价值表!$F:$F)*D24</f>
        <v>1080</v>
      </c>
      <c r="F24" s="295"/>
    </row>
    <row r="25" spans="2:6">
      <c r="B25" s="287">
        <v>53</v>
      </c>
      <c r="C25" s="291" t="s">
        <v>188</v>
      </c>
      <c r="D25" s="290">
        <v>188</v>
      </c>
      <c r="E25" s="290">
        <f>_xlfn.XLOOKUP(C25,价值表!$C:$C,价值表!$F:$F)*D25</f>
        <v>188</v>
      </c>
      <c r="F25" s="287">
        <f>SUM(E25:E30)</f>
        <v>2574</v>
      </c>
    </row>
    <row r="26" spans="2:6">
      <c r="B26" s="287">
        <v>54</v>
      </c>
      <c r="C26" s="291" t="s">
        <v>258</v>
      </c>
      <c r="D26" s="290">
        <v>10</v>
      </c>
      <c r="E26" s="290">
        <f>_xlfn.XLOOKUP(C26,价值表!$C:$C,价值表!$F:$F)*D26</f>
        <v>500</v>
      </c>
      <c r="F26" s="287"/>
    </row>
    <row r="27" spans="2:6">
      <c r="B27" s="287">
        <v>55</v>
      </c>
      <c r="C27" s="291" t="s">
        <v>195</v>
      </c>
      <c r="D27" s="290">
        <v>5000</v>
      </c>
      <c r="E27" s="290">
        <f>_xlfn.XLOOKUP(C27,价值表!$C:$C,价值表!$F:$F)*D27</f>
        <v>250</v>
      </c>
      <c r="F27" s="287"/>
    </row>
    <row r="28" spans="2:6">
      <c r="B28" s="287">
        <v>56</v>
      </c>
      <c r="C28" s="291" t="s">
        <v>208</v>
      </c>
      <c r="D28" s="290">
        <v>200</v>
      </c>
      <c r="E28" s="290">
        <f>_xlfn.XLOOKUP(C28,价值表!$C:$C,价值表!$F:$F)*D28</f>
        <v>400</v>
      </c>
      <c r="F28" s="287"/>
    </row>
    <row r="29" spans="2:6">
      <c r="B29" s="287">
        <v>57</v>
      </c>
      <c r="C29" s="291" t="s">
        <v>261</v>
      </c>
      <c r="D29" s="290">
        <v>3</v>
      </c>
      <c r="E29" s="290">
        <f>_xlfn.XLOOKUP(C29,价值表!$C:$C,价值表!$F:$F)*D29</f>
        <v>840</v>
      </c>
      <c r="F29" s="287"/>
    </row>
    <row r="30" spans="2:6">
      <c r="B30" s="287">
        <v>58</v>
      </c>
      <c r="C30" s="291" t="s">
        <v>237</v>
      </c>
      <c r="D30" s="290">
        <v>1200</v>
      </c>
      <c r="E30" s="290">
        <f>_xlfn.XLOOKUP(C30,价值表!$C:$C,价值表!$F:$F)*D30</f>
        <v>396</v>
      </c>
      <c r="F30" s="287"/>
    </row>
    <row r="31" spans="2:6">
      <c r="B31" s="287">
        <v>60</v>
      </c>
      <c r="C31" s="293" t="s">
        <v>278</v>
      </c>
      <c r="D31" s="294">
        <v>1</v>
      </c>
      <c r="E31" s="290">
        <f>_xlfn.XLOOKUP(C31,价值表!$C:$C,价值表!$F:$F)*D31</f>
        <v>16384</v>
      </c>
      <c r="F31" s="295"/>
    </row>
    <row r="34" spans="1:23">
      <c r="A34" s="284" t="s">
        <v>1447</v>
      </c>
    </row>
    <row r="37" spans="1:23">
      <c r="A37" s="300"/>
      <c r="B37" s="30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</row>
    <row r="38" spans="1:23">
      <c r="A38" s="300"/>
      <c r="B38" s="301" t="s">
        <v>1349</v>
      </c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</row>
    <row r="39" spans="1:23">
      <c r="A39" s="300"/>
      <c r="B39" s="301"/>
      <c r="C39" s="301" t="s">
        <v>1350</v>
      </c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</row>
    <row r="40" spans="1:23">
      <c r="A40" s="300"/>
      <c r="B40" s="301"/>
      <c r="C40" s="302" t="s">
        <v>640</v>
      </c>
      <c r="D40" s="303" t="s">
        <v>919</v>
      </c>
      <c r="E40" s="303" t="s">
        <v>922</v>
      </c>
      <c r="F40" s="303" t="s">
        <v>1158</v>
      </c>
      <c r="G40" s="303" t="s">
        <v>1327</v>
      </c>
      <c r="H40" s="301"/>
      <c r="I40" s="301"/>
      <c r="J40" s="304" t="s">
        <v>1351</v>
      </c>
      <c r="K40" s="305"/>
      <c r="L40" s="305"/>
      <c r="M40" s="305"/>
      <c r="N40" s="305"/>
      <c r="O40" s="306"/>
      <c r="P40" s="306"/>
      <c r="Q40" s="306"/>
      <c r="R40" s="301"/>
      <c r="S40" s="301"/>
      <c r="T40" s="301"/>
      <c r="U40" s="301"/>
      <c r="V40" s="301"/>
      <c r="W40" s="301"/>
    </row>
    <row r="41" spans="1:23">
      <c r="A41" s="300"/>
      <c r="B41" s="301"/>
      <c r="C41" s="307" t="s">
        <v>195</v>
      </c>
      <c r="D41" s="308">
        <v>200</v>
      </c>
      <c r="E41" s="308">
        <f>_xlfn.XLOOKUP(C41,价值表!$C:$C,价值表!$F:$F)*D41</f>
        <v>10</v>
      </c>
      <c r="F41" s="308">
        <v>220</v>
      </c>
      <c r="G41" s="309">
        <v>0.22</v>
      </c>
      <c r="H41" s="310">
        <v>2.2</v>
      </c>
      <c r="I41" s="301"/>
      <c r="J41" s="304" t="s">
        <v>1352</v>
      </c>
      <c r="K41" s="305"/>
      <c r="L41" s="305"/>
      <c r="M41" s="305"/>
      <c r="N41" s="305"/>
      <c r="O41" s="306"/>
      <c r="P41" s="306"/>
      <c r="Q41" s="306"/>
      <c r="R41" s="301"/>
      <c r="S41" s="301"/>
      <c r="T41" s="301"/>
      <c r="U41" s="301"/>
      <c r="V41" s="301"/>
      <c r="W41" s="301"/>
    </row>
    <row r="42" spans="1:23">
      <c r="A42" s="300"/>
      <c r="B42" s="301"/>
      <c r="C42" s="307" t="s">
        <v>209</v>
      </c>
      <c r="D42" s="308">
        <v>10</v>
      </c>
      <c r="E42" s="308">
        <f>_xlfn.XLOOKUP(C42,价值表!$C:$C,价值表!$F:$F)*D42</f>
        <v>10</v>
      </c>
      <c r="F42" s="308">
        <v>280</v>
      </c>
      <c r="G42" s="309">
        <v>0.28</v>
      </c>
      <c r="H42" s="310">
        <v>2.8</v>
      </c>
      <c r="I42" s="301"/>
      <c r="J42" s="304" t="s">
        <v>1353</v>
      </c>
      <c r="K42" s="305"/>
      <c r="L42" s="306"/>
      <c r="M42" s="306"/>
      <c r="N42" s="306"/>
      <c r="O42" s="306"/>
      <c r="P42" s="306"/>
      <c r="Q42" s="306"/>
      <c r="R42" s="301"/>
      <c r="S42" s="301"/>
      <c r="T42" s="301"/>
      <c r="U42" s="301"/>
      <c r="V42" s="301"/>
      <c r="W42" s="301"/>
    </row>
    <row r="43" spans="1:23">
      <c r="A43" s="300"/>
      <c r="B43" s="301"/>
      <c r="C43" s="307" t="s">
        <v>245</v>
      </c>
      <c r="D43" s="308">
        <v>10</v>
      </c>
      <c r="E43" s="308">
        <f>_xlfn.XLOOKUP(C43,价值表!$C:$C,价值表!$F:$F)*D43</f>
        <v>1</v>
      </c>
      <c r="F43" s="308">
        <v>200</v>
      </c>
      <c r="G43" s="309">
        <v>0.2</v>
      </c>
      <c r="H43" s="310">
        <v>2</v>
      </c>
      <c r="I43" s="301"/>
      <c r="J43" s="304" t="s">
        <v>1354</v>
      </c>
      <c r="K43" s="305"/>
      <c r="L43" s="305"/>
      <c r="M43" s="305"/>
      <c r="N43" s="306"/>
      <c r="O43" s="306"/>
      <c r="P43" s="306"/>
      <c r="Q43" s="306"/>
      <c r="R43" s="301"/>
      <c r="S43" s="301"/>
      <c r="T43" s="301"/>
      <c r="U43" s="301"/>
      <c r="V43" s="301"/>
      <c r="W43" s="301"/>
    </row>
    <row r="44" spans="1:23">
      <c r="A44" s="300"/>
      <c r="B44" s="311"/>
      <c r="C44" s="307" t="s">
        <v>213</v>
      </c>
      <c r="D44" s="308">
        <v>1</v>
      </c>
      <c r="E44" s="308">
        <f>_xlfn.XLOOKUP(C44,价值表!$C:$C,价值表!$F:$F)*D44</f>
        <v>30</v>
      </c>
      <c r="F44" s="308">
        <v>150</v>
      </c>
      <c r="G44" s="309">
        <v>0.15</v>
      </c>
      <c r="H44" s="310">
        <v>4.5</v>
      </c>
      <c r="I44" s="301"/>
      <c r="J44" s="304" t="s">
        <v>1355</v>
      </c>
      <c r="K44" s="305"/>
      <c r="L44" s="305"/>
      <c r="M44" s="305"/>
      <c r="N44" s="305"/>
      <c r="O44" s="305"/>
      <c r="P44" s="305"/>
      <c r="Q44" s="305"/>
      <c r="R44" s="301"/>
      <c r="S44" s="301"/>
      <c r="T44" s="301" t="s">
        <v>1356</v>
      </c>
      <c r="U44" s="301"/>
      <c r="V44" s="301"/>
      <c r="W44" s="301"/>
    </row>
    <row r="45" spans="1:23">
      <c r="A45" s="300"/>
      <c r="B45" s="301"/>
      <c r="C45" s="307" t="s">
        <v>258</v>
      </c>
      <c r="D45" s="308">
        <v>1</v>
      </c>
      <c r="E45" s="308">
        <f>_xlfn.XLOOKUP(C45,价值表!$C:$C,价值表!$F:$F)*D45</f>
        <v>50</v>
      </c>
      <c r="F45" s="308">
        <v>150</v>
      </c>
      <c r="G45" s="309">
        <v>0.15</v>
      </c>
      <c r="H45" s="310">
        <v>7.5</v>
      </c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</row>
    <row r="46" spans="1:23">
      <c r="A46" s="300"/>
      <c r="B46" s="301"/>
      <c r="C46" s="301"/>
      <c r="D46" s="301"/>
      <c r="E46" s="301"/>
      <c r="F46" s="301">
        <v>1000</v>
      </c>
      <c r="G46" s="301"/>
      <c r="H46" s="310">
        <v>19</v>
      </c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</row>
    <row r="47" spans="1:23">
      <c r="A47" s="300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</row>
    <row r="48" spans="1:23">
      <c r="A48" s="300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</row>
    <row r="49" spans="1:23">
      <c r="A49" s="300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</row>
    <row r="50" spans="1:23">
      <c r="A50" s="300"/>
      <c r="B50" s="301" t="s">
        <v>1448</v>
      </c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</row>
    <row r="51" spans="1:23">
      <c r="A51" s="300"/>
      <c r="B51" s="301"/>
      <c r="C51" s="302" t="s">
        <v>640</v>
      </c>
      <c r="D51" s="303" t="s">
        <v>919</v>
      </c>
      <c r="E51" s="303" t="s">
        <v>922</v>
      </c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</row>
    <row r="52" spans="1:23">
      <c r="A52" s="300"/>
      <c r="B52" s="301"/>
      <c r="C52" s="308" t="s">
        <v>316</v>
      </c>
      <c r="D52" s="308">
        <v>1</v>
      </c>
      <c r="E52" s="308">
        <f>_xlfn.XLOOKUP(C52,价值表!$C:$C,价值表!$F:$F)*D52</f>
        <v>60</v>
      </c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 t="s">
        <v>1449</v>
      </c>
      <c r="Q52" s="301"/>
      <c r="R52" s="301"/>
      <c r="S52" s="301"/>
      <c r="T52" s="301"/>
      <c r="U52" s="301"/>
      <c r="V52" s="301"/>
      <c r="W52" s="301"/>
    </row>
    <row r="53" spans="1:23">
      <c r="A53" s="300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</row>
    <row r="54" spans="1:23">
      <c r="A54" s="300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</row>
    <row r="55" spans="1:23">
      <c r="A55" s="300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</row>
    <row r="56" spans="1:23">
      <c r="A56" s="300"/>
      <c r="B56" s="301" t="s">
        <v>1450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 t="s">
        <v>1423</v>
      </c>
      <c r="P56" s="301"/>
      <c r="Q56" s="301"/>
      <c r="R56" s="301"/>
      <c r="S56" s="301"/>
      <c r="T56" s="301"/>
      <c r="U56" s="301"/>
      <c r="V56" s="301"/>
      <c r="W56" s="301"/>
    </row>
    <row r="57" spans="1:23">
      <c r="A57" s="300"/>
      <c r="B57" s="301"/>
      <c r="C57" s="301"/>
      <c r="D57" s="301" t="s">
        <v>1451</v>
      </c>
      <c r="E57" s="301" t="s">
        <v>1433</v>
      </c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</row>
    <row r="58" spans="1:23">
      <c r="A58" s="300"/>
      <c r="B58" s="301"/>
      <c r="C58" s="301"/>
      <c r="D58" s="301"/>
      <c r="E58" s="301"/>
      <c r="F58" s="301"/>
      <c r="G58" s="301"/>
      <c r="H58" s="301"/>
      <c r="I58" s="301" t="s">
        <v>1452</v>
      </c>
      <c r="J58" s="301"/>
      <c r="K58" s="301"/>
      <c r="L58" s="301"/>
      <c r="M58" s="301"/>
      <c r="N58" s="301"/>
      <c r="O58" s="301" t="s">
        <v>1453</v>
      </c>
      <c r="P58" s="301"/>
      <c r="Q58" s="301"/>
      <c r="R58" s="301"/>
      <c r="S58" s="301"/>
      <c r="T58" s="301"/>
      <c r="U58" s="301"/>
      <c r="V58" s="301" t="s">
        <v>1452</v>
      </c>
      <c r="W58" s="301"/>
    </row>
    <row r="59" spans="1:23">
      <c r="A59" s="300"/>
      <c r="B59" s="301"/>
      <c r="C59" s="302" t="s">
        <v>1179</v>
      </c>
      <c r="D59" s="303" t="s">
        <v>1454</v>
      </c>
      <c r="E59" s="303" t="s">
        <v>1455</v>
      </c>
      <c r="F59" s="303" t="s">
        <v>1180</v>
      </c>
      <c r="G59" s="303" t="s">
        <v>1456</v>
      </c>
      <c r="H59" s="301"/>
      <c r="I59" s="312" t="s">
        <v>1189</v>
      </c>
      <c r="J59" s="313">
        <v>138</v>
      </c>
      <c r="K59" s="301"/>
      <c r="L59" s="301"/>
      <c r="M59" s="301"/>
      <c r="N59" s="301"/>
      <c r="O59" s="302" t="s">
        <v>1457</v>
      </c>
      <c r="P59" s="303" t="s">
        <v>1367</v>
      </c>
      <c r="Q59" s="303" t="s">
        <v>1099</v>
      </c>
      <c r="R59" s="303" t="s">
        <v>919</v>
      </c>
      <c r="S59" s="303" t="s">
        <v>922</v>
      </c>
      <c r="T59" s="301"/>
      <c r="U59" s="301"/>
      <c r="V59" s="312" t="s">
        <v>213</v>
      </c>
      <c r="W59" s="314">
        <v>20</v>
      </c>
    </row>
    <row r="60" spans="1:23">
      <c r="A60" s="300"/>
      <c r="B60" s="301"/>
      <c r="C60" s="315" t="s">
        <v>1189</v>
      </c>
      <c r="D60" s="315" t="s">
        <v>1458</v>
      </c>
      <c r="E60" s="308">
        <v>60</v>
      </c>
      <c r="F60" s="308" t="s">
        <v>316</v>
      </c>
      <c r="G60" s="308">
        <v>3</v>
      </c>
      <c r="H60" s="301"/>
      <c r="I60" s="315" t="s">
        <v>1459</v>
      </c>
      <c r="J60" s="316">
        <v>62</v>
      </c>
      <c r="K60" s="301"/>
      <c r="L60" s="301"/>
      <c r="M60" s="301"/>
      <c r="N60" s="301"/>
      <c r="O60" s="307">
        <v>2</v>
      </c>
      <c r="P60" s="309">
        <v>0.1</v>
      </c>
      <c r="Q60" s="308" t="s">
        <v>213</v>
      </c>
      <c r="R60" s="308">
        <v>5</v>
      </c>
      <c r="S60" s="308">
        <f>_xlfn.XLOOKUP(Q60,价值表!$C:$C,价值表!$F:$F)*R60</f>
        <v>150</v>
      </c>
      <c r="T60" s="301"/>
      <c r="U60" s="301"/>
      <c r="V60" s="301" t="s">
        <v>316</v>
      </c>
      <c r="W60" s="317">
        <v>15</v>
      </c>
    </row>
    <row r="61" spans="1:23">
      <c r="A61" s="300"/>
      <c r="B61" s="301"/>
      <c r="C61" s="318"/>
      <c r="D61" s="318"/>
      <c r="E61" s="308">
        <v>62</v>
      </c>
      <c r="F61" s="308" t="s">
        <v>316</v>
      </c>
      <c r="G61" s="308">
        <v>3</v>
      </c>
      <c r="H61" s="301"/>
      <c r="I61" s="301" t="s">
        <v>1460</v>
      </c>
      <c r="J61" s="301">
        <v>0</v>
      </c>
      <c r="K61" s="301"/>
      <c r="L61" s="301"/>
      <c r="M61" s="301"/>
      <c r="N61" s="301"/>
      <c r="O61" s="307">
        <v>5</v>
      </c>
      <c r="P61" s="309">
        <v>0.25</v>
      </c>
      <c r="Q61" s="308" t="s">
        <v>316</v>
      </c>
      <c r="R61" s="308">
        <v>2</v>
      </c>
      <c r="S61" s="308">
        <f>_xlfn.XLOOKUP(Q61,价值表!$C:$C,价值表!$F:$F)*R61</f>
        <v>120</v>
      </c>
      <c r="T61" s="301"/>
      <c r="U61" s="301"/>
      <c r="V61" s="301" t="s">
        <v>258</v>
      </c>
      <c r="W61" s="317">
        <v>15</v>
      </c>
    </row>
    <row r="62" spans="1:23">
      <c r="A62" s="300"/>
      <c r="B62" s="301"/>
      <c r="C62" s="318"/>
      <c r="D62" s="318"/>
      <c r="E62" s="308">
        <v>64</v>
      </c>
      <c r="F62" s="308" t="s">
        <v>316</v>
      </c>
      <c r="G62" s="308">
        <v>3</v>
      </c>
      <c r="H62" s="301"/>
      <c r="I62" s="301"/>
      <c r="J62" s="301"/>
      <c r="K62" s="301"/>
      <c r="L62" s="301"/>
      <c r="M62" s="301"/>
      <c r="N62" s="301"/>
      <c r="O62" s="307">
        <v>8</v>
      </c>
      <c r="P62" s="309">
        <v>0.4</v>
      </c>
      <c r="Q62" s="308" t="s">
        <v>258</v>
      </c>
      <c r="R62" s="308">
        <v>5</v>
      </c>
      <c r="S62" s="308">
        <f>_xlfn.XLOOKUP(Q62,价值表!$C:$C,价值表!$F:$F)*R62</f>
        <v>250</v>
      </c>
      <c r="T62" s="301"/>
      <c r="U62" s="301"/>
      <c r="V62" s="301" t="s">
        <v>265</v>
      </c>
      <c r="W62" s="317">
        <v>18</v>
      </c>
    </row>
    <row r="63" spans="1:23">
      <c r="A63" s="300"/>
      <c r="B63" s="301"/>
      <c r="C63" s="318"/>
      <c r="D63" s="318"/>
      <c r="E63" s="308">
        <v>66</v>
      </c>
      <c r="F63" s="308" t="s">
        <v>316</v>
      </c>
      <c r="G63" s="308">
        <v>3</v>
      </c>
      <c r="H63" s="301"/>
      <c r="I63" s="301"/>
      <c r="J63" s="301"/>
      <c r="K63" s="301"/>
      <c r="L63" s="301"/>
      <c r="M63" s="301"/>
      <c r="N63" s="301"/>
      <c r="O63" s="307">
        <v>12</v>
      </c>
      <c r="P63" s="309">
        <v>0.6</v>
      </c>
      <c r="Q63" s="308" t="s">
        <v>265</v>
      </c>
      <c r="R63" s="308">
        <v>6</v>
      </c>
      <c r="S63" s="308">
        <f>_xlfn.XLOOKUP(Q63,价值表!$C:$C,价值表!$F:$F)*R63</f>
        <v>360</v>
      </c>
      <c r="T63" s="301"/>
      <c r="U63" s="301"/>
      <c r="V63" s="301" t="s">
        <v>261</v>
      </c>
      <c r="W63" s="317">
        <v>18</v>
      </c>
    </row>
    <row r="64" spans="1:23">
      <c r="A64" s="300"/>
      <c r="B64" s="301"/>
      <c r="C64" s="318"/>
      <c r="D64" s="318"/>
      <c r="E64" s="308">
        <v>68</v>
      </c>
      <c r="F64" s="308" t="s">
        <v>316</v>
      </c>
      <c r="G64" s="308">
        <v>3</v>
      </c>
      <c r="H64" s="301"/>
      <c r="I64" s="301"/>
      <c r="J64" s="301"/>
      <c r="K64" s="301"/>
      <c r="L64" s="301"/>
      <c r="M64" s="301"/>
      <c r="N64" s="301"/>
      <c r="O64" s="307">
        <v>15</v>
      </c>
      <c r="P64" s="309">
        <v>0.75</v>
      </c>
      <c r="Q64" s="308" t="s">
        <v>316</v>
      </c>
      <c r="R64" s="308">
        <v>3</v>
      </c>
      <c r="S64" s="308">
        <f>_xlfn.XLOOKUP(Q64,价值表!$C:$C,价值表!$F:$F)*R64</f>
        <v>180</v>
      </c>
      <c r="T64" s="301"/>
      <c r="U64" s="301"/>
      <c r="V64" s="301"/>
      <c r="W64" s="301"/>
    </row>
    <row r="65" spans="1:23">
      <c r="A65" s="300"/>
      <c r="B65" s="301"/>
      <c r="C65" s="318"/>
      <c r="D65" s="318"/>
      <c r="E65" s="308">
        <v>70</v>
      </c>
      <c r="F65" s="308" t="s">
        <v>316</v>
      </c>
      <c r="G65" s="308">
        <v>3</v>
      </c>
      <c r="H65" s="301"/>
      <c r="I65" s="301"/>
      <c r="J65" s="301"/>
      <c r="K65" s="301"/>
      <c r="L65" s="301"/>
      <c r="M65" s="301"/>
      <c r="N65" s="301"/>
      <c r="O65" s="307">
        <v>20</v>
      </c>
      <c r="P65" s="309">
        <v>1</v>
      </c>
      <c r="Q65" s="308" t="s">
        <v>261</v>
      </c>
      <c r="R65" s="308">
        <v>5</v>
      </c>
      <c r="S65" s="308">
        <f>_xlfn.XLOOKUP(Q65,价值表!$C:$C,价值表!$F:$F)*R65</f>
        <v>1400</v>
      </c>
      <c r="T65" s="301"/>
      <c r="U65" s="301"/>
      <c r="V65" s="301"/>
      <c r="W65" s="301"/>
    </row>
    <row r="66" spans="1:23">
      <c r="A66" s="300"/>
      <c r="B66" s="301"/>
      <c r="C66" s="318"/>
      <c r="D66" s="318"/>
      <c r="E66" s="308">
        <v>72</v>
      </c>
      <c r="F66" s="308" t="s">
        <v>316</v>
      </c>
      <c r="G66" s="308">
        <v>3</v>
      </c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</row>
    <row r="67" spans="1:23">
      <c r="A67" s="300"/>
      <c r="B67" s="301"/>
      <c r="C67" s="318"/>
      <c r="D67" s="318"/>
      <c r="E67" s="308">
        <v>74</v>
      </c>
      <c r="F67" s="308" t="s">
        <v>316</v>
      </c>
      <c r="G67" s="308">
        <v>3</v>
      </c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</row>
    <row r="68" spans="1:23">
      <c r="A68" s="300"/>
      <c r="B68" s="301"/>
      <c r="C68" s="318"/>
      <c r="D68" s="318"/>
      <c r="E68" s="308">
        <v>76</v>
      </c>
      <c r="F68" s="308" t="s">
        <v>316</v>
      </c>
      <c r="G68" s="308">
        <v>3</v>
      </c>
      <c r="H68" s="301"/>
      <c r="I68" s="301"/>
      <c r="J68" s="301"/>
      <c r="K68" s="301"/>
      <c r="L68" s="301"/>
      <c r="M68" s="301"/>
      <c r="N68" s="301"/>
      <c r="O68" s="319">
        <v>2</v>
      </c>
      <c r="P68" s="320">
        <v>0.1</v>
      </c>
      <c r="Q68" s="321" t="s">
        <v>213</v>
      </c>
      <c r="R68" s="321">
        <v>5</v>
      </c>
      <c r="S68" s="308">
        <f>_xlfn.XLOOKUP(Q68,价值表!$C:$C,价值表!$F:$F)*R68</f>
        <v>150</v>
      </c>
      <c r="T68" s="301"/>
      <c r="U68" s="301"/>
      <c r="V68" s="301"/>
      <c r="W68" s="301"/>
    </row>
    <row r="69" spans="1:23">
      <c r="A69" s="300"/>
      <c r="B69" s="301"/>
      <c r="C69" s="318"/>
      <c r="D69" s="318"/>
      <c r="E69" s="308">
        <v>78</v>
      </c>
      <c r="F69" s="308" t="s">
        <v>316</v>
      </c>
      <c r="G69" s="308">
        <v>3</v>
      </c>
      <c r="H69" s="301"/>
      <c r="I69" s="301"/>
      <c r="J69" s="301"/>
      <c r="K69" s="301"/>
      <c r="L69" s="301"/>
      <c r="M69" s="301"/>
      <c r="N69" s="301"/>
      <c r="O69" s="307">
        <v>5</v>
      </c>
      <c r="P69" s="309">
        <v>0.25</v>
      </c>
      <c r="Q69" s="308" t="s">
        <v>316</v>
      </c>
      <c r="R69" s="308">
        <v>2</v>
      </c>
      <c r="S69" s="308">
        <f>_xlfn.XLOOKUP(Q69,价值表!$C:$C,价值表!$F:$F)*R69</f>
        <v>120</v>
      </c>
      <c r="T69" s="301"/>
      <c r="U69" s="301"/>
      <c r="V69" s="301"/>
      <c r="W69" s="301"/>
    </row>
    <row r="70" spans="1:23">
      <c r="A70" s="300"/>
      <c r="B70" s="301"/>
      <c r="C70" s="318"/>
      <c r="D70" s="318"/>
      <c r="E70" s="308">
        <v>80</v>
      </c>
      <c r="F70" s="308" t="s">
        <v>316</v>
      </c>
      <c r="G70" s="308">
        <v>3</v>
      </c>
      <c r="H70" s="301"/>
      <c r="I70" s="301"/>
      <c r="J70" s="301"/>
      <c r="K70" s="301"/>
      <c r="L70" s="301"/>
      <c r="M70" s="301"/>
      <c r="N70" s="301"/>
      <c r="O70" s="307">
        <v>8</v>
      </c>
      <c r="P70" s="309">
        <v>0.4</v>
      </c>
      <c r="Q70" s="308" t="s">
        <v>258</v>
      </c>
      <c r="R70" s="308">
        <v>5</v>
      </c>
      <c r="S70" s="308">
        <f>_xlfn.XLOOKUP(Q70,价值表!$C:$C,价值表!$F:$F)*R70</f>
        <v>250</v>
      </c>
      <c r="T70" s="301"/>
      <c r="U70" s="301"/>
      <c r="V70" s="301"/>
      <c r="W70" s="301"/>
    </row>
    <row r="71" spans="1:23">
      <c r="A71" s="300"/>
      <c r="B71" s="301"/>
      <c r="C71" s="318"/>
      <c r="D71" s="318"/>
      <c r="E71" s="308">
        <v>82</v>
      </c>
      <c r="F71" s="308" t="s">
        <v>316</v>
      </c>
      <c r="G71" s="308">
        <v>3</v>
      </c>
      <c r="H71" s="301"/>
      <c r="I71" s="301"/>
      <c r="J71" s="301"/>
      <c r="K71" s="301"/>
      <c r="L71" s="301"/>
      <c r="M71" s="301"/>
      <c r="N71" s="301"/>
      <c r="O71" s="307">
        <v>12</v>
      </c>
      <c r="P71" s="309">
        <v>0.6</v>
      </c>
      <c r="Q71" s="308" t="s">
        <v>265</v>
      </c>
      <c r="R71" s="308">
        <v>6</v>
      </c>
      <c r="S71" s="308">
        <f>_xlfn.XLOOKUP(Q71,价值表!$C:$C,价值表!$F:$F)*R71</f>
        <v>360</v>
      </c>
      <c r="T71" s="301"/>
      <c r="U71" s="301"/>
      <c r="V71" s="301"/>
      <c r="W71" s="301"/>
    </row>
    <row r="72" spans="1:23">
      <c r="A72" s="300"/>
      <c r="B72" s="301"/>
      <c r="C72" s="318"/>
      <c r="D72" s="318"/>
      <c r="E72" s="308">
        <v>84</v>
      </c>
      <c r="F72" s="308" t="s">
        <v>316</v>
      </c>
      <c r="G72" s="308">
        <v>3</v>
      </c>
      <c r="H72" s="301"/>
      <c r="I72" s="301"/>
      <c r="J72" s="301"/>
      <c r="K72" s="301"/>
      <c r="L72" s="301"/>
      <c r="M72" s="301"/>
      <c r="N72" s="301"/>
      <c r="O72" s="307">
        <v>15</v>
      </c>
      <c r="P72" s="309">
        <v>0.75</v>
      </c>
      <c r="Q72" s="308" t="s">
        <v>316</v>
      </c>
      <c r="R72" s="308">
        <v>3</v>
      </c>
      <c r="S72" s="308">
        <f>_xlfn.XLOOKUP(Q72,价值表!$C:$C,价值表!$F:$F)*R72</f>
        <v>180</v>
      </c>
      <c r="T72" s="301"/>
      <c r="U72" s="301"/>
      <c r="V72" s="301"/>
      <c r="W72" s="301"/>
    </row>
    <row r="73" spans="1:23">
      <c r="A73" s="300"/>
      <c r="B73" s="301"/>
      <c r="C73" s="318"/>
      <c r="D73" s="318"/>
      <c r="E73" s="308">
        <v>86</v>
      </c>
      <c r="F73" s="308" t="s">
        <v>316</v>
      </c>
      <c r="G73" s="308">
        <v>3</v>
      </c>
      <c r="H73" s="301"/>
      <c r="I73" s="301"/>
      <c r="J73" s="301"/>
      <c r="K73" s="301"/>
      <c r="L73" s="301"/>
      <c r="M73" s="301"/>
      <c r="N73" s="301"/>
      <c r="O73" s="307">
        <v>20</v>
      </c>
      <c r="P73" s="309">
        <v>1</v>
      </c>
      <c r="Q73" s="308" t="s">
        <v>261</v>
      </c>
      <c r="R73" s="308">
        <v>5</v>
      </c>
      <c r="S73" s="308">
        <f>_xlfn.XLOOKUP(Q73,价值表!$C:$C,价值表!$F:$F)*R73</f>
        <v>1400</v>
      </c>
      <c r="T73" s="301"/>
      <c r="U73" s="301"/>
      <c r="V73" s="301"/>
      <c r="W73" s="301"/>
    </row>
    <row r="74" spans="1:23">
      <c r="A74" s="300"/>
      <c r="B74" s="301"/>
      <c r="C74" s="318"/>
      <c r="D74" s="318"/>
      <c r="E74" s="308">
        <v>88</v>
      </c>
      <c r="F74" s="308" t="s">
        <v>316</v>
      </c>
      <c r="G74" s="308">
        <v>3</v>
      </c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</row>
    <row r="75" spans="1:23">
      <c r="A75" s="300"/>
      <c r="B75" s="301"/>
      <c r="C75" s="318"/>
      <c r="D75" s="318"/>
      <c r="E75" s="308">
        <v>90</v>
      </c>
      <c r="F75" s="308" t="s">
        <v>316</v>
      </c>
      <c r="G75" s="308">
        <v>3</v>
      </c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</row>
    <row r="76" spans="1:23">
      <c r="A76" s="300"/>
      <c r="B76" s="301"/>
      <c r="C76" s="318"/>
      <c r="D76" s="318"/>
      <c r="E76" s="308">
        <v>92</v>
      </c>
      <c r="F76" s="308" t="s">
        <v>316</v>
      </c>
      <c r="G76" s="308">
        <v>3</v>
      </c>
      <c r="H76" s="301"/>
      <c r="I76" s="301"/>
      <c r="J76" s="301"/>
      <c r="K76" s="301"/>
      <c r="L76" s="301"/>
      <c r="M76" s="301"/>
      <c r="N76" s="301"/>
      <c r="O76" s="319">
        <v>2</v>
      </c>
      <c r="P76" s="320">
        <v>0.1</v>
      </c>
      <c r="Q76" s="321" t="s">
        <v>213</v>
      </c>
      <c r="R76" s="321">
        <v>10</v>
      </c>
      <c r="S76" s="308">
        <f>_xlfn.XLOOKUP(Q76,价值表!$C:$C,价值表!$F:$F)*R76</f>
        <v>300</v>
      </c>
      <c r="T76" s="301"/>
      <c r="U76" s="301"/>
      <c r="V76" s="301"/>
      <c r="W76" s="301"/>
    </row>
    <row r="77" spans="1:23">
      <c r="A77" s="300"/>
      <c r="B77" s="301"/>
      <c r="C77" s="318"/>
      <c r="D77" s="318"/>
      <c r="E77" s="308">
        <v>94</v>
      </c>
      <c r="F77" s="308" t="s">
        <v>316</v>
      </c>
      <c r="G77" s="308">
        <v>3</v>
      </c>
      <c r="H77" s="301"/>
      <c r="I77" s="301"/>
      <c r="J77" s="301"/>
      <c r="K77" s="301"/>
      <c r="L77" s="301"/>
      <c r="M77" s="301"/>
      <c r="N77" s="301"/>
      <c r="O77" s="307">
        <v>5</v>
      </c>
      <c r="P77" s="309">
        <v>0.25</v>
      </c>
      <c r="Q77" s="308" t="s">
        <v>316</v>
      </c>
      <c r="R77" s="308">
        <v>2</v>
      </c>
      <c r="S77" s="308">
        <f>_xlfn.XLOOKUP(Q77,价值表!$C:$C,价值表!$F:$F)*R77</f>
        <v>120</v>
      </c>
      <c r="T77" s="301"/>
      <c r="U77" s="301"/>
      <c r="V77" s="301"/>
      <c r="W77" s="301"/>
    </row>
    <row r="78" spans="1:23">
      <c r="A78" s="300"/>
      <c r="B78" s="301"/>
      <c r="C78" s="318"/>
      <c r="D78" s="318"/>
      <c r="E78" s="308">
        <v>96</v>
      </c>
      <c r="F78" s="308" t="s">
        <v>316</v>
      </c>
      <c r="G78" s="308">
        <v>3</v>
      </c>
      <c r="H78" s="301"/>
      <c r="I78" s="301"/>
      <c r="J78" s="301"/>
      <c r="K78" s="301"/>
      <c r="L78" s="301"/>
      <c r="M78" s="301"/>
      <c r="N78" s="301"/>
      <c r="O78" s="307">
        <v>8</v>
      </c>
      <c r="P78" s="309">
        <v>0.4</v>
      </c>
      <c r="Q78" s="308" t="s">
        <v>258</v>
      </c>
      <c r="R78" s="308">
        <v>5</v>
      </c>
      <c r="S78" s="308">
        <f>_xlfn.XLOOKUP(Q78,价值表!$C:$C,价值表!$F:$F)*R78</f>
        <v>250</v>
      </c>
      <c r="T78" s="301"/>
      <c r="U78" s="301"/>
      <c r="V78" s="301"/>
      <c r="W78" s="301"/>
    </row>
    <row r="79" spans="1:23">
      <c r="A79" s="300"/>
      <c r="B79" s="301"/>
      <c r="C79" s="318"/>
      <c r="D79" s="318"/>
      <c r="E79" s="308">
        <v>98</v>
      </c>
      <c r="F79" s="308" t="s">
        <v>316</v>
      </c>
      <c r="G79" s="308">
        <v>3</v>
      </c>
      <c r="H79" s="301"/>
      <c r="I79" s="301"/>
      <c r="J79" s="301"/>
      <c r="K79" s="301"/>
      <c r="L79" s="301"/>
      <c r="M79" s="301"/>
      <c r="N79" s="301"/>
      <c r="O79" s="307">
        <v>12</v>
      </c>
      <c r="P79" s="309">
        <v>0.6</v>
      </c>
      <c r="Q79" s="308" t="s">
        <v>265</v>
      </c>
      <c r="R79" s="308">
        <v>6</v>
      </c>
      <c r="S79" s="308">
        <f>_xlfn.XLOOKUP(Q79,价值表!$C:$C,价值表!$F:$F)*R79</f>
        <v>360</v>
      </c>
      <c r="T79" s="301"/>
      <c r="U79" s="301"/>
      <c r="V79" s="301"/>
      <c r="W79" s="301"/>
    </row>
    <row r="80" spans="1:23">
      <c r="A80" s="300"/>
      <c r="B80" s="301"/>
      <c r="C80" s="318"/>
      <c r="D80" s="318"/>
      <c r="E80" s="308">
        <v>100</v>
      </c>
      <c r="F80" s="308" t="s">
        <v>316</v>
      </c>
      <c r="G80" s="308">
        <v>3</v>
      </c>
      <c r="H80" s="301"/>
      <c r="I80" s="301"/>
      <c r="J80" s="301"/>
      <c r="K80" s="301"/>
      <c r="L80" s="301"/>
      <c r="M80" s="301"/>
      <c r="N80" s="301"/>
      <c r="O80" s="307">
        <v>15</v>
      </c>
      <c r="P80" s="309">
        <v>0.75</v>
      </c>
      <c r="Q80" s="308" t="s">
        <v>316</v>
      </c>
      <c r="R80" s="308">
        <v>3</v>
      </c>
      <c r="S80" s="308">
        <f>_xlfn.XLOOKUP(Q80,价值表!$C:$C,价值表!$F:$F)*R80</f>
        <v>180</v>
      </c>
      <c r="T80" s="301"/>
      <c r="U80" s="301"/>
      <c r="V80" s="301"/>
      <c r="W80" s="301"/>
    </row>
    <row r="81" spans="1:23">
      <c r="A81" s="300"/>
      <c r="B81" s="301"/>
      <c r="C81" s="318"/>
      <c r="D81" s="318"/>
      <c r="E81" s="308">
        <v>102</v>
      </c>
      <c r="F81" s="308" t="s">
        <v>316</v>
      </c>
      <c r="G81" s="308">
        <v>5</v>
      </c>
      <c r="H81" s="301"/>
      <c r="I81" s="301"/>
      <c r="J81" s="301"/>
      <c r="K81" s="301"/>
      <c r="L81" s="301"/>
      <c r="M81" s="301"/>
      <c r="N81" s="301"/>
      <c r="O81" s="307">
        <v>20</v>
      </c>
      <c r="P81" s="309">
        <v>1</v>
      </c>
      <c r="Q81" s="308" t="s">
        <v>261</v>
      </c>
      <c r="R81" s="308">
        <v>8</v>
      </c>
      <c r="S81" s="308">
        <f>_xlfn.XLOOKUP(Q81,价值表!$C:$C,价值表!$F:$F)*R81</f>
        <v>2240</v>
      </c>
      <c r="T81" s="301"/>
      <c r="U81" s="301"/>
      <c r="V81" s="301"/>
      <c r="W81" s="301"/>
    </row>
    <row r="82" spans="1:23">
      <c r="A82" s="300"/>
      <c r="B82" s="301"/>
      <c r="C82" s="318"/>
      <c r="D82" s="318"/>
      <c r="E82" s="308">
        <v>104</v>
      </c>
      <c r="F82" s="308" t="s">
        <v>316</v>
      </c>
      <c r="G82" s="308">
        <v>5</v>
      </c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</row>
    <row r="83" spans="1:23">
      <c r="A83" s="300"/>
      <c r="B83" s="301"/>
      <c r="C83" s="318"/>
      <c r="D83" s="318"/>
      <c r="E83" s="308">
        <v>106</v>
      </c>
      <c r="F83" s="308" t="s">
        <v>316</v>
      </c>
      <c r="G83" s="308">
        <v>5</v>
      </c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</row>
    <row r="84" spans="1:23">
      <c r="A84" s="300"/>
      <c r="B84" s="301"/>
      <c r="C84" s="318"/>
      <c r="D84" s="318"/>
      <c r="E84" s="308">
        <v>108</v>
      </c>
      <c r="F84" s="308" t="s">
        <v>316</v>
      </c>
      <c r="G84" s="308">
        <v>5</v>
      </c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</row>
    <row r="85" spans="1:23">
      <c r="A85" s="300"/>
      <c r="B85" s="301"/>
      <c r="C85" s="318"/>
      <c r="D85" s="318"/>
      <c r="E85" s="308">
        <v>110</v>
      </c>
      <c r="F85" s="308" t="s">
        <v>316</v>
      </c>
      <c r="G85" s="308">
        <v>5</v>
      </c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</row>
    <row r="86" spans="1:23">
      <c r="A86" s="300"/>
      <c r="B86" s="301"/>
      <c r="C86" s="318"/>
      <c r="D86" s="315" t="s">
        <v>1345</v>
      </c>
      <c r="E86" s="308">
        <v>6</v>
      </c>
      <c r="F86" s="308" t="s">
        <v>316</v>
      </c>
      <c r="G86" s="308">
        <v>5</v>
      </c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</row>
    <row r="87" spans="1:23">
      <c r="A87" s="300"/>
      <c r="B87" s="301"/>
      <c r="C87" s="318"/>
      <c r="D87" s="318"/>
      <c r="E87" s="308">
        <v>7</v>
      </c>
      <c r="F87" s="308" t="s">
        <v>316</v>
      </c>
      <c r="G87" s="308">
        <v>5</v>
      </c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</row>
    <row r="88" spans="1:23">
      <c r="A88" s="300"/>
      <c r="B88" s="301"/>
      <c r="C88" s="318"/>
      <c r="D88" s="318"/>
      <c r="E88" s="308">
        <v>8</v>
      </c>
      <c r="F88" s="308" t="s">
        <v>316</v>
      </c>
      <c r="G88" s="308">
        <v>5</v>
      </c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</row>
    <row r="89" spans="1:23">
      <c r="A89" s="300"/>
      <c r="B89" s="301"/>
      <c r="C89" s="318"/>
      <c r="D89" s="318"/>
      <c r="E89" s="308">
        <v>9</v>
      </c>
      <c r="F89" s="308" t="s">
        <v>316</v>
      </c>
      <c r="G89" s="308">
        <v>10</v>
      </c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</row>
    <row r="90" spans="1:23">
      <c r="A90" s="300"/>
      <c r="B90" s="301"/>
      <c r="C90" s="318"/>
      <c r="D90" s="318"/>
      <c r="E90" s="308">
        <v>10</v>
      </c>
      <c r="F90" s="308" t="s">
        <v>316</v>
      </c>
      <c r="G90" s="308">
        <v>10</v>
      </c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</row>
    <row r="91" spans="1:23">
      <c r="A91" s="300"/>
      <c r="B91" s="301"/>
      <c r="C91" s="318"/>
      <c r="D91" s="318"/>
      <c r="E91" s="308">
        <v>11</v>
      </c>
      <c r="F91" s="308" t="s">
        <v>316</v>
      </c>
      <c r="G91" s="308">
        <v>15</v>
      </c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</row>
    <row r="92" spans="1:23">
      <c r="A92" s="300"/>
      <c r="B92" s="301"/>
      <c r="C92" s="315" t="s">
        <v>1461</v>
      </c>
      <c r="D92" s="315" t="s">
        <v>1462</v>
      </c>
      <c r="E92" s="308">
        <v>2</v>
      </c>
      <c r="F92" s="308" t="s">
        <v>316</v>
      </c>
      <c r="G92" s="308">
        <v>2</v>
      </c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</row>
    <row r="93" spans="1:23">
      <c r="A93" s="300"/>
      <c r="B93" s="301"/>
      <c r="C93" s="318"/>
      <c r="D93" s="318"/>
      <c r="E93" s="308">
        <v>3</v>
      </c>
      <c r="F93" s="308" t="s">
        <v>316</v>
      </c>
      <c r="G93" s="308">
        <v>2</v>
      </c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</row>
    <row r="94" spans="1:23">
      <c r="A94" s="300"/>
      <c r="B94" s="301"/>
      <c r="C94" s="318"/>
      <c r="D94" s="318"/>
      <c r="E94" s="308">
        <v>5</v>
      </c>
      <c r="F94" s="308" t="s">
        <v>316</v>
      </c>
      <c r="G94" s="308">
        <v>2</v>
      </c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</row>
    <row r="95" spans="1:23">
      <c r="A95" s="300"/>
      <c r="B95" s="301"/>
      <c r="C95" s="318"/>
      <c r="D95" s="318"/>
      <c r="E95" s="308">
        <v>8</v>
      </c>
      <c r="F95" s="308" t="s">
        <v>316</v>
      </c>
      <c r="G95" s="308">
        <v>2</v>
      </c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</row>
    <row r="96" spans="1:23">
      <c r="A96" s="300"/>
      <c r="B96" s="301"/>
      <c r="C96" s="318"/>
      <c r="D96" s="318"/>
      <c r="E96" s="308">
        <v>10</v>
      </c>
      <c r="F96" s="308" t="s">
        <v>316</v>
      </c>
      <c r="G96" s="308">
        <v>2</v>
      </c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</row>
    <row r="97" spans="1:23">
      <c r="A97" s="300"/>
      <c r="B97" s="301"/>
      <c r="C97" s="318"/>
      <c r="D97" s="318"/>
      <c r="E97" s="308">
        <v>12</v>
      </c>
      <c r="F97" s="308" t="s">
        <v>316</v>
      </c>
      <c r="G97" s="308">
        <v>2</v>
      </c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</row>
    <row r="98" spans="1:23">
      <c r="A98" s="300"/>
      <c r="B98" s="301"/>
      <c r="C98" s="318"/>
      <c r="D98" s="318"/>
      <c r="E98" s="308">
        <v>15</v>
      </c>
      <c r="F98" s="308" t="s">
        <v>316</v>
      </c>
      <c r="G98" s="308">
        <v>2</v>
      </c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</row>
    <row r="99" spans="1:23">
      <c r="A99" s="300"/>
      <c r="B99" s="301"/>
      <c r="C99" s="318"/>
      <c r="D99" s="315" t="s">
        <v>1463</v>
      </c>
      <c r="E99" s="308">
        <v>1</v>
      </c>
      <c r="F99" s="308" t="s">
        <v>316</v>
      </c>
      <c r="G99" s="308">
        <v>2</v>
      </c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</row>
    <row r="100" spans="1:23">
      <c r="A100" s="300"/>
      <c r="B100" s="301"/>
      <c r="C100" s="318"/>
      <c r="D100" s="318"/>
      <c r="E100" s="308">
        <v>2</v>
      </c>
      <c r="F100" s="308" t="s">
        <v>316</v>
      </c>
      <c r="G100" s="308">
        <v>2</v>
      </c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</row>
    <row r="101" spans="1:23">
      <c r="A101" s="300"/>
      <c r="B101" s="301"/>
      <c r="C101" s="318"/>
      <c r="D101" s="318"/>
      <c r="E101" s="308">
        <v>3</v>
      </c>
      <c r="F101" s="308" t="s">
        <v>316</v>
      </c>
      <c r="G101" s="308">
        <v>2</v>
      </c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</row>
    <row r="102" spans="1:23">
      <c r="A102" s="300"/>
      <c r="B102" s="301"/>
      <c r="C102" s="318"/>
      <c r="D102" s="318"/>
      <c r="E102" s="308">
        <v>5</v>
      </c>
      <c r="F102" s="308" t="s">
        <v>316</v>
      </c>
      <c r="G102" s="308">
        <v>2</v>
      </c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</row>
    <row r="103" spans="1:23">
      <c r="A103" s="300"/>
      <c r="B103" s="301"/>
      <c r="C103" s="318"/>
      <c r="D103" s="318"/>
      <c r="E103" s="308">
        <v>7</v>
      </c>
      <c r="F103" s="308" t="s">
        <v>316</v>
      </c>
      <c r="G103" s="308">
        <v>2</v>
      </c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</row>
    <row r="104" spans="1:23">
      <c r="A104" s="300"/>
      <c r="B104" s="301"/>
      <c r="C104" s="318"/>
      <c r="D104" s="318"/>
      <c r="E104" s="308">
        <v>10</v>
      </c>
      <c r="F104" s="308" t="s">
        <v>316</v>
      </c>
      <c r="G104" s="308">
        <v>2</v>
      </c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</row>
    <row r="105" spans="1:23">
      <c r="A105" s="300"/>
      <c r="B105" s="301"/>
      <c r="C105" s="318"/>
      <c r="D105" s="315" t="s">
        <v>1464</v>
      </c>
      <c r="E105" s="308">
        <v>100</v>
      </c>
      <c r="F105" s="308" t="s">
        <v>316</v>
      </c>
      <c r="G105" s="308">
        <v>2</v>
      </c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</row>
    <row r="106" spans="1:23">
      <c r="A106" s="300"/>
      <c r="B106" s="301"/>
      <c r="C106" s="318"/>
      <c r="D106" s="318"/>
      <c r="E106" s="308">
        <v>200</v>
      </c>
      <c r="F106" s="308" t="s">
        <v>316</v>
      </c>
      <c r="G106" s="308">
        <v>2</v>
      </c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</row>
    <row r="107" spans="1:23">
      <c r="A107" s="300"/>
      <c r="B107" s="301"/>
      <c r="C107" s="318"/>
      <c r="D107" s="318"/>
      <c r="E107" s="308">
        <v>300</v>
      </c>
      <c r="F107" s="308" t="s">
        <v>316</v>
      </c>
      <c r="G107" s="308">
        <v>2</v>
      </c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</row>
    <row r="108" spans="1:23">
      <c r="A108" s="300"/>
      <c r="B108" s="301"/>
      <c r="C108" s="318"/>
      <c r="D108" s="318"/>
      <c r="E108" s="308">
        <v>400</v>
      </c>
      <c r="F108" s="308" t="s">
        <v>316</v>
      </c>
      <c r="G108" s="308">
        <v>2</v>
      </c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</row>
    <row r="109" spans="1:23">
      <c r="A109" s="300"/>
      <c r="B109" s="301"/>
      <c r="C109" s="318"/>
      <c r="D109" s="318"/>
      <c r="E109" s="308">
        <v>500</v>
      </c>
      <c r="F109" s="308" t="s">
        <v>316</v>
      </c>
      <c r="G109" s="308">
        <v>2</v>
      </c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</row>
    <row r="110" spans="1:23">
      <c r="A110" s="300"/>
      <c r="B110" s="301"/>
      <c r="C110" s="318"/>
      <c r="D110" s="318"/>
      <c r="E110" s="308">
        <v>600</v>
      </c>
      <c r="F110" s="308" t="s">
        <v>316</v>
      </c>
      <c r="G110" s="308">
        <v>2</v>
      </c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</row>
    <row r="111" spans="1:23">
      <c r="A111" s="300"/>
      <c r="B111" s="301"/>
      <c r="C111" s="318"/>
      <c r="D111" s="315" t="s">
        <v>1465</v>
      </c>
      <c r="E111" s="308">
        <v>20</v>
      </c>
      <c r="F111" s="308" t="s">
        <v>316</v>
      </c>
      <c r="G111" s="308">
        <v>2</v>
      </c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</row>
    <row r="112" spans="1:23">
      <c r="A112" s="300"/>
      <c r="B112" s="301"/>
      <c r="C112" s="318"/>
      <c r="D112" s="318"/>
      <c r="E112" s="308">
        <v>40</v>
      </c>
      <c r="F112" s="308" t="s">
        <v>316</v>
      </c>
      <c r="G112" s="308">
        <v>2</v>
      </c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</row>
    <row r="113" spans="1:23">
      <c r="A113" s="300"/>
      <c r="B113" s="301"/>
      <c r="C113" s="318"/>
      <c r="D113" s="318"/>
      <c r="E113" s="308">
        <v>70</v>
      </c>
      <c r="F113" s="308" t="s">
        <v>316</v>
      </c>
      <c r="G113" s="308">
        <v>2</v>
      </c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</row>
    <row r="114" spans="1:23">
      <c r="A114" s="300"/>
      <c r="B114" s="301"/>
      <c r="C114" s="318"/>
      <c r="D114" s="318"/>
      <c r="E114" s="308">
        <v>100</v>
      </c>
      <c r="F114" s="308" t="s">
        <v>316</v>
      </c>
      <c r="G114" s="308">
        <v>2</v>
      </c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</row>
    <row r="115" spans="1:23">
      <c r="A115" s="300"/>
      <c r="B115" s="301"/>
      <c r="C115" s="318"/>
      <c r="D115" s="318"/>
      <c r="E115" s="308">
        <v>150</v>
      </c>
      <c r="F115" s="308" t="s">
        <v>316</v>
      </c>
      <c r="G115" s="308">
        <v>2</v>
      </c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</row>
    <row r="116" spans="1:23">
      <c r="A116" s="300"/>
      <c r="B116" s="301"/>
      <c r="C116" s="318"/>
      <c r="D116" s="318"/>
      <c r="E116" s="308">
        <v>200</v>
      </c>
      <c r="F116" s="308" t="s">
        <v>316</v>
      </c>
      <c r="G116" s="308">
        <v>2</v>
      </c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</row>
    <row r="117" spans="1:23">
      <c r="A117" s="300"/>
      <c r="B117" s="301"/>
      <c r="C117" s="318"/>
      <c r="D117" s="315" t="s">
        <v>1466</v>
      </c>
      <c r="E117" s="308">
        <v>2</v>
      </c>
      <c r="F117" s="308" t="s">
        <v>316</v>
      </c>
      <c r="G117" s="308">
        <v>2</v>
      </c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</row>
    <row r="118" spans="1:23">
      <c r="A118" s="300"/>
      <c r="B118" s="301"/>
      <c r="C118" s="318"/>
      <c r="D118" s="318"/>
      <c r="E118" s="308">
        <v>4</v>
      </c>
      <c r="F118" s="308" t="s">
        <v>316</v>
      </c>
      <c r="G118" s="308">
        <v>2</v>
      </c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</row>
    <row r="119" spans="1:23">
      <c r="A119" s="300"/>
      <c r="B119" s="301"/>
      <c r="C119" s="318"/>
      <c r="D119" s="318"/>
      <c r="E119" s="308">
        <v>7</v>
      </c>
      <c r="F119" s="308" t="s">
        <v>316</v>
      </c>
      <c r="G119" s="308">
        <v>2</v>
      </c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</row>
    <row r="120" spans="1:23">
      <c r="A120" s="300"/>
      <c r="B120" s="301"/>
      <c r="C120" s="318"/>
      <c r="D120" s="318"/>
      <c r="E120" s="308">
        <v>10</v>
      </c>
      <c r="F120" s="308" t="s">
        <v>316</v>
      </c>
      <c r="G120" s="308">
        <v>2</v>
      </c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</row>
    <row r="121" spans="1:23">
      <c r="A121" s="300"/>
      <c r="B121" s="301"/>
      <c r="C121" s="318"/>
      <c r="D121" s="318"/>
      <c r="E121" s="308">
        <v>15</v>
      </c>
      <c r="F121" s="308" t="s">
        <v>316</v>
      </c>
      <c r="G121" s="308">
        <v>2</v>
      </c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</row>
    <row r="122" spans="1:23">
      <c r="A122" s="300"/>
      <c r="B122" s="301"/>
      <c r="C122" s="318"/>
      <c r="D122" s="318"/>
      <c r="E122" s="308">
        <v>20</v>
      </c>
      <c r="F122" s="308" t="s">
        <v>316</v>
      </c>
      <c r="G122" s="308">
        <v>2</v>
      </c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</row>
  </sheetData>
  <mergeCells count="13">
    <mergeCell ref="C60:C91"/>
    <mergeCell ref="C92:C122"/>
    <mergeCell ref="D60:D85"/>
    <mergeCell ref="D86:D91"/>
    <mergeCell ref="D92:D98"/>
    <mergeCell ref="D99:D104"/>
    <mergeCell ref="D105:D110"/>
    <mergeCell ref="D111:D116"/>
    <mergeCell ref="D117:D122"/>
    <mergeCell ref="F4:F9"/>
    <mergeCell ref="F11:F16"/>
    <mergeCell ref="F18:F23"/>
    <mergeCell ref="F25:F3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2:AB56"/>
  <sheetViews>
    <sheetView topLeftCell="A3" workbookViewId="0">
      <selection activeCell="H19" sqref="H19"/>
    </sheetView>
  </sheetViews>
  <sheetFormatPr defaultColWidth="9" defaultRowHeight="13.5"/>
  <cols>
    <col min="3" max="3" width="16" customWidth="1"/>
    <col min="4" max="4" width="14.5" customWidth="1"/>
    <col min="5" max="5" width="15.25" customWidth="1"/>
    <col min="8" max="8" width="19.5" customWidth="1"/>
    <col min="11" max="11" width="11.125"/>
  </cols>
  <sheetData>
    <row r="2" ht="22.5" spans="1:24">
      <c r="A2" s="262"/>
      <c r="B2" s="263" t="s">
        <v>93</v>
      </c>
      <c r="C2" s="262"/>
      <c r="D2" s="262"/>
      <c r="E2" s="262"/>
      <c r="F2" s="262"/>
      <c r="G2" s="262"/>
      <c r="H2" s="262"/>
      <c r="I2" s="264"/>
      <c r="J2" s="264"/>
      <c r="K2" s="264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</row>
    <row r="3" ht="14.25" spans="1:24">
      <c r="B3" s="265" t="s">
        <v>1467</v>
      </c>
      <c r="C3" s="266"/>
      <c r="D3" s="266"/>
      <c r="E3" s="266"/>
      <c r="F3" s="266"/>
      <c r="G3" s="266"/>
    </row>
    <row r="4" spans="1:24">
      <c r="B4" s="267" t="s">
        <v>1468</v>
      </c>
      <c r="C4" s="268" t="s">
        <v>1469</v>
      </c>
      <c r="D4" s="266"/>
      <c r="E4" s="266"/>
      <c r="F4" s="266"/>
      <c r="G4" s="266"/>
    </row>
    <row r="5" spans="1:24">
      <c r="B5" s="269"/>
      <c r="C5" s="270"/>
      <c r="D5" s="266"/>
      <c r="E5" s="266"/>
      <c r="F5" s="266"/>
      <c r="G5" s="266"/>
      <c r="N5" t="s">
        <v>1470</v>
      </c>
    </row>
    <row r="6" spans="1:24">
      <c r="B6" s="266"/>
      <c r="C6" s="266">
        <v>24</v>
      </c>
      <c r="D6" s="266">
        <v>100</v>
      </c>
      <c r="E6" s="266">
        <v>1</v>
      </c>
      <c r="F6" s="266"/>
      <c r="G6" s="266"/>
      <c r="N6" t="s">
        <v>1471</v>
      </c>
    </row>
    <row r="7" spans="1:24">
      <c r="B7" s="271" t="s">
        <v>1202</v>
      </c>
      <c r="C7" s="272" t="s">
        <v>1472</v>
      </c>
      <c r="D7" s="273" t="s">
        <v>1473</v>
      </c>
      <c r="E7" s="272" t="s">
        <v>1474</v>
      </c>
      <c r="F7" s="266"/>
      <c r="G7" s="266"/>
    </row>
    <row r="8" spans="1:24">
      <c r="C8" s="110">
        <v>10</v>
      </c>
      <c r="D8" s="274">
        <v>1</v>
      </c>
      <c r="E8" s="110">
        <v>300</v>
      </c>
      <c r="F8" s="110" cm="1">
        <f t="array" ref="F8">SUMPRODUCT(C8:E8,$C$6:$E$6)+C6</f>
        <v>664</v>
      </c>
      <c r="G8" s="266"/>
    </row>
    <row r="9" spans="1:24">
      <c r="B9" s="110"/>
      <c r="C9" s="110"/>
      <c r="D9" s="110"/>
      <c r="E9" s="110"/>
      <c r="F9" s="266"/>
      <c r="G9" s="266"/>
      <c r="K9" t="s">
        <v>1475</v>
      </c>
    </row>
    <row r="10" spans="1:24">
      <c r="B10" s="110"/>
      <c r="C10" s="275" t="s">
        <v>1476</v>
      </c>
      <c r="D10" s="276" t="s">
        <v>1477</v>
      </c>
      <c r="E10" s="277" t="s">
        <v>1478</v>
      </c>
      <c r="F10" s="277" t="s">
        <v>1479</v>
      </c>
      <c r="G10" s="277" t="s">
        <v>1101</v>
      </c>
      <c r="I10" s="277" t="s">
        <v>922</v>
      </c>
      <c r="J10" s="277" t="s">
        <v>1480</v>
      </c>
      <c r="K10" s="278" t="s">
        <v>1095</v>
      </c>
      <c r="N10" t="s">
        <v>1481</v>
      </c>
    </row>
    <row r="11" ht="16.5" spans="1:24">
      <c r="B11" s="110"/>
      <c r="C11" s="272">
        <v>60</v>
      </c>
      <c r="D11" s="272" t="s">
        <v>1050</v>
      </c>
      <c r="E11" s="272">
        <v>5</v>
      </c>
      <c r="F11" s="272" t="s">
        <v>209</v>
      </c>
      <c r="G11" s="272">
        <v>30</v>
      </c>
      <c r="H11" s="279" t="s">
        <v>1482</v>
      </c>
      <c r="I11" s="272">
        <f t="shared" ref="I11:I16" si="0">G11*1+E11*30</f>
        <v>180</v>
      </c>
      <c r="J11" s="272">
        <f t="shared" ref="J11:J16" si="1">C11</f>
        <v>60</v>
      </c>
      <c r="K11" s="280">
        <f>(SUM($I$11:I11)+SUM($F$3:F3))/J11/30</f>
        <v>0.1</v>
      </c>
      <c r="N11" t="s">
        <v>1483</v>
      </c>
    </row>
    <row r="12" ht="16.5" spans="1:24">
      <c r="B12" s="110"/>
      <c r="C12" s="272">
        <v>120</v>
      </c>
      <c r="D12" s="272" t="s">
        <v>1050</v>
      </c>
      <c r="E12" s="272">
        <v>5</v>
      </c>
      <c r="F12" s="272" t="s">
        <v>209</v>
      </c>
      <c r="G12" s="272">
        <v>30</v>
      </c>
      <c r="H12" s="279" t="s">
        <v>1482</v>
      </c>
      <c r="I12" s="272">
        <f t="shared" si="0"/>
        <v>180</v>
      </c>
      <c r="J12" s="272">
        <f t="shared" si="1"/>
        <v>120</v>
      </c>
      <c r="K12" s="280">
        <f>(SUM($I$11:I12)+SUM($F$3:F4))/J12/30</f>
        <v>0.1</v>
      </c>
      <c r="N12" t="s">
        <v>1484</v>
      </c>
    </row>
    <row r="13" ht="16.5" spans="1:24">
      <c r="B13" s="110"/>
      <c r="C13" s="272">
        <v>200</v>
      </c>
      <c r="D13" s="272" t="s">
        <v>1050</v>
      </c>
      <c r="E13" s="272">
        <v>5</v>
      </c>
      <c r="F13" s="272" t="s">
        <v>209</v>
      </c>
      <c r="G13" s="272">
        <v>30</v>
      </c>
      <c r="H13" s="279" t="s">
        <v>1482</v>
      </c>
      <c r="I13" s="272">
        <f t="shared" si="0"/>
        <v>180</v>
      </c>
      <c r="J13" s="272">
        <f t="shared" si="1"/>
        <v>200</v>
      </c>
      <c r="K13" s="280">
        <f>(SUM($I$11:I13)+SUM($F$3:F5))/J13/30</f>
        <v>0.09</v>
      </c>
      <c r="N13" t="s">
        <v>1485</v>
      </c>
    </row>
    <row r="14" ht="16.5" spans="1:24">
      <c r="B14" s="110"/>
      <c r="C14" s="272">
        <v>300</v>
      </c>
      <c r="D14" s="272" t="s">
        <v>1050</v>
      </c>
      <c r="E14" s="272">
        <v>10</v>
      </c>
      <c r="F14" s="272" t="s">
        <v>209</v>
      </c>
      <c r="G14" s="272">
        <v>50</v>
      </c>
      <c r="H14" s="279" t="s">
        <v>1486</v>
      </c>
      <c r="I14" s="272">
        <f t="shared" si="0"/>
        <v>350</v>
      </c>
      <c r="J14" s="272">
        <f t="shared" si="1"/>
        <v>300</v>
      </c>
      <c r="K14" s="280">
        <f>(SUM($I$11:I14)+SUM($F$3:F6))/J14/30</f>
        <v>0.0988888888888889</v>
      </c>
      <c r="N14" t="s">
        <v>1487</v>
      </c>
    </row>
    <row r="15" ht="16.5" spans="1:24">
      <c r="B15" s="110"/>
      <c r="C15" s="272">
        <v>420</v>
      </c>
      <c r="D15" s="272" t="s">
        <v>1050</v>
      </c>
      <c r="E15" s="272">
        <v>10</v>
      </c>
      <c r="F15" s="272" t="s">
        <v>209</v>
      </c>
      <c r="G15" s="272">
        <v>50</v>
      </c>
      <c r="H15" s="279" t="s">
        <v>1486</v>
      </c>
      <c r="I15" s="272">
        <f t="shared" si="0"/>
        <v>350</v>
      </c>
      <c r="J15" s="272">
        <f t="shared" si="1"/>
        <v>420</v>
      </c>
      <c r="K15" s="280">
        <f>(SUM($I$11:I15)+SUM($F$3:F7))/J15/30</f>
        <v>0.0984126984126984</v>
      </c>
    </row>
    <row r="16" ht="16.5" spans="1:24">
      <c r="B16" s="110"/>
      <c r="C16" s="272">
        <v>600</v>
      </c>
      <c r="D16" s="272" t="s">
        <v>1050</v>
      </c>
      <c r="E16" s="272">
        <v>10</v>
      </c>
      <c r="F16" s="272" t="s">
        <v>209</v>
      </c>
      <c r="G16" s="272">
        <v>50</v>
      </c>
      <c r="H16" s="279" t="s">
        <v>1486</v>
      </c>
      <c r="I16" s="272">
        <f t="shared" si="0"/>
        <v>350</v>
      </c>
      <c r="J16" s="272">
        <f t="shared" si="1"/>
        <v>600</v>
      </c>
      <c r="K16" s="280">
        <f>(SUM($I$11:I16)+SUM($F$3:F8))/J16/30</f>
        <v>0.125222222222222</v>
      </c>
      <c r="N16" t="s">
        <v>1488</v>
      </c>
    </row>
    <row r="17" spans="2:28">
      <c r="B17" s="110"/>
      <c r="C17" s="110"/>
      <c r="D17" s="110"/>
      <c r="E17" s="110"/>
      <c r="F17" s="266"/>
      <c r="G17" s="266"/>
      <c r="K17" s="281"/>
      <c r="N17" t="s">
        <v>1489</v>
      </c>
    </row>
    <row r="18" spans="2:28">
      <c r="B18" s="110"/>
      <c r="C18" s="110"/>
      <c r="D18" s="266">
        <v>100</v>
      </c>
      <c r="E18" s="110"/>
      <c r="F18" s="266"/>
      <c r="G18" s="266"/>
      <c r="K18" s="281"/>
    </row>
    <row r="19" spans="2:28">
      <c r="B19" s="271" t="s">
        <v>1203</v>
      </c>
      <c r="C19" s="272" t="s">
        <v>1490</v>
      </c>
      <c r="D19" s="273" t="s">
        <v>1473</v>
      </c>
      <c r="E19" s="272" t="s">
        <v>1491</v>
      </c>
      <c r="F19" s="266"/>
      <c r="G19" s="266"/>
      <c r="K19" s="281"/>
    </row>
    <row r="20" spans="2:28">
      <c r="B20" s="110"/>
      <c r="C20" s="110">
        <v>10</v>
      </c>
      <c r="D20" s="274">
        <v>1</v>
      </c>
      <c r="E20" s="110">
        <v>500</v>
      </c>
      <c r="F20" s="110" cm="1">
        <f t="array" ref="F20">SUMPRODUCT(C20:E20,$C$6:$E$6)+C6</f>
        <v>864</v>
      </c>
      <c r="G20" s="266"/>
      <c r="K20" s="281"/>
    </row>
    <row r="21" spans="2:28">
      <c r="B21" s="110"/>
      <c r="C21" s="110"/>
      <c r="D21" s="110"/>
      <c r="E21" s="110"/>
      <c r="F21" s="110"/>
      <c r="G21" s="266"/>
      <c r="K21" s="281"/>
      <c r="N21" t="s">
        <v>1492</v>
      </c>
    </row>
    <row r="22" ht="16.5" spans="2:28">
      <c r="B22" s="110"/>
      <c r="C22" s="275" t="s">
        <v>1476</v>
      </c>
      <c r="D22" s="276" t="s">
        <v>1477</v>
      </c>
      <c r="E22" s="277" t="s">
        <v>1478</v>
      </c>
      <c r="F22" s="277" t="s">
        <v>1479</v>
      </c>
      <c r="G22" s="277" t="s">
        <v>1101</v>
      </c>
      <c r="I22" s="277" t="s">
        <v>922</v>
      </c>
      <c r="J22" s="277" t="s">
        <v>1480</v>
      </c>
      <c r="K22" s="277" t="s">
        <v>1095</v>
      </c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</row>
    <row r="23" ht="16.5" spans="2:28">
      <c r="B23" s="110"/>
      <c r="C23" s="272">
        <v>60</v>
      </c>
      <c r="D23" s="272" t="s">
        <v>1050</v>
      </c>
      <c r="E23" s="272">
        <v>5</v>
      </c>
      <c r="F23" s="272" t="s">
        <v>209</v>
      </c>
      <c r="G23" s="272">
        <v>50</v>
      </c>
      <c r="H23" s="279" t="s">
        <v>1493</v>
      </c>
      <c r="I23" s="272">
        <f t="shared" ref="I23:I28" si="2">G23*1+E23*30</f>
        <v>200</v>
      </c>
      <c r="J23" s="272">
        <f t="shared" ref="J23:J28" si="3">$J$16+C23</f>
        <v>660</v>
      </c>
      <c r="K23" s="280">
        <f>(SUM($I$11:I23)+SUM($F$3:F15))/J23/30</f>
        <v>0.123939393939394</v>
      </c>
      <c r="N23" s="282"/>
      <c r="O23" s="198" t="s">
        <v>1494</v>
      </c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</row>
    <row r="24" ht="16.5" spans="2:28">
      <c r="B24" s="110"/>
      <c r="C24" s="272">
        <v>120</v>
      </c>
      <c r="D24" s="272" t="s">
        <v>1050</v>
      </c>
      <c r="E24" s="272">
        <v>5</v>
      </c>
      <c r="F24" s="272" t="s">
        <v>209</v>
      </c>
      <c r="G24" s="272">
        <v>50</v>
      </c>
      <c r="H24" s="279" t="s">
        <v>1493</v>
      </c>
      <c r="I24" s="272">
        <f t="shared" si="2"/>
        <v>200</v>
      </c>
      <c r="J24" s="272">
        <f t="shared" si="3"/>
        <v>720</v>
      </c>
      <c r="K24" s="280">
        <f>(SUM($I$11:I24)+SUM($F$3:F16))/J24/30</f>
        <v>0.12287037037037</v>
      </c>
      <c r="N24" s="282"/>
      <c r="O24" s="202" t="s">
        <v>935</v>
      </c>
      <c r="P24" s="202" t="s">
        <v>1197</v>
      </c>
      <c r="Q24" s="202" t="s">
        <v>1099</v>
      </c>
      <c r="R24" s="202" t="s">
        <v>919</v>
      </c>
      <c r="S24" s="202" t="s">
        <v>922</v>
      </c>
      <c r="T24" s="202" t="s">
        <v>1099</v>
      </c>
      <c r="U24" s="202" t="s">
        <v>919</v>
      </c>
      <c r="V24" s="202" t="s">
        <v>922</v>
      </c>
      <c r="W24" s="202" t="s">
        <v>1099</v>
      </c>
      <c r="X24" s="202" t="s">
        <v>919</v>
      </c>
      <c r="Y24" s="202" t="s">
        <v>922</v>
      </c>
      <c r="Z24" s="202" t="s">
        <v>965</v>
      </c>
      <c r="AA24" s="202" t="s">
        <v>1095</v>
      </c>
      <c r="AB24" s="202" t="s">
        <v>954</v>
      </c>
    </row>
    <row r="25" ht="16.5" spans="2:28">
      <c r="B25" s="110"/>
      <c r="C25" s="272">
        <v>200</v>
      </c>
      <c r="D25" s="272" t="s">
        <v>1050</v>
      </c>
      <c r="E25" s="272">
        <v>5</v>
      </c>
      <c r="F25" s="272" t="s">
        <v>209</v>
      </c>
      <c r="G25" s="272">
        <v>50</v>
      </c>
      <c r="H25" s="279" t="s">
        <v>1493</v>
      </c>
      <c r="I25" s="272">
        <f t="shared" si="2"/>
        <v>200</v>
      </c>
      <c r="J25" s="272">
        <f t="shared" si="3"/>
        <v>800</v>
      </c>
      <c r="K25" s="280">
        <f>(SUM($I$11:I25)+SUM($F$3:F17))/J25/30</f>
        <v>0.118916666666667</v>
      </c>
      <c r="N25" s="198">
        <f t="shared" ref="N25:N27" si="4">O25/R25</f>
        <v>14.4</v>
      </c>
      <c r="O25" s="196">
        <v>288</v>
      </c>
      <c r="P25" s="196">
        <v>3</v>
      </c>
      <c r="Q25" s="196" t="s">
        <v>213</v>
      </c>
      <c r="R25" s="196">
        <v>20</v>
      </c>
      <c r="S25" s="196">
        <f>VLOOKUP(Q25,[2]Sheet1!$B$2:$D$1017,2,0)*R25</f>
        <v>600</v>
      </c>
      <c r="T25" s="283" t="s">
        <v>258</v>
      </c>
      <c r="U25" s="196">
        <v>2</v>
      </c>
      <c r="V25" s="196">
        <f>VLOOKUP(T25,[2]Sheet1!$B$2:$D$1017,2,0)*U25</f>
        <v>100</v>
      </c>
      <c r="W25" s="283" t="s">
        <v>527</v>
      </c>
      <c r="X25" s="196">
        <v>88</v>
      </c>
      <c r="Y25" s="196">
        <f>VLOOKUP(W25,[2]Sheet1!$B$2:$D$1017,2,0)*X25</f>
        <v>88</v>
      </c>
      <c r="Z25" s="196">
        <f t="shared" ref="Z25:Z27" si="5">S25+V25+Y25</f>
        <v>788</v>
      </c>
      <c r="AA25" s="210">
        <f t="shared" ref="AA25:AA27" si="6">Z25/O25</f>
        <v>2.73611111111111</v>
      </c>
      <c r="AB25" s="210">
        <f t="shared" ref="AB25:AB27" si="7">O25/Z25</f>
        <v>0.365482233502538</v>
      </c>
    </row>
    <row r="26" ht="16.5" spans="2:28">
      <c r="B26" s="110"/>
      <c r="C26" s="272">
        <v>300</v>
      </c>
      <c r="D26" s="272" t="s">
        <v>1050</v>
      </c>
      <c r="E26" s="272">
        <v>10</v>
      </c>
      <c r="F26" s="272" t="s">
        <v>209</v>
      </c>
      <c r="G26" s="272">
        <v>80</v>
      </c>
      <c r="H26" s="279" t="s">
        <v>1495</v>
      </c>
      <c r="I26" s="272">
        <f t="shared" si="2"/>
        <v>380</v>
      </c>
      <c r="J26" s="272">
        <f t="shared" si="3"/>
        <v>900</v>
      </c>
      <c r="K26" s="280">
        <f>(SUM($I$11:I26)+SUM($F$3:F18))/J26/30</f>
        <v>0.119777777777778</v>
      </c>
      <c r="N26" s="198">
        <f t="shared" si="4"/>
        <v>15.76</v>
      </c>
      <c r="O26" s="196">
        <v>788</v>
      </c>
      <c r="P26" s="196">
        <v>3</v>
      </c>
      <c r="Q26" s="196" t="s">
        <v>213</v>
      </c>
      <c r="R26" s="196">
        <v>50</v>
      </c>
      <c r="S26" s="196">
        <f>VLOOKUP(Q26,[2]Sheet1!$B$2:$D$1017,2,0)*R26</f>
        <v>1500</v>
      </c>
      <c r="T26" s="283" t="s">
        <v>258</v>
      </c>
      <c r="U26" s="196">
        <v>4</v>
      </c>
      <c r="V26" s="196">
        <f>VLOOKUP(T26,[2]Sheet1!$B$2:$D$1017,2,0)*U26</f>
        <v>200</v>
      </c>
      <c r="W26" s="283" t="s">
        <v>527</v>
      </c>
      <c r="X26" s="196">
        <v>168</v>
      </c>
      <c r="Y26" s="196">
        <f>VLOOKUP(W26,[2]Sheet1!$B$2:$D$1017,2,0)*X26</f>
        <v>168</v>
      </c>
      <c r="Z26" s="196">
        <f t="shared" si="5"/>
        <v>1868</v>
      </c>
      <c r="AA26" s="210">
        <f t="shared" si="6"/>
        <v>2.37055837563452</v>
      </c>
      <c r="AB26" s="210">
        <f t="shared" si="7"/>
        <v>0.421841541755889</v>
      </c>
    </row>
    <row r="27" ht="16.5" spans="2:28">
      <c r="B27" s="110"/>
      <c r="C27" s="272">
        <v>420</v>
      </c>
      <c r="D27" s="272" t="s">
        <v>1050</v>
      </c>
      <c r="E27" s="272">
        <v>10</v>
      </c>
      <c r="F27" s="272" t="s">
        <v>209</v>
      </c>
      <c r="G27" s="272">
        <v>80</v>
      </c>
      <c r="H27" s="279" t="s">
        <v>1495</v>
      </c>
      <c r="I27" s="272">
        <f t="shared" si="2"/>
        <v>380</v>
      </c>
      <c r="J27" s="272">
        <f t="shared" si="3"/>
        <v>1020</v>
      </c>
      <c r="K27" s="280">
        <f>(SUM($I$11:I27)+SUM($F$3:F19))/J27/30</f>
        <v>0.118104575163399</v>
      </c>
      <c r="N27" s="198">
        <f t="shared" si="4"/>
        <v>16.88</v>
      </c>
      <c r="O27" s="196">
        <v>1688</v>
      </c>
      <c r="P27" s="196">
        <v>3</v>
      </c>
      <c r="Q27" s="196" t="s">
        <v>213</v>
      </c>
      <c r="R27" s="196">
        <v>100</v>
      </c>
      <c r="S27" s="196">
        <f>VLOOKUP(Q27,[2]Sheet1!$B$2:$D$1017,2,0)*R27</f>
        <v>3000</v>
      </c>
      <c r="T27" s="283" t="s">
        <v>261</v>
      </c>
      <c r="U27" s="196">
        <v>2</v>
      </c>
      <c r="V27" s="196">
        <f>VLOOKUP(T27,[2]Sheet1!$B$2:$D$1017,2,0)*U27</f>
        <v>560</v>
      </c>
      <c r="W27" s="283" t="s">
        <v>527</v>
      </c>
      <c r="X27" s="196">
        <v>288</v>
      </c>
      <c r="Y27" s="196">
        <f>VLOOKUP(W27,[2]Sheet1!$B$2:$D$1017,2,0)*X27</f>
        <v>288</v>
      </c>
      <c r="Z27" s="196">
        <f t="shared" si="5"/>
        <v>3848</v>
      </c>
      <c r="AA27" s="210">
        <f t="shared" si="6"/>
        <v>2.27962085308057</v>
      </c>
      <c r="AB27" s="210">
        <f t="shared" si="7"/>
        <v>0.438669438669439</v>
      </c>
    </row>
    <row r="28" ht="16.5" spans="2:28">
      <c r="B28" s="110"/>
      <c r="C28" s="272">
        <v>600</v>
      </c>
      <c r="D28" s="272" t="s">
        <v>1050</v>
      </c>
      <c r="E28" s="272">
        <v>10</v>
      </c>
      <c r="F28" s="272" t="s">
        <v>209</v>
      </c>
      <c r="G28" s="272">
        <v>80</v>
      </c>
      <c r="H28" s="279" t="s">
        <v>1495</v>
      </c>
      <c r="I28" s="272">
        <f t="shared" si="2"/>
        <v>380</v>
      </c>
      <c r="J28" s="272">
        <f t="shared" si="3"/>
        <v>1200</v>
      </c>
      <c r="K28" s="280">
        <f>(SUM($I$11:I28)+SUM($F$3:F20))/J28/30</f>
        <v>0.134944444444444</v>
      </c>
      <c r="N28" s="282"/>
      <c r="O28" s="282"/>
      <c r="P28" s="198">
        <f>SUMPRODUCT(O25:O27,P25:P27)</f>
        <v>8292</v>
      </c>
      <c r="Q28" s="282"/>
      <c r="R28" s="198">
        <f>SUMPRODUCT(P25:P27,R25:R27)</f>
        <v>510</v>
      </c>
      <c r="S28" s="282"/>
      <c r="T28" s="282"/>
      <c r="U28" s="282"/>
      <c r="V28" s="282"/>
      <c r="W28" s="282"/>
      <c r="X28" s="282"/>
      <c r="Y28" s="282"/>
      <c r="Z28" s="282"/>
      <c r="AA28" s="282"/>
      <c r="AB28" s="282"/>
    </row>
    <row r="29" ht="16.5" spans="2:28">
      <c r="B29" s="110"/>
      <c r="C29" s="110"/>
      <c r="D29" s="110"/>
      <c r="E29" s="110"/>
      <c r="F29" s="266"/>
      <c r="G29" s="266"/>
      <c r="K29" s="281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</row>
    <row r="30" spans="2:28">
      <c r="B30" s="110"/>
      <c r="C30" s="269" t="s">
        <v>1496</v>
      </c>
      <c r="D30" s="110"/>
      <c r="E30" s="110"/>
      <c r="F30" s="266"/>
      <c r="G30" s="266"/>
      <c r="K30" s="281"/>
    </row>
    <row r="31" spans="2:28">
      <c r="B31" s="271" t="s">
        <v>1204</v>
      </c>
      <c r="C31" s="110">
        <v>10</v>
      </c>
      <c r="D31" s="273" t="s">
        <v>1473</v>
      </c>
      <c r="E31" s="272" t="s">
        <v>1497</v>
      </c>
      <c r="F31" s="266"/>
      <c r="G31" s="266"/>
      <c r="K31" s="281"/>
    </row>
    <row r="32" customFormat="1" spans="2:28">
      <c r="B32" s="110"/>
      <c r="C32" s="110"/>
      <c r="D32" s="274">
        <v>1</v>
      </c>
      <c r="E32" s="110">
        <v>800</v>
      </c>
      <c r="F32" s="110" cm="1">
        <f t="array" ref="F32">SUMPRODUCT(C32:E32,$C$6:$E$6)+C6*2</f>
        <v>948</v>
      </c>
      <c r="G32" s="266"/>
      <c r="K32" s="281"/>
    </row>
    <row r="33" spans="2:18">
      <c r="B33" s="110"/>
      <c r="C33" s="110"/>
      <c r="D33" s="110"/>
      <c r="E33" s="110"/>
      <c r="F33" s="266"/>
      <c r="G33" s="266"/>
      <c r="K33" s="281"/>
    </row>
    <row r="34" spans="2:18">
      <c r="B34" s="110"/>
      <c r="C34" s="275" t="s">
        <v>1476</v>
      </c>
      <c r="D34" s="276" t="s">
        <v>1477</v>
      </c>
      <c r="E34" s="277" t="s">
        <v>1478</v>
      </c>
      <c r="F34" s="277" t="s">
        <v>1479</v>
      </c>
      <c r="G34" s="277" t="s">
        <v>1101</v>
      </c>
      <c r="I34" s="277" t="s">
        <v>922</v>
      </c>
      <c r="J34" s="277" t="s">
        <v>1480</v>
      </c>
      <c r="K34" s="277" t="s">
        <v>1095</v>
      </c>
    </row>
    <row r="35" ht="16.5" spans="2:18">
      <c r="B35" s="110"/>
      <c r="C35" s="272">
        <v>80</v>
      </c>
      <c r="D35" s="272" t="s">
        <v>1050</v>
      </c>
      <c r="E35" s="272">
        <v>5</v>
      </c>
      <c r="F35" s="272" t="s">
        <v>209</v>
      </c>
      <c r="G35" s="272">
        <v>80</v>
      </c>
      <c r="H35" s="279" t="s">
        <v>1495</v>
      </c>
      <c r="I35" s="272">
        <f t="shared" ref="I35:I40" si="8">G35*1+E35*30</f>
        <v>230</v>
      </c>
      <c r="J35" s="272">
        <f t="shared" ref="J35:J40" si="9">$J$28+C35</f>
        <v>1280</v>
      </c>
      <c r="K35" s="280">
        <f>(SUM($I$11:I35)+SUM($F$3:F27))/J35/30</f>
        <v>0.1325</v>
      </c>
      <c r="N35" t="s">
        <v>268</v>
      </c>
      <c r="O35">
        <v>5301000</v>
      </c>
      <c r="Q35">
        <v>16</v>
      </c>
      <c r="R35">
        <v>1.6</v>
      </c>
    </row>
    <row r="36" ht="16.5" spans="2:18">
      <c r="B36" s="110"/>
      <c r="C36" s="272">
        <v>160</v>
      </c>
      <c r="D36" s="272" t="s">
        <v>1050</v>
      </c>
      <c r="E36" s="272">
        <v>5</v>
      </c>
      <c r="F36" s="272" t="s">
        <v>209</v>
      </c>
      <c r="G36" s="272">
        <v>80</v>
      </c>
      <c r="H36" s="279" t="s">
        <v>1495</v>
      </c>
      <c r="I36" s="272">
        <f t="shared" si="8"/>
        <v>230</v>
      </c>
      <c r="J36" s="272">
        <f t="shared" si="9"/>
        <v>1360</v>
      </c>
      <c r="K36" s="280">
        <f>(SUM($I$11:I36)+SUM($F$3:F28))/J36/30</f>
        <v>0.130343137254902</v>
      </c>
      <c r="N36" t="s">
        <v>270</v>
      </c>
      <c r="O36">
        <v>5302000</v>
      </c>
      <c r="Q36">
        <v>64</v>
      </c>
      <c r="R36">
        <v>6.4</v>
      </c>
    </row>
    <row r="37" ht="16.5" spans="2:18">
      <c r="B37" s="110"/>
      <c r="C37" s="272">
        <v>260</v>
      </c>
      <c r="D37" s="272" t="s">
        <v>1050</v>
      </c>
      <c r="E37" s="272">
        <v>5</v>
      </c>
      <c r="F37" s="272" t="s">
        <v>209</v>
      </c>
      <c r="G37" s="272">
        <v>80</v>
      </c>
      <c r="H37" s="279" t="s">
        <v>1495</v>
      </c>
      <c r="I37" s="272">
        <f t="shared" si="8"/>
        <v>230</v>
      </c>
      <c r="J37" s="272">
        <f t="shared" si="9"/>
        <v>1460</v>
      </c>
      <c r="K37" s="280">
        <f>(SUM($I$11:I37)+SUM($F$3:F29))/J37/30</f>
        <v>0.126666666666667</v>
      </c>
      <c r="N37" t="s">
        <v>272</v>
      </c>
      <c r="O37">
        <v>5303000</v>
      </c>
      <c r="Q37">
        <v>256</v>
      </c>
      <c r="R37">
        <v>25.6</v>
      </c>
    </row>
    <row r="38" ht="16.5" spans="2:18">
      <c r="B38" s="110"/>
      <c r="C38" s="272">
        <v>400</v>
      </c>
      <c r="D38" s="272" t="s">
        <v>1050</v>
      </c>
      <c r="E38" s="272">
        <v>10</v>
      </c>
      <c r="F38" s="272" t="s">
        <v>209</v>
      </c>
      <c r="G38" s="272">
        <v>100</v>
      </c>
      <c r="H38" s="279" t="s">
        <v>1498</v>
      </c>
      <c r="I38" s="272">
        <f t="shared" si="8"/>
        <v>400</v>
      </c>
      <c r="J38" s="272">
        <f t="shared" si="9"/>
        <v>1600</v>
      </c>
      <c r="K38" s="280">
        <f>(SUM($I$11:I38)+SUM($F$3:F30))/J38/30</f>
        <v>0.123916666666667</v>
      </c>
      <c r="N38" t="s">
        <v>274</v>
      </c>
      <c r="O38">
        <v>5304000</v>
      </c>
      <c r="Q38">
        <v>1024</v>
      </c>
      <c r="R38">
        <v>102.4</v>
      </c>
    </row>
    <row r="39" ht="16.5" spans="2:18">
      <c r="B39" s="110"/>
      <c r="C39" s="272">
        <v>580</v>
      </c>
      <c r="D39" s="272" t="s">
        <v>1050</v>
      </c>
      <c r="E39" s="272">
        <v>10</v>
      </c>
      <c r="F39" s="272" t="s">
        <v>209</v>
      </c>
      <c r="G39" s="272">
        <v>100</v>
      </c>
      <c r="H39" s="279" t="s">
        <v>1498</v>
      </c>
      <c r="I39" s="272">
        <f t="shared" si="8"/>
        <v>400</v>
      </c>
      <c r="J39" s="272">
        <f t="shared" si="9"/>
        <v>1780</v>
      </c>
      <c r="K39" s="280">
        <f>(SUM($I$11:I39)+SUM($F$3:F31))/J39/30</f>
        <v>0.118876404494382</v>
      </c>
      <c r="N39" t="s">
        <v>276</v>
      </c>
      <c r="O39">
        <v>5305000</v>
      </c>
      <c r="Q39">
        <v>4096</v>
      </c>
      <c r="R39">
        <v>409.6</v>
      </c>
    </row>
    <row r="40" ht="16.5" spans="2:18">
      <c r="B40" s="110"/>
      <c r="C40" s="272">
        <v>800</v>
      </c>
      <c r="D40" s="272" t="s">
        <v>1050</v>
      </c>
      <c r="E40" s="272">
        <v>10</v>
      </c>
      <c r="F40" s="272" t="s">
        <v>209</v>
      </c>
      <c r="G40" s="272">
        <v>100</v>
      </c>
      <c r="H40" s="279" t="s">
        <v>1498</v>
      </c>
      <c r="I40" s="272">
        <f t="shared" si="8"/>
        <v>400</v>
      </c>
      <c r="J40" s="272">
        <f t="shared" si="9"/>
        <v>2000</v>
      </c>
      <c r="K40" s="280">
        <f>(SUM($I$11:I40)+SUM($F$3:F32))/J40/30</f>
        <v>0.128266666666667</v>
      </c>
      <c r="N40" t="s">
        <v>278</v>
      </c>
      <c r="O40">
        <v>5306000</v>
      </c>
      <c r="Q40">
        <v>16384</v>
      </c>
      <c r="R40">
        <v>1638.4</v>
      </c>
    </row>
    <row r="41" spans="2:18">
      <c r="B41" s="110"/>
      <c r="C41" s="110"/>
      <c r="D41" s="110"/>
      <c r="E41" s="110"/>
      <c r="F41" s="266"/>
      <c r="G41" s="266"/>
      <c r="K41" s="281"/>
      <c r="N41" t="s">
        <v>281</v>
      </c>
      <c r="O41">
        <v>5307000</v>
      </c>
      <c r="Q41">
        <v>65536</v>
      </c>
      <c r="R41">
        <v>6553.6</v>
      </c>
    </row>
    <row r="42" spans="2:18">
      <c r="B42" s="110"/>
      <c r="C42" s="110"/>
      <c r="D42" s="110"/>
      <c r="E42" s="110"/>
      <c r="F42" s="266"/>
      <c r="G42" s="266"/>
      <c r="K42" s="281"/>
    </row>
    <row r="43" spans="2:18">
      <c r="B43" s="271" t="s">
        <v>1205</v>
      </c>
      <c r="C43" s="272" t="s">
        <v>1499</v>
      </c>
      <c r="D43" s="272" t="s">
        <v>1500</v>
      </c>
      <c r="E43" s="272" t="s">
        <v>1501</v>
      </c>
      <c r="F43" s="266"/>
      <c r="G43" s="266"/>
      <c r="K43" s="281"/>
    </row>
    <row r="44" customFormat="1" spans="2:18">
      <c r="B44" s="110"/>
      <c r="C44" s="110">
        <v>10</v>
      </c>
      <c r="D44" s="110">
        <v>1</v>
      </c>
      <c r="E44" s="110">
        <v>1000</v>
      </c>
      <c r="F44" s="110" cm="1">
        <f t="array" ref="F44">SUMPRODUCT(C44:E44,$C$6:$E$6)+900</f>
        <v>2240</v>
      </c>
      <c r="G44" s="266"/>
      <c r="K44" s="281"/>
    </row>
    <row r="45" spans="2:18">
      <c r="B45" s="110"/>
      <c r="C45" s="110"/>
      <c r="D45" s="110"/>
      <c r="E45" s="110"/>
      <c r="F45" s="266"/>
      <c r="G45" s="266"/>
      <c r="K45" s="281"/>
    </row>
    <row r="46" spans="2:18">
      <c r="B46" s="110"/>
      <c r="C46" s="275" t="s">
        <v>1476</v>
      </c>
      <c r="D46" s="276" t="s">
        <v>1477</v>
      </c>
      <c r="E46" s="276" t="s">
        <v>1478</v>
      </c>
      <c r="F46" s="276" t="s">
        <v>1479</v>
      </c>
      <c r="G46" s="276" t="s">
        <v>1101</v>
      </c>
      <c r="I46" s="277" t="s">
        <v>922</v>
      </c>
      <c r="J46" s="277" t="s">
        <v>1502</v>
      </c>
      <c r="K46" s="277" t="s">
        <v>1095</v>
      </c>
    </row>
    <row r="47" ht="16.5" spans="2:18">
      <c r="B47" s="110"/>
      <c r="C47" s="272">
        <v>100</v>
      </c>
      <c r="D47" s="272" t="s">
        <v>1050</v>
      </c>
      <c r="E47" s="272">
        <v>5</v>
      </c>
      <c r="F47" s="272" t="s">
        <v>209</v>
      </c>
      <c r="G47" s="272">
        <v>100</v>
      </c>
      <c r="H47" s="279" t="s">
        <v>1498</v>
      </c>
      <c r="I47" s="272">
        <f t="shared" ref="I47:I52" si="10">G47*1+E47*30</f>
        <v>250</v>
      </c>
      <c r="J47" s="272">
        <f t="shared" ref="J47:J52" si="11">$J$40+C47</f>
        <v>2100</v>
      </c>
      <c r="K47" s="280">
        <f>(SUM($I$11:I47)+SUM($F$3:F39))/J47/30</f>
        <v>0.126126984126984</v>
      </c>
    </row>
    <row r="48" ht="16.5" spans="2:18">
      <c r="B48" s="110"/>
      <c r="C48" s="272">
        <v>200</v>
      </c>
      <c r="D48" s="272" t="s">
        <v>1050</v>
      </c>
      <c r="E48" s="272">
        <v>5</v>
      </c>
      <c r="F48" s="272" t="s">
        <v>209</v>
      </c>
      <c r="G48" s="272">
        <v>100</v>
      </c>
      <c r="H48" s="279" t="s">
        <v>1498</v>
      </c>
      <c r="I48" s="272">
        <f t="shared" si="10"/>
        <v>250</v>
      </c>
      <c r="J48" s="272">
        <f t="shared" si="11"/>
        <v>2200</v>
      </c>
      <c r="K48" s="280">
        <f>(SUM($I$11:I48)+SUM($F$3:F40))/J48/30</f>
        <v>0.124181818181818</v>
      </c>
    </row>
    <row r="49" ht="16.5" spans="2:11">
      <c r="B49" s="110"/>
      <c r="C49" s="272">
        <v>320</v>
      </c>
      <c r="D49" s="272" t="s">
        <v>1050</v>
      </c>
      <c r="E49" s="272">
        <v>5</v>
      </c>
      <c r="F49" s="272" t="s">
        <v>209</v>
      </c>
      <c r="G49" s="272">
        <v>100</v>
      </c>
      <c r="H49" s="279" t="s">
        <v>1498</v>
      </c>
      <c r="I49" s="272">
        <f t="shared" si="10"/>
        <v>250</v>
      </c>
      <c r="J49" s="272">
        <f t="shared" si="11"/>
        <v>2320</v>
      </c>
      <c r="K49" s="280">
        <f>(SUM($I$11:I49)+SUM($F$3:F41))/J49/30</f>
        <v>0.121350574712644</v>
      </c>
    </row>
    <row r="50" ht="16.5" spans="2:11">
      <c r="B50" s="110"/>
      <c r="C50" s="272">
        <v>500</v>
      </c>
      <c r="D50" s="272" t="s">
        <v>1050</v>
      </c>
      <c r="E50" s="272">
        <v>10</v>
      </c>
      <c r="F50" s="272" t="s">
        <v>209</v>
      </c>
      <c r="G50" s="272">
        <v>120</v>
      </c>
      <c r="H50" s="279" t="s">
        <v>1503</v>
      </c>
      <c r="I50" s="272">
        <f t="shared" si="10"/>
        <v>420</v>
      </c>
      <c r="J50" s="272">
        <f t="shared" si="11"/>
        <v>2500</v>
      </c>
      <c r="K50" s="280">
        <f>(SUM($I$11:I50)+SUM($F$3:F42))/J50/30</f>
        <v>0.118213333333333</v>
      </c>
    </row>
    <row r="51" ht="16.5" spans="2:11">
      <c r="B51" s="110"/>
      <c r="C51" s="272">
        <v>720</v>
      </c>
      <c r="D51" s="272" t="s">
        <v>1050</v>
      </c>
      <c r="E51" s="272">
        <v>10</v>
      </c>
      <c r="F51" s="272" t="s">
        <v>209</v>
      </c>
      <c r="G51" s="272">
        <v>120</v>
      </c>
      <c r="H51" s="279" t="s">
        <v>1503</v>
      </c>
      <c r="I51" s="272">
        <f t="shared" si="10"/>
        <v>420</v>
      </c>
      <c r="J51" s="272">
        <f t="shared" si="11"/>
        <v>2720</v>
      </c>
      <c r="K51" s="280">
        <f>(SUM($I$11:I51)+SUM($F$3:F43))/J51/30</f>
        <v>0.113799019607843</v>
      </c>
    </row>
    <row r="52" ht="16.5" spans="2:11">
      <c r="B52" s="110"/>
      <c r="C52" s="272">
        <v>1000</v>
      </c>
      <c r="D52" s="272" t="s">
        <v>1050</v>
      </c>
      <c r="E52" s="272">
        <v>10</v>
      </c>
      <c r="F52" s="272" t="s">
        <v>209</v>
      </c>
      <c r="G52" s="272">
        <v>120</v>
      </c>
      <c r="H52" s="279" t="s">
        <v>1503</v>
      </c>
      <c r="I52" s="272">
        <f t="shared" si="10"/>
        <v>420</v>
      </c>
      <c r="J52" s="272">
        <f t="shared" si="11"/>
        <v>3000</v>
      </c>
      <c r="K52" s="280">
        <f>(SUM($I$11:I52)+SUM($F$3:F44))/J52/30</f>
        <v>0.132733333333333</v>
      </c>
    </row>
    <row r="56" spans="2:11">
      <c r="E56" t="s">
        <v>1504</v>
      </c>
    </row>
  </sheetData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9"/>
  </sheetPr>
  <dimension ref="A1:AB77"/>
  <sheetViews>
    <sheetView workbookViewId="0">
      <selection activeCell="L16" sqref="L16"/>
    </sheetView>
  </sheetViews>
  <sheetFormatPr defaultColWidth="12.25" defaultRowHeight="18" customHeight="1"/>
  <cols>
    <col min="1" max="3" width="8.5" style="217" customWidth="1"/>
    <col min="4" max="4" width="11.125" style="217" customWidth="1"/>
    <col min="5" max="5" width="8.5" style="217" customWidth="1"/>
    <col min="6" max="6" width="14.8666666666667" style="217" customWidth="1"/>
    <col min="7" max="7" width="11.125" style="217" customWidth="1"/>
    <col min="8" max="12" width="8.5" style="217" customWidth="1"/>
    <col min="13" max="13" width="12.875" style="217" customWidth="1"/>
    <col min="14" max="14" width="11.375" style="217" customWidth="1"/>
    <col min="15" max="15" width="12.625" style="217" customWidth="1"/>
    <col min="16" max="17" width="8.5" style="217" customWidth="1"/>
    <col min="18" max="18" width="13.125" style="217" customWidth="1"/>
    <col min="19" max="19" width="8.5" style="217" customWidth="1"/>
    <col min="20" max="20" width="14" style="217" customWidth="1"/>
    <col min="21" max="22" width="8.5" style="217" customWidth="1"/>
    <col min="23" max="23" width="13.875" style="217" customWidth="1"/>
    <col min="24" max="24" width="15.25" style="217" customWidth="1"/>
    <col min="25" max="27" width="8.5" style="217" customWidth="1"/>
    <col min="28" max="28" width="12" style="217" customWidth="1"/>
    <col min="29" max="16384" width="12.25" style="217"/>
  </cols>
  <sheetData>
    <row r="1" s="217" customFormat="1" customHeight="1" spans="1:2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217" customFormat="1" customHeight="1" spans="1:28">
      <c r="A2" s="2"/>
      <c r="B2" s="1" t="s">
        <v>1505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43" t="s">
        <v>1506</v>
      </c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1507</v>
      </c>
      <c r="Z2" s="2"/>
      <c r="AA2" s="2"/>
      <c r="AB2" s="2"/>
    </row>
    <row r="3" s="217" customFormat="1" customHeight="1" spans="1:28">
      <c r="A3" s="2"/>
      <c r="B3" s="2"/>
      <c r="C3" s="3" t="s">
        <v>1508</v>
      </c>
      <c r="D3" s="2"/>
      <c r="E3" s="2"/>
      <c r="F3" s="2" t="s">
        <v>213</v>
      </c>
      <c r="G3" s="2">
        <v>180</v>
      </c>
      <c r="H3" s="2"/>
      <c r="I3" s="2"/>
      <c r="J3" s="2"/>
      <c r="K3" s="2"/>
      <c r="L3" s="2"/>
      <c r="M3" s="2"/>
      <c r="N3" s="6" t="s">
        <v>1509</v>
      </c>
      <c r="O3" s="6" t="s">
        <v>1099</v>
      </c>
      <c r="P3" s="6" t="s">
        <v>919</v>
      </c>
      <c r="Q3" s="6" t="s">
        <v>922</v>
      </c>
      <c r="R3" s="6" t="s">
        <v>1099</v>
      </c>
      <c r="S3" s="6" t="s">
        <v>919</v>
      </c>
      <c r="T3" s="6" t="s">
        <v>922</v>
      </c>
      <c r="U3" s="6" t="s">
        <v>1099</v>
      </c>
      <c r="V3" s="6" t="s">
        <v>919</v>
      </c>
      <c r="W3" s="6" t="s">
        <v>922</v>
      </c>
      <c r="X3" s="6" t="s">
        <v>1099</v>
      </c>
      <c r="Y3" s="6" t="s">
        <v>919</v>
      </c>
      <c r="Z3" s="6" t="s">
        <v>922</v>
      </c>
      <c r="AA3" s="6" t="s">
        <v>965</v>
      </c>
    </row>
    <row r="4" s="217" customFormat="1" customHeight="1" spans="1:28">
      <c r="A4" s="2"/>
      <c r="B4" s="2"/>
      <c r="C4" s="2"/>
      <c r="D4" s="2"/>
      <c r="E4" s="2"/>
      <c r="F4" s="2" t="s">
        <v>527</v>
      </c>
      <c r="G4" s="2">
        <v>1830</v>
      </c>
      <c r="H4" s="2"/>
      <c r="I4" s="2"/>
      <c r="J4" s="2"/>
      <c r="K4" s="2"/>
      <c r="L4" s="2"/>
      <c r="M4" s="2">
        <v>600</v>
      </c>
      <c r="N4" s="7" t="s">
        <v>1510</v>
      </c>
      <c r="O4" s="7" t="s">
        <v>442</v>
      </c>
      <c r="P4" s="7">
        <v>1</v>
      </c>
      <c r="Q4" s="7">
        <v>80</v>
      </c>
      <c r="R4" s="7" t="s">
        <v>261</v>
      </c>
      <c r="S4" s="7">
        <v>3</v>
      </c>
      <c r="T4" s="7">
        <v>840</v>
      </c>
      <c r="U4" s="7" t="s">
        <v>208</v>
      </c>
      <c r="V4" s="7">
        <v>300</v>
      </c>
      <c r="W4" s="7">
        <v>300</v>
      </c>
      <c r="X4" s="257" t="s">
        <v>213</v>
      </c>
      <c r="Y4" s="257">
        <v>10</v>
      </c>
      <c r="Z4" s="257">
        <v>300</v>
      </c>
      <c r="AA4" s="10">
        <v>1520</v>
      </c>
    </row>
    <row r="5" s="217" customFormat="1" customHeight="1" spans="1:28">
      <c r="A5" s="2"/>
      <c r="B5" s="2" t="s">
        <v>1510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600</v>
      </c>
      <c r="N5" s="7" t="s">
        <v>1511</v>
      </c>
      <c r="O5" s="7" t="s">
        <v>442</v>
      </c>
      <c r="P5" s="7">
        <v>1</v>
      </c>
      <c r="Q5" s="7">
        <v>80</v>
      </c>
      <c r="R5" s="7" t="s">
        <v>261</v>
      </c>
      <c r="S5" s="7">
        <v>5</v>
      </c>
      <c r="T5" s="7">
        <v>1400</v>
      </c>
      <c r="U5" s="7" t="s">
        <v>208</v>
      </c>
      <c r="V5" s="7">
        <v>500</v>
      </c>
      <c r="W5" s="7">
        <v>500</v>
      </c>
      <c r="X5" s="257" t="s">
        <v>217</v>
      </c>
      <c r="Y5" s="257">
        <v>5</v>
      </c>
      <c r="Z5" s="257">
        <v>500</v>
      </c>
      <c r="AA5" s="10">
        <v>2480</v>
      </c>
    </row>
    <row r="6" s="217" customFormat="1" customHeight="1" spans="1:28">
      <c r="A6" s="2"/>
      <c r="B6" s="2"/>
      <c r="C6" s="6" t="s">
        <v>1412</v>
      </c>
      <c r="D6" s="6" t="s">
        <v>1099</v>
      </c>
      <c r="E6" s="6" t="s">
        <v>919</v>
      </c>
      <c r="F6" s="6" t="s">
        <v>922</v>
      </c>
      <c r="G6" s="6" t="s">
        <v>1099</v>
      </c>
      <c r="H6" s="6" t="s">
        <v>919</v>
      </c>
      <c r="I6" s="6" t="s">
        <v>922</v>
      </c>
      <c r="J6" s="6" t="s">
        <v>965</v>
      </c>
      <c r="K6" s="6" t="s">
        <v>1095</v>
      </c>
      <c r="L6" s="2"/>
      <c r="M6" s="2">
        <v>800</v>
      </c>
      <c r="N6" s="7" t="s">
        <v>1512</v>
      </c>
      <c r="O6" s="7" t="s">
        <v>442</v>
      </c>
      <c r="P6" s="7">
        <v>2</v>
      </c>
      <c r="Q6" s="7">
        <v>160</v>
      </c>
      <c r="R6" s="7" t="s">
        <v>261</v>
      </c>
      <c r="S6" s="7">
        <v>8</v>
      </c>
      <c r="T6" s="7">
        <v>2240</v>
      </c>
      <c r="U6" s="7" t="s">
        <v>208</v>
      </c>
      <c r="V6" s="7">
        <v>800</v>
      </c>
      <c r="W6" s="7">
        <v>800</v>
      </c>
      <c r="X6" s="257" t="s">
        <v>265</v>
      </c>
      <c r="Y6" s="257">
        <v>12</v>
      </c>
      <c r="Z6" s="257">
        <v>720</v>
      </c>
      <c r="AA6" s="10">
        <v>3920</v>
      </c>
    </row>
    <row r="7" s="217" customFormat="1" customHeight="1" spans="1:28">
      <c r="A7" s="2"/>
      <c r="B7" s="2">
        <v>60</v>
      </c>
      <c r="C7" s="7">
        <v>60</v>
      </c>
      <c r="D7" s="9" t="s">
        <v>213</v>
      </c>
      <c r="E7" s="9">
        <v>5</v>
      </c>
      <c r="F7" s="7">
        <v>150</v>
      </c>
      <c r="G7" s="9" t="s">
        <v>527</v>
      </c>
      <c r="H7" s="9">
        <v>30</v>
      </c>
      <c r="I7" s="7">
        <v>30</v>
      </c>
      <c r="J7" s="10">
        <v>180</v>
      </c>
      <c r="K7" s="11">
        <v>0.1</v>
      </c>
      <c r="L7" s="2"/>
      <c r="M7" s="2">
        <v>1000</v>
      </c>
      <c r="N7" s="7" t="s">
        <v>1513</v>
      </c>
      <c r="O7" s="7" t="s">
        <v>666</v>
      </c>
      <c r="P7" s="7">
        <v>1</v>
      </c>
      <c r="Q7" s="7">
        <v>160</v>
      </c>
      <c r="R7" s="7" t="s">
        <v>261</v>
      </c>
      <c r="S7" s="7">
        <v>10</v>
      </c>
      <c r="T7" s="7">
        <v>2800</v>
      </c>
      <c r="U7" s="7" t="s">
        <v>208</v>
      </c>
      <c r="V7" s="7">
        <v>1000</v>
      </c>
      <c r="W7" s="7">
        <v>1000</v>
      </c>
      <c r="X7" s="257" t="s">
        <v>836</v>
      </c>
      <c r="Y7" s="257">
        <v>1</v>
      </c>
      <c r="Z7" s="257">
        <v>4000</v>
      </c>
      <c r="AA7" s="10">
        <v>7960</v>
      </c>
    </row>
    <row r="8" s="217" customFormat="1" customHeight="1" spans="1:28">
      <c r="A8" s="2"/>
      <c r="B8" s="2">
        <v>60</v>
      </c>
      <c r="C8" s="7">
        <v>120</v>
      </c>
      <c r="D8" s="9" t="s">
        <v>213</v>
      </c>
      <c r="E8" s="9">
        <v>5</v>
      </c>
      <c r="F8" s="7">
        <v>150</v>
      </c>
      <c r="G8" s="9" t="s">
        <v>527</v>
      </c>
      <c r="H8" s="9">
        <v>30</v>
      </c>
      <c r="I8" s="7">
        <v>30</v>
      </c>
      <c r="J8" s="10">
        <v>180</v>
      </c>
      <c r="K8" s="11">
        <v>0.1</v>
      </c>
      <c r="L8" s="2"/>
      <c r="M8" s="2"/>
      <c r="N8" s="7" t="s">
        <v>1206</v>
      </c>
      <c r="O8" s="7" t="s">
        <v>188</v>
      </c>
      <c r="P8" s="7">
        <v>100</v>
      </c>
      <c r="Q8" s="7">
        <v>100</v>
      </c>
      <c r="R8" s="8" t="s">
        <v>232</v>
      </c>
      <c r="S8" s="7">
        <v>10</v>
      </c>
      <c r="T8" s="7">
        <v>160</v>
      </c>
      <c r="U8" s="8" t="s">
        <v>208</v>
      </c>
      <c r="V8" s="7">
        <v>300</v>
      </c>
      <c r="W8" s="7">
        <v>300</v>
      </c>
      <c r="X8" s="7">
        <v>560</v>
      </c>
    </row>
    <row r="9" s="217" customFormat="1" customHeight="1" spans="1:28">
      <c r="A9" s="2"/>
      <c r="B9" s="2">
        <v>80</v>
      </c>
      <c r="C9" s="7">
        <v>200</v>
      </c>
      <c r="D9" s="9" t="s">
        <v>213</v>
      </c>
      <c r="E9" s="9">
        <v>5</v>
      </c>
      <c r="F9" s="7">
        <v>150</v>
      </c>
      <c r="G9" s="9" t="s">
        <v>527</v>
      </c>
      <c r="H9" s="9">
        <v>30</v>
      </c>
      <c r="I9" s="7">
        <v>30</v>
      </c>
      <c r="J9" s="10">
        <v>180</v>
      </c>
      <c r="K9" s="11">
        <v>0.08</v>
      </c>
      <c r="L9" s="2"/>
      <c r="M9" s="2"/>
      <c r="N9" s="7" t="s">
        <v>1207</v>
      </c>
      <c r="O9" s="7" t="s">
        <v>188</v>
      </c>
      <c r="P9" s="7">
        <v>150</v>
      </c>
      <c r="Q9" s="7">
        <v>150</v>
      </c>
      <c r="R9" s="8" t="s">
        <v>232</v>
      </c>
      <c r="S9" s="7">
        <v>10</v>
      </c>
      <c r="T9" s="7">
        <v>160</v>
      </c>
      <c r="U9" s="8" t="s">
        <v>208</v>
      </c>
      <c r="V9" s="7">
        <v>500</v>
      </c>
      <c r="W9" s="7">
        <v>500</v>
      </c>
      <c r="X9" s="7">
        <v>810</v>
      </c>
    </row>
    <row r="10" s="217" customFormat="1" customHeight="1" spans="1:28">
      <c r="A10" s="2"/>
      <c r="B10" s="2">
        <v>100</v>
      </c>
      <c r="C10" s="7">
        <v>300</v>
      </c>
      <c r="D10" s="9" t="s">
        <v>213</v>
      </c>
      <c r="E10" s="9">
        <v>10</v>
      </c>
      <c r="F10" s="7">
        <v>300</v>
      </c>
      <c r="G10" s="9" t="s">
        <v>527</v>
      </c>
      <c r="H10" s="9">
        <v>50</v>
      </c>
      <c r="I10" s="7">
        <v>50</v>
      </c>
      <c r="J10" s="10">
        <v>350</v>
      </c>
      <c r="K10" s="11">
        <v>0.12</v>
      </c>
      <c r="L10" s="2"/>
      <c r="M10" s="2"/>
      <c r="N10" s="7" t="s">
        <v>1208</v>
      </c>
      <c r="O10" s="7" t="s">
        <v>1514</v>
      </c>
      <c r="P10" s="7">
        <v>50</v>
      </c>
      <c r="Q10" s="7">
        <v>500</v>
      </c>
      <c r="R10" s="8" t="s">
        <v>232</v>
      </c>
      <c r="S10" s="7">
        <v>20</v>
      </c>
      <c r="T10" s="7">
        <v>320</v>
      </c>
      <c r="U10" s="8" t="s">
        <v>208</v>
      </c>
      <c r="V10" s="7">
        <v>800</v>
      </c>
      <c r="W10" s="7">
        <v>800</v>
      </c>
      <c r="X10" s="7">
        <v>1620</v>
      </c>
    </row>
    <row r="11" s="217" customFormat="1" customHeight="1" spans="1:28">
      <c r="A11" s="2"/>
      <c r="B11" s="2">
        <v>120</v>
      </c>
      <c r="C11" s="7">
        <v>420</v>
      </c>
      <c r="D11" s="9" t="s">
        <v>213</v>
      </c>
      <c r="E11" s="9">
        <v>10</v>
      </c>
      <c r="F11" s="7">
        <v>300</v>
      </c>
      <c r="G11" s="9" t="s">
        <v>527</v>
      </c>
      <c r="H11" s="9">
        <v>50</v>
      </c>
      <c r="I11" s="7">
        <v>50</v>
      </c>
      <c r="J11" s="10">
        <v>350</v>
      </c>
      <c r="K11" s="11">
        <v>0.1</v>
      </c>
      <c r="L11" s="2"/>
      <c r="M11" s="2"/>
      <c r="N11" s="7" t="s">
        <v>1515</v>
      </c>
      <c r="O11" s="7" t="s">
        <v>1514</v>
      </c>
      <c r="P11" s="7">
        <v>50</v>
      </c>
      <c r="Q11" s="7">
        <v>500</v>
      </c>
      <c r="R11" s="8" t="s">
        <v>232</v>
      </c>
      <c r="S11" s="7">
        <v>30</v>
      </c>
      <c r="T11" s="7">
        <v>480</v>
      </c>
      <c r="U11" s="8" t="s">
        <v>208</v>
      </c>
      <c r="V11" s="7">
        <v>1000</v>
      </c>
      <c r="W11" s="7">
        <v>1000</v>
      </c>
      <c r="X11" s="7">
        <v>1980</v>
      </c>
    </row>
    <row r="12" s="217" customFormat="1" customHeight="1" spans="1:28">
      <c r="A12" s="2"/>
      <c r="B12" s="2">
        <v>180</v>
      </c>
      <c r="C12" s="7">
        <v>600</v>
      </c>
      <c r="D12" s="9" t="s">
        <v>213</v>
      </c>
      <c r="E12" s="9">
        <v>10</v>
      </c>
      <c r="F12" s="7">
        <v>300</v>
      </c>
      <c r="G12" s="9" t="s">
        <v>527</v>
      </c>
      <c r="H12" s="9">
        <v>50</v>
      </c>
      <c r="I12" s="7">
        <v>50</v>
      </c>
      <c r="J12" s="10">
        <v>350</v>
      </c>
      <c r="K12" s="11">
        <v>0.06</v>
      </c>
      <c r="L12" s="2"/>
      <c r="M12" s="2"/>
      <c r="N12" s="2"/>
      <c r="O12" s="2"/>
      <c r="P12" s="2"/>
      <c r="Q12" s="258"/>
      <c r="R12" s="3"/>
      <c r="S12" s="2"/>
      <c r="T12" s="2"/>
      <c r="U12" s="2"/>
      <c r="V12" s="2"/>
      <c r="W12" s="2"/>
      <c r="X12" s="2"/>
    </row>
    <row r="13" s="217" customFormat="1" customHeight="1" spans="1:28">
      <c r="A13" s="2"/>
      <c r="B13" s="2"/>
      <c r="C13" s="2"/>
      <c r="D13" s="2"/>
      <c r="E13" s="2">
        <v>45</v>
      </c>
      <c r="F13" s="2"/>
      <c r="G13" s="2"/>
      <c r="H13" s="2">
        <v>240</v>
      </c>
      <c r="I13" s="2"/>
      <c r="J13" s="10">
        <v>1590</v>
      </c>
      <c r="K13" s="11">
        <v>0.09</v>
      </c>
      <c r="L13" s="2"/>
      <c r="M13" s="2"/>
      <c r="N13" s="2"/>
      <c r="O13" s="2"/>
      <c r="P13" s="2"/>
      <c r="Q13" s="258"/>
      <c r="R13" s="3"/>
      <c r="S13" s="2"/>
      <c r="T13" s="2"/>
      <c r="U13" s="2"/>
      <c r="V13" s="2"/>
      <c r="W13" s="2"/>
      <c r="X13" s="2"/>
    </row>
    <row r="14" s="217" customFormat="1" customHeight="1" spans="1:28">
      <c r="A14" s="2"/>
      <c r="B14" s="2" t="s">
        <v>1511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43" t="s">
        <v>1174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="217" customFormat="1" customHeight="1" spans="1:28">
      <c r="A15" s="2"/>
      <c r="B15" s="2"/>
      <c r="C15" s="6" t="s">
        <v>1412</v>
      </c>
      <c r="D15" s="6" t="s">
        <v>1099</v>
      </c>
      <c r="E15" s="6" t="s">
        <v>919</v>
      </c>
      <c r="F15" s="6" t="s">
        <v>922</v>
      </c>
      <c r="G15" s="6" t="s">
        <v>1099</v>
      </c>
      <c r="H15" s="6" t="s">
        <v>919</v>
      </c>
      <c r="I15" s="6" t="s">
        <v>922</v>
      </c>
      <c r="J15" s="6" t="s">
        <v>965</v>
      </c>
      <c r="K15" s="6" t="s">
        <v>1095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="217" customFormat="1" customHeight="1" spans="1:28">
      <c r="A16" s="2"/>
      <c r="B16" s="2">
        <v>60</v>
      </c>
      <c r="C16" s="7">
        <v>60</v>
      </c>
      <c r="D16" s="9" t="s">
        <v>213</v>
      </c>
      <c r="E16" s="9">
        <v>5</v>
      </c>
      <c r="F16" s="7">
        <v>150</v>
      </c>
      <c r="G16" s="9" t="s">
        <v>527</v>
      </c>
      <c r="H16" s="9">
        <v>50</v>
      </c>
      <c r="I16" s="7">
        <v>50</v>
      </c>
      <c r="J16" s="10">
        <v>200</v>
      </c>
      <c r="K16" s="11">
        <v>0.11</v>
      </c>
      <c r="L16" s="2"/>
      <c r="M16" s="2"/>
      <c r="N16" s="6" t="s">
        <v>1195</v>
      </c>
      <c r="O16" s="6" t="s">
        <v>935</v>
      </c>
      <c r="P16" s="6" t="s">
        <v>1197</v>
      </c>
      <c r="Q16" s="6" t="s">
        <v>1099</v>
      </c>
      <c r="R16" s="6" t="s">
        <v>919</v>
      </c>
      <c r="S16" s="6" t="s">
        <v>922</v>
      </c>
      <c r="T16" s="6" t="s">
        <v>1099</v>
      </c>
      <c r="U16" s="6" t="s">
        <v>919</v>
      </c>
      <c r="V16" s="6" t="s">
        <v>922</v>
      </c>
      <c r="W16" s="6" t="s">
        <v>1099</v>
      </c>
      <c r="X16" s="6" t="s">
        <v>919</v>
      </c>
      <c r="Y16" s="6" t="s">
        <v>922</v>
      </c>
      <c r="Z16" s="6" t="s">
        <v>965</v>
      </c>
      <c r="AA16" s="6" t="s">
        <v>1095</v>
      </c>
      <c r="AB16" s="2" t="s">
        <v>954</v>
      </c>
    </row>
    <row r="17" s="217" customFormat="1" customHeight="1" spans="1:28">
      <c r="A17" s="2"/>
      <c r="B17" s="2">
        <v>60</v>
      </c>
      <c r="C17" s="7">
        <v>120</v>
      </c>
      <c r="D17" s="9" t="s">
        <v>213</v>
      </c>
      <c r="E17" s="9">
        <v>5</v>
      </c>
      <c r="F17" s="7">
        <v>150</v>
      </c>
      <c r="G17" s="9" t="s">
        <v>527</v>
      </c>
      <c r="H17" s="9">
        <v>50</v>
      </c>
      <c r="I17" s="7">
        <v>50</v>
      </c>
      <c r="J17" s="10">
        <v>200</v>
      </c>
      <c r="K17" s="11">
        <v>0.11</v>
      </c>
      <c r="L17" s="2"/>
      <c r="M17" s="2"/>
      <c r="N17" s="7" t="s">
        <v>1516</v>
      </c>
      <c r="O17" s="7">
        <v>0</v>
      </c>
      <c r="P17" s="7">
        <v>1</v>
      </c>
      <c r="Q17" s="7" t="s">
        <v>213</v>
      </c>
      <c r="R17" s="7">
        <v>2</v>
      </c>
      <c r="S17" s="7">
        <v>60</v>
      </c>
      <c r="T17" s="10"/>
      <c r="U17" s="10"/>
      <c r="V17" s="10"/>
      <c r="W17" s="10"/>
      <c r="X17" s="10"/>
      <c r="Y17" s="10"/>
      <c r="Z17" s="10">
        <v>60</v>
      </c>
      <c r="AA17" s="10"/>
      <c r="AB17" s="2"/>
    </row>
    <row r="18" s="217" customFormat="1" customHeight="1" spans="1:28">
      <c r="A18" s="2"/>
      <c r="B18" s="2">
        <v>80</v>
      </c>
      <c r="C18" s="7">
        <v>200</v>
      </c>
      <c r="D18" s="9" t="s">
        <v>213</v>
      </c>
      <c r="E18" s="9">
        <v>5</v>
      </c>
      <c r="F18" s="7">
        <v>150</v>
      </c>
      <c r="G18" s="9" t="s">
        <v>527</v>
      </c>
      <c r="H18" s="9">
        <v>50</v>
      </c>
      <c r="I18" s="7">
        <v>50</v>
      </c>
      <c r="J18" s="10">
        <v>200</v>
      </c>
      <c r="K18" s="11">
        <v>0.08</v>
      </c>
      <c r="L18" s="2"/>
      <c r="M18" s="2"/>
      <c r="N18" s="7" t="s">
        <v>1517</v>
      </c>
      <c r="O18" s="7">
        <v>268</v>
      </c>
      <c r="P18" s="7">
        <v>3</v>
      </c>
      <c r="Q18" s="7" t="s">
        <v>213</v>
      </c>
      <c r="R18" s="7">
        <v>20</v>
      </c>
      <c r="S18" s="7">
        <v>600</v>
      </c>
      <c r="T18" s="7" t="s">
        <v>527</v>
      </c>
      <c r="U18" s="7">
        <v>50</v>
      </c>
      <c r="V18" s="7">
        <v>50</v>
      </c>
      <c r="W18" s="10"/>
      <c r="X18" s="10"/>
      <c r="Y18" s="10"/>
      <c r="Z18" s="10">
        <v>650</v>
      </c>
      <c r="AA18" s="11">
        <v>2.43</v>
      </c>
      <c r="AB18" s="245">
        <v>0.29</v>
      </c>
    </row>
    <row r="19" s="217" customFormat="1" customHeight="1" spans="1:28">
      <c r="A19" s="2"/>
      <c r="B19" s="2">
        <v>100</v>
      </c>
      <c r="C19" s="7">
        <v>300</v>
      </c>
      <c r="D19" s="9" t="s">
        <v>213</v>
      </c>
      <c r="E19" s="9">
        <v>10</v>
      </c>
      <c r="F19" s="7">
        <v>300</v>
      </c>
      <c r="G19" s="9" t="s">
        <v>527</v>
      </c>
      <c r="H19" s="9">
        <v>80</v>
      </c>
      <c r="I19" s="7">
        <v>80</v>
      </c>
      <c r="J19" s="10">
        <v>380</v>
      </c>
      <c r="K19" s="11">
        <v>0.13</v>
      </c>
      <c r="L19" s="2"/>
      <c r="M19" s="258"/>
      <c r="N19" s="7" t="s">
        <v>1118</v>
      </c>
      <c r="O19" s="7">
        <v>6</v>
      </c>
      <c r="P19" s="7">
        <v>3</v>
      </c>
      <c r="Q19" s="7" t="s">
        <v>188</v>
      </c>
      <c r="R19" s="7">
        <v>60</v>
      </c>
      <c r="S19" s="7">
        <v>60</v>
      </c>
      <c r="T19" s="7" t="s">
        <v>213</v>
      </c>
      <c r="U19" s="7">
        <v>15</v>
      </c>
      <c r="V19" s="7">
        <v>450</v>
      </c>
      <c r="W19" s="7" t="s">
        <v>527</v>
      </c>
      <c r="X19" s="7">
        <v>100</v>
      </c>
      <c r="Y19" s="7">
        <v>100</v>
      </c>
      <c r="Z19" s="10">
        <v>610</v>
      </c>
      <c r="AA19" s="11">
        <v>10.17</v>
      </c>
      <c r="AB19" s="245">
        <v>0.09</v>
      </c>
    </row>
    <row r="20" s="217" customFormat="1" customHeight="1" spans="1:28">
      <c r="A20" s="2"/>
      <c r="B20" s="2">
        <v>120</v>
      </c>
      <c r="C20" s="7">
        <v>420</v>
      </c>
      <c r="D20" s="9" t="s">
        <v>213</v>
      </c>
      <c r="E20" s="9">
        <v>10</v>
      </c>
      <c r="F20" s="7">
        <v>300</v>
      </c>
      <c r="G20" s="9" t="s">
        <v>527</v>
      </c>
      <c r="H20" s="9">
        <v>80</v>
      </c>
      <c r="I20" s="7">
        <v>80</v>
      </c>
      <c r="J20" s="10">
        <v>380</v>
      </c>
      <c r="K20" s="11">
        <v>0.11</v>
      </c>
      <c r="L20" s="2"/>
      <c r="M20" s="258"/>
      <c r="N20" s="7" t="s">
        <v>1517</v>
      </c>
      <c r="O20" s="7">
        <v>688</v>
      </c>
      <c r="P20" s="7">
        <v>3</v>
      </c>
      <c r="Q20" s="7" t="s">
        <v>213</v>
      </c>
      <c r="R20" s="7">
        <v>40</v>
      </c>
      <c r="S20" s="7">
        <v>1200</v>
      </c>
      <c r="T20" s="7" t="s">
        <v>527</v>
      </c>
      <c r="U20" s="7">
        <v>150</v>
      </c>
      <c r="V20" s="7">
        <v>150</v>
      </c>
      <c r="W20" s="7"/>
      <c r="X20" s="7"/>
      <c r="Y20" s="7"/>
      <c r="Z20" s="10">
        <v>1350</v>
      </c>
      <c r="AA20" s="11">
        <v>1.96</v>
      </c>
      <c r="AB20" s="245">
        <v>0.34</v>
      </c>
    </row>
    <row r="21" s="217" customFormat="1" customHeight="1" spans="1:28">
      <c r="A21" s="2"/>
      <c r="B21" s="2">
        <v>180</v>
      </c>
      <c r="C21" s="7">
        <v>600</v>
      </c>
      <c r="D21" s="9" t="s">
        <v>213</v>
      </c>
      <c r="E21" s="9">
        <v>10</v>
      </c>
      <c r="F21" s="7">
        <v>300</v>
      </c>
      <c r="G21" s="9" t="s">
        <v>527</v>
      </c>
      <c r="H21" s="9">
        <v>80</v>
      </c>
      <c r="I21" s="7">
        <v>80</v>
      </c>
      <c r="J21" s="10">
        <v>380</v>
      </c>
      <c r="K21" s="11">
        <v>0.07</v>
      </c>
      <c r="L21" s="2"/>
      <c r="M21" s="258"/>
      <c r="N21" s="7" t="s">
        <v>1199</v>
      </c>
      <c r="O21" s="7">
        <v>30</v>
      </c>
      <c r="P21" s="7">
        <v>3</v>
      </c>
      <c r="Q21" s="7" t="s">
        <v>188</v>
      </c>
      <c r="R21" s="7">
        <v>300</v>
      </c>
      <c r="S21" s="7">
        <v>300</v>
      </c>
      <c r="T21" s="7" t="s">
        <v>213</v>
      </c>
      <c r="U21" s="7">
        <v>50</v>
      </c>
      <c r="V21" s="7">
        <v>1500</v>
      </c>
      <c r="W21" s="7" t="s">
        <v>217</v>
      </c>
      <c r="X21" s="7">
        <v>1</v>
      </c>
      <c r="Y21" s="7">
        <v>100</v>
      </c>
      <c r="Z21" s="10">
        <v>1900</v>
      </c>
      <c r="AA21" s="11">
        <v>6.33</v>
      </c>
      <c r="AB21" s="245">
        <v>0.14</v>
      </c>
    </row>
    <row r="22" s="217" customFormat="1" customHeight="1" spans="1:28">
      <c r="A22" s="2"/>
      <c r="B22" s="2"/>
      <c r="C22" s="2"/>
      <c r="D22" s="2"/>
      <c r="E22" s="2">
        <v>45</v>
      </c>
      <c r="F22" s="2"/>
      <c r="G22" s="2"/>
      <c r="H22" s="2">
        <v>390</v>
      </c>
      <c r="I22" s="2"/>
      <c r="J22" s="10">
        <v>1740</v>
      </c>
      <c r="K22" s="11">
        <v>0.1</v>
      </c>
      <c r="L22" s="2"/>
      <c r="M22" s="258"/>
      <c r="N22" s="7" t="s">
        <v>1517</v>
      </c>
      <c r="O22" s="7">
        <v>1588</v>
      </c>
      <c r="P22" s="7">
        <v>5</v>
      </c>
      <c r="Q22" s="7" t="s">
        <v>213</v>
      </c>
      <c r="R22" s="7">
        <v>80</v>
      </c>
      <c r="S22" s="7">
        <v>2400</v>
      </c>
      <c r="T22" s="7" t="s">
        <v>527</v>
      </c>
      <c r="U22" s="7">
        <v>200</v>
      </c>
      <c r="V22" s="7">
        <v>200</v>
      </c>
      <c r="W22" s="7"/>
      <c r="X22" s="7"/>
      <c r="Y22" s="7"/>
      <c r="Z22" s="10">
        <v>2600</v>
      </c>
      <c r="AA22" s="11">
        <v>1.64</v>
      </c>
      <c r="AB22" s="245">
        <v>0.38</v>
      </c>
    </row>
    <row r="23" s="217" customFormat="1" customHeight="1" spans="1:28">
      <c r="A23" s="2"/>
      <c r="B23" s="2" t="s">
        <v>1512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58"/>
      <c r="N23" s="7" t="s">
        <v>1517</v>
      </c>
      <c r="O23" s="7">
        <v>2288</v>
      </c>
      <c r="P23" s="7">
        <v>5</v>
      </c>
      <c r="Q23" s="7" t="s">
        <v>213</v>
      </c>
      <c r="R23" s="7">
        <v>100</v>
      </c>
      <c r="S23" s="7">
        <v>3000</v>
      </c>
      <c r="T23" s="7" t="s">
        <v>527</v>
      </c>
      <c r="U23" s="7">
        <v>300</v>
      </c>
      <c r="V23" s="7">
        <v>300</v>
      </c>
      <c r="W23" s="7"/>
      <c r="X23" s="7"/>
      <c r="Y23" s="7"/>
      <c r="Z23" s="10">
        <v>3300</v>
      </c>
      <c r="AA23" s="11">
        <v>1.44</v>
      </c>
      <c r="AB23" s="245">
        <v>0.41</v>
      </c>
    </row>
    <row r="24" s="217" customFormat="1" customHeight="1" spans="1:28">
      <c r="A24" s="2"/>
      <c r="B24" s="2"/>
      <c r="C24" s="6" t="s">
        <v>1412</v>
      </c>
      <c r="D24" s="6" t="s">
        <v>1099</v>
      </c>
      <c r="E24" s="6" t="s">
        <v>919</v>
      </c>
      <c r="F24" s="6" t="s">
        <v>922</v>
      </c>
      <c r="G24" s="6" t="s">
        <v>1099</v>
      </c>
      <c r="H24" s="6" t="s">
        <v>919</v>
      </c>
      <c r="I24" s="6" t="s">
        <v>922</v>
      </c>
      <c r="J24" s="6" t="s">
        <v>965</v>
      </c>
      <c r="K24" s="6" t="s">
        <v>1095</v>
      </c>
      <c r="L24" s="2"/>
      <c r="M24" s="258"/>
      <c r="N24" s="7" t="s">
        <v>1200</v>
      </c>
      <c r="O24" s="7">
        <v>328</v>
      </c>
      <c r="P24" s="7">
        <v>5</v>
      </c>
      <c r="Q24" s="7" t="s">
        <v>188</v>
      </c>
      <c r="R24" s="7">
        <v>3280</v>
      </c>
      <c r="S24" s="7">
        <v>3280</v>
      </c>
      <c r="T24" s="7" t="s">
        <v>213</v>
      </c>
      <c r="U24" s="7">
        <v>150</v>
      </c>
      <c r="V24" s="7">
        <v>4500</v>
      </c>
      <c r="W24" s="7" t="s">
        <v>217</v>
      </c>
      <c r="X24" s="7">
        <v>2</v>
      </c>
      <c r="Y24" s="7">
        <v>200</v>
      </c>
      <c r="Z24" s="10">
        <v>7980</v>
      </c>
      <c r="AA24" s="11">
        <v>2.43</v>
      </c>
      <c r="AB24" s="245">
        <v>0.29</v>
      </c>
    </row>
    <row r="25" s="217" customFormat="1" customHeight="1" spans="1:28">
      <c r="A25" s="2"/>
      <c r="B25" s="2">
        <v>80</v>
      </c>
      <c r="C25" s="7">
        <v>80</v>
      </c>
      <c r="D25" s="9" t="s">
        <v>213</v>
      </c>
      <c r="E25" s="9">
        <v>5</v>
      </c>
      <c r="F25" s="7">
        <v>150</v>
      </c>
      <c r="G25" s="9" t="s">
        <v>527</v>
      </c>
      <c r="H25" s="9">
        <v>80</v>
      </c>
      <c r="I25" s="7">
        <v>80</v>
      </c>
      <c r="J25" s="10">
        <v>230</v>
      </c>
      <c r="K25" s="11">
        <v>0.1</v>
      </c>
      <c r="L25" s="2"/>
      <c r="M25" s="2"/>
      <c r="N25" s="7" t="s">
        <v>1517</v>
      </c>
      <c r="O25" s="7">
        <v>4888</v>
      </c>
      <c r="P25" s="7">
        <v>3</v>
      </c>
      <c r="Q25" s="7" t="s">
        <v>213</v>
      </c>
      <c r="R25" s="7">
        <v>200</v>
      </c>
      <c r="S25" s="7">
        <v>6000</v>
      </c>
      <c r="T25" s="7" t="s">
        <v>527</v>
      </c>
      <c r="U25" s="7">
        <v>500</v>
      </c>
      <c r="V25" s="7">
        <v>500</v>
      </c>
      <c r="W25" s="7"/>
      <c r="X25" s="7"/>
      <c r="Y25" s="7"/>
      <c r="Z25" s="10">
        <v>6500</v>
      </c>
      <c r="AA25" s="11">
        <v>1.33</v>
      </c>
      <c r="AB25" s="245">
        <v>0.43</v>
      </c>
    </row>
    <row r="26" s="217" customFormat="1" customHeight="1" spans="1:28">
      <c r="A26" s="2"/>
      <c r="B26" s="2">
        <v>80</v>
      </c>
      <c r="C26" s="7">
        <v>160</v>
      </c>
      <c r="D26" s="9" t="s">
        <v>213</v>
      </c>
      <c r="E26" s="9">
        <v>5</v>
      </c>
      <c r="F26" s="7">
        <v>150</v>
      </c>
      <c r="G26" s="9" t="s">
        <v>527</v>
      </c>
      <c r="H26" s="9">
        <v>80</v>
      </c>
      <c r="I26" s="7">
        <v>80</v>
      </c>
      <c r="J26" s="10">
        <v>230</v>
      </c>
      <c r="K26" s="11">
        <v>0.1</v>
      </c>
      <c r="L26" s="2"/>
      <c r="M26" s="2"/>
      <c r="N26" s="2"/>
      <c r="O26" s="258"/>
      <c r="P26" s="3"/>
      <c r="Q26" s="2"/>
      <c r="R26" s="3"/>
      <c r="S26" s="258"/>
      <c r="T26" s="258"/>
      <c r="U26" s="3"/>
      <c r="V26" s="2"/>
      <c r="W26" s="2"/>
      <c r="X26" s="258"/>
    </row>
    <row r="27" s="217" customFormat="1" customHeight="1" spans="1:28">
      <c r="A27" s="2"/>
      <c r="B27" s="2">
        <v>100</v>
      </c>
      <c r="C27" s="7">
        <v>260</v>
      </c>
      <c r="D27" s="9" t="s">
        <v>213</v>
      </c>
      <c r="E27" s="9">
        <v>5</v>
      </c>
      <c r="F27" s="7">
        <v>150</v>
      </c>
      <c r="G27" s="9" t="s">
        <v>527</v>
      </c>
      <c r="H27" s="9">
        <v>80</v>
      </c>
      <c r="I27" s="7">
        <v>80</v>
      </c>
      <c r="J27" s="10">
        <v>230</v>
      </c>
      <c r="K27" s="11">
        <v>0.08</v>
      </c>
      <c r="L27" s="2"/>
      <c r="M27" s="258"/>
      <c r="N27" s="2"/>
      <c r="O27" s="258"/>
      <c r="P27" s="3"/>
      <c r="Q27" s="2"/>
      <c r="R27" s="3"/>
      <c r="S27" s="258"/>
      <c r="T27" s="258"/>
      <c r="U27" s="3"/>
      <c r="V27" s="2"/>
      <c r="W27" s="2"/>
      <c r="X27" s="258"/>
    </row>
    <row r="28" s="217" customFormat="1" customHeight="1" spans="1:28">
      <c r="A28" s="2"/>
      <c r="B28" s="2">
        <v>140</v>
      </c>
      <c r="C28" s="7">
        <v>400</v>
      </c>
      <c r="D28" s="9" t="s">
        <v>213</v>
      </c>
      <c r="E28" s="9">
        <v>10</v>
      </c>
      <c r="F28" s="7">
        <v>300</v>
      </c>
      <c r="G28" s="9" t="s">
        <v>527</v>
      </c>
      <c r="H28" s="9">
        <v>100</v>
      </c>
      <c r="I28" s="7">
        <v>100</v>
      </c>
      <c r="J28" s="10">
        <v>400</v>
      </c>
      <c r="K28" s="11">
        <v>0.1</v>
      </c>
      <c r="L28" s="2"/>
      <c r="M28" s="258"/>
      <c r="N28" s="243" t="s">
        <v>1518</v>
      </c>
      <c r="O28" s="258"/>
      <c r="P28" s="3"/>
      <c r="Q28" s="2"/>
      <c r="R28" s="3"/>
      <c r="S28" s="258"/>
      <c r="T28" s="258"/>
      <c r="U28" s="3"/>
      <c r="V28" s="2"/>
      <c r="W28" s="2"/>
      <c r="X28" s="258"/>
    </row>
    <row r="29" s="217" customFormat="1" customHeight="1" spans="1:28">
      <c r="A29" s="2"/>
      <c r="B29" s="2">
        <v>180</v>
      </c>
      <c r="C29" s="7">
        <v>580</v>
      </c>
      <c r="D29" s="9" t="s">
        <v>213</v>
      </c>
      <c r="E29" s="9">
        <v>10</v>
      </c>
      <c r="F29" s="7">
        <v>300</v>
      </c>
      <c r="G29" s="9" t="s">
        <v>527</v>
      </c>
      <c r="H29" s="9">
        <v>100</v>
      </c>
      <c r="I29" s="7">
        <v>100</v>
      </c>
      <c r="J29" s="10">
        <v>400</v>
      </c>
      <c r="K29" s="11">
        <v>0.07</v>
      </c>
      <c r="L29" s="2"/>
      <c r="M29" s="25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="217" customFormat="1" customHeight="1" spans="1:28">
      <c r="A30" s="2"/>
      <c r="B30" s="2">
        <v>220</v>
      </c>
      <c r="C30" s="7">
        <v>800</v>
      </c>
      <c r="D30" s="9" t="s">
        <v>213</v>
      </c>
      <c r="E30" s="9">
        <v>10</v>
      </c>
      <c r="F30" s="7">
        <v>300</v>
      </c>
      <c r="G30" s="9" t="s">
        <v>527</v>
      </c>
      <c r="H30" s="9">
        <v>100</v>
      </c>
      <c r="I30" s="7">
        <v>100</v>
      </c>
      <c r="J30" s="10">
        <v>400</v>
      </c>
      <c r="K30" s="11">
        <v>0.06</v>
      </c>
      <c r="L30" s="2"/>
      <c r="M30" s="258"/>
      <c r="N30" s="10" t="s">
        <v>1519</v>
      </c>
      <c r="O30" s="6" t="s">
        <v>1099</v>
      </c>
      <c r="P30" s="6" t="s">
        <v>919</v>
      </c>
      <c r="Q30" s="6" t="s">
        <v>922</v>
      </c>
      <c r="R30" s="6" t="s">
        <v>1099</v>
      </c>
      <c r="S30" s="6" t="s">
        <v>919</v>
      </c>
      <c r="T30" s="6" t="s">
        <v>922</v>
      </c>
      <c r="U30" s="6" t="s">
        <v>1099</v>
      </c>
      <c r="V30" s="6" t="s">
        <v>919</v>
      </c>
      <c r="W30" s="6" t="s">
        <v>922</v>
      </c>
      <c r="X30" s="6" t="s">
        <v>1099</v>
      </c>
      <c r="Y30" s="6" t="s">
        <v>919</v>
      </c>
      <c r="Z30" s="6" t="s">
        <v>922</v>
      </c>
      <c r="AA30" s="6" t="s">
        <v>965</v>
      </c>
    </row>
    <row r="31" s="217" customFormat="1" customHeight="1" spans="1:28">
      <c r="A31" s="2"/>
      <c r="B31" s="2"/>
      <c r="C31" s="2"/>
      <c r="D31" s="2"/>
      <c r="E31" s="2">
        <v>45</v>
      </c>
      <c r="F31" s="2"/>
      <c r="G31" s="2"/>
      <c r="H31" s="2">
        <v>540</v>
      </c>
      <c r="I31" s="2"/>
      <c r="J31" s="10">
        <v>1890</v>
      </c>
      <c r="K31" s="11">
        <v>0.08</v>
      </c>
      <c r="L31" s="2"/>
      <c r="M31" s="258"/>
      <c r="N31" s="7">
        <v>1</v>
      </c>
      <c r="O31" s="7" t="s">
        <v>197</v>
      </c>
      <c r="P31" s="7">
        <v>300</v>
      </c>
      <c r="Q31" s="7">
        <v>3000</v>
      </c>
      <c r="R31" s="7" t="s">
        <v>683</v>
      </c>
      <c r="S31" s="256">
        <v>30</v>
      </c>
      <c r="T31" s="7">
        <v>480</v>
      </c>
      <c r="U31" s="7" t="s">
        <v>261</v>
      </c>
      <c r="V31" s="7">
        <v>20</v>
      </c>
      <c r="W31" s="7">
        <v>5600</v>
      </c>
      <c r="X31" s="7" t="s">
        <v>208</v>
      </c>
      <c r="Y31" s="7">
        <v>900</v>
      </c>
      <c r="Z31" s="7">
        <v>900</v>
      </c>
      <c r="AA31" s="7">
        <v>9980</v>
      </c>
    </row>
    <row r="32" s="217" customFormat="1" customHeight="1" spans="1:28">
      <c r="A32" s="2"/>
      <c r="B32" s="2" t="s">
        <v>1513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>
        <v>2</v>
      </c>
      <c r="O32" s="7" t="s">
        <v>197</v>
      </c>
      <c r="P32" s="7">
        <v>250</v>
      </c>
      <c r="Q32" s="7">
        <v>2500</v>
      </c>
      <c r="R32" s="255" t="s">
        <v>683</v>
      </c>
      <c r="S32" s="7">
        <v>20</v>
      </c>
      <c r="T32" s="7">
        <v>320</v>
      </c>
      <c r="U32" s="7" t="s">
        <v>261</v>
      </c>
      <c r="V32" s="7">
        <v>18</v>
      </c>
      <c r="W32" s="7">
        <v>5040</v>
      </c>
      <c r="X32" s="7" t="s">
        <v>208</v>
      </c>
      <c r="Y32" s="7">
        <v>750</v>
      </c>
      <c r="Z32" s="7">
        <v>750</v>
      </c>
      <c r="AA32" s="7">
        <v>8610</v>
      </c>
    </row>
    <row r="33" s="217" customFormat="1" customHeight="1" spans="1:27">
      <c r="A33" s="2"/>
      <c r="B33" s="2"/>
      <c r="C33" s="6" t="s">
        <v>1412</v>
      </c>
      <c r="D33" s="6" t="s">
        <v>1099</v>
      </c>
      <c r="E33" s="6" t="s">
        <v>919</v>
      </c>
      <c r="F33" s="6" t="s">
        <v>922</v>
      </c>
      <c r="G33" s="6" t="s">
        <v>1099</v>
      </c>
      <c r="H33" s="6" t="s">
        <v>919</v>
      </c>
      <c r="I33" s="6" t="s">
        <v>922</v>
      </c>
      <c r="J33" s="6" t="s">
        <v>965</v>
      </c>
      <c r="K33" s="6" t="s">
        <v>1095</v>
      </c>
      <c r="L33" s="2"/>
      <c r="M33" s="2"/>
      <c r="N33" s="7">
        <v>3</v>
      </c>
      <c r="O33" s="7" t="s">
        <v>197</v>
      </c>
      <c r="P33" s="7">
        <v>200</v>
      </c>
      <c r="Q33" s="7">
        <v>2000</v>
      </c>
      <c r="R33" s="8" t="s">
        <v>683</v>
      </c>
      <c r="S33" s="7">
        <v>15</v>
      </c>
      <c r="T33" s="7">
        <v>240</v>
      </c>
      <c r="U33" s="7" t="s">
        <v>261</v>
      </c>
      <c r="V33" s="7">
        <v>15</v>
      </c>
      <c r="W33" s="7">
        <v>4200</v>
      </c>
      <c r="X33" s="7" t="s">
        <v>208</v>
      </c>
      <c r="Y33" s="7">
        <v>600</v>
      </c>
      <c r="Z33" s="7">
        <v>600</v>
      </c>
      <c r="AA33" s="7">
        <v>7040</v>
      </c>
    </row>
    <row r="34" s="217" customFormat="1" customHeight="1" spans="1:27">
      <c r="A34" s="2"/>
      <c r="B34" s="2">
        <v>100</v>
      </c>
      <c r="C34" s="7">
        <v>100</v>
      </c>
      <c r="D34" s="9" t="s">
        <v>213</v>
      </c>
      <c r="E34" s="9">
        <v>5</v>
      </c>
      <c r="F34" s="7">
        <v>150</v>
      </c>
      <c r="G34" s="9" t="s">
        <v>527</v>
      </c>
      <c r="H34" s="9">
        <v>100</v>
      </c>
      <c r="I34" s="7">
        <v>100</v>
      </c>
      <c r="J34" s="7">
        <v>250</v>
      </c>
      <c r="K34" s="12">
        <v>0.08</v>
      </c>
      <c r="L34" s="2"/>
      <c r="M34" s="2"/>
      <c r="N34" s="7" t="s">
        <v>1520</v>
      </c>
      <c r="O34" s="7" t="s">
        <v>197</v>
      </c>
      <c r="P34" s="7">
        <v>150</v>
      </c>
      <c r="Q34" s="7">
        <v>1500</v>
      </c>
      <c r="R34" s="8" t="s">
        <v>683</v>
      </c>
      <c r="S34" s="7">
        <v>12</v>
      </c>
      <c r="T34" s="7">
        <v>192</v>
      </c>
      <c r="U34" s="7" t="s">
        <v>261</v>
      </c>
      <c r="V34" s="7">
        <v>13</v>
      </c>
      <c r="W34" s="7">
        <v>3640</v>
      </c>
      <c r="X34" s="7" t="s">
        <v>208</v>
      </c>
      <c r="Y34" s="7">
        <v>300</v>
      </c>
      <c r="Z34" s="7">
        <v>300</v>
      </c>
      <c r="AA34" s="7">
        <v>5632</v>
      </c>
    </row>
    <row r="35" s="217" customFormat="1" customHeight="1" spans="1:27">
      <c r="A35" s="2"/>
      <c r="B35" s="2">
        <v>100</v>
      </c>
      <c r="C35" s="7">
        <v>200</v>
      </c>
      <c r="D35" s="9" t="s">
        <v>213</v>
      </c>
      <c r="E35" s="9">
        <v>5</v>
      </c>
      <c r="F35" s="7">
        <v>150</v>
      </c>
      <c r="G35" s="9" t="s">
        <v>527</v>
      </c>
      <c r="H35" s="9">
        <v>100</v>
      </c>
      <c r="I35" s="7">
        <v>100</v>
      </c>
      <c r="J35" s="7">
        <v>250</v>
      </c>
      <c r="K35" s="12">
        <v>0.08</v>
      </c>
      <c r="L35" s="2"/>
      <c r="M35" s="2"/>
      <c r="N35" s="7" t="s">
        <v>1521</v>
      </c>
      <c r="O35" s="7" t="s">
        <v>197</v>
      </c>
      <c r="P35" s="7">
        <v>130</v>
      </c>
      <c r="Q35" s="7">
        <v>1300</v>
      </c>
      <c r="R35" s="8" t="s">
        <v>683</v>
      </c>
      <c r="S35" s="7">
        <v>10</v>
      </c>
      <c r="T35" s="7">
        <v>160</v>
      </c>
      <c r="U35" s="7" t="s">
        <v>261</v>
      </c>
      <c r="V35" s="7">
        <v>10</v>
      </c>
      <c r="W35" s="7">
        <v>2800</v>
      </c>
      <c r="X35" s="7" t="s">
        <v>208</v>
      </c>
      <c r="Y35" s="7">
        <v>200</v>
      </c>
      <c r="Z35" s="7">
        <v>200</v>
      </c>
      <c r="AA35" s="7">
        <v>4460</v>
      </c>
    </row>
    <row r="36" s="217" customFormat="1" customHeight="1" spans="1:27">
      <c r="A36" s="2"/>
      <c r="B36" s="2">
        <v>120</v>
      </c>
      <c r="C36" s="7">
        <v>320</v>
      </c>
      <c r="D36" s="9" t="s">
        <v>213</v>
      </c>
      <c r="E36" s="9">
        <v>5</v>
      </c>
      <c r="F36" s="7">
        <v>150</v>
      </c>
      <c r="G36" s="9" t="s">
        <v>527</v>
      </c>
      <c r="H36" s="9">
        <v>100</v>
      </c>
      <c r="I36" s="7">
        <v>100</v>
      </c>
      <c r="J36" s="7">
        <v>250</v>
      </c>
      <c r="K36" s="12">
        <v>0.07</v>
      </c>
      <c r="L36" s="2"/>
      <c r="M36" s="2"/>
      <c r="N36" s="7" t="s">
        <v>1522</v>
      </c>
      <c r="O36" s="7" t="s">
        <v>197</v>
      </c>
      <c r="P36" s="7">
        <v>100</v>
      </c>
      <c r="Q36" s="7">
        <v>1000</v>
      </c>
      <c r="R36" s="259" t="s">
        <v>683</v>
      </c>
      <c r="S36" s="7">
        <v>8</v>
      </c>
      <c r="T36" s="7">
        <v>128</v>
      </c>
      <c r="U36" s="7" t="s">
        <v>261</v>
      </c>
      <c r="V36" s="7">
        <v>10</v>
      </c>
      <c r="W36" s="7">
        <v>2800</v>
      </c>
      <c r="X36" s="7" t="s">
        <v>208</v>
      </c>
      <c r="Y36" s="7">
        <v>180</v>
      </c>
      <c r="Z36" s="7">
        <v>180</v>
      </c>
      <c r="AA36" s="7">
        <v>4108</v>
      </c>
    </row>
    <row r="37" s="217" customFormat="1" customHeight="1" spans="1:27">
      <c r="A37" s="2"/>
      <c r="B37" s="2">
        <v>180</v>
      </c>
      <c r="C37" s="7">
        <v>500</v>
      </c>
      <c r="D37" s="9" t="s">
        <v>213</v>
      </c>
      <c r="E37" s="9">
        <v>10</v>
      </c>
      <c r="F37" s="7">
        <v>300</v>
      </c>
      <c r="G37" s="9" t="s">
        <v>527</v>
      </c>
      <c r="H37" s="9">
        <v>120</v>
      </c>
      <c r="I37" s="7">
        <v>120</v>
      </c>
      <c r="J37" s="7">
        <v>420</v>
      </c>
      <c r="K37" s="12">
        <v>0.08</v>
      </c>
      <c r="L37" s="2"/>
      <c r="M37" s="2"/>
      <c r="N37" s="7" t="s">
        <v>1523</v>
      </c>
      <c r="O37" s="7" t="s">
        <v>197</v>
      </c>
      <c r="P37" s="7">
        <v>80</v>
      </c>
      <c r="Q37" s="7">
        <v>800</v>
      </c>
      <c r="R37" s="260" t="s">
        <v>683</v>
      </c>
      <c r="S37" s="247">
        <v>5</v>
      </c>
      <c r="T37" s="7">
        <v>80</v>
      </c>
      <c r="U37" s="7" t="s">
        <v>261</v>
      </c>
      <c r="V37" s="7">
        <v>8</v>
      </c>
      <c r="W37" s="7">
        <v>2240</v>
      </c>
      <c r="X37" s="7" t="s">
        <v>208</v>
      </c>
      <c r="Y37" s="7">
        <v>150</v>
      </c>
      <c r="Z37" s="7">
        <v>150</v>
      </c>
      <c r="AA37" s="7">
        <v>3270</v>
      </c>
    </row>
    <row r="38" s="217" customFormat="1" customHeight="1" spans="1:27">
      <c r="A38" s="2"/>
      <c r="B38" s="2">
        <v>220</v>
      </c>
      <c r="C38" s="7">
        <v>720</v>
      </c>
      <c r="D38" s="9" t="s">
        <v>213</v>
      </c>
      <c r="E38" s="9">
        <v>10</v>
      </c>
      <c r="F38" s="7">
        <v>300</v>
      </c>
      <c r="G38" s="9" t="s">
        <v>527</v>
      </c>
      <c r="H38" s="9">
        <v>120</v>
      </c>
      <c r="I38" s="7">
        <v>120</v>
      </c>
      <c r="J38" s="7">
        <v>420</v>
      </c>
      <c r="K38" s="12">
        <v>0.06</v>
      </c>
      <c r="L38" s="2"/>
      <c r="M38" s="2"/>
      <c r="N38" s="7" t="s">
        <v>1524</v>
      </c>
      <c r="O38" s="7" t="s">
        <v>197</v>
      </c>
      <c r="P38" s="7">
        <v>50</v>
      </c>
      <c r="Q38" s="7">
        <v>500</v>
      </c>
      <c r="R38" s="7" t="s">
        <v>261</v>
      </c>
      <c r="S38" s="7">
        <v>5</v>
      </c>
      <c r="T38" s="7">
        <v>1400</v>
      </c>
      <c r="U38" s="7" t="s">
        <v>208</v>
      </c>
      <c r="V38" s="7">
        <v>120</v>
      </c>
      <c r="W38" s="7">
        <v>120</v>
      </c>
      <c r="X38" s="256"/>
      <c r="Y38" s="256"/>
      <c r="Z38" s="256"/>
      <c r="AA38" s="256"/>
    </row>
    <row r="39" s="217" customFormat="1" customHeight="1" spans="1:27">
      <c r="A39" s="2"/>
      <c r="B39" s="2">
        <v>280</v>
      </c>
      <c r="C39" s="7">
        <v>1000</v>
      </c>
      <c r="D39" s="9" t="s">
        <v>213</v>
      </c>
      <c r="E39" s="9">
        <v>10</v>
      </c>
      <c r="F39" s="7">
        <v>300</v>
      </c>
      <c r="G39" s="9" t="s">
        <v>527</v>
      </c>
      <c r="H39" s="9">
        <v>120</v>
      </c>
      <c r="I39" s="7">
        <v>120</v>
      </c>
      <c r="J39" s="7">
        <v>420</v>
      </c>
      <c r="K39" s="12">
        <v>0.05</v>
      </c>
      <c r="L39" s="2"/>
      <c r="M39" s="2"/>
      <c r="N39" s="7" t="s">
        <v>1525</v>
      </c>
      <c r="O39" s="7" t="s">
        <v>188</v>
      </c>
      <c r="P39" s="7">
        <v>300</v>
      </c>
      <c r="Q39" s="7">
        <v>300</v>
      </c>
      <c r="R39" s="7" t="s">
        <v>261</v>
      </c>
      <c r="S39" s="7">
        <v>3</v>
      </c>
      <c r="T39" s="7">
        <v>840</v>
      </c>
      <c r="U39" s="7" t="s">
        <v>208</v>
      </c>
      <c r="V39" s="7">
        <v>100</v>
      </c>
      <c r="W39" s="7">
        <v>100</v>
      </c>
      <c r="X39" s="256"/>
      <c r="Y39" s="256"/>
      <c r="Z39" s="256"/>
      <c r="AA39" s="256"/>
    </row>
    <row r="40" s="217" customFormat="1" customHeight="1" spans="1:27">
      <c r="A40" s="2"/>
      <c r="B40" s="2"/>
      <c r="C40" s="2"/>
      <c r="D40" s="2"/>
      <c r="E40" s="2">
        <v>45</v>
      </c>
      <c r="F40" s="2"/>
      <c r="G40" s="2"/>
      <c r="H40" s="2">
        <v>660</v>
      </c>
      <c r="I40" s="2"/>
      <c r="J40" s="10">
        <v>2010</v>
      </c>
      <c r="K40" s="11">
        <v>0.07</v>
      </c>
      <c r="L40" s="2"/>
      <c r="M40" s="2"/>
      <c r="N40" s="7" t="s">
        <v>1526</v>
      </c>
      <c r="O40" s="7" t="s">
        <v>188</v>
      </c>
      <c r="P40" s="7">
        <v>100</v>
      </c>
      <c r="Q40" s="7">
        <v>100</v>
      </c>
      <c r="R40" s="7" t="s">
        <v>261</v>
      </c>
      <c r="S40" s="7">
        <v>2</v>
      </c>
      <c r="T40" s="7">
        <v>560</v>
      </c>
      <c r="U40" s="7" t="s">
        <v>208</v>
      </c>
      <c r="V40" s="7">
        <v>80</v>
      </c>
      <c r="W40" s="7">
        <v>80</v>
      </c>
      <c r="X40" s="256"/>
      <c r="Y40" s="256"/>
      <c r="Z40" s="256"/>
      <c r="AA40" s="256"/>
    </row>
    <row r="41" s="217" customFormat="1" customHeight="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7" t="s">
        <v>1527</v>
      </c>
      <c r="O41" s="7" t="s">
        <v>261</v>
      </c>
      <c r="P41" s="7">
        <v>1</v>
      </c>
      <c r="Q41" s="7">
        <v>280</v>
      </c>
      <c r="R41" s="7" t="s">
        <v>208</v>
      </c>
      <c r="S41" s="7">
        <v>50</v>
      </c>
      <c r="T41" s="7">
        <v>50</v>
      </c>
      <c r="U41" s="256"/>
      <c r="V41" s="256"/>
      <c r="W41" s="256"/>
      <c r="X41" s="256"/>
      <c r="Y41" s="256"/>
      <c r="Z41" s="256"/>
      <c r="AA41" s="256"/>
    </row>
    <row r="42" s="217" customFormat="1" customHeight="1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 t="s">
        <v>1528</v>
      </c>
      <c r="O42" s="7" t="s">
        <v>258</v>
      </c>
      <c r="P42" s="7">
        <v>3</v>
      </c>
      <c r="Q42" s="7">
        <v>150</v>
      </c>
      <c r="R42" s="7" t="s">
        <v>208</v>
      </c>
      <c r="S42" s="7">
        <v>30</v>
      </c>
      <c r="T42" s="7">
        <v>30</v>
      </c>
      <c r="U42" s="256"/>
      <c r="V42" s="256"/>
      <c r="W42" s="256"/>
      <c r="X42" s="256"/>
      <c r="Y42" s="256"/>
      <c r="Z42" s="256"/>
      <c r="AA42" s="256"/>
    </row>
    <row r="43" s="217" customFormat="1" customHeight="1" spans="1:27">
      <c r="A43" s="2"/>
      <c r="B43" s="2" t="s">
        <v>1529</v>
      </c>
      <c r="C43" s="2"/>
      <c r="D43" s="2"/>
      <c r="E43" s="2"/>
      <c r="F43" s="2"/>
      <c r="G43" s="2"/>
      <c r="H43" s="2"/>
      <c r="I43" s="2"/>
      <c r="J43" s="2"/>
      <c r="K43" s="2"/>
    </row>
    <row r="44" s="217" customFormat="1" customHeight="1" spans="1:27">
      <c r="A44" s="2"/>
      <c r="B44" s="2"/>
      <c r="C44" s="6" t="s">
        <v>1412</v>
      </c>
      <c r="D44" s="6" t="s">
        <v>1099</v>
      </c>
      <c r="E44" s="6" t="s">
        <v>919</v>
      </c>
      <c r="F44" s="6" t="s">
        <v>922</v>
      </c>
      <c r="G44" s="6" t="s">
        <v>1099</v>
      </c>
      <c r="H44" s="6" t="s">
        <v>919</v>
      </c>
      <c r="I44" s="6" t="s">
        <v>922</v>
      </c>
      <c r="J44" s="6" t="s">
        <v>965</v>
      </c>
      <c r="K44" s="6" t="s">
        <v>1095</v>
      </c>
    </row>
    <row r="45" s="217" customFormat="1" customHeight="1" spans="1:27">
      <c r="A45" s="2"/>
      <c r="B45" s="2"/>
      <c r="C45" s="7">
        <v>40</v>
      </c>
      <c r="D45" s="7" t="s">
        <v>213</v>
      </c>
      <c r="E45" s="7">
        <v>5</v>
      </c>
      <c r="F45" s="7">
        <v>150</v>
      </c>
      <c r="G45" s="7" t="s">
        <v>258</v>
      </c>
      <c r="H45" s="7">
        <v>1</v>
      </c>
      <c r="I45" s="7">
        <v>50</v>
      </c>
      <c r="J45" s="7">
        <v>200</v>
      </c>
      <c r="K45" s="244">
        <v>0.17</v>
      </c>
    </row>
    <row r="46" s="217" customFormat="1" customHeight="1" spans="1:27">
      <c r="A46" s="2"/>
      <c r="B46" s="2"/>
      <c r="C46" s="7">
        <v>80</v>
      </c>
      <c r="D46" s="7" t="s">
        <v>213</v>
      </c>
      <c r="E46" s="7">
        <v>5</v>
      </c>
      <c r="F46" s="7">
        <v>150</v>
      </c>
      <c r="G46" s="7" t="s">
        <v>258</v>
      </c>
      <c r="H46" s="7">
        <v>1</v>
      </c>
      <c r="I46" s="7">
        <v>50</v>
      </c>
      <c r="J46" s="7">
        <v>200</v>
      </c>
      <c r="K46" s="244">
        <v>0.17</v>
      </c>
    </row>
    <row r="47" s="217" customFormat="1" customHeight="1" spans="1:27">
      <c r="A47" s="2"/>
      <c r="B47" s="2"/>
      <c r="C47" s="7">
        <v>130</v>
      </c>
      <c r="D47" s="7" t="s">
        <v>213</v>
      </c>
      <c r="E47" s="7">
        <v>5</v>
      </c>
      <c r="F47" s="7">
        <v>150</v>
      </c>
      <c r="G47" s="7" t="s">
        <v>258</v>
      </c>
      <c r="H47" s="7">
        <v>1</v>
      </c>
      <c r="I47" s="7">
        <v>50</v>
      </c>
      <c r="J47" s="7">
        <v>200</v>
      </c>
      <c r="K47" s="244">
        <v>0.13</v>
      </c>
    </row>
    <row r="48" s="217" customFormat="1" customHeight="1" spans="1:27">
      <c r="A48" s="2"/>
      <c r="B48" s="2"/>
      <c r="C48" s="7">
        <v>200</v>
      </c>
      <c r="D48" s="7" t="s">
        <v>213</v>
      </c>
      <c r="E48" s="7">
        <v>10</v>
      </c>
      <c r="F48" s="7">
        <v>300</v>
      </c>
      <c r="G48" s="7" t="s">
        <v>258</v>
      </c>
      <c r="H48" s="7">
        <v>2</v>
      </c>
      <c r="I48" s="7">
        <v>100</v>
      </c>
      <c r="J48" s="7">
        <v>400</v>
      </c>
      <c r="K48" s="244">
        <v>0.19</v>
      </c>
    </row>
    <row r="49" s="217" customFormat="1" customHeight="1" spans="1:11">
      <c r="A49" s="2"/>
      <c r="B49" s="2"/>
      <c r="C49" s="7">
        <v>280</v>
      </c>
      <c r="D49" s="7" t="s">
        <v>213</v>
      </c>
      <c r="E49" s="7">
        <v>10</v>
      </c>
      <c r="F49" s="7">
        <v>300</v>
      </c>
      <c r="G49" s="7" t="s">
        <v>258</v>
      </c>
      <c r="H49" s="7">
        <v>2</v>
      </c>
      <c r="I49" s="7">
        <v>100</v>
      </c>
      <c r="J49" s="7">
        <v>400</v>
      </c>
      <c r="K49" s="244">
        <v>0.17</v>
      </c>
    </row>
    <row r="50" s="217" customFormat="1" customHeight="1" spans="1:11">
      <c r="A50" s="2"/>
      <c r="B50" s="2"/>
      <c r="C50" s="7">
        <v>400</v>
      </c>
      <c r="D50" s="7" t="s">
        <v>213</v>
      </c>
      <c r="E50" s="7">
        <v>10</v>
      </c>
      <c r="F50" s="7">
        <v>300</v>
      </c>
      <c r="G50" s="7" t="s">
        <v>258</v>
      </c>
      <c r="H50" s="7">
        <v>2</v>
      </c>
      <c r="I50" s="7">
        <v>100</v>
      </c>
      <c r="J50" s="7">
        <v>400</v>
      </c>
      <c r="K50" s="244">
        <v>0.11</v>
      </c>
    </row>
    <row r="51" s="217" customFormat="1" customHeight="1" spans="1:11">
      <c r="A51" s="2"/>
      <c r="B51" s="2" t="s">
        <v>1530</v>
      </c>
      <c r="C51" s="2"/>
      <c r="D51" s="2"/>
      <c r="E51" s="2"/>
      <c r="F51" s="2"/>
      <c r="G51" s="2"/>
      <c r="H51" s="2"/>
      <c r="I51" s="2"/>
      <c r="J51" s="2"/>
      <c r="K51" s="2"/>
    </row>
    <row r="52" s="217" customFormat="1" customHeight="1" spans="1:11">
      <c r="A52" s="2"/>
      <c r="B52" s="2"/>
      <c r="C52" s="6" t="s">
        <v>1412</v>
      </c>
      <c r="D52" s="6" t="s">
        <v>1099</v>
      </c>
      <c r="E52" s="6" t="s">
        <v>919</v>
      </c>
      <c r="F52" s="6" t="s">
        <v>922</v>
      </c>
      <c r="G52" s="6" t="s">
        <v>1099</v>
      </c>
      <c r="H52" s="6" t="s">
        <v>919</v>
      </c>
      <c r="I52" s="6" t="s">
        <v>922</v>
      </c>
      <c r="J52" s="6" t="s">
        <v>965</v>
      </c>
      <c r="K52" s="6" t="s">
        <v>1095</v>
      </c>
    </row>
    <row r="53" s="217" customFormat="1" customHeight="1" spans="1:11">
      <c r="A53" s="2"/>
      <c r="B53" s="2"/>
      <c r="C53" s="7">
        <v>60</v>
      </c>
      <c r="D53" s="7" t="s">
        <v>213</v>
      </c>
      <c r="E53" s="7">
        <v>5</v>
      </c>
      <c r="F53" s="7">
        <v>150</v>
      </c>
      <c r="G53" s="7" t="s">
        <v>258</v>
      </c>
      <c r="H53" s="7">
        <v>2</v>
      </c>
      <c r="I53" s="7">
        <v>100</v>
      </c>
      <c r="J53" s="7">
        <v>250</v>
      </c>
      <c r="K53" s="261">
        <v>0.14</v>
      </c>
    </row>
    <row r="54" s="217" customFormat="1" customHeight="1" spans="1:11">
      <c r="A54" s="2"/>
      <c r="B54" s="2"/>
      <c r="C54" s="7">
        <v>120</v>
      </c>
      <c r="D54" s="7" t="s">
        <v>213</v>
      </c>
      <c r="E54" s="7">
        <v>5</v>
      </c>
      <c r="F54" s="7">
        <v>150</v>
      </c>
      <c r="G54" s="7" t="s">
        <v>258</v>
      </c>
      <c r="H54" s="7">
        <v>2</v>
      </c>
      <c r="I54" s="7">
        <v>100</v>
      </c>
      <c r="J54" s="7">
        <v>250</v>
      </c>
      <c r="K54" s="261">
        <v>0.14</v>
      </c>
    </row>
    <row r="55" s="217" customFormat="1" customHeight="1" spans="1:11">
      <c r="A55" s="2"/>
      <c r="B55" s="2"/>
      <c r="C55" s="7">
        <v>200</v>
      </c>
      <c r="D55" s="7" t="s">
        <v>213</v>
      </c>
      <c r="E55" s="7">
        <v>5</v>
      </c>
      <c r="F55" s="7">
        <v>150</v>
      </c>
      <c r="G55" s="7" t="s">
        <v>258</v>
      </c>
      <c r="H55" s="7">
        <v>2</v>
      </c>
      <c r="I55" s="7">
        <v>100</v>
      </c>
      <c r="J55" s="7">
        <v>250</v>
      </c>
      <c r="K55" s="261">
        <v>0.1</v>
      </c>
    </row>
    <row r="56" s="217" customFormat="1" customHeight="1" spans="1:11">
      <c r="A56" s="2"/>
      <c r="B56" s="2"/>
      <c r="C56" s="7">
        <v>300</v>
      </c>
      <c r="D56" s="7" t="s">
        <v>213</v>
      </c>
      <c r="E56" s="7">
        <v>10</v>
      </c>
      <c r="F56" s="7">
        <v>300</v>
      </c>
      <c r="G56" s="7" t="s">
        <v>258</v>
      </c>
      <c r="H56" s="7">
        <v>3</v>
      </c>
      <c r="I56" s="7">
        <v>150</v>
      </c>
      <c r="J56" s="7">
        <v>450</v>
      </c>
      <c r="K56" s="261">
        <v>0.15</v>
      </c>
    </row>
    <row r="57" s="217" customFormat="1" customHeight="1" spans="1:11">
      <c r="A57" s="2"/>
      <c r="B57" s="2"/>
      <c r="C57" s="7">
        <v>440</v>
      </c>
      <c r="D57" s="7" t="s">
        <v>213</v>
      </c>
      <c r="E57" s="7">
        <v>10</v>
      </c>
      <c r="F57" s="7">
        <v>300</v>
      </c>
      <c r="G57" s="7" t="s">
        <v>258</v>
      </c>
      <c r="H57" s="7">
        <v>3</v>
      </c>
      <c r="I57" s="7">
        <v>150</v>
      </c>
      <c r="J57" s="7">
        <v>450</v>
      </c>
      <c r="K57" s="261">
        <v>0.11</v>
      </c>
    </row>
    <row r="58" s="217" customFormat="1" customHeight="1" spans="1:11">
      <c r="A58" s="2"/>
      <c r="B58" s="2"/>
      <c r="C58" s="7">
        <v>600</v>
      </c>
      <c r="D58" s="7" t="s">
        <v>213</v>
      </c>
      <c r="E58" s="7">
        <v>10</v>
      </c>
      <c r="F58" s="7">
        <v>300</v>
      </c>
      <c r="G58" s="7" t="s">
        <v>258</v>
      </c>
      <c r="H58" s="7">
        <v>3</v>
      </c>
      <c r="I58" s="7">
        <v>150</v>
      </c>
      <c r="J58" s="7">
        <v>450</v>
      </c>
      <c r="K58" s="261">
        <v>0.09</v>
      </c>
    </row>
    <row r="59" s="217" customFormat="1" customHeight="1" spans="1:11">
      <c r="A59" s="2"/>
      <c r="B59" s="2" t="s">
        <v>1531</v>
      </c>
      <c r="C59" s="2"/>
      <c r="D59" s="2"/>
      <c r="E59" s="2"/>
      <c r="F59" s="2"/>
      <c r="G59" s="2"/>
      <c r="H59" s="2"/>
      <c r="I59" s="2"/>
      <c r="J59" s="2"/>
      <c r="K59" s="2"/>
    </row>
    <row r="60" s="217" customFormat="1" customHeight="1" spans="1:11">
      <c r="A60" s="2"/>
      <c r="B60" s="2"/>
      <c r="C60" s="6" t="s">
        <v>1412</v>
      </c>
      <c r="D60" s="6" t="s">
        <v>1099</v>
      </c>
      <c r="E60" s="6" t="s">
        <v>919</v>
      </c>
      <c r="F60" s="6" t="s">
        <v>922</v>
      </c>
      <c r="G60" s="6" t="s">
        <v>1099</v>
      </c>
      <c r="H60" s="6" t="s">
        <v>919</v>
      </c>
      <c r="I60" s="6" t="s">
        <v>922</v>
      </c>
      <c r="J60" s="6" t="s">
        <v>965</v>
      </c>
      <c r="K60" s="6" t="s">
        <v>1095</v>
      </c>
    </row>
    <row r="61" s="217" customFormat="1" customHeight="1" spans="1:11">
      <c r="A61" s="2"/>
      <c r="B61" s="2"/>
      <c r="C61" s="7">
        <v>80</v>
      </c>
      <c r="D61" s="7" t="s">
        <v>213</v>
      </c>
      <c r="E61" s="7">
        <v>10</v>
      </c>
      <c r="F61" s="7">
        <v>300</v>
      </c>
      <c r="G61" s="7" t="s">
        <v>258</v>
      </c>
      <c r="H61" s="7">
        <v>3</v>
      </c>
      <c r="I61" s="7">
        <v>150</v>
      </c>
      <c r="J61" s="246">
        <v>450</v>
      </c>
      <c r="K61" s="244">
        <v>0.19</v>
      </c>
    </row>
    <row r="62" s="217" customFormat="1" customHeight="1" spans="1:11">
      <c r="A62" s="2"/>
      <c r="B62" s="2"/>
      <c r="C62" s="7">
        <v>160</v>
      </c>
      <c r="D62" s="7" t="s">
        <v>213</v>
      </c>
      <c r="E62" s="7">
        <v>10</v>
      </c>
      <c r="F62" s="7">
        <v>300</v>
      </c>
      <c r="G62" s="7" t="s">
        <v>258</v>
      </c>
      <c r="H62" s="7">
        <v>3</v>
      </c>
      <c r="I62" s="7">
        <v>150</v>
      </c>
      <c r="J62" s="246">
        <v>450</v>
      </c>
      <c r="K62" s="244">
        <v>0.19</v>
      </c>
    </row>
    <row r="63" s="217" customFormat="1" customHeight="1" spans="1:11">
      <c r="A63" s="2"/>
      <c r="B63" s="2"/>
      <c r="C63" s="7">
        <v>260</v>
      </c>
      <c r="D63" s="7" t="s">
        <v>213</v>
      </c>
      <c r="E63" s="7">
        <v>10</v>
      </c>
      <c r="F63" s="7">
        <v>300</v>
      </c>
      <c r="G63" s="7" t="s">
        <v>258</v>
      </c>
      <c r="H63" s="7">
        <v>3</v>
      </c>
      <c r="I63" s="7">
        <v>150</v>
      </c>
      <c r="J63" s="246">
        <v>450</v>
      </c>
      <c r="K63" s="244">
        <v>0.15</v>
      </c>
    </row>
    <row r="64" s="217" customFormat="1" customHeight="1" spans="1:11">
      <c r="A64" s="2"/>
      <c r="B64" s="2"/>
      <c r="C64" s="7">
        <v>400</v>
      </c>
      <c r="D64" s="7" t="s">
        <v>213</v>
      </c>
      <c r="E64" s="7">
        <v>15</v>
      </c>
      <c r="F64" s="7">
        <v>450</v>
      </c>
      <c r="G64" s="7" t="s">
        <v>258</v>
      </c>
      <c r="H64" s="7">
        <v>5</v>
      </c>
      <c r="I64" s="7">
        <v>250</v>
      </c>
      <c r="J64" s="246">
        <v>700</v>
      </c>
      <c r="K64" s="244">
        <v>0.17</v>
      </c>
    </row>
    <row r="65" s="217" customFormat="1" customHeight="1" spans="1:11">
      <c r="A65" s="2"/>
      <c r="B65" s="2"/>
      <c r="C65" s="7">
        <v>560</v>
      </c>
      <c r="D65" s="7" t="s">
        <v>213</v>
      </c>
      <c r="E65" s="7">
        <v>15</v>
      </c>
      <c r="F65" s="7">
        <v>450</v>
      </c>
      <c r="G65" s="7" t="s">
        <v>258</v>
      </c>
      <c r="H65" s="7">
        <v>5</v>
      </c>
      <c r="I65" s="7">
        <v>250</v>
      </c>
      <c r="J65" s="246">
        <v>700</v>
      </c>
      <c r="K65" s="244">
        <v>0.15</v>
      </c>
    </row>
    <row r="66" s="217" customFormat="1" customHeight="1" spans="1:11">
      <c r="A66" s="2"/>
      <c r="B66" s="2"/>
      <c r="C66" s="7">
        <v>800</v>
      </c>
      <c r="D66" s="7" t="s">
        <v>213</v>
      </c>
      <c r="E66" s="7">
        <v>15</v>
      </c>
      <c r="F66" s="7">
        <v>450</v>
      </c>
      <c r="G66" s="7" t="s">
        <v>258</v>
      </c>
      <c r="H66" s="7">
        <v>5</v>
      </c>
      <c r="I66" s="7">
        <v>250</v>
      </c>
      <c r="J66" s="246">
        <v>700</v>
      </c>
      <c r="K66" s="244">
        <v>0.1</v>
      </c>
    </row>
    <row r="67" s="217" customFormat="1" customHeight="1" spans="1:11">
      <c r="A67" s="2"/>
      <c r="B67" s="2" t="s">
        <v>1532</v>
      </c>
      <c r="C67" s="2"/>
      <c r="D67" s="2"/>
      <c r="E67" s="2"/>
      <c r="F67" s="2"/>
      <c r="G67" s="2"/>
      <c r="H67" s="2"/>
      <c r="I67" s="2"/>
      <c r="J67" s="2"/>
      <c r="K67" s="2"/>
    </row>
    <row r="68" s="217" customFormat="1" customHeight="1" spans="1:11">
      <c r="A68" s="2"/>
      <c r="B68" s="2"/>
      <c r="C68" s="6" t="s">
        <v>1412</v>
      </c>
      <c r="D68" s="6" t="s">
        <v>1099</v>
      </c>
      <c r="E68" s="6" t="s">
        <v>919</v>
      </c>
      <c r="F68" s="6" t="s">
        <v>922</v>
      </c>
      <c r="G68" s="6" t="s">
        <v>1099</v>
      </c>
      <c r="H68" s="6" t="s">
        <v>919</v>
      </c>
      <c r="I68" s="6" t="s">
        <v>922</v>
      </c>
      <c r="J68" s="6" t="s">
        <v>965</v>
      </c>
      <c r="K68" s="6" t="s">
        <v>1095</v>
      </c>
    </row>
    <row r="69" s="217" customFormat="1" customHeight="1" spans="1:11">
      <c r="A69" s="2"/>
      <c r="B69" s="2"/>
      <c r="C69" s="7">
        <v>120</v>
      </c>
      <c r="D69" s="7" t="s">
        <v>213</v>
      </c>
      <c r="E69" s="7">
        <v>15</v>
      </c>
      <c r="F69" s="7">
        <v>450</v>
      </c>
      <c r="G69" s="7" t="s">
        <v>261</v>
      </c>
      <c r="H69" s="7">
        <v>1</v>
      </c>
      <c r="I69" s="7">
        <v>280</v>
      </c>
      <c r="J69" s="7">
        <v>730</v>
      </c>
      <c r="K69" s="261">
        <v>0.2</v>
      </c>
    </row>
    <row r="70" s="217" customFormat="1" customHeight="1" spans="1:11">
      <c r="A70" s="2"/>
      <c r="B70" s="2"/>
      <c r="C70" s="7">
        <v>240</v>
      </c>
      <c r="D70" s="7" t="s">
        <v>213</v>
      </c>
      <c r="E70" s="7">
        <v>15</v>
      </c>
      <c r="F70" s="7">
        <v>450</v>
      </c>
      <c r="G70" s="7" t="s">
        <v>261</v>
      </c>
      <c r="H70" s="7">
        <v>1</v>
      </c>
      <c r="I70" s="7">
        <v>280</v>
      </c>
      <c r="J70" s="7">
        <v>730</v>
      </c>
      <c r="K70" s="261">
        <v>0.2</v>
      </c>
    </row>
    <row r="71" s="217" customFormat="1" customHeight="1" spans="1:11">
      <c r="A71" s="2"/>
      <c r="B71" s="2"/>
      <c r="C71" s="7">
        <v>400</v>
      </c>
      <c r="D71" s="7" t="s">
        <v>213</v>
      </c>
      <c r="E71" s="7">
        <v>15</v>
      </c>
      <c r="F71" s="7">
        <v>450</v>
      </c>
      <c r="G71" s="7" t="s">
        <v>261</v>
      </c>
      <c r="H71" s="7">
        <v>1</v>
      </c>
      <c r="I71" s="7">
        <v>280</v>
      </c>
      <c r="J71" s="7">
        <v>730</v>
      </c>
      <c r="K71" s="261">
        <v>0.15</v>
      </c>
    </row>
    <row r="72" s="217" customFormat="1" customHeight="1" spans="1:11">
      <c r="A72" s="2"/>
      <c r="B72" s="2"/>
      <c r="C72" s="7">
        <v>600</v>
      </c>
      <c r="D72" s="7" t="s">
        <v>213</v>
      </c>
      <c r="E72" s="7">
        <v>20</v>
      </c>
      <c r="F72" s="7">
        <v>600</v>
      </c>
      <c r="G72" s="7" t="s">
        <v>261</v>
      </c>
      <c r="H72" s="7">
        <v>2</v>
      </c>
      <c r="I72" s="7">
        <v>560</v>
      </c>
      <c r="J72" s="7">
        <v>1160</v>
      </c>
      <c r="K72" s="261">
        <v>0.19</v>
      </c>
    </row>
    <row r="73" s="217" customFormat="1" customHeight="1" spans="1:11">
      <c r="A73" s="2"/>
      <c r="B73" s="2"/>
      <c r="C73" s="7">
        <v>880</v>
      </c>
      <c r="D73" s="7" t="s">
        <v>213</v>
      </c>
      <c r="E73" s="7">
        <v>20</v>
      </c>
      <c r="F73" s="7">
        <v>600</v>
      </c>
      <c r="G73" s="7" t="s">
        <v>261</v>
      </c>
      <c r="H73" s="7">
        <v>2</v>
      </c>
      <c r="I73" s="7">
        <v>560</v>
      </c>
      <c r="J73" s="7">
        <v>1160</v>
      </c>
      <c r="K73" s="261">
        <v>0.14</v>
      </c>
    </row>
    <row r="74" s="217" customFormat="1" customHeight="1" spans="1:11">
      <c r="A74" s="2"/>
      <c r="B74" s="2"/>
      <c r="C74" s="7">
        <v>1200</v>
      </c>
      <c r="D74" s="7" t="s">
        <v>213</v>
      </c>
      <c r="E74" s="7">
        <v>20</v>
      </c>
      <c r="F74" s="7">
        <v>600</v>
      </c>
      <c r="G74" s="7" t="s">
        <v>261</v>
      </c>
      <c r="H74" s="7">
        <v>2</v>
      </c>
      <c r="I74" s="7">
        <v>560</v>
      </c>
      <c r="J74" s="7">
        <v>1160</v>
      </c>
      <c r="K74" s="261">
        <v>0.12</v>
      </c>
    </row>
    <row r="75" customHeight="1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Height="1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Height="1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9"/>
  </sheetPr>
  <dimension ref="A2:AA75"/>
  <sheetViews>
    <sheetView workbookViewId="0">
      <selection activeCell="T25" sqref="T25"/>
    </sheetView>
  </sheetViews>
  <sheetFormatPr defaultColWidth="12.25" defaultRowHeight="18" customHeight="1"/>
  <cols>
    <col min="1" max="6" width="8.5" style="217" customWidth="1"/>
    <col min="7" max="7" width="13.6416666666667" style="217" customWidth="1"/>
    <col min="8" max="12" width="8.5" style="217" customWidth="1"/>
    <col min="13" max="13" width="13.825" style="217" customWidth="1"/>
    <col min="14" max="14" width="8.5" style="217" customWidth="1"/>
    <col min="15" max="15" width="12.8666666666667" style="217" customWidth="1"/>
    <col min="16" max="26" width="8.5" style="217" customWidth="1"/>
    <col min="27" max="16384" width="12.25" style="217"/>
  </cols>
  <sheetData>
    <row r="2" s="217" customFormat="1" customHeight="1" spans="1:27">
      <c r="A2" s="2"/>
      <c r="B2" s="2" t="s">
        <v>1533</v>
      </c>
      <c r="C2" s="2"/>
      <c r="D2" s="2"/>
      <c r="E2" s="2"/>
      <c r="F2" s="2">
        <v>50</v>
      </c>
      <c r="G2" s="2"/>
      <c r="H2" s="2">
        <v>280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="217" customFormat="1" customHeight="1" spans="1:27">
      <c r="A3" s="2"/>
      <c r="B3" s="2"/>
      <c r="C3" s="243" t="s">
        <v>1412</v>
      </c>
      <c r="D3" s="2"/>
      <c r="E3" s="2" t="s">
        <v>258</v>
      </c>
      <c r="F3" s="2" t="s">
        <v>1534</v>
      </c>
      <c r="G3" s="2" t="s">
        <v>261</v>
      </c>
      <c r="H3" s="2" t="s">
        <v>1535</v>
      </c>
      <c r="I3" s="2"/>
      <c r="J3" s="2"/>
      <c r="K3" s="2"/>
      <c r="L3" s="2"/>
      <c r="O3" s="5" t="s">
        <v>1536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="217" customFormat="1" customHeight="1" spans="1:2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="217" customFormat="1" customHeight="1" spans="1:27">
      <c r="A5" s="2"/>
      <c r="B5" s="2"/>
      <c r="C5" s="6" t="s">
        <v>1412</v>
      </c>
      <c r="D5" s="6" t="s">
        <v>1099</v>
      </c>
      <c r="E5" s="6" t="s">
        <v>919</v>
      </c>
      <c r="F5" s="6" t="s">
        <v>922</v>
      </c>
      <c r="G5" s="6" t="s">
        <v>1099</v>
      </c>
      <c r="H5" s="6" t="s">
        <v>919</v>
      </c>
      <c r="I5" s="6" t="s">
        <v>922</v>
      </c>
      <c r="J5" s="6" t="s">
        <v>965</v>
      </c>
      <c r="K5" s="6" t="s">
        <v>1095</v>
      </c>
      <c r="L5" s="2"/>
      <c r="M5" s="217" t="s">
        <v>1537</v>
      </c>
      <c r="O5" s="6" t="s">
        <v>1509</v>
      </c>
      <c r="P5" s="6" t="s">
        <v>1099</v>
      </c>
      <c r="Q5" s="6" t="s">
        <v>919</v>
      </c>
      <c r="R5" s="6" t="s">
        <v>922</v>
      </c>
      <c r="S5" s="6" t="s">
        <v>1099</v>
      </c>
      <c r="T5" s="6" t="s">
        <v>919</v>
      </c>
      <c r="U5" s="6" t="s">
        <v>922</v>
      </c>
      <c r="V5" s="6" t="s">
        <v>1099</v>
      </c>
      <c r="W5" s="6" t="s">
        <v>919</v>
      </c>
      <c r="X5" s="6" t="s">
        <v>922</v>
      </c>
      <c r="Y5" s="6" t="s">
        <v>965</v>
      </c>
      <c r="Z5" s="2"/>
      <c r="AA5" s="217" t="s">
        <v>1537</v>
      </c>
    </row>
    <row r="6" s="217" customFormat="1" customHeight="1" spans="1:27">
      <c r="A6" s="2"/>
      <c r="B6" s="2">
        <v>20</v>
      </c>
      <c r="C6" s="7">
        <v>20</v>
      </c>
      <c r="D6" s="7" t="s">
        <v>261</v>
      </c>
      <c r="E6" s="7">
        <v>1</v>
      </c>
      <c r="F6" s="7">
        <v>280</v>
      </c>
      <c r="G6" s="7" t="s">
        <v>237</v>
      </c>
      <c r="H6" s="7">
        <v>300</v>
      </c>
      <c r="I6" s="7">
        <v>100</v>
      </c>
      <c r="J6" s="7">
        <v>380</v>
      </c>
      <c r="K6" s="244">
        <v>0.38</v>
      </c>
      <c r="L6" s="245">
        <v>0.25</v>
      </c>
      <c r="M6" s="217" t="s">
        <v>1538</v>
      </c>
      <c r="O6" s="7" t="s">
        <v>1202</v>
      </c>
      <c r="P6" s="7" t="s">
        <v>188</v>
      </c>
      <c r="Q6" s="7">
        <v>100</v>
      </c>
      <c r="R6" s="7">
        <v>100</v>
      </c>
      <c r="S6" s="8" t="s">
        <v>265</v>
      </c>
      <c r="T6" s="7">
        <v>12</v>
      </c>
      <c r="U6" s="7">
        <v>720</v>
      </c>
      <c r="V6" s="8" t="s">
        <v>208</v>
      </c>
      <c r="W6" s="7">
        <v>300</v>
      </c>
      <c r="X6" s="7">
        <v>600</v>
      </c>
      <c r="Y6" s="7">
        <v>1420</v>
      </c>
      <c r="Z6" s="2"/>
      <c r="AA6" s="217" t="s">
        <v>1538</v>
      </c>
    </row>
    <row r="7" s="217" customFormat="1" customHeight="1" spans="1:27">
      <c r="A7" s="2"/>
      <c r="B7" s="2">
        <v>30</v>
      </c>
      <c r="C7" s="7">
        <v>50</v>
      </c>
      <c r="D7" s="7" t="s">
        <v>261</v>
      </c>
      <c r="E7" s="7">
        <v>1</v>
      </c>
      <c r="F7" s="7">
        <v>280</v>
      </c>
      <c r="G7" s="7" t="s">
        <v>237</v>
      </c>
      <c r="H7" s="7">
        <v>300</v>
      </c>
      <c r="I7" s="7">
        <v>100</v>
      </c>
      <c r="J7" s="7">
        <v>380</v>
      </c>
      <c r="K7" s="244">
        <v>0.15</v>
      </c>
      <c r="L7" s="245">
        <v>0.17</v>
      </c>
      <c r="M7" s="217" t="s">
        <v>1538</v>
      </c>
      <c r="O7" s="7" t="s">
        <v>1203</v>
      </c>
      <c r="P7" s="7" t="s">
        <v>188</v>
      </c>
      <c r="Q7" s="7">
        <v>150</v>
      </c>
      <c r="R7" s="7">
        <v>150</v>
      </c>
      <c r="S7" s="8" t="s">
        <v>265</v>
      </c>
      <c r="T7" s="7">
        <v>12</v>
      </c>
      <c r="U7" s="7">
        <v>720</v>
      </c>
      <c r="V7" s="8" t="s">
        <v>208</v>
      </c>
      <c r="W7" s="7">
        <v>500</v>
      </c>
      <c r="X7" s="7">
        <v>1000</v>
      </c>
      <c r="Y7" s="7">
        <v>1870</v>
      </c>
      <c r="Z7" s="2"/>
      <c r="AA7" s="217" t="s">
        <v>1538</v>
      </c>
    </row>
    <row r="8" s="217" customFormat="1" customHeight="1" spans="1:27">
      <c r="A8" s="2"/>
      <c r="B8" s="2">
        <v>30</v>
      </c>
      <c r="C8" s="7">
        <v>80</v>
      </c>
      <c r="D8" s="7" t="s">
        <v>261</v>
      </c>
      <c r="E8" s="7">
        <v>1</v>
      </c>
      <c r="F8" s="7">
        <v>280</v>
      </c>
      <c r="G8" s="7" t="s">
        <v>237</v>
      </c>
      <c r="H8" s="7">
        <v>300</v>
      </c>
      <c r="I8" s="7">
        <v>100</v>
      </c>
      <c r="J8" s="7">
        <v>380</v>
      </c>
      <c r="K8" s="244">
        <v>0.1</v>
      </c>
      <c r="L8" s="245">
        <v>0.17</v>
      </c>
      <c r="M8" s="217" t="s">
        <v>1538</v>
      </c>
      <c r="O8" s="7" t="s">
        <v>1204</v>
      </c>
      <c r="P8" s="7" t="s">
        <v>197</v>
      </c>
      <c r="Q8" s="7">
        <v>50</v>
      </c>
      <c r="R8" s="7">
        <v>500</v>
      </c>
      <c r="S8" s="8" t="s">
        <v>265</v>
      </c>
      <c r="T8" s="7">
        <v>24</v>
      </c>
      <c r="U8" s="7">
        <v>1440</v>
      </c>
      <c r="V8" s="8" t="s">
        <v>208</v>
      </c>
      <c r="W8" s="7">
        <v>800</v>
      </c>
      <c r="X8" s="7">
        <v>1600</v>
      </c>
      <c r="Y8" s="7">
        <v>3540</v>
      </c>
      <c r="Z8" s="2">
        <v>340</v>
      </c>
      <c r="AA8" s="217" t="s">
        <v>1538</v>
      </c>
    </row>
    <row r="9" s="217" customFormat="1" customHeight="1" spans="1:27">
      <c r="A9" s="2"/>
      <c r="B9" s="2">
        <v>40</v>
      </c>
      <c r="C9" s="7">
        <v>120</v>
      </c>
      <c r="D9" s="7" t="s">
        <v>261</v>
      </c>
      <c r="E9" s="7">
        <v>2</v>
      </c>
      <c r="F9" s="7">
        <v>560</v>
      </c>
      <c r="G9" s="7" t="s">
        <v>237</v>
      </c>
      <c r="H9" s="7">
        <v>450</v>
      </c>
      <c r="I9" s="7">
        <v>150</v>
      </c>
      <c r="J9" s="7">
        <v>710</v>
      </c>
      <c r="K9" s="244">
        <v>0.12</v>
      </c>
      <c r="L9" s="245">
        <v>0.25</v>
      </c>
      <c r="M9" s="217" t="s">
        <v>1538</v>
      </c>
      <c r="O9" s="7" t="s">
        <v>1205</v>
      </c>
      <c r="P9" s="7" t="s">
        <v>197</v>
      </c>
      <c r="Q9" s="7">
        <v>50</v>
      </c>
      <c r="R9" s="7">
        <v>500</v>
      </c>
      <c r="S9" s="8" t="s">
        <v>265</v>
      </c>
      <c r="T9" s="7">
        <v>36</v>
      </c>
      <c r="U9" s="7">
        <v>2160</v>
      </c>
      <c r="V9" s="8" t="s">
        <v>208</v>
      </c>
      <c r="W9" s="7">
        <v>1000</v>
      </c>
      <c r="X9" s="7">
        <v>2000</v>
      </c>
      <c r="Y9" s="7">
        <v>4660</v>
      </c>
      <c r="Z9" s="2">
        <v>460</v>
      </c>
      <c r="AA9" s="217" t="s">
        <v>1538</v>
      </c>
    </row>
    <row r="10" s="217" customFormat="1" customHeight="1" spans="1:27">
      <c r="A10" s="2"/>
      <c r="B10" s="2">
        <v>40</v>
      </c>
      <c r="C10" s="7">
        <v>160</v>
      </c>
      <c r="D10" s="7" t="s">
        <v>261</v>
      </c>
      <c r="E10" s="7">
        <v>2</v>
      </c>
      <c r="F10" s="7">
        <v>560</v>
      </c>
      <c r="G10" s="7" t="s">
        <v>237</v>
      </c>
      <c r="H10" s="7">
        <v>450</v>
      </c>
      <c r="I10" s="7">
        <v>150</v>
      </c>
      <c r="J10" s="7">
        <v>710</v>
      </c>
      <c r="K10" s="244">
        <v>0.09</v>
      </c>
      <c r="L10" s="245">
        <v>0.25</v>
      </c>
      <c r="M10" s="217" t="s">
        <v>1538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="217" customFormat="1" customHeight="1" spans="1:27">
      <c r="A11" s="2"/>
      <c r="B11" s="2">
        <v>40</v>
      </c>
      <c r="C11" s="7">
        <v>200</v>
      </c>
      <c r="D11" s="7" t="s">
        <v>261</v>
      </c>
      <c r="E11" s="7">
        <v>2</v>
      </c>
      <c r="F11" s="7">
        <v>560</v>
      </c>
      <c r="G11" s="7" t="s">
        <v>237</v>
      </c>
      <c r="H11" s="7">
        <v>450</v>
      </c>
      <c r="I11" s="7">
        <v>150</v>
      </c>
      <c r="J11" s="7">
        <v>710</v>
      </c>
      <c r="K11" s="244">
        <v>0.07</v>
      </c>
      <c r="L11" s="245">
        <v>0.25</v>
      </c>
      <c r="M11" s="217" t="s">
        <v>1538</v>
      </c>
      <c r="O11" s="5" t="s">
        <v>1175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="217" customFormat="1" customHeight="1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O12" s="2"/>
      <c r="P12" s="2"/>
      <c r="Q12" s="2"/>
      <c r="R12" s="2"/>
      <c r="S12" s="2"/>
      <c r="T12" s="2"/>
      <c r="U12" s="2">
        <f>84/1200</f>
        <v>0.07</v>
      </c>
      <c r="V12" s="2"/>
      <c r="W12" s="2"/>
      <c r="X12" s="2"/>
      <c r="Y12" s="2"/>
      <c r="Z12" s="2"/>
    </row>
    <row r="13" s="217" customFormat="1" customHeight="1" spans="1:27">
      <c r="A13" s="2"/>
      <c r="B13" s="2"/>
      <c r="C13" s="6" t="s">
        <v>1412</v>
      </c>
      <c r="D13" s="6" t="s">
        <v>1099</v>
      </c>
      <c r="E13" s="6" t="s">
        <v>919</v>
      </c>
      <c r="F13" s="6" t="s">
        <v>922</v>
      </c>
      <c r="G13" s="6" t="s">
        <v>1099</v>
      </c>
      <c r="H13" s="6" t="s">
        <v>919</v>
      </c>
      <c r="I13" s="6" t="s">
        <v>922</v>
      </c>
      <c r="J13" s="6" t="s">
        <v>965</v>
      </c>
      <c r="K13" s="6" t="s">
        <v>1095</v>
      </c>
      <c r="L13" s="2"/>
      <c r="M13" s="217" t="s">
        <v>1537</v>
      </c>
      <c r="O13" s="6" t="s">
        <v>1539</v>
      </c>
      <c r="P13" s="6" t="s">
        <v>962</v>
      </c>
      <c r="Q13" s="6" t="s">
        <v>919</v>
      </c>
      <c r="R13" s="6" t="s">
        <v>922</v>
      </c>
      <c r="S13" s="217" t="s">
        <v>1537</v>
      </c>
      <c r="T13" s="2"/>
      <c r="U13" s="2"/>
      <c r="V13" s="2"/>
      <c r="W13" s="2"/>
      <c r="X13" s="2"/>
      <c r="Y13" s="2"/>
      <c r="Z13" s="2"/>
    </row>
    <row r="14" s="217" customFormat="1" customHeight="1" spans="1:27">
      <c r="A14" s="2"/>
      <c r="B14" s="2">
        <v>40</v>
      </c>
      <c r="C14" s="7">
        <v>40</v>
      </c>
      <c r="D14" s="7" t="s">
        <v>261</v>
      </c>
      <c r="E14" s="7">
        <v>1</v>
      </c>
      <c r="F14" s="7">
        <v>280</v>
      </c>
      <c r="G14" s="7" t="s">
        <v>237</v>
      </c>
      <c r="H14" s="7">
        <v>450</v>
      </c>
      <c r="I14" s="7">
        <v>150</v>
      </c>
      <c r="J14" s="7">
        <v>430</v>
      </c>
      <c r="K14" s="244">
        <v>0.22</v>
      </c>
      <c r="L14" s="245">
        <v>0.13</v>
      </c>
      <c r="M14" s="217" t="s">
        <v>1538</v>
      </c>
      <c r="O14" s="7" t="s">
        <v>1540</v>
      </c>
      <c r="P14" s="7" t="s">
        <v>258</v>
      </c>
      <c r="Q14" s="7">
        <v>1</v>
      </c>
      <c r="R14" s="246">
        <v>50</v>
      </c>
      <c r="S14" s="217" t="s">
        <v>1538</v>
      </c>
      <c r="T14" s="2"/>
      <c r="U14" s="2"/>
      <c r="V14" s="2"/>
      <c r="W14" s="2"/>
      <c r="X14" s="2"/>
      <c r="Y14" s="2"/>
      <c r="Z14" s="2"/>
    </row>
    <row r="15" s="217" customFormat="1" customHeight="1" spans="1:27">
      <c r="A15" s="2"/>
      <c r="B15" s="2">
        <v>60</v>
      </c>
      <c r="C15" s="7">
        <v>100</v>
      </c>
      <c r="D15" s="7" t="s">
        <v>261</v>
      </c>
      <c r="E15" s="7">
        <v>1</v>
      </c>
      <c r="F15" s="7">
        <v>280</v>
      </c>
      <c r="G15" s="7" t="s">
        <v>237</v>
      </c>
      <c r="H15" s="7">
        <v>450</v>
      </c>
      <c r="I15" s="7">
        <v>150</v>
      </c>
      <c r="J15" s="7">
        <v>430</v>
      </c>
      <c r="K15" s="244">
        <v>0.09</v>
      </c>
      <c r="L15" s="245">
        <v>0.08</v>
      </c>
      <c r="M15" s="217" t="s">
        <v>1538</v>
      </c>
      <c r="O15" s="7" t="s">
        <v>1541</v>
      </c>
      <c r="P15" s="7" t="s">
        <v>258</v>
      </c>
      <c r="Q15" s="7">
        <v>2</v>
      </c>
      <c r="R15" s="246">
        <v>100</v>
      </c>
      <c r="S15" s="217" t="s">
        <v>1538</v>
      </c>
      <c r="T15" s="2"/>
      <c r="U15" s="2"/>
      <c r="V15" s="2"/>
      <c r="W15" s="2"/>
      <c r="X15" s="2"/>
      <c r="Y15" s="2"/>
      <c r="Z15" s="2"/>
    </row>
    <row r="16" s="217" customFormat="1" customHeight="1" spans="1:27">
      <c r="A16" s="2"/>
      <c r="B16" s="2">
        <v>60</v>
      </c>
      <c r="C16" s="7">
        <v>160</v>
      </c>
      <c r="D16" s="7" t="s">
        <v>261</v>
      </c>
      <c r="E16" s="7">
        <v>1</v>
      </c>
      <c r="F16" s="7">
        <v>280</v>
      </c>
      <c r="G16" s="7" t="s">
        <v>237</v>
      </c>
      <c r="H16" s="7">
        <v>450</v>
      </c>
      <c r="I16" s="7">
        <v>150</v>
      </c>
      <c r="J16" s="7">
        <v>430</v>
      </c>
      <c r="K16" s="244">
        <v>0.05</v>
      </c>
      <c r="L16" s="245">
        <v>0.08</v>
      </c>
      <c r="M16" s="217" t="s">
        <v>1538</v>
      </c>
      <c r="O16" s="7" t="s">
        <v>1542</v>
      </c>
      <c r="P16" s="7" t="s">
        <v>188</v>
      </c>
      <c r="Q16" s="7">
        <v>188</v>
      </c>
      <c r="R16" s="246">
        <v>188</v>
      </c>
      <c r="S16" s="217" t="s">
        <v>1538</v>
      </c>
      <c r="T16" s="2"/>
      <c r="U16" s="2"/>
      <c r="V16" s="2"/>
      <c r="W16" s="2"/>
      <c r="X16" s="2"/>
      <c r="Y16" s="2"/>
      <c r="Z16" s="2"/>
    </row>
    <row r="17" s="217" customFormat="1" customHeight="1" spans="1:26">
      <c r="A17" s="2"/>
      <c r="B17" s="2">
        <v>80</v>
      </c>
      <c r="C17" s="7">
        <v>240</v>
      </c>
      <c r="D17" s="7" t="s">
        <v>261</v>
      </c>
      <c r="E17" s="7">
        <v>2</v>
      </c>
      <c r="F17" s="7">
        <v>560</v>
      </c>
      <c r="G17" s="7" t="s">
        <v>237</v>
      </c>
      <c r="H17" s="7">
        <v>750</v>
      </c>
      <c r="I17" s="7">
        <v>250</v>
      </c>
      <c r="J17" s="7">
        <v>810</v>
      </c>
      <c r="K17" s="244">
        <v>0.07</v>
      </c>
      <c r="L17" s="245">
        <v>0.13</v>
      </c>
      <c r="M17" s="217" t="s">
        <v>1538</v>
      </c>
      <c r="O17" s="7" t="s">
        <v>1543</v>
      </c>
      <c r="P17" s="7" t="s">
        <v>258</v>
      </c>
      <c r="Q17" s="7">
        <v>1</v>
      </c>
      <c r="R17" s="246">
        <v>50</v>
      </c>
      <c r="S17" s="217" t="s">
        <v>1538</v>
      </c>
      <c r="T17" s="2"/>
      <c r="U17" s="2"/>
      <c r="V17" s="2"/>
      <c r="W17" s="2"/>
      <c r="X17" s="2"/>
      <c r="Y17" s="2"/>
      <c r="Z17" s="2"/>
    </row>
    <row r="18" s="217" customFormat="1" customHeight="1" spans="1:26">
      <c r="A18" s="2"/>
      <c r="B18" s="2">
        <v>80</v>
      </c>
      <c r="C18" s="7">
        <v>320</v>
      </c>
      <c r="D18" s="7" t="s">
        <v>261</v>
      </c>
      <c r="E18" s="7">
        <v>2</v>
      </c>
      <c r="F18" s="7">
        <v>560</v>
      </c>
      <c r="G18" s="7" t="s">
        <v>237</v>
      </c>
      <c r="H18" s="7">
        <v>750</v>
      </c>
      <c r="I18" s="7">
        <v>250</v>
      </c>
      <c r="J18" s="7">
        <v>810</v>
      </c>
      <c r="K18" s="244">
        <v>0.05</v>
      </c>
      <c r="L18" s="245">
        <v>0.13</v>
      </c>
      <c r="M18" s="217" t="s">
        <v>1538</v>
      </c>
      <c r="O18" s="247" t="s">
        <v>1544</v>
      </c>
      <c r="P18" s="7" t="s">
        <v>258</v>
      </c>
      <c r="Q18" s="247">
        <v>2</v>
      </c>
      <c r="R18" s="246">
        <v>100</v>
      </c>
      <c r="S18" s="217" t="s">
        <v>1538</v>
      </c>
      <c r="T18" s="2"/>
      <c r="U18" s="2"/>
      <c r="V18" s="2"/>
      <c r="W18" s="2"/>
      <c r="X18" s="2"/>
      <c r="Y18" s="2"/>
      <c r="Z18" s="2"/>
    </row>
    <row r="19" s="217" customFormat="1" customHeight="1" spans="1:26">
      <c r="A19" s="2"/>
      <c r="B19" s="2">
        <v>80</v>
      </c>
      <c r="C19" s="7">
        <v>400</v>
      </c>
      <c r="D19" s="7" t="s">
        <v>261</v>
      </c>
      <c r="E19" s="7">
        <v>2</v>
      </c>
      <c r="F19" s="7">
        <v>560</v>
      </c>
      <c r="G19" s="7" t="s">
        <v>237</v>
      </c>
      <c r="H19" s="7">
        <v>750</v>
      </c>
      <c r="I19" s="7">
        <v>250</v>
      </c>
      <c r="J19" s="7">
        <v>810</v>
      </c>
      <c r="K19" s="244">
        <v>0.04</v>
      </c>
      <c r="L19" s="245">
        <v>0.13</v>
      </c>
      <c r="M19" s="217" t="s">
        <v>1538</v>
      </c>
      <c r="O19" s="248" t="s">
        <v>1545</v>
      </c>
      <c r="P19" s="7" t="s">
        <v>261</v>
      </c>
      <c r="Q19" s="7">
        <v>1</v>
      </c>
      <c r="R19" s="10">
        <v>280</v>
      </c>
      <c r="S19" s="217" t="s">
        <v>1538</v>
      </c>
      <c r="T19" s="2"/>
      <c r="U19" s="2"/>
      <c r="V19" s="2"/>
      <c r="W19" s="2"/>
      <c r="X19" s="2"/>
      <c r="Y19" s="2"/>
      <c r="Z19" s="2"/>
    </row>
    <row r="20" s="217" customFormat="1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="217" customFormat="1" customHeight="1" spans="1:26">
      <c r="A21" s="2"/>
      <c r="B21" s="2"/>
      <c r="C21" s="6" t="s">
        <v>1412</v>
      </c>
      <c r="D21" s="6" t="s">
        <v>1099</v>
      </c>
      <c r="E21" s="6" t="s">
        <v>919</v>
      </c>
      <c r="F21" s="6" t="s">
        <v>922</v>
      </c>
      <c r="G21" s="6" t="s">
        <v>1099</v>
      </c>
      <c r="H21" s="6" t="s">
        <v>919</v>
      </c>
      <c r="I21" s="6" t="s">
        <v>922</v>
      </c>
      <c r="J21" s="6" t="s">
        <v>965</v>
      </c>
      <c r="K21" s="6" t="s">
        <v>1095</v>
      </c>
      <c r="L21" s="2"/>
      <c r="M21" s="217" t="s">
        <v>1537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="217" customFormat="1" customHeight="1" spans="1:26">
      <c r="A22" s="2"/>
      <c r="B22" s="2">
        <v>60</v>
      </c>
      <c r="C22" s="7">
        <v>60</v>
      </c>
      <c r="D22" s="7" t="s">
        <v>261</v>
      </c>
      <c r="E22" s="7">
        <v>2</v>
      </c>
      <c r="F22" s="7">
        <v>560</v>
      </c>
      <c r="G22" s="7" t="s">
        <v>237</v>
      </c>
      <c r="H22" s="7">
        <v>450</v>
      </c>
      <c r="I22" s="7">
        <v>150</v>
      </c>
      <c r="J22" s="7">
        <v>710</v>
      </c>
      <c r="K22" s="244">
        <v>0.39</v>
      </c>
      <c r="L22" s="245">
        <v>0.17</v>
      </c>
      <c r="M22" s="217" t="s">
        <v>1538</v>
      </c>
      <c r="N22" s="2"/>
      <c r="O22" s="2" t="s">
        <v>1546</v>
      </c>
      <c r="P22" s="2"/>
      <c r="Q22" s="2"/>
      <c r="R22" s="2"/>
      <c r="S22" s="2"/>
      <c r="T22" s="2"/>
      <c r="U22" s="2"/>
      <c r="V22" s="2"/>
      <c r="W22" s="2"/>
      <c r="X22" s="2"/>
    </row>
    <row r="23" s="217" customFormat="1" customHeight="1" spans="1:26">
      <c r="A23" s="2"/>
      <c r="B23" s="2">
        <v>90</v>
      </c>
      <c r="C23" s="7">
        <v>150</v>
      </c>
      <c r="D23" s="7" t="s">
        <v>261</v>
      </c>
      <c r="E23" s="7">
        <v>2</v>
      </c>
      <c r="F23" s="7">
        <v>560</v>
      </c>
      <c r="G23" s="7" t="s">
        <v>237</v>
      </c>
      <c r="H23" s="7">
        <v>450</v>
      </c>
      <c r="I23" s="7">
        <v>150</v>
      </c>
      <c r="J23" s="7">
        <v>710</v>
      </c>
      <c r="K23" s="244">
        <v>0.26</v>
      </c>
      <c r="L23" s="245">
        <v>0.11</v>
      </c>
      <c r="M23" s="217" t="s">
        <v>1538</v>
      </c>
      <c r="N23" s="2"/>
      <c r="O23" s="2" t="s">
        <v>1547</v>
      </c>
      <c r="P23" s="249" t="s">
        <v>1548</v>
      </c>
      <c r="Q23" s="2"/>
      <c r="R23" s="2" t="s">
        <v>261</v>
      </c>
      <c r="S23" s="2"/>
      <c r="T23" s="2"/>
      <c r="U23" s="2"/>
      <c r="V23" s="2"/>
      <c r="W23" s="2"/>
      <c r="X23" s="2"/>
    </row>
    <row r="24" s="217" customFormat="1" customHeight="1" spans="1:26">
      <c r="A24" s="2"/>
      <c r="B24" s="2">
        <v>90</v>
      </c>
      <c r="C24" s="7">
        <v>240</v>
      </c>
      <c r="D24" s="7" t="s">
        <v>261</v>
      </c>
      <c r="E24" s="7">
        <v>2</v>
      </c>
      <c r="F24" s="7">
        <v>560</v>
      </c>
      <c r="G24" s="7" t="s">
        <v>237</v>
      </c>
      <c r="H24" s="7">
        <v>450</v>
      </c>
      <c r="I24" s="7">
        <v>150</v>
      </c>
      <c r="J24" s="7">
        <v>710</v>
      </c>
      <c r="K24" s="244">
        <v>0.26</v>
      </c>
      <c r="L24" s="245">
        <v>0.11</v>
      </c>
      <c r="M24" s="217" t="s">
        <v>1538</v>
      </c>
      <c r="N24" s="2"/>
      <c r="O24" s="2" t="s">
        <v>1549</v>
      </c>
      <c r="P24" s="249" t="s">
        <v>1550</v>
      </c>
      <c r="Q24" s="2"/>
      <c r="R24" s="2" t="s">
        <v>197</v>
      </c>
      <c r="S24" s="2"/>
      <c r="T24" s="2"/>
      <c r="U24" s="2"/>
      <c r="V24" s="2"/>
      <c r="W24" s="2"/>
      <c r="X24" s="2"/>
    </row>
    <row r="25" s="217" customFormat="1" customHeight="1" spans="1:26">
      <c r="A25" s="2"/>
      <c r="B25" s="2">
        <v>120</v>
      </c>
      <c r="C25" s="7">
        <v>360</v>
      </c>
      <c r="D25" s="7" t="s">
        <v>261</v>
      </c>
      <c r="E25" s="7">
        <v>3</v>
      </c>
      <c r="F25" s="7">
        <v>840</v>
      </c>
      <c r="G25" s="7" t="s">
        <v>237</v>
      </c>
      <c r="H25" s="7">
        <v>900</v>
      </c>
      <c r="I25" s="7">
        <v>300</v>
      </c>
      <c r="J25" s="7">
        <v>1140</v>
      </c>
      <c r="K25" s="244">
        <v>0.32</v>
      </c>
      <c r="L25" s="245">
        <v>0.13</v>
      </c>
      <c r="M25" s="217" t="s">
        <v>1538</v>
      </c>
      <c r="N25" s="2"/>
      <c r="O25" s="2" t="s">
        <v>1551</v>
      </c>
      <c r="P25" s="249" t="s">
        <v>1552</v>
      </c>
      <c r="Q25" s="2"/>
      <c r="R25" s="2" t="s">
        <v>237</v>
      </c>
      <c r="S25" s="2"/>
      <c r="T25" s="2"/>
      <c r="U25" s="2"/>
      <c r="V25" s="2"/>
      <c r="W25" s="2"/>
      <c r="X25" s="2"/>
    </row>
    <row r="26" s="217" customFormat="1" customHeight="1" spans="1:26">
      <c r="A26" s="2"/>
      <c r="B26" s="2">
        <v>120</v>
      </c>
      <c r="C26" s="7">
        <v>480</v>
      </c>
      <c r="D26" s="7" t="s">
        <v>261</v>
      </c>
      <c r="E26" s="7">
        <v>3</v>
      </c>
      <c r="F26" s="7">
        <v>840</v>
      </c>
      <c r="G26" s="7" t="s">
        <v>237</v>
      </c>
      <c r="H26" s="7">
        <v>900</v>
      </c>
      <c r="I26" s="7">
        <v>300</v>
      </c>
      <c r="J26" s="7">
        <v>1140</v>
      </c>
      <c r="K26" s="244">
        <v>0.32</v>
      </c>
      <c r="L26" s="245">
        <v>0.13</v>
      </c>
      <c r="M26" s="217" t="s">
        <v>1538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="217" customFormat="1" customHeight="1" spans="1:26">
      <c r="A27" s="2"/>
      <c r="B27" s="2">
        <v>120</v>
      </c>
      <c r="C27" s="7">
        <v>600</v>
      </c>
      <c r="D27" s="7" t="s">
        <v>261</v>
      </c>
      <c r="E27" s="7">
        <v>3</v>
      </c>
      <c r="F27" s="7">
        <v>840</v>
      </c>
      <c r="G27" s="7" t="s">
        <v>237</v>
      </c>
      <c r="H27" s="7">
        <v>900</v>
      </c>
      <c r="I27" s="7">
        <v>300</v>
      </c>
      <c r="J27" s="7">
        <v>1140</v>
      </c>
      <c r="K27" s="244">
        <v>0.32</v>
      </c>
      <c r="L27" s="245">
        <v>0.13</v>
      </c>
      <c r="M27" s="217" t="s">
        <v>1538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="217" customFormat="1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="217" customFormat="1" customHeight="1" spans="1:26">
      <c r="A29" s="2"/>
      <c r="B29" s="2"/>
      <c r="C29" s="6" t="s">
        <v>1412</v>
      </c>
      <c r="D29" s="6" t="s">
        <v>1099</v>
      </c>
      <c r="E29" s="6" t="s">
        <v>919</v>
      </c>
      <c r="F29" s="6" t="s">
        <v>922</v>
      </c>
      <c r="G29" s="6" t="s">
        <v>1099</v>
      </c>
      <c r="H29" s="6" t="s">
        <v>919</v>
      </c>
      <c r="I29" s="6" t="s">
        <v>922</v>
      </c>
      <c r="J29" s="6" t="s">
        <v>965</v>
      </c>
      <c r="K29" s="6" t="s">
        <v>1095</v>
      </c>
      <c r="L29" s="2"/>
      <c r="M29" s="217" t="s">
        <v>1537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="217" customFormat="1" customHeight="1" spans="1:26">
      <c r="A30" s="2"/>
      <c r="B30" s="2">
        <v>80</v>
      </c>
      <c r="C30" s="7">
        <v>80</v>
      </c>
      <c r="D30" s="7" t="s">
        <v>261</v>
      </c>
      <c r="E30" s="7">
        <v>2</v>
      </c>
      <c r="F30" s="7">
        <v>560</v>
      </c>
      <c r="G30" s="7" t="s">
        <v>237</v>
      </c>
      <c r="H30" s="7">
        <v>1200</v>
      </c>
      <c r="I30" s="7">
        <v>400</v>
      </c>
      <c r="J30" s="7">
        <v>960</v>
      </c>
      <c r="K30" s="244">
        <v>0.4</v>
      </c>
      <c r="L30" s="245">
        <v>0.13</v>
      </c>
      <c r="M30" s="217" t="s">
        <v>1538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="217" customFormat="1" customHeight="1" spans="1:26">
      <c r="A31" s="2"/>
      <c r="B31" s="2">
        <v>120</v>
      </c>
      <c r="C31" s="7">
        <v>200</v>
      </c>
      <c r="D31" s="7" t="s">
        <v>261</v>
      </c>
      <c r="E31" s="7">
        <v>2</v>
      </c>
      <c r="F31" s="7">
        <v>560</v>
      </c>
      <c r="G31" s="7" t="s">
        <v>237</v>
      </c>
      <c r="H31" s="7">
        <v>1200</v>
      </c>
      <c r="I31" s="7">
        <v>400</v>
      </c>
      <c r="J31" s="7">
        <v>960</v>
      </c>
      <c r="K31" s="244">
        <v>0.27</v>
      </c>
      <c r="L31" s="245">
        <v>0.08</v>
      </c>
      <c r="M31" s="217" t="s">
        <v>1538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="217" customFormat="1" customHeight="1" spans="1:26">
      <c r="A32" s="2"/>
      <c r="B32" s="2">
        <v>120</v>
      </c>
      <c r="C32" s="7">
        <v>320</v>
      </c>
      <c r="D32" s="7" t="s">
        <v>261</v>
      </c>
      <c r="E32" s="7">
        <v>2</v>
      </c>
      <c r="F32" s="7">
        <v>560</v>
      </c>
      <c r="G32" s="7" t="s">
        <v>237</v>
      </c>
      <c r="H32" s="7">
        <v>1200</v>
      </c>
      <c r="I32" s="7">
        <v>400</v>
      </c>
      <c r="J32" s="7">
        <v>960</v>
      </c>
      <c r="K32" s="244">
        <v>0.27</v>
      </c>
      <c r="L32" s="245">
        <v>0.08</v>
      </c>
      <c r="M32" s="217" t="s">
        <v>1538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="217" customFormat="1" customHeight="1" spans="1:24">
      <c r="A33" s="2"/>
      <c r="B33" s="2">
        <v>160</v>
      </c>
      <c r="C33" s="7">
        <v>480</v>
      </c>
      <c r="D33" s="7" t="s">
        <v>261</v>
      </c>
      <c r="E33" s="7">
        <v>3</v>
      </c>
      <c r="F33" s="7">
        <v>840</v>
      </c>
      <c r="G33" s="7" t="s">
        <v>237</v>
      </c>
      <c r="H33" s="7">
        <v>2400</v>
      </c>
      <c r="I33" s="7">
        <v>800</v>
      </c>
      <c r="J33" s="7">
        <v>1640</v>
      </c>
      <c r="K33" s="244">
        <v>0.34</v>
      </c>
      <c r="L33" s="245">
        <v>0.09</v>
      </c>
      <c r="M33" s="217" t="s">
        <v>1538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="217" customFormat="1" customHeight="1" spans="1:24">
      <c r="A34" s="2"/>
      <c r="B34" s="2">
        <v>160</v>
      </c>
      <c r="C34" s="7">
        <v>640</v>
      </c>
      <c r="D34" s="7" t="s">
        <v>261</v>
      </c>
      <c r="E34" s="7">
        <v>3</v>
      </c>
      <c r="F34" s="7">
        <v>840</v>
      </c>
      <c r="G34" s="7" t="s">
        <v>237</v>
      </c>
      <c r="H34" s="7">
        <v>2400</v>
      </c>
      <c r="I34" s="7">
        <v>800</v>
      </c>
      <c r="J34" s="7">
        <v>1640</v>
      </c>
      <c r="K34" s="244">
        <v>0.34</v>
      </c>
      <c r="L34" s="245">
        <v>0.09</v>
      </c>
      <c r="M34" s="217" t="s">
        <v>1538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="217" customFormat="1" customHeight="1" spans="1:24">
      <c r="A35" s="2"/>
      <c r="B35" s="2">
        <v>160</v>
      </c>
      <c r="C35" s="7">
        <v>800</v>
      </c>
      <c r="D35" s="7" t="s">
        <v>261</v>
      </c>
      <c r="E35" s="7">
        <v>3</v>
      </c>
      <c r="F35" s="7">
        <v>840</v>
      </c>
      <c r="G35" s="7" t="s">
        <v>237</v>
      </c>
      <c r="H35" s="7">
        <v>2400</v>
      </c>
      <c r="I35" s="7">
        <v>800</v>
      </c>
      <c r="J35" s="7">
        <v>1640</v>
      </c>
      <c r="K35" s="244">
        <v>0.34</v>
      </c>
      <c r="L35" s="245">
        <v>0.09</v>
      </c>
      <c r="M35" s="217" t="s">
        <v>1538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="217" customFormat="1" customHeight="1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="217" customFormat="1" customHeight="1" spans="1:24">
      <c r="A37" s="2"/>
      <c r="B37" s="2"/>
      <c r="C37" s="243" t="s">
        <v>1174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="217" customFormat="1" customHeight="1" spans="1:2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T38" s="2"/>
      <c r="U38" s="2"/>
      <c r="V38" s="2"/>
      <c r="W38" s="2"/>
      <c r="X38" s="2"/>
    </row>
    <row r="39" s="217" customFormat="1" customHeight="1" spans="1:24">
      <c r="A39" s="2"/>
      <c r="B39" s="2"/>
      <c r="C39" s="6" t="s">
        <v>1195</v>
      </c>
      <c r="D39" s="6" t="s">
        <v>935</v>
      </c>
      <c r="E39" s="6" t="s">
        <v>1197</v>
      </c>
      <c r="F39" s="6" t="s">
        <v>1099</v>
      </c>
      <c r="G39" s="6" t="s">
        <v>919</v>
      </c>
      <c r="H39" s="6" t="s">
        <v>922</v>
      </c>
      <c r="I39" s="6" t="s">
        <v>1099</v>
      </c>
      <c r="J39" s="6" t="s">
        <v>919</v>
      </c>
      <c r="K39" s="6" t="s">
        <v>922</v>
      </c>
      <c r="L39" s="6" t="s">
        <v>1099</v>
      </c>
      <c r="M39" s="6" t="s">
        <v>919</v>
      </c>
      <c r="N39" s="6" t="s">
        <v>922</v>
      </c>
      <c r="O39" s="6" t="s">
        <v>965</v>
      </c>
      <c r="P39" s="6" t="s">
        <v>1095</v>
      </c>
      <c r="Q39" s="2" t="s">
        <v>954</v>
      </c>
      <c r="R39" s="2"/>
      <c r="S39" s="2" t="s">
        <v>954</v>
      </c>
      <c r="T39" s="217" t="s">
        <v>1537</v>
      </c>
      <c r="U39" s="2"/>
      <c r="V39" s="2"/>
      <c r="W39" s="2"/>
      <c r="X39" s="2"/>
    </row>
    <row r="40" s="217" customFormat="1" customHeight="1" spans="1:24">
      <c r="A40" s="2"/>
      <c r="B40" s="2"/>
      <c r="C40" s="250" t="s">
        <v>1516</v>
      </c>
      <c r="D40" s="250">
        <v>0</v>
      </c>
      <c r="E40" s="250">
        <v>1</v>
      </c>
      <c r="F40" s="250" t="s">
        <v>258</v>
      </c>
      <c r="G40" s="250">
        <v>2</v>
      </c>
      <c r="H40" s="250">
        <v>100</v>
      </c>
      <c r="I40" s="251"/>
      <c r="J40" s="251"/>
      <c r="K40" s="251"/>
      <c r="L40" s="251"/>
      <c r="M40" s="251"/>
      <c r="N40" s="251"/>
      <c r="O40" s="251">
        <v>100</v>
      </c>
      <c r="P40" s="251"/>
      <c r="Q40" s="2"/>
      <c r="R40" s="2"/>
      <c r="S40" s="2"/>
      <c r="T40" s="217" t="s">
        <v>1538</v>
      </c>
      <c r="U40" s="2"/>
      <c r="V40" s="2"/>
      <c r="W40" s="2"/>
      <c r="X40" s="2"/>
    </row>
    <row r="41" s="217" customFormat="1" customHeight="1" spans="1:24">
      <c r="A41" s="2"/>
      <c r="B41" s="2"/>
      <c r="C41" s="7" t="s">
        <v>1517</v>
      </c>
      <c r="D41" s="7">
        <v>228</v>
      </c>
      <c r="E41" s="7">
        <v>5</v>
      </c>
      <c r="F41" s="7" t="s">
        <v>261</v>
      </c>
      <c r="G41" s="7">
        <v>2</v>
      </c>
      <c r="H41" s="7">
        <v>560</v>
      </c>
      <c r="I41" s="7" t="s">
        <v>258</v>
      </c>
      <c r="J41" s="7">
        <v>1</v>
      </c>
      <c r="K41" s="10">
        <v>50</v>
      </c>
      <c r="L41" s="10"/>
      <c r="M41" s="10"/>
      <c r="N41" s="10"/>
      <c r="O41" s="10">
        <v>610</v>
      </c>
      <c r="P41" s="11">
        <v>2.68</v>
      </c>
      <c r="Q41" s="252">
        <f t="shared" ref="Q41:Q48" si="0">D41/O41*10</f>
        <v>3.73770491803279</v>
      </c>
      <c r="R41" s="2" t="s">
        <v>1030</v>
      </c>
      <c r="S41" s="2">
        <f t="shared" ref="S41:S48" si="1">INT(D41/O41*10)</f>
        <v>3</v>
      </c>
      <c r="T41" s="217" t="s">
        <v>1538</v>
      </c>
      <c r="U41" s="2"/>
      <c r="V41" s="2"/>
      <c r="W41" s="2"/>
      <c r="X41" s="2"/>
    </row>
    <row r="42" s="217" customFormat="1" customHeight="1" spans="1:24">
      <c r="A42" s="2"/>
      <c r="B42" s="2"/>
      <c r="C42" s="7" t="s">
        <v>1118</v>
      </c>
      <c r="D42" s="7">
        <v>6</v>
      </c>
      <c r="E42" s="7">
        <v>3</v>
      </c>
      <c r="F42" s="7" t="s">
        <v>188</v>
      </c>
      <c r="G42" s="7">
        <v>60</v>
      </c>
      <c r="H42" s="7">
        <v>60</v>
      </c>
      <c r="I42" s="7" t="s">
        <v>261</v>
      </c>
      <c r="J42" s="7">
        <v>2</v>
      </c>
      <c r="K42" s="10">
        <v>560</v>
      </c>
      <c r="L42" s="10"/>
      <c r="M42" s="10"/>
      <c r="N42" s="10"/>
      <c r="O42" s="10">
        <v>620</v>
      </c>
      <c r="P42" s="11">
        <v>10.33</v>
      </c>
      <c r="Q42" s="252">
        <f t="shared" si="0"/>
        <v>0.0967741935483871</v>
      </c>
      <c r="R42" s="2" t="s">
        <v>1022</v>
      </c>
      <c r="S42" s="2">
        <f t="shared" si="1"/>
        <v>0</v>
      </c>
      <c r="T42" s="217" t="s">
        <v>1538</v>
      </c>
      <c r="U42" s="2"/>
      <c r="V42" s="2"/>
      <c r="W42" s="2"/>
      <c r="X42" s="2"/>
    </row>
    <row r="43" s="217" customFormat="1" customHeight="1" spans="1:24">
      <c r="A43" s="2"/>
      <c r="B43" s="2"/>
      <c r="C43" s="7" t="s">
        <v>1517</v>
      </c>
      <c r="D43" s="7">
        <v>888</v>
      </c>
      <c r="E43" s="7">
        <v>5</v>
      </c>
      <c r="F43" s="7" t="s">
        <v>261</v>
      </c>
      <c r="G43" s="7">
        <v>8</v>
      </c>
      <c r="H43" s="7">
        <v>2240</v>
      </c>
      <c r="I43" s="7"/>
      <c r="J43" s="7"/>
      <c r="K43" s="10"/>
      <c r="L43" s="10"/>
      <c r="M43" s="10"/>
      <c r="N43" s="10"/>
      <c r="O43" s="10">
        <v>2240</v>
      </c>
      <c r="P43" s="11">
        <v>2.52</v>
      </c>
      <c r="Q43" s="252">
        <f t="shared" si="0"/>
        <v>3.96428571428571</v>
      </c>
      <c r="R43" s="2" t="s">
        <v>1030</v>
      </c>
      <c r="S43" s="2">
        <f t="shared" si="1"/>
        <v>3</v>
      </c>
      <c r="T43" s="217" t="s">
        <v>1538</v>
      </c>
      <c r="U43" s="2"/>
      <c r="V43" s="2"/>
      <c r="W43" s="2"/>
      <c r="X43" s="2"/>
    </row>
    <row r="44" s="217" customFormat="1" customHeight="1" spans="1:24">
      <c r="A44" s="2"/>
      <c r="B44" s="2"/>
      <c r="C44" s="7" t="s">
        <v>1199</v>
      </c>
      <c r="D44" s="7">
        <v>30</v>
      </c>
      <c r="E44" s="7">
        <v>3</v>
      </c>
      <c r="F44" s="7" t="s">
        <v>188</v>
      </c>
      <c r="G44" s="7">
        <v>300</v>
      </c>
      <c r="H44" s="7">
        <v>300</v>
      </c>
      <c r="I44" s="7" t="s">
        <v>261</v>
      </c>
      <c r="J44" s="7">
        <v>5</v>
      </c>
      <c r="K44" s="10">
        <v>1400</v>
      </c>
      <c r="L44" s="10"/>
      <c r="M44" s="10"/>
      <c r="N44" s="10"/>
      <c r="O44" s="10">
        <v>1700</v>
      </c>
      <c r="P44" s="11">
        <v>5.67</v>
      </c>
      <c r="Q44" s="252">
        <f t="shared" si="0"/>
        <v>0.176470588235294</v>
      </c>
      <c r="R44" s="2" t="s">
        <v>1022</v>
      </c>
      <c r="S44" s="2">
        <f t="shared" si="1"/>
        <v>0</v>
      </c>
      <c r="T44" s="217" t="s">
        <v>1538</v>
      </c>
      <c r="U44" s="2"/>
      <c r="V44" s="2"/>
      <c r="W44" s="2"/>
      <c r="X44" s="2"/>
    </row>
    <row r="45" s="217" customFormat="1" customHeight="1" spans="1:24">
      <c r="A45" s="2"/>
      <c r="B45" s="2"/>
      <c r="C45" s="7" t="s">
        <v>1517</v>
      </c>
      <c r="D45" s="7">
        <v>1888</v>
      </c>
      <c r="E45" s="7">
        <v>5</v>
      </c>
      <c r="F45" s="7" t="s">
        <v>261</v>
      </c>
      <c r="G45" s="7">
        <v>12</v>
      </c>
      <c r="H45" s="7">
        <v>3360</v>
      </c>
      <c r="I45" s="7" t="s">
        <v>265</v>
      </c>
      <c r="J45" s="7">
        <v>12</v>
      </c>
      <c r="K45" s="10">
        <v>720</v>
      </c>
      <c r="L45" s="10"/>
      <c r="M45" s="10"/>
      <c r="N45" s="10"/>
      <c r="O45" s="10">
        <v>4080</v>
      </c>
      <c r="P45" s="11">
        <v>2.16</v>
      </c>
      <c r="Q45" s="252">
        <f t="shared" si="0"/>
        <v>4.62745098039216</v>
      </c>
      <c r="R45" s="2" t="s">
        <v>1001</v>
      </c>
      <c r="S45" s="2">
        <f t="shared" si="1"/>
        <v>4</v>
      </c>
      <c r="T45" s="217" t="s">
        <v>1538</v>
      </c>
      <c r="U45" s="2"/>
      <c r="V45" s="2"/>
      <c r="W45" s="2"/>
      <c r="X45" s="2"/>
    </row>
    <row r="46" s="217" customFormat="1" customHeight="1" spans="1:24">
      <c r="A46" s="2"/>
      <c r="B46" s="2"/>
      <c r="C46" s="7" t="s">
        <v>1517</v>
      </c>
      <c r="D46" s="7">
        <v>3188</v>
      </c>
      <c r="E46" s="7">
        <v>5</v>
      </c>
      <c r="F46" s="7" t="s">
        <v>261</v>
      </c>
      <c r="G46" s="7">
        <v>20</v>
      </c>
      <c r="H46" s="7">
        <v>5600</v>
      </c>
      <c r="I46" s="7" t="s">
        <v>265</v>
      </c>
      <c r="J46" s="7">
        <v>24</v>
      </c>
      <c r="K46" s="10">
        <v>1440</v>
      </c>
      <c r="L46" s="10"/>
      <c r="M46" s="10"/>
      <c r="N46" s="10"/>
      <c r="O46" s="10">
        <v>7040</v>
      </c>
      <c r="P46" s="11">
        <v>2.21</v>
      </c>
      <c r="Q46" s="252">
        <f t="shared" si="0"/>
        <v>4.52840909090909</v>
      </c>
      <c r="R46" s="2" t="s">
        <v>1001</v>
      </c>
      <c r="S46" s="2">
        <f t="shared" si="1"/>
        <v>4</v>
      </c>
      <c r="T46" s="217" t="s">
        <v>1538</v>
      </c>
      <c r="U46" s="2"/>
      <c r="V46" s="2"/>
      <c r="W46" s="2"/>
      <c r="X46" s="2"/>
    </row>
    <row r="47" s="217" customFormat="1" customHeight="1" spans="1:24">
      <c r="A47" s="2"/>
      <c r="B47" s="2"/>
      <c r="C47" s="7" t="s">
        <v>1200</v>
      </c>
      <c r="D47" s="7">
        <v>328</v>
      </c>
      <c r="E47" s="7">
        <v>3</v>
      </c>
      <c r="F47" s="7" t="s">
        <v>188</v>
      </c>
      <c r="G47" s="7">
        <v>3280</v>
      </c>
      <c r="H47" s="7">
        <v>3280</v>
      </c>
      <c r="I47" s="7" t="s">
        <v>261</v>
      </c>
      <c r="J47" s="7">
        <v>25</v>
      </c>
      <c r="K47" s="10">
        <v>7000</v>
      </c>
      <c r="L47" s="10"/>
      <c r="M47" s="10"/>
      <c r="N47" s="10"/>
      <c r="O47" s="10">
        <v>10280</v>
      </c>
      <c r="P47" s="11">
        <v>3.13</v>
      </c>
      <c r="Q47" s="252">
        <f t="shared" si="0"/>
        <v>0.319066147859922</v>
      </c>
      <c r="R47" s="2" t="s">
        <v>1022</v>
      </c>
      <c r="S47" s="2">
        <f t="shared" si="1"/>
        <v>0</v>
      </c>
      <c r="T47" s="217" t="s">
        <v>1538</v>
      </c>
      <c r="U47" s="2"/>
      <c r="V47" s="2"/>
      <c r="W47" s="2"/>
      <c r="X47" s="2"/>
    </row>
    <row r="48" s="217" customFormat="1" customHeight="1" spans="1:24">
      <c r="A48" s="2"/>
      <c r="B48" s="2"/>
      <c r="C48" s="7" t="s">
        <v>1517</v>
      </c>
      <c r="D48" s="7">
        <v>5888</v>
      </c>
      <c r="E48" s="7">
        <v>5</v>
      </c>
      <c r="F48" s="7" t="s">
        <v>261</v>
      </c>
      <c r="G48" s="7">
        <v>30</v>
      </c>
      <c r="H48" s="7">
        <v>8400</v>
      </c>
      <c r="I48" s="7" t="s">
        <v>265</v>
      </c>
      <c r="J48" s="7">
        <v>36</v>
      </c>
      <c r="K48" s="10">
        <v>2160</v>
      </c>
      <c r="L48" s="10"/>
      <c r="M48" s="10"/>
      <c r="N48" s="10"/>
      <c r="O48" s="10">
        <v>10560</v>
      </c>
      <c r="P48" s="11">
        <v>1.79</v>
      </c>
      <c r="Q48" s="252">
        <f t="shared" si="0"/>
        <v>5.57575757575758</v>
      </c>
      <c r="R48" s="2" t="s">
        <v>973</v>
      </c>
      <c r="S48" s="2">
        <f t="shared" si="1"/>
        <v>5</v>
      </c>
      <c r="T48" s="217" t="s">
        <v>1538</v>
      </c>
      <c r="U48" s="2"/>
      <c r="V48" s="2"/>
      <c r="W48" s="2"/>
      <c r="X48" s="2"/>
    </row>
    <row r="49" s="217" customFormat="1" customHeight="1" spans="1:2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T49" s="2"/>
      <c r="U49" s="2"/>
      <c r="V49" s="2"/>
      <c r="W49" s="2"/>
      <c r="X49" s="2"/>
    </row>
    <row r="50" s="217" customFormat="1" customHeight="1" spans="1:24">
      <c r="A50" s="2"/>
      <c r="B50" s="2"/>
      <c r="C50" s="243" t="s">
        <v>1553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T50" s="2"/>
      <c r="U50" s="2"/>
      <c r="V50" s="2"/>
      <c r="W50" s="2"/>
      <c r="X50" s="2"/>
    </row>
    <row r="51" s="217" customFormat="1" customHeight="1" spans="1:2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="217" customFormat="1" customHeight="1" spans="1:24">
      <c r="A52" s="2"/>
      <c r="B52" s="2"/>
      <c r="C52" s="10" t="s">
        <v>1519</v>
      </c>
      <c r="D52" s="6" t="s">
        <v>1099</v>
      </c>
      <c r="E52" s="6" t="s">
        <v>919</v>
      </c>
      <c r="F52" s="6" t="s">
        <v>922</v>
      </c>
      <c r="G52" s="6" t="s">
        <v>1099</v>
      </c>
      <c r="H52" s="6" t="s">
        <v>919</v>
      </c>
      <c r="I52" s="6" t="s">
        <v>922</v>
      </c>
      <c r="J52" s="6" t="s">
        <v>1099</v>
      </c>
      <c r="K52" s="6" t="s">
        <v>919</v>
      </c>
      <c r="L52" s="6" t="s">
        <v>922</v>
      </c>
      <c r="M52" s="6" t="s">
        <v>1099</v>
      </c>
      <c r="N52" s="6" t="s">
        <v>919</v>
      </c>
      <c r="O52" s="6" t="s">
        <v>922</v>
      </c>
      <c r="P52" s="6" t="s">
        <v>965</v>
      </c>
      <c r="Q52" s="2"/>
      <c r="R52" s="2"/>
      <c r="S52" s="2"/>
      <c r="T52" s="2"/>
      <c r="U52" s="2"/>
      <c r="V52" s="2"/>
      <c r="W52" s="2"/>
      <c r="X52" s="2"/>
    </row>
    <row r="53" s="217" customFormat="1" customHeight="1" spans="1:24">
      <c r="A53" s="2"/>
      <c r="B53" s="253" t="s">
        <v>1554</v>
      </c>
      <c r="C53" s="7">
        <v>1</v>
      </c>
      <c r="D53" s="250" t="s">
        <v>197</v>
      </c>
      <c r="E53" s="250">
        <v>300</v>
      </c>
      <c r="F53" s="250">
        <v>3000</v>
      </c>
      <c r="G53" s="250" t="s">
        <v>1555</v>
      </c>
      <c r="H53" s="254">
        <v>1</v>
      </c>
      <c r="I53" s="250" t="e">
        <v>#N/A</v>
      </c>
      <c r="J53" s="250" t="s">
        <v>237</v>
      </c>
      <c r="K53" s="250">
        <v>10800</v>
      </c>
      <c r="L53" s="250">
        <v>3600</v>
      </c>
      <c r="M53" s="251"/>
      <c r="N53" s="251"/>
      <c r="O53" s="251"/>
      <c r="P53" s="251" t="e">
        <v>#N/A</v>
      </c>
      <c r="Q53" s="2"/>
      <c r="R53" s="2"/>
      <c r="S53" s="2"/>
      <c r="T53" s="2"/>
      <c r="U53" s="2"/>
      <c r="V53" s="2"/>
      <c r="W53" s="2"/>
      <c r="X53" s="2"/>
    </row>
    <row r="54" s="217" customFormat="1" customHeight="1" spans="1:24">
      <c r="A54" s="2"/>
      <c r="B54" s="253" t="s">
        <v>1556</v>
      </c>
      <c r="C54" s="7">
        <v>2</v>
      </c>
      <c r="D54" s="7" t="s">
        <v>197</v>
      </c>
      <c r="E54" s="7">
        <v>250</v>
      </c>
      <c r="F54" s="7">
        <v>2500</v>
      </c>
      <c r="G54" s="255" t="s">
        <v>1557</v>
      </c>
      <c r="H54" s="7">
        <v>1</v>
      </c>
      <c r="I54" s="7" t="e">
        <v>#N/A</v>
      </c>
      <c r="J54" s="7" t="s">
        <v>237</v>
      </c>
      <c r="K54" s="7">
        <v>8100</v>
      </c>
      <c r="L54" s="7">
        <v>2700</v>
      </c>
      <c r="M54" s="10"/>
      <c r="N54" s="10"/>
      <c r="O54" s="10"/>
      <c r="P54" s="10" t="e">
        <v>#N/A</v>
      </c>
      <c r="Q54" s="2"/>
      <c r="R54" s="2"/>
      <c r="S54" s="2"/>
      <c r="T54" s="2"/>
      <c r="U54" s="2"/>
      <c r="V54" s="2"/>
      <c r="W54" s="2"/>
      <c r="X54" s="2"/>
    </row>
    <row r="55" s="217" customFormat="1" customHeight="1" spans="1:24">
      <c r="A55" s="2"/>
      <c r="B55" s="253" t="s">
        <v>1556</v>
      </c>
      <c r="C55" s="7">
        <v>3</v>
      </c>
      <c r="D55" s="7" t="s">
        <v>197</v>
      </c>
      <c r="E55" s="7">
        <v>200</v>
      </c>
      <c r="F55" s="7">
        <v>2000</v>
      </c>
      <c r="G55" s="255" t="s">
        <v>1557</v>
      </c>
      <c r="H55" s="7">
        <v>1</v>
      </c>
      <c r="I55" s="7" t="e">
        <v>#N/A</v>
      </c>
      <c r="J55" s="7" t="s">
        <v>237</v>
      </c>
      <c r="K55" s="7">
        <v>6300</v>
      </c>
      <c r="L55" s="7">
        <v>2100</v>
      </c>
      <c r="M55" s="10"/>
      <c r="N55" s="10"/>
      <c r="O55" s="10"/>
      <c r="P55" s="10" t="e">
        <v>#N/A</v>
      </c>
      <c r="Q55" s="2"/>
      <c r="R55" s="2"/>
      <c r="S55" s="2"/>
      <c r="T55" s="2"/>
      <c r="U55" s="2"/>
      <c r="V55" s="2"/>
      <c r="W55" s="2"/>
      <c r="X55" s="2"/>
    </row>
    <row r="56" s="217" customFormat="1" customHeight="1" spans="1:24">
      <c r="A56" s="2"/>
      <c r="B56" s="253" t="s">
        <v>1500</v>
      </c>
      <c r="C56" s="7" t="s">
        <v>1520</v>
      </c>
      <c r="D56" s="7" t="s">
        <v>197</v>
      </c>
      <c r="E56" s="7">
        <v>150</v>
      </c>
      <c r="F56" s="7">
        <v>1500</v>
      </c>
      <c r="G56" s="8" t="s">
        <v>1558</v>
      </c>
      <c r="H56" s="7">
        <v>1</v>
      </c>
      <c r="I56" s="7" t="e">
        <v>#N/A</v>
      </c>
      <c r="J56" s="7" t="s">
        <v>237</v>
      </c>
      <c r="K56" s="7">
        <v>6000</v>
      </c>
      <c r="L56" s="7">
        <v>2000</v>
      </c>
      <c r="M56" s="10"/>
      <c r="N56" s="10"/>
      <c r="O56" s="10"/>
      <c r="P56" s="10" t="e">
        <v>#N/A</v>
      </c>
      <c r="Q56" s="2"/>
      <c r="R56" s="2"/>
      <c r="S56" s="2"/>
      <c r="T56" s="2"/>
      <c r="U56" s="2"/>
      <c r="V56" s="2"/>
      <c r="W56" s="2"/>
      <c r="X56" s="2"/>
    </row>
    <row r="57" s="217" customFormat="1" customHeight="1" spans="1:24">
      <c r="A57" s="2"/>
      <c r="B57" s="2"/>
      <c r="C57" s="7" t="s">
        <v>1521</v>
      </c>
      <c r="D57" s="7" t="s">
        <v>197</v>
      </c>
      <c r="E57" s="7">
        <v>130</v>
      </c>
      <c r="F57" s="7">
        <v>1300</v>
      </c>
      <c r="G57" s="8" t="s">
        <v>276</v>
      </c>
      <c r="H57" s="7">
        <v>1</v>
      </c>
      <c r="I57" s="7">
        <v>4096</v>
      </c>
      <c r="J57" s="7" t="s">
        <v>237</v>
      </c>
      <c r="K57" s="7">
        <v>5400</v>
      </c>
      <c r="L57" s="7">
        <v>1800</v>
      </c>
      <c r="M57" s="10"/>
      <c r="N57" s="10"/>
      <c r="O57" s="10"/>
      <c r="P57" s="10">
        <v>7196</v>
      </c>
      <c r="Q57" s="2"/>
      <c r="R57" s="2"/>
      <c r="S57" s="2"/>
      <c r="T57" s="2"/>
      <c r="U57" s="2"/>
      <c r="V57" s="2"/>
      <c r="W57" s="2"/>
      <c r="X57" s="2"/>
    </row>
    <row r="58" s="217" customFormat="1" customHeight="1" spans="1:24">
      <c r="A58" s="2"/>
      <c r="B58" s="2"/>
      <c r="C58" s="7" t="s">
        <v>1522</v>
      </c>
      <c r="D58" s="7" t="s">
        <v>197</v>
      </c>
      <c r="E58" s="7">
        <v>100</v>
      </c>
      <c r="F58" s="7">
        <v>1000</v>
      </c>
      <c r="G58" s="8" t="s">
        <v>276</v>
      </c>
      <c r="H58" s="7">
        <v>1</v>
      </c>
      <c r="I58" s="7">
        <v>4096</v>
      </c>
      <c r="J58" s="7" t="s">
        <v>237</v>
      </c>
      <c r="K58" s="7">
        <v>4800</v>
      </c>
      <c r="L58" s="7">
        <v>1600</v>
      </c>
      <c r="M58" s="10"/>
      <c r="N58" s="10"/>
      <c r="O58" s="10"/>
      <c r="P58" s="10">
        <v>6696</v>
      </c>
      <c r="Q58" s="2"/>
      <c r="R58" s="2"/>
      <c r="S58" s="2"/>
      <c r="T58" s="2"/>
      <c r="U58" s="2"/>
      <c r="V58" s="2"/>
      <c r="W58" s="2"/>
      <c r="X58" s="2"/>
    </row>
    <row r="59" s="217" customFormat="1" customHeight="1" spans="1:24">
      <c r="A59" s="2"/>
      <c r="B59" s="2"/>
      <c r="C59" s="7" t="s">
        <v>1523</v>
      </c>
      <c r="D59" s="7" t="s">
        <v>197</v>
      </c>
      <c r="E59" s="7">
        <v>80</v>
      </c>
      <c r="F59" s="7">
        <v>800</v>
      </c>
      <c r="G59" s="7" t="s">
        <v>237</v>
      </c>
      <c r="H59" s="7">
        <v>3600</v>
      </c>
      <c r="I59" s="7">
        <v>1200</v>
      </c>
      <c r="J59" s="7"/>
      <c r="K59" s="7"/>
      <c r="L59" s="7"/>
      <c r="M59" s="10"/>
      <c r="N59" s="10"/>
      <c r="O59" s="10"/>
      <c r="P59" s="10">
        <v>2000</v>
      </c>
      <c r="Q59" s="2"/>
      <c r="R59" s="2"/>
      <c r="S59" s="2"/>
      <c r="T59" s="2"/>
      <c r="U59" s="2"/>
      <c r="V59" s="2"/>
      <c r="W59" s="2"/>
      <c r="X59" s="2"/>
    </row>
    <row r="60" s="217" customFormat="1" customHeight="1" spans="1:24">
      <c r="A60" s="2"/>
      <c r="B60" s="2"/>
      <c r="C60" s="7" t="s">
        <v>1524</v>
      </c>
      <c r="D60" s="7" t="s">
        <v>197</v>
      </c>
      <c r="E60" s="7">
        <v>50</v>
      </c>
      <c r="F60" s="7">
        <v>500</v>
      </c>
      <c r="G60" s="7" t="s">
        <v>237</v>
      </c>
      <c r="H60" s="7">
        <v>2700</v>
      </c>
      <c r="I60" s="7">
        <v>900</v>
      </c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="217" customFormat="1" customHeight="1" spans="1:24">
      <c r="A61" s="2"/>
      <c r="B61" s="2"/>
      <c r="C61" s="7" t="s">
        <v>1525</v>
      </c>
      <c r="D61" s="7" t="s">
        <v>188</v>
      </c>
      <c r="E61" s="7">
        <v>300</v>
      </c>
      <c r="F61" s="7">
        <v>300</v>
      </c>
      <c r="G61" s="7" t="s">
        <v>237</v>
      </c>
      <c r="H61" s="7">
        <v>2100</v>
      </c>
      <c r="I61" s="7">
        <v>700</v>
      </c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="217" customFormat="1" customHeight="1" spans="1:24">
      <c r="A62" s="2"/>
      <c r="B62" s="2"/>
      <c r="C62" s="7" t="s">
        <v>1526</v>
      </c>
      <c r="D62" s="7" t="s">
        <v>188</v>
      </c>
      <c r="E62" s="7">
        <v>100</v>
      </c>
      <c r="F62" s="7">
        <v>100</v>
      </c>
      <c r="G62" s="7" t="s">
        <v>237</v>
      </c>
      <c r="H62" s="7">
        <v>1500</v>
      </c>
      <c r="I62" s="7">
        <v>500</v>
      </c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="217" customFormat="1" customHeight="1" spans="1:24">
      <c r="A63" s="2"/>
      <c r="B63" s="2"/>
      <c r="C63" s="7" t="s">
        <v>1527</v>
      </c>
      <c r="D63" s="7" t="s">
        <v>188</v>
      </c>
      <c r="E63" s="7">
        <v>50</v>
      </c>
      <c r="F63" s="7">
        <v>50</v>
      </c>
      <c r="G63" s="7" t="s">
        <v>237</v>
      </c>
      <c r="H63" s="7">
        <v>900</v>
      </c>
      <c r="I63" s="7">
        <v>300</v>
      </c>
      <c r="J63" s="256"/>
      <c r="K63" s="256"/>
      <c r="L63" s="25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="217" customFormat="1" customHeight="1" spans="1:24">
      <c r="A64" s="2"/>
      <c r="B64" s="2"/>
      <c r="C64" s="7" t="s">
        <v>1528</v>
      </c>
      <c r="D64" s="7" t="s">
        <v>188</v>
      </c>
      <c r="E64" s="7">
        <v>30</v>
      </c>
      <c r="F64" s="7">
        <v>30</v>
      </c>
      <c r="G64" s="7" t="s">
        <v>237</v>
      </c>
      <c r="H64" s="7">
        <v>450</v>
      </c>
      <c r="I64" s="7">
        <v>150</v>
      </c>
      <c r="J64" s="256"/>
      <c r="K64" s="256"/>
      <c r="L64" s="25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="217" customFormat="1" customHeight="1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="217" customFormat="1" customHeight="1" spans="1:2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="217" customFormat="1" customHeight="1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="217" customFormat="1" customHeight="1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="217" customFormat="1" customHeight="1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="217" customFormat="1" customHeight="1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="217" customFormat="1" customHeight="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="217" customFormat="1" customHeight="1" spans="1:2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="217" customFormat="1" customHeight="1" spans="1:2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="217" customFormat="1" customHeight="1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="217" customFormat="1" customHeight="1" spans="1:2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tabColor theme="9"/>
  </sheetPr>
  <dimension ref="A2:Z109"/>
  <sheetViews>
    <sheetView workbookViewId="0">
      <selection activeCell="B95" sqref="B95:L100"/>
    </sheetView>
  </sheetViews>
  <sheetFormatPr defaultColWidth="9" defaultRowHeight="16.5"/>
  <cols>
    <col min="1" max="1" width="11.9666666666667" style="218"/>
    <col min="2" max="2" width="8.5" style="218" customWidth="1"/>
    <col min="3" max="3" width="11.9166666666667" style="218" customWidth="1"/>
    <col min="4" max="13" width="8.5" style="218" customWidth="1"/>
    <col min="14" max="15" width="11.9166666666667" style="218" customWidth="1"/>
    <col min="16" max="21" width="8.5" style="218" customWidth="1"/>
    <col min="22" max="26" width="11.9666666666667" style="218"/>
    <col min="27" max="16384" width="9" style="217"/>
  </cols>
  <sheetData>
    <row r="2" s="217" customFormat="1" spans="1:26">
      <c r="A2" s="218"/>
      <c r="B2" s="219" t="s">
        <v>1559</v>
      </c>
      <c r="C2" s="218"/>
      <c r="D2" s="218"/>
      <c r="E2" s="218"/>
      <c r="F2" s="218"/>
      <c r="G2" s="218"/>
      <c r="H2" s="220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s="217" customFormat="1" spans="1:26">
      <c r="A3" s="218"/>
      <c r="B3" s="218"/>
      <c r="C3" s="218"/>
      <c r="D3" s="218"/>
      <c r="E3" s="218"/>
      <c r="F3" s="218"/>
      <c r="G3" s="218"/>
      <c r="H3" s="220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s="217" customFormat="1" spans="1:26">
      <c r="A4" s="218"/>
      <c r="B4" s="218"/>
      <c r="C4" s="221" t="s">
        <v>93</v>
      </c>
      <c r="D4" s="218"/>
      <c r="E4" s="218"/>
      <c r="F4" s="218"/>
      <c r="G4" s="218"/>
      <c r="H4" s="220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s="217" customFormat="1" spans="1:26">
      <c r="A5" s="218"/>
      <c r="B5" s="218"/>
      <c r="C5" s="218"/>
      <c r="D5" s="218">
        <v>1</v>
      </c>
      <c r="E5" s="218">
        <v>11</v>
      </c>
      <c r="F5" s="218">
        <v>5104001</v>
      </c>
      <c r="G5" s="218"/>
      <c r="H5" s="220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s="217" customFormat="1" spans="1:26">
      <c r="A6" s="218"/>
      <c r="B6" s="218"/>
      <c r="C6" s="222" t="s">
        <v>1202</v>
      </c>
      <c r="D6" s="223" t="s">
        <v>188</v>
      </c>
      <c r="E6" s="223" t="s">
        <v>924</v>
      </c>
      <c r="F6" s="223" t="s">
        <v>209</v>
      </c>
      <c r="G6" s="223" t="s">
        <v>965</v>
      </c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s="217" customFormat="1" spans="1:26">
      <c r="A7" s="218"/>
      <c r="B7" s="218"/>
      <c r="C7" s="220"/>
      <c r="D7" s="220">
        <v>100</v>
      </c>
      <c r="E7" s="220">
        <v>20</v>
      </c>
      <c r="F7" s="220">
        <v>300</v>
      </c>
      <c r="G7" s="224">
        <v>1000</v>
      </c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s="217" customFormat="1" spans="1:26">
      <c r="A8" s="218"/>
      <c r="B8" s="218"/>
      <c r="C8" s="218"/>
      <c r="D8" s="220"/>
      <c r="E8" s="220">
        <v>5523001</v>
      </c>
      <c r="F8" s="220">
        <v>5523003</v>
      </c>
      <c r="G8" s="220"/>
      <c r="H8" s="220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s="217" customFormat="1" spans="1:26">
      <c r="A9" s="218"/>
      <c r="B9" s="218"/>
      <c r="C9" s="218"/>
      <c r="D9" s="225" t="s">
        <v>1560</v>
      </c>
      <c r="E9" s="226" t="s">
        <v>299</v>
      </c>
      <c r="F9" s="226" t="s">
        <v>1561</v>
      </c>
      <c r="G9" s="226"/>
      <c r="H9" s="226" t="s">
        <v>922</v>
      </c>
      <c r="I9" s="226" t="s">
        <v>1562</v>
      </c>
      <c r="J9" s="227" t="s">
        <v>1095</v>
      </c>
      <c r="K9" s="226" t="s">
        <v>1563</v>
      </c>
      <c r="L9" s="218"/>
      <c r="M9" s="218"/>
      <c r="N9" s="226" t="s">
        <v>1561</v>
      </c>
      <c r="O9" s="226" t="s">
        <v>1564</v>
      </c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s="217" customFormat="1" spans="1:26">
      <c r="A10" s="218"/>
      <c r="B10" s="218"/>
      <c r="C10" s="218"/>
      <c r="D10" s="223">
        <v>2000</v>
      </c>
      <c r="E10" s="223">
        <v>300</v>
      </c>
      <c r="F10" s="223">
        <v>1</v>
      </c>
      <c r="G10" s="223" t="s">
        <v>1565</v>
      </c>
      <c r="H10" s="223">
        <v>178.2</v>
      </c>
      <c r="I10" s="223">
        <v>2000</v>
      </c>
      <c r="J10" s="228">
        <v>0.27</v>
      </c>
      <c r="K10" s="223">
        <v>0</v>
      </c>
      <c r="L10" s="218"/>
      <c r="M10" s="218"/>
      <c r="N10" s="223">
        <v>1</v>
      </c>
      <c r="O10" s="223" t="s">
        <v>1566</v>
      </c>
      <c r="P10" s="218"/>
      <c r="Q10" s="220"/>
      <c r="R10" s="220"/>
      <c r="S10" s="229"/>
      <c r="T10" s="218"/>
      <c r="U10" s="218"/>
      <c r="V10" s="218"/>
      <c r="W10" s="218"/>
      <c r="X10" s="218"/>
      <c r="Y10" s="218"/>
      <c r="Z10" s="218"/>
    </row>
    <row r="11" s="217" customFormat="1" spans="1:26">
      <c r="A11" s="218"/>
      <c r="B11" s="218"/>
      <c r="C11" s="218"/>
      <c r="D11" s="223">
        <v>4000</v>
      </c>
      <c r="E11" s="223">
        <v>300</v>
      </c>
      <c r="F11" s="223">
        <v>1</v>
      </c>
      <c r="G11" s="223" t="s">
        <v>1565</v>
      </c>
      <c r="H11" s="223">
        <v>178.2</v>
      </c>
      <c r="I11" s="223">
        <v>4000</v>
      </c>
      <c r="J11" s="228">
        <v>0.18</v>
      </c>
      <c r="K11" s="223">
        <v>0</v>
      </c>
      <c r="L11" s="218"/>
      <c r="M11" s="218"/>
      <c r="N11" s="223">
        <v>2</v>
      </c>
      <c r="O11" s="223" t="s">
        <v>1567</v>
      </c>
      <c r="P11" s="218"/>
      <c r="Q11" s="220"/>
      <c r="R11" s="220"/>
      <c r="S11" s="229"/>
      <c r="T11" s="218"/>
      <c r="U11" s="218"/>
      <c r="V11" s="218"/>
      <c r="W11" s="218"/>
      <c r="X11" s="218"/>
      <c r="Y11" s="218"/>
      <c r="Z11" s="218"/>
    </row>
    <row r="12" s="217" customFormat="1" spans="1:26">
      <c r="A12" s="218"/>
      <c r="B12" s="218"/>
      <c r="C12" s="218"/>
      <c r="D12" s="223">
        <v>6500</v>
      </c>
      <c r="E12" s="223">
        <v>300</v>
      </c>
      <c r="F12" s="223">
        <v>1</v>
      </c>
      <c r="G12" s="223" t="s">
        <v>1565</v>
      </c>
      <c r="H12" s="223">
        <v>178.2</v>
      </c>
      <c r="I12" s="223">
        <v>6500</v>
      </c>
      <c r="J12" s="228">
        <v>0.13</v>
      </c>
      <c r="K12" s="223">
        <v>0</v>
      </c>
      <c r="L12" s="218"/>
      <c r="M12" s="218"/>
      <c r="N12" s="218"/>
      <c r="O12" s="218"/>
      <c r="P12" s="218"/>
      <c r="Q12" s="220"/>
      <c r="R12" s="220"/>
      <c r="S12" s="229"/>
      <c r="T12" s="218"/>
      <c r="U12" s="218"/>
      <c r="V12" s="218"/>
      <c r="W12" s="218"/>
      <c r="X12" s="218"/>
      <c r="Y12" s="218"/>
      <c r="Z12" s="218"/>
    </row>
    <row r="13" s="217" customFormat="1" spans="1:26">
      <c r="A13" s="218"/>
      <c r="B13" s="218"/>
      <c r="C13" s="218"/>
      <c r="D13" s="223">
        <v>10000</v>
      </c>
      <c r="E13" s="223">
        <v>400</v>
      </c>
      <c r="F13" s="223">
        <v>2</v>
      </c>
      <c r="G13" s="223" t="s">
        <v>1565</v>
      </c>
      <c r="H13" s="223">
        <v>290.4</v>
      </c>
      <c r="I13" s="223">
        <v>10000</v>
      </c>
      <c r="J13" s="228">
        <v>0.11</v>
      </c>
      <c r="K13" s="223">
        <v>0</v>
      </c>
      <c r="L13" s="218"/>
      <c r="M13" s="218"/>
      <c r="N13" s="218"/>
      <c r="O13" s="218"/>
      <c r="P13" s="218"/>
      <c r="Q13" s="220"/>
      <c r="R13" s="220"/>
      <c r="S13" s="229"/>
      <c r="T13" s="218"/>
      <c r="U13" s="218"/>
      <c r="V13" s="218"/>
      <c r="W13" s="218"/>
      <c r="X13" s="218"/>
      <c r="Y13" s="218"/>
      <c r="Z13" s="218"/>
    </row>
    <row r="14" s="217" customFormat="1" spans="1:26">
      <c r="A14" s="218"/>
      <c r="B14" s="218"/>
      <c r="C14" s="218"/>
      <c r="D14" s="223">
        <v>14000</v>
      </c>
      <c r="E14" s="223">
        <v>400</v>
      </c>
      <c r="F14" s="223">
        <v>2</v>
      </c>
      <c r="G14" s="223" t="s">
        <v>1565</v>
      </c>
      <c r="H14" s="223">
        <v>290.4</v>
      </c>
      <c r="I14" s="223">
        <v>14000</v>
      </c>
      <c r="J14" s="228">
        <v>0.09</v>
      </c>
      <c r="K14" s="223">
        <v>0</v>
      </c>
      <c r="L14" s="218"/>
      <c r="M14" s="218"/>
      <c r="N14" s="226" t="s">
        <v>1561</v>
      </c>
      <c r="O14" s="226" t="s">
        <v>1564</v>
      </c>
      <c r="P14" s="226" t="s">
        <v>1568</v>
      </c>
      <c r="Q14" s="226" t="s">
        <v>1385</v>
      </c>
      <c r="R14" s="218"/>
      <c r="S14" s="226" t="s">
        <v>1561</v>
      </c>
      <c r="T14" s="226" t="s">
        <v>1564</v>
      </c>
      <c r="U14" s="226" t="s">
        <v>1568</v>
      </c>
      <c r="V14" s="226" t="s">
        <v>1385</v>
      </c>
      <c r="W14" s="218"/>
      <c r="X14" s="218"/>
      <c r="Y14" s="218"/>
      <c r="Z14" s="218"/>
    </row>
    <row r="15" s="217" customFormat="1" spans="1:26">
      <c r="A15" s="218"/>
      <c r="B15" s="218"/>
      <c r="C15" s="218"/>
      <c r="D15" s="223">
        <v>20000</v>
      </c>
      <c r="E15" s="223">
        <v>400</v>
      </c>
      <c r="F15" s="223">
        <v>2</v>
      </c>
      <c r="G15" s="223" t="s">
        <v>1565</v>
      </c>
      <c r="H15" s="223">
        <v>290.4</v>
      </c>
      <c r="I15" s="223">
        <v>20000</v>
      </c>
      <c r="J15" s="228">
        <v>0.08</v>
      </c>
      <c r="K15" s="223">
        <v>0</v>
      </c>
      <c r="L15" s="218"/>
      <c r="M15" s="218"/>
      <c r="N15" s="223">
        <v>1</v>
      </c>
      <c r="O15" s="223">
        <v>188</v>
      </c>
      <c r="P15" s="223">
        <v>6000</v>
      </c>
      <c r="Q15" s="230">
        <f>SUMPRODUCT(O15:O17,P15:P17)/SUM(P15:P17)</f>
        <v>238</v>
      </c>
      <c r="R15" s="218"/>
      <c r="S15" s="223">
        <v>2</v>
      </c>
      <c r="T15" s="223">
        <v>680</v>
      </c>
      <c r="U15" s="223">
        <v>6800</v>
      </c>
      <c r="V15" s="231">
        <f>SUMPRODUCT(U15:U19,T15:T19)/10000</f>
        <v>1014.4</v>
      </c>
      <c r="W15" s="218"/>
      <c r="X15" s="218"/>
      <c r="Y15" s="218"/>
      <c r="Z15" s="218"/>
    </row>
    <row r="16" s="217" customFormat="1" spans="1:26">
      <c r="A16" s="218"/>
      <c r="B16" s="218"/>
      <c r="C16" s="218"/>
      <c r="D16" s="218">
        <v>1</v>
      </c>
      <c r="E16" s="218">
        <v>11</v>
      </c>
      <c r="F16" s="218"/>
      <c r="G16" s="218"/>
      <c r="H16" s="218"/>
      <c r="I16" s="218"/>
      <c r="J16" s="218"/>
      <c r="K16" s="218"/>
      <c r="L16" s="218"/>
      <c r="M16" s="218"/>
      <c r="N16" s="223">
        <v>1</v>
      </c>
      <c r="O16" s="223">
        <v>288</v>
      </c>
      <c r="P16" s="223">
        <v>3000</v>
      </c>
      <c r="Q16" s="232"/>
      <c r="R16" s="218"/>
      <c r="S16" s="223">
        <v>2</v>
      </c>
      <c r="T16" s="223">
        <v>880</v>
      </c>
      <c r="U16" s="223">
        <v>1800</v>
      </c>
      <c r="V16" s="232"/>
      <c r="W16" s="218"/>
      <c r="X16" s="218"/>
      <c r="Y16" s="218"/>
      <c r="Z16" s="218"/>
    </row>
    <row r="17" s="217" customFormat="1" spans="1:26">
      <c r="A17" s="218"/>
      <c r="B17" s="218"/>
      <c r="C17" s="222" t="s">
        <v>1203</v>
      </c>
      <c r="D17" s="223" t="s">
        <v>188</v>
      </c>
      <c r="E17" s="223" t="s">
        <v>924</v>
      </c>
      <c r="F17" s="223" t="s">
        <v>209</v>
      </c>
      <c r="G17" s="223" t="s">
        <v>965</v>
      </c>
      <c r="H17" s="218"/>
      <c r="I17" s="218"/>
      <c r="J17" s="218"/>
      <c r="K17" s="218"/>
      <c r="L17" s="218"/>
      <c r="M17" s="218"/>
      <c r="N17" s="223">
        <v>1</v>
      </c>
      <c r="O17" s="223">
        <v>388</v>
      </c>
      <c r="P17" s="223">
        <v>1000</v>
      </c>
      <c r="Q17" s="232"/>
      <c r="R17" s="218"/>
      <c r="S17" s="223">
        <v>2</v>
      </c>
      <c r="T17" s="223">
        <v>1280</v>
      </c>
      <c r="U17" s="223">
        <v>800</v>
      </c>
      <c r="V17" s="232"/>
      <c r="W17" s="218"/>
      <c r="X17" s="218"/>
      <c r="Y17" s="218"/>
      <c r="Z17" s="218"/>
    </row>
    <row r="18" s="217" customFormat="1" spans="1:26">
      <c r="A18" s="218"/>
      <c r="B18" s="218"/>
      <c r="C18" s="220"/>
      <c r="D18" s="220">
        <v>150</v>
      </c>
      <c r="E18" s="220">
        <v>30</v>
      </c>
      <c r="F18" s="220">
        <v>500</v>
      </c>
      <c r="G18" s="224">
        <v>1550</v>
      </c>
      <c r="H18" s="218"/>
      <c r="I18" s="218"/>
      <c r="J18" s="218"/>
      <c r="K18" s="218"/>
      <c r="L18" s="218"/>
      <c r="M18" s="218"/>
      <c r="N18" s="218"/>
      <c r="O18" s="218"/>
      <c r="P18" s="218"/>
      <c r="Q18" s="220"/>
      <c r="R18" s="218"/>
      <c r="S18" s="223">
        <v>2</v>
      </c>
      <c r="T18" s="223">
        <v>2880</v>
      </c>
      <c r="U18" s="223">
        <v>400</v>
      </c>
      <c r="V18" s="232"/>
      <c r="W18" s="218"/>
      <c r="X18" s="218"/>
      <c r="Y18" s="218"/>
      <c r="Z18" s="218"/>
    </row>
    <row r="19" s="217" customFormat="1" spans="1:26">
      <c r="A19" s="218"/>
      <c r="B19" s="218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20"/>
      <c r="R19" s="218"/>
      <c r="S19" s="223">
        <v>2</v>
      </c>
      <c r="T19" s="223">
        <v>8800</v>
      </c>
      <c r="U19" s="223">
        <v>200</v>
      </c>
      <c r="V19" s="232"/>
      <c r="W19" s="218"/>
      <c r="X19" s="218"/>
      <c r="Y19" s="218"/>
      <c r="Z19" s="218"/>
    </row>
    <row r="20" s="217" customFormat="1" spans="1:26">
      <c r="A20" s="218"/>
      <c r="B20" s="218"/>
      <c r="C20" s="218"/>
      <c r="D20" s="225" t="s">
        <v>1560</v>
      </c>
      <c r="E20" s="226" t="s">
        <v>299</v>
      </c>
      <c r="F20" s="226" t="s">
        <v>1561</v>
      </c>
      <c r="G20" s="226"/>
      <c r="H20" s="226" t="s">
        <v>922</v>
      </c>
      <c r="I20" s="226" t="s">
        <v>1562</v>
      </c>
      <c r="J20" s="227" t="s">
        <v>1095</v>
      </c>
      <c r="K20" s="226" t="s">
        <v>1563</v>
      </c>
      <c r="L20" s="218"/>
      <c r="M20" s="218"/>
      <c r="N20" s="218"/>
      <c r="O20" s="218"/>
      <c r="P20" s="218"/>
      <c r="Q20" s="220"/>
      <c r="R20" s="220"/>
      <c r="S20" s="229"/>
      <c r="T20" s="218"/>
      <c r="U20" s="218"/>
      <c r="V20" s="218"/>
      <c r="W20" s="218"/>
      <c r="X20" s="218"/>
      <c r="Y20" s="218"/>
      <c r="Z20" s="218"/>
    </row>
    <row r="21" s="217" customFormat="1" spans="1:26">
      <c r="A21" s="218"/>
      <c r="B21" s="218"/>
      <c r="C21" s="218"/>
      <c r="D21" s="223">
        <v>3000</v>
      </c>
      <c r="E21" s="223">
        <v>400</v>
      </c>
      <c r="F21" s="223">
        <v>2</v>
      </c>
      <c r="G21" s="223" t="s">
        <v>1565</v>
      </c>
      <c r="H21" s="223">
        <v>211.2</v>
      </c>
      <c r="I21" s="223">
        <v>23000</v>
      </c>
      <c r="J21" s="228">
        <v>0.06</v>
      </c>
      <c r="K21" s="223">
        <v>0</v>
      </c>
      <c r="L21" s="218"/>
      <c r="M21" s="218"/>
      <c r="N21" s="218"/>
      <c r="O21" s="218"/>
      <c r="P21" s="218"/>
      <c r="Q21" s="218"/>
      <c r="R21" s="218"/>
      <c r="S21" s="218"/>
      <c r="T21" s="218"/>
      <c r="U21" s="218">
        <f>SUM(U15:U19)</f>
        <v>10000</v>
      </c>
      <c r="V21" s="218"/>
      <c r="W21" s="218"/>
      <c r="X21" s="218"/>
      <c r="Y21" s="218"/>
      <c r="Z21" s="218"/>
    </row>
    <row r="22" s="217" customFormat="1" spans="1:26">
      <c r="A22" s="218"/>
      <c r="B22" s="218"/>
      <c r="C22" s="218"/>
      <c r="D22" s="223">
        <v>6000</v>
      </c>
      <c r="E22" s="223">
        <v>400</v>
      </c>
      <c r="F22" s="223">
        <v>2</v>
      </c>
      <c r="G22" s="223" t="s">
        <v>1565</v>
      </c>
      <c r="H22" s="223">
        <v>211.2</v>
      </c>
      <c r="I22" s="223">
        <v>26000</v>
      </c>
      <c r="J22" s="228">
        <v>0.05</v>
      </c>
      <c r="K22" s="223">
        <v>0</v>
      </c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s="217" customFormat="1" spans="1:26">
      <c r="A23" s="218"/>
      <c r="B23" s="218"/>
      <c r="C23" s="218"/>
      <c r="D23" s="223">
        <v>9750</v>
      </c>
      <c r="E23" s="223">
        <v>400</v>
      </c>
      <c r="F23" s="223">
        <v>2</v>
      </c>
      <c r="G23" s="223" t="s">
        <v>1565</v>
      </c>
      <c r="H23" s="223">
        <v>211.2</v>
      </c>
      <c r="I23" s="223">
        <v>29750</v>
      </c>
      <c r="J23" s="228">
        <v>0.05</v>
      </c>
      <c r="K23" s="223">
        <v>0</v>
      </c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s="217" customFormat="1" spans="1:26">
      <c r="A24" s="218"/>
      <c r="B24" s="218"/>
      <c r="C24" s="218"/>
      <c r="D24" s="223">
        <v>18000</v>
      </c>
      <c r="E24" s="223">
        <v>600</v>
      </c>
      <c r="F24" s="223">
        <v>2</v>
      </c>
      <c r="G24" s="223" t="s">
        <v>1565</v>
      </c>
      <c r="H24" s="223">
        <v>356.4</v>
      </c>
      <c r="I24" s="223">
        <v>38000</v>
      </c>
      <c r="J24" s="228">
        <v>0.04</v>
      </c>
      <c r="K24" s="223">
        <v>0</v>
      </c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s="217" customFormat="1" spans="1:26">
      <c r="A25" s="218"/>
      <c r="B25" s="218"/>
      <c r="C25" s="218"/>
      <c r="D25" s="223">
        <v>28000</v>
      </c>
      <c r="E25" s="223">
        <v>600</v>
      </c>
      <c r="F25" s="223">
        <v>2</v>
      </c>
      <c r="G25" s="223" t="s">
        <v>1565</v>
      </c>
      <c r="H25" s="223">
        <v>356.4</v>
      </c>
      <c r="I25" s="223">
        <v>48000</v>
      </c>
      <c r="J25" s="228">
        <v>0.04</v>
      </c>
      <c r="K25" s="223">
        <v>18</v>
      </c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s="217" customFormat="1" spans="1:26">
      <c r="A26" s="218"/>
      <c r="B26" s="218"/>
      <c r="C26" s="218"/>
      <c r="D26" s="223">
        <v>40000</v>
      </c>
      <c r="E26" s="223">
        <v>600</v>
      </c>
      <c r="F26" s="223">
        <v>2</v>
      </c>
      <c r="G26" s="223" t="s">
        <v>1565</v>
      </c>
      <c r="H26" s="223">
        <v>356.4</v>
      </c>
      <c r="I26" s="223">
        <v>60000</v>
      </c>
      <c r="J26" s="228">
        <v>0.03</v>
      </c>
      <c r="K26" s="223">
        <v>48</v>
      </c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s="217" customFormat="1" spans="1:26">
      <c r="A27" s="218"/>
      <c r="B27" s="218"/>
      <c r="C27" s="218"/>
      <c r="D27" s="218">
        <v>44</v>
      </c>
      <c r="E27" s="218"/>
      <c r="F27" s="218">
        <v>5104001</v>
      </c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s="217" customFormat="1" spans="1:26">
      <c r="A28" s="218"/>
      <c r="B28" s="218"/>
      <c r="C28" s="222" t="s">
        <v>1204</v>
      </c>
      <c r="D28" s="223" t="s">
        <v>1514</v>
      </c>
      <c r="E28" s="223" t="s">
        <v>265</v>
      </c>
      <c r="F28" s="223" t="s">
        <v>209</v>
      </c>
      <c r="G28" s="223" t="s">
        <v>965</v>
      </c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s="217" customFormat="1" spans="1:26">
      <c r="A29" s="218"/>
      <c r="B29" s="218"/>
      <c r="C29" s="220"/>
      <c r="D29" s="220">
        <v>50</v>
      </c>
      <c r="E29" s="220">
        <v>24</v>
      </c>
      <c r="F29" s="220">
        <v>800</v>
      </c>
      <c r="G29" s="224">
        <v>2740</v>
      </c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1" s="217" customFormat="1" spans="1:26">
      <c r="A31" s="218"/>
      <c r="B31" s="218"/>
      <c r="C31" s="218"/>
      <c r="D31" s="225" t="s">
        <v>1560</v>
      </c>
      <c r="E31" s="226" t="s">
        <v>299</v>
      </c>
      <c r="F31" s="226" t="s">
        <v>1561</v>
      </c>
      <c r="G31" s="226"/>
      <c r="H31" s="226" t="s">
        <v>922</v>
      </c>
      <c r="I31" s="226" t="s">
        <v>1562</v>
      </c>
      <c r="J31" s="227" t="s">
        <v>1095</v>
      </c>
      <c r="K31" s="226" t="s">
        <v>1563</v>
      </c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s="217" customFormat="1" spans="1:26">
      <c r="A32" s="218"/>
      <c r="B32" s="218"/>
      <c r="C32" s="218"/>
      <c r="D32" s="223">
        <v>6000</v>
      </c>
      <c r="E32" s="223">
        <v>600</v>
      </c>
      <c r="F32" s="223">
        <v>2</v>
      </c>
      <c r="G32" s="223" t="s">
        <v>1565</v>
      </c>
      <c r="H32" s="223">
        <v>356.4</v>
      </c>
      <c r="I32" s="223">
        <v>66000</v>
      </c>
      <c r="J32" s="228">
        <v>0.03</v>
      </c>
      <c r="K32" s="223">
        <v>78</v>
      </c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s="217" customFormat="1" spans="1:26">
      <c r="A33" s="218"/>
      <c r="B33" s="218"/>
      <c r="C33" s="218"/>
      <c r="D33" s="223">
        <v>12000</v>
      </c>
      <c r="E33" s="223">
        <v>600</v>
      </c>
      <c r="F33" s="223">
        <v>2</v>
      </c>
      <c r="G33" s="223" t="s">
        <v>1565</v>
      </c>
      <c r="H33" s="223">
        <v>356.4</v>
      </c>
      <c r="I33" s="223">
        <v>72000</v>
      </c>
      <c r="J33" s="228">
        <v>0.03</v>
      </c>
      <c r="K33" s="223">
        <v>78</v>
      </c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s="217" customFormat="1" spans="1:26">
      <c r="A34" s="218"/>
      <c r="B34" s="218"/>
      <c r="C34" s="218"/>
      <c r="D34" s="223">
        <v>18000</v>
      </c>
      <c r="E34" s="223">
        <v>600</v>
      </c>
      <c r="F34" s="223">
        <v>2</v>
      </c>
      <c r="G34" s="223" t="s">
        <v>1565</v>
      </c>
      <c r="H34" s="223">
        <v>356.4</v>
      </c>
      <c r="I34" s="223">
        <v>78000</v>
      </c>
      <c r="J34" s="228">
        <v>0.03</v>
      </c>
      <c r="K34" s="223">
        <v>108</v>
      </c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s="217" customFormat="1" spans="1:26">
      <c r="A35" s="218"/>
      <c r="B35" s="218"/>
      <c r="C35" s="218"/>
      <c r="D35" s="223">
        <v>27000</v>
      </c>
      <c r="E35" s="223">
        <v>800</v>
      </c>
      <c r="F35" s="223">
        <v>3</v>
      </c>
      <c r="G35" s="223" t="s">
        <v>1565</v>
      </c>
      <c r="H35" s="223">
        <v>501.6</v>
      </c>
      <c r="I35" s="223">
        <v>87000</v>
      </c>
      <c r="J35" s="228">
        <v>0.02</v>
      </c>
      <c r="K35" s="223">
        <v>108</v>
      </c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s="217" customFormat="1" spans="1:26">
      <c r="A36" s="218"/>
      <c r="B36" s="218"/>
      <c r="C36" s="218"/>
      <c r="D36" s="223">
        <v>40000</v>
      </c>
      <c r="E36" s="223">
        <v>800</v>
      </c>
      <c r="F36" s="223">
        <v>3</v>
      </c>
      <c r="G36" s="223" t="s">
        <v>1565</v>
      </c>
      <c r="H36" s="223">
        <v>501.6</v>
      </c>
      <c r="I36" s="223">
        <v>100000</v>
      </c>
      <c r="J36" s="228">
        <v>0.02</v>
      </c>
      <c r="K36" s="223">
        <v>108</v>
      </c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s="217" customFormat="1" spans="1:26">
      <c r="A37" s="218"/>
      <c r="B37" s="218"/>
      <c r="C37" s="218"/>
      <c r="D37" s="223">
        <v>60000</v>
      </c>
      <c r="E37" s="223">
        <v>800</v>
      </c>
      <c r="F37" s="223">
        <v>3</v>
      </c>
      <c r="G37" s="223" t="s">
        <v>1565</v>
      </c>
      <c r="H37" s="223">
        <v>501.6</v>
      </c>
      <c r="I37" s="223">
        <v>120000</v>
      </c>
      <c r="J37" s="228">
        <v>0.02</v>
      </c>
      <c r="K37" s="223">
        <v>108</v>
      </c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s="217" customFormat="1" spans="1:26">
      <c r="A38" s="218"/>
      <c r="B38" s="218"/>
      <c r="C38" s="218"/>
      <c r="D38" s="218">
        <v>44</v>
      </c>
      <c r="E38" s="218"/>
      <c r="F38" s="218">
        <v>5104001</v>
      </c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s="217" customFormat="1" spans="1:26">
      <c r="A39" s="218"/>
      <c r="B39" s="218"/>
      <c r="C39" s="222" t="s">
        <v>1205</v>
      </c>
      <c r="D39" s="223" t="s">
        <v>1514</v>
      </c>
      <c r="E39" s="223" t="s">
        <v>265</v>
      </c>
      <c r="F39" s="223" t="s">
        <v>209</v>
      </c>
      <c r="G39" s="223" t="s">
        <v>965</v>
      </c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s="217" customFormat="1" spans="1:26">
      <c r="A40" s="218"/>
      <c r="B40" s="218"/>
      <c r="C40" s="220"/>
      <c r="D40" s="220">
        <v>50</v>
      </c>
      <c r="E40" s="220">
        <v>36</v>
      </c>
      <c r="F40" s="220">
        <v>1000</v>
      </c>
      <c r="G40" s="224">
        <v>3660</v>
      </c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2" s="217" customFormat="1" spans="1:26">
      <c r="A42" s="218"/>
      <c r="B42" s="218"/>
      <c r="C42" s="218"/>
      <c r="D42" s="225" t="s">
        <v>1560</v>
      </c>
      <c r="E42" s="226" t="s">
        <v>299</v>
      </c>
      <c r="F42" s="226" t="s">
        <v>1561</v>
      </c>
      <c r="G42" s="226"/>
      <c r="H42" s="226" t="s">
        <v>922</v>
      </c>
      <c r="I42" s="226" t="s">
        <v>1562</v>
      </c>
      <c r="J42" s="227" t="s">
        <v>1095</v>
      </c>
      <c r="K42" s="226" t="s">
        <v>1563</v>
      </c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s="217" customFormat="1" spans="1:26">
      <c r="A43" s="218"/>
      <c r="B43" s="218"/>
      <c r="C43" s="218"/>
      <c r="D43" s="223">
        <v>10000</v>
      </c>
      <c r="E43" s="223">
        <v>600</v>
      </c>
      <c r="F43" s="223">
        <v>2</v>
      </c>
      <c r="G43" s="223" t="s">
        <v>1565</v>
      </c>
      <c r="H43" s="223">
        <v>356.4</v>
      </c>
      <c r="I43" s="223">
        <v>130000</v>
      </c>
      <c r="J43" s="228">
        <v>0.02</v>
      </c>
      <c r="K43" s="223">
        <v>436</v>
      </c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s="217" customFormat="1" spans="1:26">
      <c r="A44" s="218"/>
      <c r="B44" s="218"/>
      <c r="C44" s="218"/>
      <c r="D44" s="223">
        <v>20000</v>
      </c>
      <c r="E44" s="223">
        <v>600</v>
      </c>
      <c r="F44" s="223">
        <v>2</v>
      </c>
      <c r="G44" s="223" t="s">
        <v>1565</v>
      </c>
      <c r="H44" s="223">
        <v>356.4</v>
      </c>
      <c r="I44" s="223">
        <v>140000</v>
      </c>
      <c r="J44" s="228">
        <v>0.02</v>
      </c>
      <c r="K44" s="223">
        <v>436</v>
      </c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s="217" customFormat="1" spans="1:26">
      <c r="A45" s="218"/>
      <c r="B45" s="218"/>
      <c r="C45" s="218"/>
      <c r="D45" s="223">
        <v>30000</v>
      </c>
      <c r="E45" s="223">
        <v>600</v>
      </c>
      <c r="F45" s="223">
        <v>2</v>
      </c>
      <c r="G45" s="223" t="s">
        <v>1565</v>
      </c>
      <c r="H45" s="223">
        <v>356.4</v>
      </c>
      <c r="I45" s="223">
        <v>150000</v>
      </c>
      <c r="J45" s="228">
        <v>0.02</v>
      </c>
      <c r="K45" s="223">
        <v>436</v>
      </c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s="217" customFormat="1" spans="1:26">
      <c r="A46" s="218"/>
      <c r="B46" s="218"/>
      <c r="C46" s="218"/>
      <c r="D46" s="223">
        <v>40000</v>
      </c>
      <c r="E46" s="223">
        <v>800</v>
      </c>
      <c r="F46" s="223">
        <v>3</v>
      </c>
      <c r="G46" s="223" t="s">
        <v>1565</v>
      </c>
      <c r="H46" s="223">
        <v>501.6</v>
      </c>
      <c r="I46" s="223">
        <v>160000</v>
      </c>
      <c r="J46" s="228">
        <v>0.02</v>
      </c>
      <c r="K46" s="223">
        <v>436</v>
      </c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s="217" customFormat="1" spans="1:26">
      <c r="A47" s="218"/>
      <c r="B47" s="218"/>
      <c r="C47" s="218"/>
      <c r="D47" s="223">
        <v>60000</v>
      </c>
      <c r="E47" s="223">
        <v>800</v>
      </c>
      <c r="F47" s="223">
        <v>3</v>
      </c>
      <c r="G47" s="223" t="s">
        <v>1565</v>
      </c>
      <c r="H47" s="223">
        <v>501.6</v>
      </c>
      <c r="I47" s="223">
        <v>180000</v>
      </c>
      <c r="J47" s="228">
        <v>0.02</v>
      </c>
      <c r="K47" s="223">
        <v>436</v>
      </c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s="217" customFormat="1" spans="1:26">
      <c r="A48" s="218"/>
      <c r="B48" s="218"/>
      <c r="C48" s="218"/>
      <c r="D48" s="223">
        <v>80000</v>
      </c>
      <c r="E48" s="223">
        <v>800</v>
      </c>
      <c r="F48" s="223">
        <v>3</v>
      </c>
      <c r="G48" s="223" t="s">
        <v>1565</v>
      </c>
      <c r="H48" s="223">
        <v>501.6</v>
      </c>
      <c r="I48" s="223">
        <v>200000</v>
      </c>
      <c r="J48" s="228">
        <v>0.01</v>
      </c>
      <c r="K48" s="223">
        <v>764</v>
      </c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51" s="217" customFormat="1" spans="1:26">
      <c r="A51" s="218"/>
      <c r="B51" s="218"/>
      <c r="C51" s="221" t="s">
        <v>1569</v>
      </c>
      <c r="D51" s="218"/>
      <c r="E51" s="218"/>
      <c r="F51" s="218"/>
      <c r="G51" s="220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s="217" customFormat="1" spans="1:26">
      <c r="A52" s="218"/>
      <c r="B52" s="218"/>
      <c r="C52" s="218"/>
      <c r="D52" s="218"/>
      <c r="E52" s="220">
        <v>1</v>
      </c>
      <c r="F52" s="220">
        <v>0.33</v>
      </c>
      <c r="G52" s="220">
        <v>330</v>
      </c>
      <c r="H52" s="220"/>
      <c r="I52" s="220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s="217" customFormat="1" spans="1:26">
      <c r="A53" s="218"/>
      <c r="B53" s="218"/>
      <c r="C53" s="218"/>
      <c r="D53" s="218"/>
      <c r="E53" s="233" t="s">
        <v>188</v>
      </c>
      <c r="F53" s="233" t="s">
        <v>299</v>
      </c>
      <c r="G53" s="233" t="s">
        <v>1570</v>
      </c>
      <c r="H53" s="233"/>
      <c r="I53" s="233" t="s">
        <v>922</v>
      </c>
      <c r="J53" s="233" t="s">
        <v>1571</v>
      </c>
      <c r="K53" s="233" t="s">
        <v>1572</v>
      </c>
      <c r="L53" s="233" t="s">
        <v>1573</v>
      </c>
      <c r="M53" s="233" t="s">
        <v>923</v>
      </c>
      <c r="N53" s="233" t="s">
        <v>954</v>
      </c>
      <c r="O53" s="233" t="s">
        <v>1574</v>
      </c>
      <c r="P53" s="233" t="s">
        <v>1575</v>
      </c>
      <c r="Q53" s="218"/>
      <c r="R53" s="233" t="s">
        <v>1576</v>
      </c>
      <c r="S53" s="233" t="s">
        <v>188</v>
      </c>
      <c r="T53" s="233" t="s">
        <v>946</v>
      </c>
      <c r="U53" s="233" t="s">
        <v>1577</v>
      </c>
      <c r="V53" s="233" t="s">
        <v>1578</v>
      </c>
      <c r="W53" s="218"/>
      <c r="X53" s="218"/>
      <c r="Y53" s="218"/>
      <c r="Z53" s="218"/>
    </row>
    <row r="54" s="217" customFormat="1" spans="1:26">
      <c r="A54" s="218"/>
      <c r="B54" s="218"/>
      <c r="C54" s="218"/>
      <c r="D54" s="234" t="s">
        <v>1516</v>
      </c>
      <c r="E54" s="234"/>
      <c r="F54" s="234"/>
      <c r="G54" s="234">
        <v>1</v>
      </c>
      <c r="H54" s="234" t="s">
        <v>1579</v>
      </c>
      <c r="I54" s="234">
        <v>99</v>
      </c>
      <c r="J54" s="234">
        <v>0</v>
      </c>
      <c r="K54" s="234"/>
      <c r="L54" s="234">
        <v>1</v>
      </c>
      <c r="M54" s="234"/>
      <c r="N54" s="234"/>
      <c r="O54" s="234"/>
      <c r="P54" s="234"/>
      <c r="Q54" s="218"/>
      <c r="R54" s="234">
        <v>18</v>
      </c>
      <c r="S54" s="234">
        <v>180</v>
      </c>
      <c r="T54" s="223">
        <v>9000</v>
      </c>
      <c r="U54" s="223">
        <v>1</v>
      </c>
      <c r="V54" s="235">
        <f t="shared" ref="V54:V60" si="0">LOG(_xlfn.XLOOKUP(U54,$H$85:$H$97,$L$85:$L$97),1.07)</f>
        <v>1.99710703555751</v>
      </c>
      <c r="W54" s="218"/>
      <c r="X54" s="218"/>
      <c r="Y54" s="218"/>
      <c r="Z54" s="218"/>
    </row>
    <row r="55" s="217" customFormat="1" spans="1:26">
      <c r="A55" s="218"/>
      <c r="B55" s="218"/>
      <c r="C55" s="218"/>
      <c r="D55" s="223" t="s">
        <v>1517</v>
      </c>
      <c r="E55" s="223"/>
      <c r="F55" s="223">
        <v>2000</v>
      </c>
      <c r="G55" s="223">
        <v>1</v>
      </c>
      <c r="H55" s="223" t="s">
        <v>1580</v>
      </c>
      <c r="I55" s="223">
        <v>990</v>
      </c>
      <c r="J55" s="223">
        <v>168</v>
      </c>
      <c r="K55" s="223"/>
      <c r="L55" s="223">
        <v>3</v>
      </c>
      <c r="M55" s="228">
        <v>5.89</v>
      </c>
      <c r="N55" s="223">
        <v>2</v>
      </c>
      <c r="O55" s="223">
        <v>9000</v>
      </c>
      <c r="P55" s="223"/>
      <c r="Q55" s="218"/>
      <c r="R55" s="223">
        <v>48</v>
      </c>
      <c r="S55" s="223">
        <v>480</v>
      </c>
      <c r="T55" s="223">
        <v>16000</v>
      </c>
      <c r="U55" s="223">
        <v>1</v>
      </c>
      <c r="V55" s="235">
        <f t="shared" si="0"/>
        <v>1.99710703555751</v>
      </c>
      <c r="W55" s="218"/>
      <c r="X55" s="218"/>
      <c r="Y55" s="218"/>
      <c r="Z55" s="218"/>
    </row>
    <row r="56" s="217" customFormat="1" spans="1:26">
      <c r="A56" s="218"/>
      <c r="B56" s="218"/>
      <c r="C56" s="218"/>
      <c r="D56" s="223" t="s">
        <v>1581</v>
      </c>
      <c r="E56" s="223">
        <v>60</v>
      </c>
      <c r="F56" s="223">
        <v>1000</v>
      </c>
      <c r="G56" s="223">
        <v>1</v>
      </c>
      <c r="H56" s="223" t="s">
        <v>1580</v>
      </c>
      <c r="I56" s="223">
        <v>720</v>
      </c>
      <c r="J56" s="236"/>
      <c r="K56" s="236">
        <v>6</v>
      </c>
      <c r="L56" s="223">
        <v>3</v>
      </c>
      <c r="M56" s="228">
        <v>12</v>
      </c>
      <c r="N56" s="223">
        <v>1</v>
      </c>
      <c r="O56" s="223">
        <v>15000</v>
      </c>
      <c r="P56" s="223">
        <v>18</v>
      </c>
      <c r="Q56" s="218"/>
      <c r="R56" s="223">
        <v>78</v>
      </c>
      <c r="S56" s="223">
        <v>780</v>
      </c>
      <c r="T56" s="223">
        <v>23000</v>
      </c>
      <c r="U56" s="223">
        <v>2</v>
      </c>
      <c r="V56" s="235">
        <f t="shared" si="0"/>
        <v>4.40512581976461</v>
      </c>
      <c r="W56" s="218"/>
      <c r="X56" s="218"/>
      <c r="Y56" s="218"/>
      <c r="Z56" s="218"/>
    </row>
    <row r="57" s="217" customFormat="1" spans="1:26">
      <c r="A57" s="218"/>
      <c r="B57" s="218"/>
      <c r="C57" s="218"/>
      <c r="D57" s="223" t="s">
        <v>1517</v>
      </c>
      <c r="E57" s="223"/>
      <c r="F57" s="223">
        <v>4000</v>
      </c>
      <c r="G57" s="223">
        <v>2</v>
      </c>
      <c r="H57" s="223" t="s">
        <v>1580</v>
      </c>
      <c r="I57" s="223">
        <v>1980</v>
      </c>
      <c r="J57" s="223">
        <v>528</v>
      </c>
      <c r="K57" s="223"/>
      <c r="L57" s="223">
        <v>5</v>
      </c>
      <c r="M57" s="228">
        <v>3.75</v>
      </c>
      <c r="N57" s="223">
        <v>3</v>
      </c>
      <c r="O57" s="223">
        <v>45000</v>
      </c>
      <c r="P57" s="223">
        <v>18</v>
      </c>
      <c r="Q57" s="218"/>
      <c r="R57" s="223">
        <v>108</v>
      </c>
      <c r="S57" s="223">
        <v>1080</v>
      </c>
      <c r="T57" s="223">
        <v>33000</v>
      </c>
      <c r="U57" s="223">
        <v>2</v>
      </c>
      <c r="V57" s="235">
        <f t="shared" si="0"/>
        <v>4.40512581976461</v>
      </c>
      <c r="W57" s="218"/>
      <c r="X57" s="218"/>
      <c r="Y57" s="218"/>
      <c r="Z57" s="218"/>
    </row>
    <row r="58" s="217" customFormat="1" spans="1:26">
      <c r="A58" s="218"/>
      <c r="B58" s="218"/>
      <c r="C58" s="218"/>
      <c r="D58" s="223" t="s">
        <v>1581</v>
      </c>
      <c r="E58" s="223">
        <v>300</v>
      </c>
      <c r="F58" s="223">
        <v>2000</v>
      </c>
      <c r="G58" s="223">
        <v>2</v>
      </c>
      <c r="H58" s="223" t="s">
        <v>1580</v>
      </c>
      <c r="I58" s="223">
        <v>1620</v>
      </c>
      <c r="J58" s="236"/>
      <c r="K58" s="236">
        <v>30</v>
      </c>
      <c r="L58" s="223">
        <v>3</v>
      </c>
      <c r="M58" s="228">
        <v>5.4</v>
      </c>
      <c r="N58" s="223">
        <v>2</v>
      </c>
      <c r="O58" s="223">
        <v>57000</v>
      </c>
      <c r="P58" s="223">
        <v>108</v>
      </c>
      <c r="Q58" s="218"/>
      <c r="R58" s="223">
        <v>436</v>
      </c>
      <c r="S58" s="223">
        <v>4360</v>
      </c>
      <c r="T58" s="223">
        <v>82000</v>
      </c>
      <c r="U58" s="223">
        <v>3</v>
      </c>
      <c r="V58" s="235">
        <f t="shared" si="0"/>
        <v>5.14799958852727</v>
      </c>
      <c r="W58" s="218"/>
      <c r="X58" s="218"/>
      <c r="Y58" s="218"/>
      <c r="Z58" s="218"/>
    </row>
    <row r="59" s="217" customFormat="1" spans="1:26">
      <c r="A59" s="218"/>
      <c r="B59" s="218"/>
      <c r="C59" s="218"/>
      <c r="D59" s="223" t="s">
        <v>1517</v>
      </c>
      <c r="E59" s="223"/>
      <c r="F59" s="223">
        <v>12000</v>
      </c>
      <c r="G59" s="223">
        <v>3</v>
      </c>
      <c r="H59" s="223" t="s">
        <v>1580</v>
      </c>
      <c r="I59" s="223">
        <v>4950</v>
      </c>
      <c r="J59" s="223">
        <v>1388</v>
      </c>
      <c r="K59" s="223"/>
      <c r="L59" s="223">
        <v>5</v>
      </c>
      <c r="M59" s="228">
        <v>3.57</v>
      </c>
      <c r="N59" s="223">
        <v>3</v>
      </c>
      <c r="O59" s="223">
        <v>132000</v>
      </c>
      <c r="P59" s="223">
        <v>108</v>
      </c>
      <c r="Q59" s="218"/>
      <c r="R59" s="223">
        <v>764</v>
      </c>
      <c r="S59" s="223">
        <v>7640</v>
      </c>
      <c r="T59" s="223">
        <v>152000</v>
      </c>
      <c r="U59" s="223">
        <v>4</v>
      </c>
      <c r="V59" s="235">
        <f t="shared" si="0"/>
        <v>5.99280531394426</v>
      </c>
      <c r="W59" s="218"/>
      <c r="X59" s="218"/>
      <c r="Y59" s="218"/>
      <c r="Z59" s="218"/>
    </row>
    <row r="60" s="217" customFormat="1" spans="1:26">
      <c r="A60" s="218"/>
      <c r="B60" s="218"/>
      <c r="C60" s="218"/>
      <c r="D60" s="223" t="s">
        <v>1517</v>
      </c>
      <c r="E60" s="223"/>
      <c r="F60" s="223">
        <v>20000</v>
      </c>
      <c r="G60" s="223">
        <v>4</v>
      </c>
      <c r="H60" s="223" t="s">
        <v>1580</v>
      </c>
      <c r="I60" s="223">
        <v>7920</v>
      </c>
      <c r="J60" s="223">
        <v>2988</v>
      </c>
      <c r="K60" s="223"/>
      <c r="L60" s="223">
        <v>3</v>
      </c>
      <c r="M60" s="228">
        <v>2.65</v>
      </c>
      <c r="N60" s="223">
        <v>4</v>
      </c>
      <c r="O60" s="223">
        <v>204000</v>
      </c>
      <c r="P60" s="223">
        <v>108</v>
      </c>
      <c r="Q60" s="218"/>
      <c r="R60" s="223">
        <v>1092</v>
      </c>
      <c r="S60" s="223">
        <v>10920</v>
      </c>
      <c r="T60" s="223">
        <v>207000</v>
      </c>
      <c r="U60" s="223">
        <v>4</v>
      </c>
      <c r="V60" s="235">
        <f t="shared" si="0"/>
        <v>5.99280531394426</v>
      </c>
      <c r="W60" s="218"/>
      <c r="X60" s="218"/>
      <c r="Y60" s="218"/>
      <c r="Z60" s="218"/>
    </row>
    <row r="61" s="217" customFormat="1" spans="1:26">
      <c r="A61" s="218"/>
      <c r="B61" s="218"/>
      <c r="C61" s="218"/>
      <c r="D61" s="223" t="s">
        <v>1581</v>
      </c>
      <c r="E61" s="223">
        <v>3280</v>
      </c>
      <c r="F61" s="223">
        <v>20000</v>
      </c>
      <c r="G61" s="223">
        <v>5</v>
      </c>
      <c r="H61" s="223" t="s">
        <v>1580</v>
      </c>
      <c r="I61" s="223">
        <v>11530</v>
      </c>
      <c r="J61" s="236"/>
      <c r="K61" s="236">
        <v>328</v>
      </c>
      <c r="L61" s="223">
        <v>3</v>
      </c>
      <c r="M61" s="228">
        <v>3.52</v>
      </c>
      <c r="N61" s="223">
        <v>3</v>
      </c>
      <c r="O61" s="223">
        <v>279000</v>
      </c>
      <c r="P61" s="223">
        <v>1092</v>
      </c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s="217" customFormat="1" spans="1:26">
      <c r="A62" s="218"/>
      <c r="B62" s="218"/>
      <c r="C62" s="218"/>
      <c r="D62" s="223" t="s">
        <v>1517</v>
      </c>
      <c r="E62" s="223"/>
      <c r="F62" s="223">
        <v>30000</v>
      </c>
      <c r="G62" s="223">
        <v>5</v>
      </c>
      <c r="H62" s="223" t="s">
        <v>1580</v>
      </c>
      <c r="I62" s="223">
        <v>11550</v>
      </c>
      <c r="J62" s="223">
        <v>5488</v>
      </c>
      <c r="K62" s="223"/>
      <c r="L62" s="223">
        <v>10</v>
      </c>
      <c r="M62" s="228">
        <v>2.1</v>
      </c>
      <c r="N62" s="223">
        <v>5</v>
      </c>
      <c r="O62" s="223">
        <v>629000</v>
      </c>
      <c r="P62" s="223">
        <v>1092</v>
      </c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s="217" customFormat="1" spans="1:26">
      <c r="A63" s="218"/>
      <c r="B63" s="218"/>
      <c r="C63" s="218"/>
      <c r="D63" s="218"/>
      <c r="E63" s="218"/>
      <c r="F63" s="218"/>
      <c r="G63" s="218"/>
      <c r="H63" s="220"/>
      <c r="I63" s="220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s="217" customFormat="1" spans="1:26">
      <c r="A64" s="218"/>
      <c r="B64" s="218"/>
      <c r="C64" s="218"/>
      <c r="D64" s="218"/>
      <c r="E64" s="218"/>
      <c r="F64" s="218"/>
      <c r="G64" s="220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s="217" customFormat="1" spans="1:26">
      <c r="A65" s="218"/>
      <c r="B65" s="218"/>
      <c r="C65" s="221" t="s">
        <v>1582</v>
      </c>
      <c r="D65" s="218"/>
      <c r="E65" s="218"/>
      <c r="F65" s="218"/>
      <c r="G65" s="220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s="217" customFormat="1" spans="1:26">
      <c r="A66" s="218"/>
      <c r="B66" s="218"/>
      <c r="C66" s="218"/>
      <c r="D66" s="218"/>
      <c r="E66" s="220">
        <v>10</v>
      </c>
      <c r="F66" s="220">
        <v>1</v>
      </c>
      <c r="G66" s="220">
        <v>30</v>
      </c>
      <c r="H66" s="220">
        <v>330</v>
      </c>
      <c r="I66" s="220"/>
      <c r="J66" s="220">
        <v>1</v>
      </c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s="217" customFormat="1" spans="1:26">
      <c r="A67" s="218"/>
      <c r="B67" s="218"/>
      <c r="C67" s="218"/>
      <c r="D67" s="225" t="s">
        <v>1519</v>
      </c>
      <c r="E67" s="226" t="s">
        <v>1514</v>
      </c>
      <c r="F67" s="226" t="s">
        <v>188</v>
      </c>
      <c r="G67" s="226" t="s">
        <v>924</v>
      </c>
      <c r="H67" s="226" t="s">
        <v>299</v>
      </c>
      <c r="I67" s="226" t="s">
        <v>1561</v>
      </c>
      <c r="J67" s="226" t="s">
        <v>1570</v>
      </c>
      <c r="K67" s="226" t="s">
        <v>209</v>
      </c>
      <c r="L67" s="226" t="s">
        <v>965</v>
      </c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s="217" customFormat="1" spans="1:26">
      <c r="A68" s="218"/>
      <c r="B68" s="218"/>
      <c r="C68" s="218"/>
      <c r="D68" s="237">
        <v>1</v>
      </c>
      <c r="E68" s="238">
        <v>300</v>
      </c>
      <c r="F68" s="238"/>
      <c r="G68" s="238">
        <v>150</v>
      </c>
      <c r="H68" s="238">
        <v>25</v>
      </c>
      <c r="I68" s="238">
        <v>1000</v>
      </c>
      <c r="J68" s="238" t="s">
        <v>1580</v>
      </c>
      <c r="K68" s="238">
        <v>1000</v>
      </c>
      <c r="L68" s="238">
        <v>15750</v>
      </c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s="217" customFormat="1" spans="1:26">
      <c r="A69" s="218"/>
      <c r="B69" s="218"/>
      <c r="C69" s="218"/>
      <c r="D69" s="237">
        <v>2</v>
      </c>
      <c r="E69" s="238">
        <v>250</v>
      </c>
      <c r="F69" s="238"/>
      <c r="G69" s="238">
        <v>120</v>
      </c>
      <c r="H69" s="238">
        <v>20</v>
      </c>
      <c r="I69" s="238">
        <v>1000</v>
      </c>
      <c r="J69" s="238" t="s">
        <v>1580</v>
      </c>
      <c r="K69" s="238">
        <v>900</v>
      </c>
      <c r="L69" s="238">
        <v>12700</v>
      </c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s="217" customFormat="1" spans="1:26">
      <c r="A70" s="218"/>
      <c r="B70" s="218"/>
      <c r="C70" s="218"/>
      <c r="D70" s="237">
        <v>3</v>
      </c>
      <c r="E70" s="238">
        <v>200</v>
      </c>
      <c r="F70" s="238"/>
      <c r="G70" s="238">
        <v>110</v>
      </c>
      <c r="H70" s="238">
        <v>18</v>
      </c>
      <c r="I70" s="238">
        <v>1000</v>
      </c>
      <c r="J70" s="238" t="s">
        <v>1580</v>
      </c>
      <c r="K70" s="238">
        <v>800</v>
      </c>
      <c r="L70" s="238">
        <v>11240</v>
      </c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s="217" customFormat="1" spans="1:26">
      <c r="A71" s="218"/>
      <c r="B71" s="218"/>
      <c r="C71" s="218"/>
      <c r="D71" s="239" t="s">
        <v>1520</v>
      </c>
      <c r="E71" s="238">
        <v>80</v>
      </c>
      <c r="F71" s="238"/>
      <c r="G71" s="238">
        <v>100</v>
      </c>
      <c r="H71" s="238">
        <v>15</v>
      </c>
      <c r="I71" s="238">
        <v>1000</v>
      </c>
      <c r="J71" s="238" t="s">
        <v>1580</v>
      </c>
      <c r="K71" s="238">
        <v>400</v>
      </c>
      <c r="L71" s="238">
        <v>8750</v>
      </c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s="217" customFormat="1" spans="1:26">
      <c r="A72" s="218"/>
      <c r="B72" s="218"/>
      <c r="C72" s="218"/>
      <c r="D72" s="240" t="s">
        <v>1521</v>
      </c>
      <c r="E72" s="238">
        <v>50</v>
      </c>
      <c r="F72" s="238"/>
      <c r="G72" s="238">
        <v>80</v>
      </c>
      <c r="H72" s="238">
        <v>12</v>
      </c>
      <c r="I72" s="238">
        <v>1000</v>
      </c>
      <c r="J72" s="238" t="s">
        <v>1580</v>
      </c>
      <c r="K72" s="238">
        <v>300</v>
      </c>
      <c r="L72" s="238">
        <v>6860</v>
      </c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s="217" customFormat="1" spans="1:26">
      <c r="A73" s="218"/>
      <c r="B73" s="218"/>
      <c r="C73" s="218"/>
      <c r="D73" s="240" t="s">
        <v>1522</v>
      </c>
      <c r="E73" s="241"/>
      <c r="F73" s="241">
        <v>200</v>
      </c>
      <c r="G73" s="241">
        <v>70</v>
      </c>
      <c r="H73" s="241">
        <v>12</v>
      </c>
      <c r="I73" s="241">
        <v>1000</v>
      </c>
      <c r="J73" s="238" t="s">
        <v>1580</v>
      </c>
      <c r="K73" s="241">
        <v>200</v>
      </c>
      <c r="L73" s="241">
        <v>6260</v>
      </c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s="217" customFormat="1" spans="1:26">
      <c r="A74" s="218"/>
      <c r="B74" s="218"/>
      <c r="C74" s="218"/>
      <c r="D74" s="240" t="s">
        <v>1523</v>
      </c>
      <c r="E74" s="241"/>
      <c r="F74" s="241">
        <v>150</v>
      </c>
      <c r="G74" s="241">
        <v>50</v>
      </c>
      <c r="H74" s="241">
        <v>10</v>
      </c>
      <c r="I74" s="241">
        <v>1000</v>
      </c>
      <c r="J74" s="238" t="s">
        <v>1580</v>
      </c>
      <c r="K74" s="241">
        <v>180</v>
      </c>
      <c r="L74" s="241">
        <v>4950</v>
      </c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s="217" customFormat="1" spans="1:26">
      <c r="A75" s="218"/>
      <c r="B75" s="218"/>
      <c r="C75" s="218"/>
      <c r="D75" s="240" t="s">
        <v>1524</v>
      </c>
      <c r="E75" s="241"/>
      <c r="F75" s="241">
        <v>100</v>
      </c>
      <c r="G75" s="241">
        <v>40</v>
      </c>
      <c r="H75" s="241">
        <v>5</v>
      </c>
      <c r="I75" s="241">
        <v>1000</v>
      </c>
      <c r="J75" s="238" t="s">
        <v>1580</v>
      </c>
      <c r="K75" s="241">
        <v>150</v>
      </c>
      <c r="L75" s="241">
        <v>2950</v>
      </c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s="217" customFormat="1" spans="1:26">
      <c r="A76" s="218"/>
      <c r="B76" s="218"/>
      <c r="C76" s="218"/>
      <c r="D76" s="240" t="s">
        <v>1525</v>
      </c>
      <c r="E76" s="223"/>
      <c r="F76" s="223"/>
      <c r="G76" s="223">
        <v>30</v>
      </c>
      <c r="H76" s="223">
        <v>5</v>
      </c>
      <c r="I76" s="223">
        <v>300</v>
      </c>
      <c r="J76" s="223" t="s">
        <v>1579</v>
      </c>
      <c r="K76" s="223">
        <v>120</v>
      </c>
      <c r="L76" s="223">
        <v>1395</v>
      </c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s="217" customFormat="1" spans="1:26">
      <c r="A77" s="218"/>
      <c r="B77" s="218"/>
      <c r="C77" s="218"/>
      <c r="D77" s="240" t="s">
        <v>1526</v>
      </c>
      <c r="E77" s="223"/>
      <c r="F77" s="223"/>
      <c r="G77" s="223">
        <v>20</v>
      </c>
      <c r="H77" s="223">
        <v>4</v>
      </c>
      <c r="I77" s="223">
        <v>300</v>
      </c>
      <c r="J77" s="223" t="s">
        <v>1579</v>
      </c>
      <c r="K77" s="223">
        <v>100</v>
      </c>
      <c r="L77" s="223">
        <v>996</v>
      </c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s="217" customFormat="1" spans="1:26">
      <c r="A78" s="218"/>
      <c r="B78" s="218"/>
      <c r="C78" s="218"/>
      <c r="D78" s="240" t="s">
        <v>1527</v>
      </c>
      <c r="E78" s="223"/>
      <c r="F78" s="223"/>
      <c r="G78" s="223">
        <v>10</v>
      </c>
      <c r="H78" s="223">
        <v>3</v>
      </c>
      <c r="I78" s="223">
        <v>300</v>
      </c>
      <c r="J78" s="223" t="s">
        <v>1579</v>
      </c>
      <c r="K78" s="223">
        <v>80</v>
      </c>
      <c r="L78" s="223">
        <v>597</v>
      </c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s="217" customFormat="1" spans="1:26">
      <c r="A79" s="218"/>
      <c r="B79" s="218"/>
      <c r="C79" s="218"/>
      <c r="D79" s="240" t="s">
        <v>1528</v>
      </c>
      <c r="E79" s="223"/>
      <c r="F79" s="223"/>
      <c r="G79" s="223"/>
      <c r="H79" s="223">
        <v>2</v>
      </c>
      <c r="I79" s="223">
        <v>300</v>
      </c>
      <c r="J79" s="223" t="s">
        <v>1579</v>
      </c>
      <c r="K79" s="223">
        <v>50</v>
      </c>
      <c r="L79" s="223">
        <v>198</v>
      </c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s="217" customFormat="1" spans="1:26">
      <c r="A80" s="218"/>
      <c r="B80" s="218"/>
      <c r="C80" s="218"/>
      <c r="D80" s="218"/>
      <c r="E80" s="218"/>
      <c r="F80" s="218"/>
      <c r="G80" s="220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3" s="217" customFormat="1" spans="1:26">
      <c r="A83" s="218"/>
      <c r="B83" s="218"/>
      <c r="C83" s="221" t="s">
        <v>1583</v>
      </c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5" s="217" customFormat="1" spans="1:26">
      <c r="A85" s="218"/>
      <c r="B85" s="218"/>
      <c r="C85" s="218"/>
      <c r="D85" s="234" t="s">
        <v>136</v>
      </c>
      <c r="E85" s="234" t="s">
        <v>1584</v>
      </c>
      <c r="F85" s="218"/>
      <c r="G85" s="218"/>
      <c r="H85" s="234" t="s">
        <v>1577</v>
      </c>
      <c r="I85" s="234" t="s">
        <v>1585</v>
      </c>
      <c r="J85" s="234" t="s">
        <v>1586</v>
      </c>
      <c r="K85" s="234" t="s">
        <v>136</v>
      </c>
      <c r="L85" s="234" t="s">
        <v>1587</v>
      </c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s="217" customFormat="1" spans="1:26">
      <c r="A86" s="218"/>
      <c r="B86" s="218"/>
      <c r="C86" s="218"/>
      <c r="D86" s="223">
        <v>1</v>
      </c>
      <c r="E86" s="223">
        <f t="shared" ref="E86:E92" si="1">4800*D86</f>
        <v>4800</v>
      </c>
      <c r="F86" s="218"/>
      <c r="G86" s="218"/>
      <c r="H86" s="223">
        <v>1</v>
      </c>
      <c r="I86" s="223">
        <v>6000</v>
      </c>
      <c r="J86" s="223">
        <v>3000</v>
      </c>
      <c r="K86" s="223">
        <v>4</v>
      </c>
      <c r="L86" s="232">
        <v>1.144675926</v>
      </c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s="217" customFormat="1" spans="1:26">
      <c r="A87" s="218"/>
      <c r="B87" s="218"/>
      <c r="C87" s="218"/>
      <c r="D87" s="223">
        <v>2</v>
      </c>
      <c r="E87" s="223">
        <f t="shared" si="1"/>
        <v>9600</v>
      </c>
      <c r="F87" s="218"/>
      <c r="G87" s="218"/>
      <c r="H87" s="223">
        <v>2</v>
      </c>
      <c r="I87" s="223">
        <v>18000</v>
      </c>
      <c r="J87" s="223">
        <v>6000</v>
      </c>
      <c r="K87" s="223">
        <v>9</v>
      </c>
      <c r="L87" s="232">
        <v>1.347222222</v>
      </c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s="217" customFormat="1" spans="1:26">
      <c r="A88" s="218"/>
      <c r="B88" s="218"/>
      <c r="C88" s="218"/>
      <c r="D88" s="223">
        <v>3</v>
      </c>
      <c r="E88" s="223">
        <f t="shared" si="1"/>
        <v>14400</v>
      </c>
      <c r="F88" s="218"/>
      <c r="G88" s="218"/>
      <c r="H88" s="223">
        <v>3</v>
      </c>
      <c r="I88" s="223">
        <v>58000</v>
      </c>
      <c r="J88" s="223">
        <v>12000</v>
      </c>
      <c r="K88" s="223">
        <v>16.66666667</v>
      </c>
      <c r="L88" s="232">
        <v>1.416666667</v>
      </c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s="217" customFormat="1" spans="1:26">
      <c r="A89" s="218"/>
      <c r="B89" s="218"/>
      <c r="C89" s="218"/>
      <c r="D89" s="223">
        <v>4</v>
      </c>
      <c r="E89" s="223">
        <f t="shared" si="1"/>
        <v>19200</v>
      </c>
      <c r="F89" s="218"/>
      <c r="G89" s="218"/>
      <c r="H89" s="223">
        <v>4</v>
      </c>
      <c r="I89" s="223">
        <v>138000</v>
      </c>
      <c r="J89" s="223">
        <v>25000</v>
      </c>
      <c r="K89" s="223">
        <v>29.0952381</v>
      </c>
      <c r="L89" s="232">
        <v>1.5</v>
      </c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s="217" customFormat="1" spans="1:26">
      <c r="A90" s="218"/>
      <c r="B90" s="218"/>
      <c r="C90" s="218"/>
      <c r="D90" s="223">
        <v>5</v>
      </c>
      <c r="E90" s="223">
        <f t="shared" si="1"/>
        <v>24000</v>
      </c>
      <c r="F90" s="218"/>
      <c r="G90" s="218"/>
      <c r="H90" s="223">
        <v>5</v>
      </c>
      <c r="I90" s="223">
        <v>288000</v>
      </c>
      <c r="J90" s="223">
        <v>50000</v>
      </c>
      <c r="K90" s="223">
        <v>48.8452381</v>
      </c>
      <c r="L90" s="232">
        <v>1.6</v>
      </c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s="217" customFormat="1" spans="1:26">
      <c r="A91" s="218"/>
      <c r="B91" s="218"/>
      <c r="C91" s="218"/>
      <c r="D91" s="223">
        <v>6</v>
      </c>
      <c r="E91" s="223">
        <f t="shared" si="1"/>
        <v>28800</v>
      </c>
      <c r="F91" s="218"/>
      <c r="G91" s="218"/>
      <c r="H91" s="223">
        <v>6</v>
      </c>
      <c r="I91" s="223">
        <v>588000</v>
      </c>
      <c r="J91" s="223">
        <v>100000</v>
      </c>
      <c r="K91" s="223">
        <v>87.3452381</v>
      </c>
      <c r="L91" s="232">
        <v>1.72</v>
      </c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s="217" customFormat="1" spans="1:26">
      <c r="A92" s="218"/>
      <c r="B92" s="218"/>
      <c r="C92" s="218"/>
      <c r="D92" s="223">
        <v>7</v>
      </c>
      <c r="E92" s="223">
        <f t="shared" si="1"/>
        <v>33600</v>
      </c>
      <c r="F92" s="218"/>
      <c r="G92" s="218"/>
      <c r="H92" s="223">
        <v>7</v>
      </c>
      <c r="I92" s="223">
        <v>1188000</v>
      </c>
      <c r="J92" s="223">
        <v>200000</v>
      </c>
      <c r="K92" s="223">
        <v>163.3452381</v>
      </c>
      <c r="L92" s="232">
        <v>1.864</v>
      </c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s="217" customFormat="1" spans="1:26">
      <c r="A93" s="218"/>
      <c r="B93" s="218"/>
      <c r="C93" s="218"/>
      <c r="D93" s="218"/>
      <c r="E93" s="218"/>
      <c r="F93" s="218"/>
      <c r="G93" s="218"/>
      <c r="H93" s="223">
        <v>8</v>
      </c>
      <c r="I93" s="223">
        <v>2388000</v>
      </c>
      <c r="J93" s="223">
        <v>400000</v>
      </c>
      <c r="K93" s="223">
        <v>314.3452381</v>
      </c>
      <c r="L93" s="232">
        <v>2.0368</v>
      </c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s="217" customFormat="1" spans="1:26">
      <c r="A94" s="218"/>
      <c r="B94" s="218"/>
      <c r="C94" s="218"/>
      <c r="D94" s="218"/>
      <c r="E94" s="218"/>
      <c r="F94" s="218"/>
      <c r="G94" s="218"/>
      <c r="H94" s="223">
        <v>9</v>
      </c>
      <c r="I94" s="223">
        <v>4888000</v>
      </c>
      <c r="J94" s="223">
        <v>800000</v>
      </c>
      <c r="K94" s="223">
        <v>627.8452381</v>
      </c>
      <c r="L94" s="232">
        <v>2.24416</v>
      </c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s="217" customFormat="1" spans="1:26">
      <c r="A95" s="218"/>
      <c r="B95" s="218"/>
      <c r="C95" s="218"/>
      <c r="D95" s="218"/>
      <c r="E95" s="218"/>
      <c r="F95" s="218"/>
      <c r="G95" s="218"/>
      <c r="H95" s="223">
        <v>10</v>
      </c>
      <c r="I95" s="223">
        <v>9888000</v>
      </c>
      <c r="J95" s="223">
        <v>1600000</v>
      </c>
      <c r="K95" s="223">
        <v>1253.845238</v>
      </c>
      <c r="L95" s="232">
        <v>2.492992</v>
      </c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s="217" customFormat="1" spans="1:26">
      <c r="A96" s="218"/>
      <c r="B96" s="218"/>
      <c r="C96" s="218"/>
      <c r="D96" s="218"/>
      <c r="E96" s="218"/>
      <c r="F96" s="218"/>
      <c r="G96" s="218"/>
      <c r="H96" s="223">
        <v>11</v>
      </c>
      <c r="I96" s="223">
        <v>19888000</v>
      </c>
      <c r="J96" s="223">
        <v>3200000</v>
      </c>
      <c r="K96" s="223">
        <v>2504.845238</v>
      </c>
      <c r="L96" s="232">
        <v>2.7915904</v>
      </c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s="217" customFormat="1" spans="1:26">
      <c r="A97" s="218"/>
      <c r="B97" s="218"/>
      <c r="C97" s="218"/>
      <c r="D97" s="218"/>
      <c r="E97" s="218"/>
      <c r="F97" s="218"/>
      <c r="G97" s="218"/>
      <c r="H97" s="223">
        <v>12</v>
      </c>
      <c r="I97" s="223"/>
      <c r="J97" s="223">
        <v>6400000</v>
      </c>
      <c r="K97" s="223">
        <v>5005.845238</v>
      </c>
      <c r="L97" s="232">
        <v>3.14990848</v>
      </c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101" s="217" customFormat="1" spans="1:26">
      <c r="A101" s="218"/>
      <c r="B101" s="218"/>
      <c r="C101" s="221" t="s">
        <v>1569</v>
      </c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s="217" customFormat="1" spans="1:26">
      <c r="A102" s="218"/>
      <c r="B102" s="218"/>
      <c r="C102" s="218"/>
      <c r="D102" s="218"/>
      <c r="E102" s="218"/>
      <c r="F102" s="218"/>
      <c r="G102" s="218">
        <v>5523001</v>
      </c>
      <c r="H102" s="218">
        <v>5523004</v>
      </c>
      <c r="I102" s="218">
        <v>1</v>
      </c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s="217" customFormat="1" spans="1:26">
      <c r="A103" s="218"/>
      <c r="B103" s="218"/>
      <c r="C103" s="218"/>
      <c r="D103" s="234" t="s">
        <v>1539</v>
      </c>
      <c r="E103" s="234" t="s">
        <v>1588</v>
      </c>
      <c r="F103" s="242"/>
      <c r="G103" s="234" t="s">
        <v>299</v>
      </c>
      <c r="H103" s="234" t="s">
        <v>1589</v>
      </c>
      <c r="I103" s="234" t="s">
        <v>188</v>
      </c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s="217" customFormat="1" spans="1:26">
      <c r="A104" s="218"/>
      <c r="B104" s="218"/>
      <c r="C104" s="218"/>
      <c r="D104" s="223">
        <v>1</v>
      </c>
      <c r="E104" s="223" t="s">
        <v>1590</v>
      </c>
      <c r="F104" s="242"/>
      <c r="G104" s="223">
        <v>200</v>
      </c>
      <c r="H104" s="223"/>
      <c r="I104" s="223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s="217" customFormat="1" spans="1:26">
      <c r="A105" s="218"/>
      <c r="B105" s="218"/>
      <c r="C105" s="218"/>
      <c r="D105" s="223">
        <v>2</v>
      </c>
      <c r="E105" s="223" t="s">
        <v>1591</v>
      </c>
      <c r="F105" s="242"/>
      <c r="G105" s="223">
        <v>400</v>
      </c>
      <c r="H105" s="223"/>
      <c r="I105" s="223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s="217" customFormat="1" spans="1:26">
      <c r="A106" s="218"/>
      <c r="B106" s="218"/>
      <c r="C106" s="218"/>
      <c r="D106" s="223">
        <v>3</v>
      </c>
      <c r="E106" s="223" t="s">
        <v>1592</v>
      </c>
      <c r="F106" s="242"/>
      <c r="G106" s="223"/>
      <c r="H106" s="223">
        <v>1</v>
      </c>
      <c r="I106" s="223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s="217" customFormat="1" spans="1:26">
      <c r="A107" s="218"/>
      <c r="B107" s="218"/>
      <c r="C107" s="218"/>
      <c r="D107" s="223">
        <v>4</v>
      </c>
      <c r="E107" s="223" t="s">
        <v>1593</v>
      </c>
      <c r="F107" s="242"/>
      <c r="G107" s="223"/>
      <c r="H107" s="223">
        <v>1</v>
      </c>
      <c r="I107" s="223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s="217" customFormat="1" spans="1:26">
      <c r="A108" s="218"/>
      <c r="B108" s="218"/>
      <c r="C108" s="218"/>
      <c r="D108" s="223">
        <v>5</v>
      </c>
      <c r="E108" s="223" t="s">
        <v>1594</v>
      </c>
      <c r="F108" s="242"/>
      <c r="G108" s="223"/>
      <c r="H108" s="223">
        <v>1</v>
      </c>
      <c r="I108" s="223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s="217" customFormat="1" spans="1:26">
      <c r="A109" s="218"/>
      <c r="B109" s="218"/>
      <c r="C109" s="218"/>
      <c r="D109" s="223">
        <v>6</v>
      </c>
      <c r="E109" s="223" t="s">
        <v>1595</v>
      </c>
      <c r="F109" s="242"/>
      <c r="G109" s="223"/>
      <c r="H109" s="223"/>
      <c r="I109" s="223">
        <v>188</v>
      </c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</sheetData>
  <mergeCells count="7">
    <mergeCell ref="E103:F103"/>
    <mergeCell ref="E104:F104"/>
    <mergeCell ref="E105:F105"/>
    <mergeCell ref="E106:F106"/>
    <mergeCell ref="E107:F107"/>
    <mergeCell ref="E108:F108"/>
    <mergeCell ref="E109:F109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theme="4"/>
  </sheetPr>
  <dimension ref="A1:V96"/>
  <sheetViews>
    <sheetView workbookViewId="0">
      <selection activeCell="B95" sqref="B95:L100"/>
    </sheetView>
  </sheetViews>
  <sheetFormatPr defaultColWidth="9" defaultRowHeight="16.5"/>
  <cols>
    <col min="1" max="10" width="9" style="198"/>
    <col min="11" max="12" width="12.625" style="198"/>
    <col min="13" max="13" width="9.375" style="198"/>
    <col min="14" max="14" width="10.375" style="198"/>
    <col min="15" max="15" width="9.375" style="198"/>
    <col min="16" max="21" width="9" style="198"/>
    <col min="22" max="22" width="10.375" style="198"/>
    <col min="23" max="16384" width="9" style="198"/>
  </cols>
  <sheetData>
    <row r="1" spans="1:17">
      <c r="A1" s="198" t="s">
        <v>1596</v>
      </c>
    </row>
    <row r="2" spans="1:17">
      <c r="C2" s="198" t="s">
        <v>1597</v>
      </c>
      <c r="H2" s="198" t="s">
        <v>1598</v>
      </c>
      <c r="I2" s="199" t="s">
        <v>1599</v>
      </c>
      <c r="N2" s="200" t="s">
        <v>1600</v>
      </c>
    </row>
    <row r="3" spans="1:17">
      <c r="C3" s="201" t="s">
        <v>136</v>
      </c>
      <c r="D3" s="201" t="s">
        <v>1099</v>
      </c>
      <c r="E3" s="202" t="s">
        <v>919</v>
      </c>
      <c r="F3" s="202" t="s">
        <v>922</v>
      </c>
      <c r="H3" s="201" t="s">
        <v>1099</v>
      </c>
      <c r="I3" s="202" t="s">
        <v>919</v>
      </c>
      <c r="J3" s="202" t="s">
        <v>922</v>
      </c>
      <c r="K3" s="202" t="s">
        <v>1158</v>
      </c>
      <c r="L3" s="203"/>
      <c r="N3" s="201" t="s">
        <v>1099</v>
      </c>
      <c r="O3" s="202" t="s">
        <v>919</v>
      </c>
      <c r="P3" s="202" t="s">
        <v>922</v>
      </c>
      <c r="Q3" s="202" t="s">
        <v>1158</v>
      </c>
    </row>
    <row r="4" spans="1:17">
      <c r="C4" s="196" t="s">
        <v>1243</v>
      </c>
      <c r="D4" s="196" t="s">
        <v>1598</v>
      </c>
      <c r="E4" s="204">
        <v>1</v>
      </c>
      <c r="F4" s="196">
        <f t="shared" ref="F4:F7" si="0">$J$8</f>
        <v>590</v>
      </c>
      <c r="H4" s="196" t="s">
        <v>1601</v>
      </c>
      <c r="I4" s="196">
        <v>1</v>
      </c>
      <c r="J4" s="196">
        <v>500</v>
      </c>
      <c r="K4" s="196">
        <v>120</v>
      </c>
      <c r="N4" s="196" t="s">
        <v>1602</v>
      </c>
      <c r="O4" s="196">
        <v>1</v>
      </c>
      <c r="P4" s="196">
        <v>1000</v>
      </c>
      <c r="Q4" s="196">
        <v>100</v>
      </c>
    </row>
    <row r="5" spans="1:17">
      <c r="C5" s="196" t="s">
        <v>1244</v>
      </c>
      <c r="D5" s="196" t="s">
        <v>1598</v>
      </c>
      <c r="E5" s="196">
        <v>1</v>
      </c>
      <c r="F5" s="196">
        <f t="shared" si="0"/>
        <v>590</v>
      </c>
      <c r="H5" s="196" t="s">
        <v>1600</v>
      </c>
      <c r="I5" s="196">
        <v>1</v>
      </c>
      <c r="J5" s="196">
        <f>P13</f>
        <v>1000</v>
      </c>
      <c r="K5" s="196">
        <v>100</v>
      </c>
      <c r="N5" s="196" t="s">
        <v>1603</v>
      </c>
      <c r="O5" s="196">
        <v>1</v>
      </c>
      <c r="P5" s="196">
        <v>1000</v>
      </c>
      <c r="Q5" s="196">
        <v>100</v>
      </c>
    </row>
    <row r="6" spans="1:17">
      <c r="C6" s="196" t="s">
        <v>1248</v>
      </c>
      <c r="D6" s="196" t="s">
        <v>1604</v>
      </c>
      <c r="E6" s="196">
        <v>588</v>
      </c>
      <c r="F6" s="196">
        <f>E6*$E$42</f>
        <v>294</v>
      </c>
      <c r="H6" s="196" t="s">
        <v>213</v>
      </c>
      <c r="I6" s="196">
        <v>10</v>
      </c>
      <c r="J6" s="196">
        <f>_xlfn.XLOOKUP(H6,价值表!$C:$C,价值表!$F:$F)*I6</f>
        <v>300</v>
      </c>
      <c r="K6" s="196">
        <v>180</v>
      </c>
      <c r="N6" s="196" t="s">
        <v>1605</v>
      </c>
      <c r="O6" s="196">
        <v>1</v>
      </c>
      <c r="P6" s="196">
        <v>1000</v>
      </c>
      <c r="Q6" s="196">
        <v>100</v>
      </c>
    </row>
    <row r="7" spans="1:17">
      <c r="C7" s="196" t="s">
        <v>1252</v>
      </c>
      <c r="D7" s="198" t="s">
        <v>1598</v>
      </c>
      <c r="E7" s="196">
        <v>1</v>
      </c>
      <c r="F7" s="196">
        <f t="shared" si="0"/>
        <v>590</v>
      </c>
      <c r="H7" s="196" t="s">
        <v>261</v>
      </c>
      <c r="I7" s="196">
        <v>2</v>
      </c>
      <c r="J7" s="196">
        <f>_xlfn.XLOOKUP(H7,价值表!$C:$C,价值表!$F:$F)*I7</f>
        <v>560</v>
      </c>
      <c r="K7" s="196">
        <v>180</v>
      </c>
      <c r="N7" s="196" t="s">
        <v>1606</v>
      </c>
      <c r="O7" s="196">
        <v>1</v>
      </c>
      <c r="P7" s="196">
        <v>1000</v>
      </c>
      <c r="Q7" s="196">
        <v>100</v>
      </c>
    </row>
    <row r="8" spans="1:17">
      <c r="C8" s="196" t="s">
        <v>1257</v>
      </c>
      <c r="D8" s="196" t="s">
        <v>188</v>
      </c>
      <c r="E8" s="196">
        <v>288</v>
      </c>
      <c r="F8" s="196">
        <f>_xlfn.XLOOKUP(D8,价值表!$C:$C,价值表!$F:$F)*E8</f>
        <v>288</v>
      </c>
      <c r="J8" s="198">
        <f>AVERAGE(J4:J7)</f>
        <v>590</v>
      </c>
      <c r="N8" s="196" t="s">
        <v>1607</v>
      </c>
      <c r="O8" s="196">
        <v>1</v>
      </c>
      <c r="P8" s="196">
        <v>1000</v>
      </c>
      <c r="Q8" s="196">
        <v>100</v>
      </c>
    </row>
    <row r="9" spans="1:17">
      <c r="C9" s="196" t="s">
        <v>1262</v>
      </c>
      <c r="D9" s="196" t="s">
        <v>258</v>
      </c>
      <c r="E9" s="196">
        <v>5</v>
      </c>
      <c r="F9" s="196">
        <f>_xlfn.XLOOKUP(D9,价值表!$C:$C,价值表!$F:$F)*E9</f>
        <v>250</v>
      </c>
      <c r="N9" s="196" t="s">
        <v>1608</v>
      </c>
      <c r="O9" s="196">
        <v>1</v>
      </c>
      <c r="P9" s="196">
        <v>1000</v>
      </c>
      <c r="Q9" s="196">
        <v>100</v>
      </c>
    </row>
    <row r="10" spans="1:17">
      <c r="C10" s="196" t="s">
        <v>1267</v>
      </c>
      <c r="D10" s="196" t="s">
        <v>1598</v>
      </c>
      <c r="E10" s="196">
        <v>1</v>
      </c>
      <c r="F10" s="196">
        <f>$J$8</f>
        <v>590</v>
      </c>
      <c r="N10" s="196" t="s">
        <v>1609</v>
      </c>
      <c r="O10" s="196">
        <v>1</v>
      </c>
      <c r="P10" s="196">
        <v>1000</v>
      </c>
      <c r="Q10" s="196">
        <v>100</v>
      </c>
    </row>
    <row r="13" spans="1:17">
      <c r="C13" s="198" t="s">
        <v>559</v>
      </c>
      <c r="E13" s="198" t="s">
        <v>1094</v>
      </c>
      <c r="F13" s="205">
        <v>18</v>
      </c>
      <c r="G13" s="198" t="s">
        <v>1610</v>
      </c>
      <c r="K13" s="198">
        <f>250/18</f>
        <v>13.8888888888889</v>
      </c>
      <c r="P13" s="198">
        <v>1000</v>
      </c>
    </row>
    <row r="14" spans="1:17">
      <c r="F14" s="206">
        <f>J34/F13/10</f>
        <v>20.75</v>
      </c>
    </row>
    <row r="15" spans="1:17">
      <c r="C15" s="207" t="s">
        <v>1611</v>
      </c>
      <c r="D15" s="198">
        <v>50</v>
      </c>
    </row>
    <row r="17" spans="3:12">
      <c r="C17" s="201" t="s">
        <v>1442</v>
      </c>
      <c r="D17" s="201" t="s">
        <v>1073</v>
      </c>
      <c r="E17" s="202" t="s">
        <v>919</v>
      </c>
      <c r="F17" s="201" t="s">
        <v>922</v>
      </c>
      <c r="G17" s="201" t="s">
        <v>1075</v>
      </c>
      <c r="H17" s="202" t="s">
        <v>919</v>
      </c>
      <c r="I17" s="202" t="s">
        <v>922</v>
      </c>
      <c r="J17" s="201" t="s">
        <v>1075</v>
      </c>
      <c r="K17" s="202" t="s">
        <v>919</v>
      </c>
      <c r="L17" s="202" t="s">
        <v>922</v>
      </c>
    </row>
    <row r="18" spans="3:12">
      <c r="C18" s="196">
        <v>1</v>
      </c>
      <c r="D18" s="196" t="s">
        <v>1604</v>
      </c>
      <c r="E18" s="196">
        <v>50</v>
      </c>
      <c r="F18" s="196">
        <f>$E$42*E18</f>
        <v>25</v>
      </c>
      <c r="G18" s="208" t="s">
        <v>188</v>
      </c>
      <c r="H18" s="208">
        <f>F13*10</f>
        <v>180</v>
      </c>
      <c r="I18" s="196">
        <f>_xlfn.XLOOKUP(G18,价值表!$C:$C,价值表!$F:$F)*H18</f>
        <v>180</v>
      </c>
      <c r="J18" s="196" t="s">
        <v>327</v>
      </c>
      <c r="K18" s="196">
        <v>1</v>
      </c>
      <c r="L18" s="196">
        <f>_xlfn.XLOOKUP(J18,价值表!C:C,价值表!F:F)*K18</f>
        <v>2500</v>
      </c>
    </row>
    <row r="19" spans="3:12">
      <c r="C19" s="196">
        <v>2</v>
      </c>
      <c r="D19" s="196" t="s">
        <v>1604</v>
      </c>
      <c r="E19" s="196">
        <v>50</v>
      </c>
      <c r="F19" s="196">
        <f t="shared" ref="F19:F32" si="1">$E$42*E19</f>
        <v>25</v>
      </c>
      <c r="G19" s="196" t="s">
        <v>195</v>
      </c>
      <c r="H19" s="196">
        <v>500</v>
      </c>
      <c r="I19" s="196">
        <f>_xlfn.XLOOKUP(G19,价值表!$C:$C,价值表!$F:$F)*H19</f>
        <v>25</v>
      </c>
      <c r="J19" s="196"/>
      <c r="K19" s="196"/>
      <c r="L19" s="196"/>
    </row>
    <row r="20" spans="3:12">
      <c r="C20" s="196">
        <v>3</v>
      </c>
      <c r="D20" s="196" t="s">
        <v>1604</v>
      </c>
      <c r="E20" s="196">
        <v>50</v>
      </c>
      <c r="F20" s="196">
        <f t="shared" si="1"/>
        <v>25</v>
      </c>
      <c r="G20" s="196" t="s">
        <v>209</v>
      </c>
      <c r="H20" s="196">
        <v>50</v>
      </c>
      <c r="I20" s="196">
        <f>_xlfn.XLOOKUP(G20,价值表!$C:$C,价值表!$F:$F)*H20</f>
        <v>50</v>
      </c>
      <c r="J20" s="196"/>
      <c r="K20" s="196"/>
      <c r="L20" s="196"/>
    </row>
    <row r="21" spans="3:12">
      <c r="C21" s="196">
        <v>4</v>
      </c>
      <c r="D21" s="196" t="s">
        <v>1604</v>
      </c>
      <c r="E21" s="196">
        <v>50</v>
      </c>
      <c r="F21" s="196">
        <f t="shared" si="1"/>
        <v>25</v>
      </c>
      <c r="G21" s="196" t="s">
        <v>195</v>
      </c>
      <c r="H21" s="196">
        <v>1000</v>
      </c>
      <c r="I21" s="196">
        <f>_xlfn.XLOOKUP(G21,价值表!$C:$C,价值表!$F:$F)*H21</f>
        <v>50</v>
      </c>
      <c r="J21" s="196"/>
      <c r="K21" s="196"/>
      <c r="L21" s="196"/>
    </row>
    <row r="22" spans="3:12">
      <c r="C22" s="196">
        <v>5</v>
      </c>
      <c r="D22" s="196" t="s">
        <v>1604</v>
      </c>
      <c r="E22" s="196">
        <v>100</v>
      </c>
      <c r="F22" s="196">
        <f t="shared" si="1"/>
        <v>50</v>
      </c>
      <c r="G22" s="208" t="s">
        <v>188</v>
      </c>
      <c r="H22" s="208">
        <v>60</v>
      </c>
      <c r="I22" s="196">
        <f>_xlfn.XLOOKUP(G22,价值表!$C:$C,价值表!$F:$F)*H22</f>
        <v>60</v>
      </c>
      <c r="J22" s="196"/>
      <c r="K22" s="196"/>
      <c r="L22" s="196"/>
    </row>
    <row r="23" spans="3:12">
      <c r="C23" s="196">
        <v>6</v>
      </c>
      <c r="D23" s="196" t="s">
        <v>1604</v>
      </c>
      <c r="E23" s="196">
        <v>50</v>
      </c>
      <c r="F23" s="196">
        <f t="shared" si="1"/>
        <v>25</v>
      </c>
      <c r="G23" s="196" t="s">
        <v>258</v>
      </c>
      <c r="H23" s="196">
        <v>2</v>
      </c>
      <c r="I23" s="196">
        <f>_xlfn.XLOOKUP(G23,价值表!$C:$C,价值表!$F:$F)*H23</f>
        <v>100</v>
      </c>
      <c r="J23" s="196"/>
      <c r="K23" s="196"/>
      <c r="L23" s="196"/>
    </row>
    <row r="24" spans="3:12">
      <c r="C24" s="196">
        <v>7</v>
      </c>
      <c r="D24" s="196" t="s">
        <v>1604</v>
      </c>
      <c r="E24" s="196">
        <v>50</v>
      </c>
      <c r="F24" s="196">
        <f t="shared" si="1"/>
        <v>25</v>
      </c>
      <c r="G24" s="196" t="s">
        <v>195</v>
      </c>
      <c r="H24" s="196">
        <v>1000</v>
      </c>
      <c r="I24" s="196">
        <f>_xlfn.XLOOKUP(G24,价值表!$C:$C,价值表!$F:$F)*H24</f>
        <v>50</v>
      </c>
      <c r="J24" s="196"/>
      <c r="K24" s="196"/>
      <c r="L24" s="196"/>
    </row>
    <row r="25" spans="3:12">
      <c r="C25" s="196">
        <v>8</v>
      </c>
      <c r="D25" s="196" t="s">
        <v>1604</v>
      </c>
      <c r="E25" s="196">
        <v>50</v>
      </c>
      <c r="F25" s="196">
        <f t="shared" si="1"/>
        <v>25</v>
      </c>
      <c r="G25" s="196" t="s">
        <v>209</v>
      </c>
      <c r="H25" s="196">
        <v>50</v>
      </c>
      <c r="I25" s="196">
        <f>_xlfn.XLOOKUP(G25,价值表!$C:$C,价值表!$F:$F)*H25</f>
        <v>50</v>
      </c>
      <c r="J25" s="196"/>
      <c r="K25" s="196"/>
      <c r="L25" s="196"/>
    </row>
    <row r="26" spans="3:12">
      <c r="C26" s="196">
        <v>9</v>
      </c>
      <c r="D26" s="196" t="s">
        <v>1604</v>
      </c>
      <c r="E26" s="196">
        <v>50</v>
      </c>
      <c r="F26" s="196">
        <f t="shared" si="1"/>
        <v>25</v>
      </c>
      <c r="G26" s="196" t="s">
        <v>213</v>
      </c>
      <c r="H26" s="196">
        <v>5</v>
      </c>
      <c r="I26" s="196">
        <f>_xlfn.XLOOKUP(G26,价值表!$C:$C,价值表!$F:$F)*H26</f>
        <v>150</v>
      </c>
      <c r="J26" s="196"/>
      <c r="K26" s="196"/>
      <c r="L26" s="196"/>
    </row>
    <row r="27" spans="3:12">
      <c r="C27" s="196">
        <v>10</v>
      </c>
      <c r="D27" s="196" t="s">
        <v>1604</v>
      </c>
      <c r="E27" s="196">
        <v>100</v>
      </c>
      <c r="F27" s="196">
        <f t="shared" si="1"/>
        <v>50</v>
      </c>
      <c r="G27" s="208" t="s">
        <v>188</v>
      </c>
      <c r="H27" s="208">
        <v>60</v>
      </c>
      <c r="I27" s="196">
        <f>_xlfn.XLOOKUP(G27,价值表!$C:$C,价值表!$F:$F)*H27</f>
        <v>60</v>
      </c>
      <c r="J27" s="196"/>
      <c r="K27" s="196"/>
      <c r="L27" s="196"/>
    </row>
    <row r="28" spans="3:12">
      <c r="C28" s="196">
        <v>11</v>
      </c>
      <c r="D28" s="196" t="s">
        <v>1604</v>
      </c>
      <c r="E28" s="196">
        <v>60</v>
      </c>
      <c r="F28" s="196">
        <f t="shared" si="1"/>
        <v>30</v>
      </c>
      <c r="G28" s="196" t="s">
        <v>258</v>
      </c>
      <c r="H28" s="196">
        <v>3</v>
      </c>
      <c r="I28" s="196">
        <f>_xlfn.XLOOKUP(G28,价值表!$C:$C,价值表!$F:$F)*H28</f>
        <v>150</v>
      </c>
      <c r="J28" s="196"/>
      <c r="K28" s="196"/>
      <c r="L28" s="196"/>
    </row>
    <row r="29" spans="3:12">
      <c r="C29" s="196">
        <v>12</v>
      </c>
      <c r="D29" s="196" t="s">
        <v>1604</v>
      </c>
      <c r="E29" s="196">
        <v>60</v>
      </c>
      <c r="F29" s="196">
        <f t="shared" si="1"/>
        <v>30</v>
      </c>
      <c r="G29" s="196" t="s">
        <v>195</v>
      </c>
      <c r="H29" s="196">
        <v>1000</v>
      </c>
      <c r="I29" s="196">
        <f>_xlfn.XLOOKUP(G29,价值表!$C:$C,价值表!$F:$F)*H29</f>
        <v>50</v>
      </c>
      <c r="J29" s="196"/>
      <c r="K29" s="196"/>
      <c r="L29" s="196"/>
    </row>
    <row r="30" spans="3:12">
      <c r="C30" s="196">
        <v>13</v>
      </c>
      <c r="D30" s="196" t="s">
        <v>1604</v>
      </c>
      <c r="E30" s="196">
        <v>60</v>
      </c>
      <c r="F30" s="196">
        <f t="shared" si="1"/>
        <v>30</v>
      </c>
      <c r="G30" s="196" t="s">
        <v>209</v>
      </c>
      <c r="H30" s="196">
        <v>50</v>
      </c>
      <c r="I30" s="196">
        <f>_xlfn.XLOOKUP(G30,价值表!$C:$C,价值表!$F:$F)*H30</f>
        <v>50</v>
      </c>
      <c r="J30" s="196"/>
      <c r="K30" s="196"/>
      <c r="L30" s="196"/>
    </row>
    <row r="31" spans="3:12">
      <c r="C31" s="196">
        <v>14</v>
      </c>
      <c r="D31" s="196" t="s">
        <v>1604</v>
      </c>
      <c r="E31" s="196">
        <v>60</v>
      </c>
      <c r="F31" s="196">
        <f t="shared" si="1"/>
        <v>30</v>
      </c>
      <c r="G31" s="196" t="s">
        <v>213</v>
      </c>
      <c r="H31" s="196">
        <v>5</v>
      </c>
      <c r="I31" s="196">
        <f>_xlfn.XLOOKUP(G31,价值表!$C:$C,价值表!$F:$F)*H31</f>
        <v>150</v>
      </c>
      <c r="J31" s="196"/>
      <c r="K31" s="196"/>
      <c r="L31" s="196"/>
    </row>
    <row r="32" spans="3:12">
      <c r="C32" s="196">
        <v>15</v>
      </c>
      <c r="D32" s="196" t="s">
        <v>1604</v>
      </c>
      <c r="E32" s="196">
        <v>120</v>
      </c>
      <c r="F32" s="196">
        <f t="shared" si="1"/>
        <v>60</v>
      </c>
      <c r="G32" s="208" t="s">
        <v>188</v>
      </c>
      <c r="H32" s="208">
        <v>60</v>
      </c>
      <c r="I32" s="196">
        <f>_xlfn.XLOOKUP(G32,价值表!$C:$C,价值表!$F:$F)*H32</f>
        <v>60</v>
      </c>
      <c r="J32" s="196"/>
      <c r="K32" s="196"/>
      <c r="L32" s="196"/>
    </row>
    <row r="34" spans="1:15">
      <c r="F34" s="198">
        <f>SUM(E18:E32)</f>
        <v>960</v>
      </c>
      <c r="J34" s="198">
        <f>SUM(I18:I32)+L18</f>
        <v>3735</v>
      </c>
    </row>
    <row r="36" spans="1:15">
      <c r="A36" s="198" t="s">
        <v>1612</v>
      </c>
    </row>
    <row r="38" spans="1:15">
      <c r="C38" s="199" t="s">
        <v>1613</v>
      </c>
    </row>
    <row r="39" spans="1:15">
      <c r="C39" s="199"/>
    </row>
    <row r="40" spans="1:15">
      <c r="B40" s="198" t="s">
        <v>1614</v>
      </c>
    </row>
    <row r="41" spans="1:15">
      <c r="C41" s="202" t="s">
        <v>1415</v>
      </c>
      <c r="D41" s="202" t="s">
        <v>919</v>
      </c>
      <c r="E41" s="202" t="s">
        <v>922</v>
      </c>
    </row>
    <row r="42" spans="1:15">
      <c r="C42" s="204" t="s">
        <v>1604</v>
      </c>
      <c r="D42" s="204">
        <v>1</v>
      </c>
      <c r="E42" s="196">
        <v>0.5</v>
      </c>
    </row>
    <row r="44" spans="1:15">
      <c r="B44" s="198" t="s">
        <v>1615</v>
      </c>
    </row>
    <row r="45" spans="1:15">
      <c r="C45" s="202" t="s">
        <v>1616</v>
      </c>
      <c r="D45" s="202" t="s">
        <v>919</v>
      </c>
      <c r="E45" s="202" t="s">
        <v>1197</v>
      </c>
      <c r="F45" s="202" t="s">
        <v>1617</v>
      </c>
      <c r="G45" s="202" t="s">
        <v>935</v>
      </c>
      <c r="H45" s="202" t="s">
        <v>1618</v>
      </c>
      <c r="K45" s="202" t="s">
        <v>180</v>
      </c>
      <c r="L45" s="202" t="s">
        <v>566</v>
      </c>
      <c r="M45" s="202" t="s">
        <v>568</v>
      </c>
      <c r="N45" s="202" t="s">
        <v>577</v>
      </c>
      <c r="O45" s="202" t="s">
        <v>586</v>
      </c>
    </row>
    <row r="46" spans="1:15">
      <c r="C46" s="196" t="s">
        <v>1597</v>
      </c>
      <c r="D46" s="196">
        <v>66</v>
      </c>
      <c r="E46" s="196">
        <v>1</v>
      </c>
      <c r="F46" s="196" t="s">
        <v>1619</v>
      </c>
      <c r="G46" s="196">
        <v>0</v>
      </c>
      <c r="H46" s="196">
        <f>D46</f>
        <v>66</v>
      </c>
      <c r="K46" s="196" t="s">
        <v>193</v>
      </c>
      <c r="L46" s="196">
        <f>H47+H48+H49+H50+H46</f>
        <v>2866</v>
      </c>
      <c r="M46" s="196">
        <f>H47+H48+H49+H50+H52+H53+H46</f>
        <v>3236</v>
      </c>
      <c r="N46" s="196">
        <f>H47+H48+H49+H50+H52+H53+H54+H51+H46</f>
        <v>4006</v>
      </c>
      <c r="O46" s="196">
        <f>H56</f>
        <v>5056</v>
      </c>
    </row>
    <row r="47" spans="1:15">
      <c r="C47" s="196" t="s">
        <v>1620</v>
      </c>
      <c r="D47" s="196">
        <f>10*24</f>
        <v>240</v>
      </c>
      <c r="E47" s="196">
        <v>1</v>
      </c>
      <c r="F47" s="196" t="s">
        <v>948</v>
      </c>
      <c r="G47" s="196">
        <v>0</v>
      </c>
      <c r="H47" s="196">
        <f>D47*7*E47</f>
        <v>1680</v>
      </c>
      <c r="K47" s="196" t="s">
        <v>1598</v>
      </c>
      <c r="L47" s="209">
        <f t="shared" ref="L47:O47" si="2">L46/10</f>
        <v>286.6</v>
      </c>
      <c r="M47" s="209">
        <f t="shared" si="2"/>
        <v>323.6</v>
      </c>
      <c r="N47" s="209">
        <f t="shared" si="2"/>
        <v>400.6</v>
      </c>
      <c r="O47" s="209">
        <f t="shared" si="2"/>
        <v>505.6</v>
      </c>
    </row>
    <row r="48" spans="1:15">
      <c r="C48" s="196" t="s">
        <v>1621</v>
      </c>
      <c r="D48" s="196">
        <v>10</v>
      </c>
      <c r="E48" s="196">
        <v>3</v>
      </c>
      <c r="F48" s="196" t="s">
        <v>948</v>
      </c>
      <c r="G48" s="196">
        <v>0</v>
      </c>
      <c r="H48" s="196">
        <f t="shared" ref="H47:H51" si="3">D48*7*E48</f>
        <v>210</v>
      </c>
    </row>
    <row r="49" spans="2:21">
      <c r="C49" s="196" t="s">
        <v>1622</v>
      </c>
      <c r="D49" s="196">
        <v>30</v>
      </c>
      <c r="E49" s="196">
        <v>4</v>
      </c>
      <c r="F49" s="196" t="s">
        <v>948</v>
      </c>
      <c r="G49" s="196">
        <v>0</v>
      </c>
      <c r="H49" s="196">
        <f t="shared" si="3"/>
        <v>840</v>
      </c>
      <c r="J49" s="207" t="s">
        <v>1623</v>
      </c>
      <c r="K49" s="196" t="s">
        <v>1624</v>
      </c>
      <c r="L49" s="209">
        <f t="shared" ref="L49:O49" si="4">L47*$I$66</f>
        <v>3469.293</v>
      </c>
      <c r="M49" s="209">
        <f t="shared" si="4"/>
        <v>3917.178</v>
      </c>
      <c r="N49" s="209">
        <f t="shared" si="4"/>
        <v>4849.263</v>
      </c>
      <c r="O49" s="209">
        <f t="shared" si="4"/>
        <v>6120.288</v>
      </c>
      <c r="P49" s="198">
        <f>4500</f>
        <v>4500</v>
      </c>
    </row>
    <row r="50" spans="2:21">
      <c r="C50" s="196" t="s">
        <v>1625</v>
      </c>
      <c r="D50" s="196">
        <v>10</v>
      </c>
      <c r="E50" s="196">
        <v>1</v>
      </c>
      <c r="F50" s="196" t="s">
        <v>948</v>
      </c>
      <c r="G50" s="196">
        <v>0</v>
      </c>
      <c r="H50" s="196">
        <f t="shared" si="3"/>
        <v>70</v>
      </c>
      <c r="J50" s="207" t="s">
        <v>1626</v>
      </c>
      <c r="K50" s="196" t="s">
        <v>1624</v>
      </c>
      <c r="L50" s="196">
        <v>588</v>
      </c>
      <c r="M50" s="196">
        <f>L50</f>
        <v>588</v>
      </c>
      <c r="N50" s="196">
        <f>L50</f>
        <v>588</v>
      </c>
      <c r="O50" s="196">
        <f>L50</f>
        <v>588</v>
      </c>
      <c r="P50" s="198">
        <f>P49+O50+O51</f>
        <v>6048</v>
      </c>
    </row>
    <row r="51" spans="2:21">
      <c r="B51" s="198" t="s">
        <v>188</v>
      </c>
      <c r="C51" s="196" t="s">
        <v>1625</v>
      </c>
      <c r="D51" s="196">
        <v>60</v>
      </c>
      <c r="E51" s="196">
        <v>1</v>
      </c>
      <c r="F51" s="196" t="s">
        <v>948</v>
      </c>
      <c r="G51" s="196">
        <v>96</v>
      </c>
      <c r="H51" s="196">
        <f t="shared" si="3"/>
        <v>420</v>
      </c>
      <c r="J51" s="207" t="s">
        <v>1627</v>
      </c>
      <c r="K51" s="196" t="s">
        <v>1624</v>
      </c>
      <c r="L51" s="196">
        <v>960</v>
      </c>
      <c r="M51" s="196">
        <f>L51</f>
        <v>960</v>
      </c>
      <c r="N51" s="196">
        <f>L51</f>
        <v>960</v>
      </c>
      <c r="O51" s="196">
        <f>L51</f>
        <v>960</v>
      </c>
    </row>
    <row r="52" spans="2:21">
      <c r="B52" s="198" t="s">
        <v>188</v>
      </c>
      <c r="C52" s="196" t="s">
        <v>1628</v>
      </c>
      <c r="D52" s="196">
        <f>60</f>
        <v>60</v>
      </c>
      <c r="E52" s="196">
        <v>5</v>
      </c>
      <c r="F52" s="196" t="s">
        <v>949</v>
      </c>
      <c r="G52" s="196">
        <v>84</v>
      </c>
      <c r="H52" s="196">
        <f>D52*E52</f>
        <v>300</v>
      </c>
      <c r="K52" s="196" t="s">
        <v>946</v>
      </c>
      <c r="L52" s="209">
        <f t="shared" ref="L52:O52" si="5">SUM(L49:L51)</f>
        <v>5017.293</v>
      </c>
      <c r="M52" s="209">
        <f t="shared" si="5"/>
        <v>5465.178</v>
      </c>
      <c r="N52" s="209">
        <f t="shared" si="5"/>
        <v>6397.263</v>
      </c>
      <c r="O52" s="209">
        <f t="shared" si="5"/>
        <v>7668.288</v>
      </c>
    </row>
    <row r="53" spans="2:21">
      <c r="C53" s="196" t="s">
        <v>1629</v>
      </c>
      <c r="D53" s="196">
        <v>10</v>
      </c>
      <c r="E53" s="196">
        <v>1</v>
      </c>
      <c r="F53" s="196" t="s">
        <v>948</v>
      </c>
      <c r="G53" s="196">
        <v>0</v>
      </c>
      <c r="H53" s="196">
        <f t="shared" ref="H53:H55" si="6">D53*7*E53</f>
        <v>70</v>
      </c>
    </row>
    <row r="54" spans="2:21">
      <c r="B54" s="198" t="s">
        <v>1610</v>
      </c>
      <c r="C54" s="196" t="s">
        <v>198</v>
      </c>
      <c r="D54" s="196">
        <v>50</v>
      </c>
      <c r="E54" s="196">
        <v>1</v>
      </c>
      <c r="F54" s="196" t="s">
        <v>948</v>
      </c>
      <c r="G54" s="196">
        <v>25</v>
      </c>
      <c r="H54" s="196">
        <f t="shared" si="6"/>
        <v>350</v>
      </c>
      <c r="K54" s="198" t="s">
        <v>965</v>
      </c>
      <c r="L54" s="198">
        <f t="shared" ref="L54:O54" si="7">L52*$E$42</f>
        <v>2508.6465</v>
      </c>
      <c r="M54" s="198">
        <f t="shared" si="7"/>
        <v>2732.589</v>
      </c>
      <c r="N54" s="198">
        <f t="shared" si="7"/>
        <v>3198.6315</v>
      </c>
      <c r="O54" s="198">
        <f t="shared" si="7"/>
        <v>3834.144</v>
      </c>
    </row>
    <row r="55" spans="2:21">
      <c r="B55" s="198" t="s">
        <v>188</v>
      </c>
      <c r="C55" s="196" t="s">
        <v>1630</v>
      </c>
      <c r="D55" s="196">
        <v>30</v>
      </c>
      <c r="E55" s="196">
        <v>5</v>
      </c>
      <c r="F55" s="196" t="s">
        <v>948</v>
      </c>
      <c r="G55" s="196">
        <v>60</v>
      </c>
      <c r="H55" s="196">
        <f t="shared" si="6"/>
        <v>1050</v>
      </c>
    </row>
    <row r="56" spans="2:21">
      <c r="H56" s="198">
        <f>SUM(H46:H55)</f>
        <v>5056</v>
      </c>
    </row>
    <row r="59" spans="2:21">
      <c r="C59" s="198" t="s">
        <v>1631</v>
      </c>
    </row>
    <row r="60" spans="2:21">
      <c r="C60" s="202" t="s">
        <v>1415</v>
      </c>
      <c r="D60" s="202" t="s">
        <v>919</v>
      </c>
      <c r="E60" s="202" t="s">
        <v>922</v>
      </c>
      <c r="F60" s="202" t="s">
        <v>1158</v>
      </c>
      <c r="G60" s="202" t="s">
        <v>1327</v>
      </c>
      <c r="H60" s="202" t="s">
        <v>1632</v>
      </c>
      <c r="I60" s="202" t="s">
        <v>1393</v>
      </c>
    </row>
    <row r="61" spans="2:21">
      <c r="C61" s="204" t="s">
        <v>1604</v>
      </c>
      <c r="D61" s="204">
        <v>10</v>
      </c>
      <c r="E61" s="196">
        <f>D61*$E$42</f>
        <v>5</v>
      </c>
      <c r="F61" s="196">
        <v>450</v>
      </c>
      <c r="G61" s="210">
        <f t="shared" ref="G61:G65" si="8">F61/$F$66</f>
        <v>0.45</v>
      </c>
      <c r="H61" s="196">
        <f>E61*G61</f>
        <v>2.25</v>
      </c>
      <c r="I61" s="196">
        <f t="shared" ref="I61:I65" si="9">D61*G61</f>
        <v>4.5</v>
      </c>
      <c r="R61" s="196" t="s">
        <v>180</v>
      </c>
      <c r="S61" s="196" t="s">
        <v>1468</v>
      </c>
      <c r="T61" s="196"/>
      <c r="U61" s="196" t="s">
        <v>1633</v>
      </c>
    </row>
    <row r="62" spans="2:21">
      <c r="C62" s="204" t="s">
        <v>1604</v>
      </c>
      <c r="D62" s="196">
        <v>12</v>
      </c>
      <c r="E62" s="196">
        <f>D62*$E$42</f>
        <v>6</v>
      </c>
      <c r="F62" s="196">
        <v>340</v>
      </c>
      <c r="G62" s="210">
        <f t="shared" si="8"/>
        <v>0.34</v>
      </c>
      <c r="H62" s="196">
        <f t="shared" ref="H61:H65" si="10">E62*G62</f>
        <v>2.04</v>
      </c>
      <c r="I62" s="196">
        <f t="shared" si="9"/>
        <v>4.08</v>
      </c>
      <c r="R62" s="196" t="s">
        <v>1597</v>
      </c>
      <c r="S62" s="196" t="s">
        <v>862</v>
      </c>
      <c r="T62" s="196" t="s">
        <v>1152</v>
      </c>
      <c r="U62" s="196" t="s">
        <v>1440</v>
      </c>
    </row>
    <row r="63" spans="2:21">
      <c r="C63" s="204" t="s">
        <v>1604</v>
      </c>
      <c r="D63" s="196">
        <v>15</v>
      </c>
      <c r="E63" s="196">
        <f>D63*$E$42</f>
        <v>7.5</v>
      </c>
      <c r="F63" s="196">
        <v>120</v>
      </c>
      <c r="G63" s="210">
        <f t="shared" si="8"/>
        <v>0.12</v>
      </c>
      <c r="H63" s="196">
        <f t="shared" si="10"/>
        <v>0.9</v>
      </c>
      <c r="I63" s="196">
        <f t="shared" si="9"/>
        <v>1.8</v>
      </c>
      <c r="R63" s="196" t="s">
        <v>559</v>
      </c>
      <c r="S63" s="196" t="s">
        <v>1421</v>
      </c>
      <c r="T63" s="196"/>
      <c r="U63" s="196">
        <v>18</v>
      </c>
    </row>
    <row r="64" spans="2:21">
      <c r="C64" s="204" t="s">
        <v>1604</v>
      </c>
      <c r="D64" s="196">
        <v>18</v>
      </c>
      <c r="E64" s="196">
        <f>D64*$E$42</f>
        <v>9</v>
      </c>
      <c r="F64" s="196">
        <v>75</v>
      </c>
      <c r="G64" s="210">
        <f t="shared" si="8"/>
        <v>0.075</v>
      </c>
      <c r="H64" s="196">
        <f t="shared" si="10"/>
        <v>0.675</v>
      </c>
      <c r="I64" s="196">
        <f t="shared" si="9"/>
        <v>1.35</v>
      </c>
      <c r="R64" s="196" t="s">
        <v>1414</v>
      </c>
      <c r="S64" s="196" t="s">
        <v>1152</v>
      </c>
      <c r="T64" s="196" t="s">
        <v>1154</v>
      </c>
      <c r="U64" s="196"/>
    </row>
    <row r="65" spans="3:22">
      <c r="C65" s="204" t="s">
        <v>1604</v>
      </c>
      <c r="D65" s="196">
        <v>25</v>
      </c>
      <c r="E65" s="196">
        <f>D65*$E$42</f>
        <v>12.5</v>
      </c>
      <c r="F65" s="196">
        <v>15</v>
      </c>
      <c r="G65" s="210">
        <f t="shared" si="8"/>
        <v>0.015</v>
      </c>
      <c r="H65" s="196">
        <f t="shared" si="10"/>
        <v>0.1875</v>
      </c>
      <c r="I65" s="196">
        <f t="shared" si="9"/>
        <v>0.375</v>
      </c>
      <c r="R65" s="196" t="s">
        <v>1634</v>
      </c>
      <c r="S65" s="196" t="s">
        <v>1635</v>
      </c>
      <c r="T65" s="196"/>
      <c r="U65" s="196" t="s">
        <v>1440</v>
      </c>
    </row>
    <row r="66" spans="3:22">
      <c r="F66" s="198">
        <f t="shared" ref="F66:I66" si="11">SUM(F61:F65)</f>
        <v>1000</v>
      </c>
      <c r="H66" s="211">
        <f t="shared" si="11"/>
        <v>6.0525</v>
      </c>
      <c r="I66" s="211">
        <f t="shared" si="11"/>
        <v>12.105</v>
      </c>
    </row>
    <row r="67" spans="3:22">
      <c r="C67" s="212"/>
    </row>
    <row r="69" spans="3:22">
      <c r="C69" s="198" t="s">
        <v>1414</v>
      </c>
    </row>
    <row r="70" spans="3:22">
      <c r="C70" s="202" t="s">
        <v>1415</v>
      </c>
      <c r="D70" s="202" t="s">
        <v>919</v>
      </c>
      <c r="E70" s="202" t="s">
        <v>922</v>
      </c>
      <c r="F70" s="202" t="s">
        <v>1416</v>
      </c>
      <c r="G70" s="202" t="s">
        <v>1417</v>
      </c>
      <c r="H70" s="202" t="s">
        <v>919</v>
      </c>
      <c r="I70" s="202" t="s">
        <v>922</v>
      </c>
      <c r="J70" s="202" t="s">
        <v>1095</v>
      </c>
      <c r="U70" s="198" t="s">
        <v>1636</v>
      </c>
      <c r="V70" s="198">
        <f>360-279</f>
        <v>81</v>
      </c>
    </row>
    <row r="71" spans="3:22">
      <c r="C71" s="196" t="s">
        <v>195</v>
      </c>
      <c r="D71" s="196">
        <v>100</v>
      </c>
      <c r="E71" s="196">
        <f>_xlfn.XLOOKUP(C71,价值表!$C:$C,价值表!$F:$F)*D71</f>
        <v>5</v>
      </c>
      <c r="F71" s="196">
        <v>99</v>
      </c>
      <c r="G71" s="204" t="s">
        <v>1604</v>
      </c>
      <c r="H71" s="204">
        <v>10</v>
      </c>
      <c r="I71" s="196"/>
      <c r="J71" s="210">
        <f t="shared" ref="J71:J77" si="12">I71/E71</f>
        <v>0</v>
      </c>
      <c r="L71" s="198">
        <f>H71*F71</f>
        <v>990</v>
      </c>
      <c r="U71" s="198" t="s">
        <v>1637</v>
      </c>
      <c r="V71" s="198">
        <f>V70*2698.27</f>
        <v>218559.87</v>
      </c>
    </row>
    <row r="72" spans="3:22">
      <c r="C72" s="196" t="s">
        <v>209</v>
      </c>
      <c r="D72" s="196">
        <v>1</v>
      </c>
      <c r="E72" s="196">
        <f>_xlfn.XLOOKUP(C72,价值表!$C:$C,价值表!$F:$F)*D72</f>
        <v>1</v>
      </c>
      <c r="F72" s="196">
        <v>99</v>
      </c>
      <c r="G72" s="213" t="s">
        <v>1604</v>
      </c>
      <c r="H72" s="213">
        <v>2</v>
      </c>
      <c r="I72" s="196">
        <v>1</v>
      </c>
      <c r="J72" s="210">
        <f t="shared" si="12"/>
        <v>1</v>
      </c>
      <c r="L72" s="198">
        <f>H72*F72</f>
        <v>198</v>
      </c>
    </row>
    <row r="73" spans="3:22">
      <c r="C73" s="196" t="s">
        <v>213</v>
      </c>
      <c r="D73" s="196">
        <v>2</v>
      </c>
      <c r="E73" s="196">
        <f>_xlfn.XLOOKUP(C73,价值表!$C:$C,价值表!$F:$F)*D73</f>
        <v>60</v>
      </c>
      <c r="F73" s="196">
        <v>5</v>
      </c>
      <c r="G73" s="204" t="s">
        <v>1604</v>
      </c>
      <c r="H73" s="214">
        <v>100</v>
      </c>
      <c r="I73" s="196">
        <v>50</v>
      </c>
      <c r="J73" s="210">
        <f t="shared" si="12"/>
        <v>0.833333333333333</v>
      </c>
      <c r="L73" s="198">
        <f t="shared" ref="L73:L77" si="13">F73*H73</f>
        <v>500</v>
      </c>
      <c r="V73" s="198">
        <f>360*2698.27</f>
        <v>971377.2</v>
      </c>
    </row>
    <row r="74" spans="3:22">
      <c r="C74" s="196" t="s">
        <v>258</v>
      </c>
      <c r="D74" s="196">
        <v>1</v>
      </c>
      <c r="E74" s="196">
        <f>_xlfn.XLOOKUP(C74,价值表!$C:$C,价值表!$F:$F)*D74</f>
        <v>50</v>
      </c>
      <c r="F74" s="208">
        <v>10</v>
      </c>
      <c r="G74" s="204" t="s">
        <v>1604</v>
      </c>
      <c r="H74" s="204">
        <v>80</v>
      </c>
      <c r="I74" s="196">
        <v>40</v>
      </c>
      <c r="J74" s="210">
        <f t="shared" si="12"/>
        <v>0.8</v>
      </c>
      <c r="L74" s="198">
        <f t="shared" si="13"/>
        <v>800</v>
      </c>
      <c r="V74" s="198">
        <v>640000</v>
      </c>
    </row>
    <row r="75" spans="3:22">
      <c r="C75" s="196" t="s">
        <v>261</v>
      </c>
      <c r="D75" s="196">
        <v>1</v>
      </c>
      <c r="E75" s="196">
        <f>_xlfn.XLOOKUP(C75,价值表!$C:$C,价值表!$F:$F)*D75</f>
        <v>280</v>
      </c>
      <c r="F75" s="208">
        <v>3</v>
      </c>
      <c r="G75" s="204" t="s">
        <v>1604</v>
      </c>
      <c r="H75" s="196">
        <v>450</v>
      </c>
      <c r="I75" s="196">
        <v>225</v>
      </c>
      <c r="J75" s="210">
        <f t="shared" si="12"/>
        <v>0.803571428571429</v>
      </c>
      <c r="L75" s="198">
        <f t="shared" si="13"/>
        <v>1350</v>
      </c>
      <c r="V75" s="198">
        <f>V73-V74</f>
        <v>331377.2</v>
      </c>
    </row>
    <row r="76" spans="3:22">
      <c r="C76" s="196" t="s">
        <v>265</v>
      </c>
      <c r="D76" s="208">
        <v>2</v>
      </c>
      <c r="E76" s="196">
        <f>_xlfn.XLOOKUP(C76,价值表!$C:$C,价值表!$F:$F)*D76</f>
        <v>120</v>
      </c>
      <c r="F76" s="208">
        <v>3</v>
      </c>
      <c r="G76" s="204" t="s">
        <v>1604</v>
      </c>
      <c r="H76" s="208">
        <v>200</v>
      </c>
      <c r="I76" s="196">
        <v>100</v>
      </c>
      <c r="J76" s="210">
        <f t="shared" si="12"/>
        <v>0.833333333333333</v>
      </c>
      <c r="L76" s="198">
        <f t="shared" si="13"/>
        <v>600</v>
      </c>
    </row>
    <row r="77" spans="3:22">
      <c r="C77" s="196" t="s">
        <v>325</v>
      </c>
      <c r="D77" s="196">
        <v>1</v>
      </c>
      <c r="E77" s="196">
        <f>_xlfn.XLOOKUP(C77,价值表!$C:$C,价值表!$F:$F)*D77</f>
        <v>4000</v>
      </c>
      <c r="F77" s="196">
        <v>1</v>
      </c>
      <c r="G77" s="204" t="s">
        <v>1604</v>
      </c>
      <c r="H77" s="204">
        <v>2026</v>
      </c>
      <c r="I77" s="196">
        <v>1013</v>
      </c>
      <c r="J77" s="210">
        <f t="shared" si="12"/>
        <v>0.25325</v>
      </c>
      <c r="L77" s="198">
        <f t="shared" si="13"/>
        <v>2026</v>
      </c>
    </row>
    <row r="79" spans="3:22">
      <c r="G79" s="215"/>
      <c r="H79" s="215"/>
      <c r="J79" s="216"/>
      <c r="L79" s="198">
        <f>SUM(L73:L77)</f>
        <v>5276</v>
      </c>
    </row>
    <row r="81" spans="2:14">
      <c r="B81" s="198" t="s">
        <v>1638</v>
      </c>
    </row>
    <row r="82" spans="2:14">
      <c r="C82" s="198" t="s">
        <v>1639</v>
      </c>
      <c r="K82" s="198" t="s">
        <v>1175</v>
      </c>
    </row>
    <row r="83" spans="2:14">
      <c r="C83" s="202" t="s">
        <v>1160</v>
      </c>
      <c r="D83" s="202" t="s">
        <v>640</v>
      </c>
      <c r="E83" s="202" t="s">
        <v>919</v>
      </c>
      <c r="F83" s="202" t="s">
        <v>922</v>
      </c>
      <c r="G83" s="202" t="s">
        <v>1158</v>
      </c>
      <c r="H83" s="202" t="s">
        <v>1159</v>
      </c>
      <c r="K83" s="202" t="s">
        <v>1640</v>
      </c>
      <c r="L83" s="202" t="s">
        <v>1641</v>
      </c>
      <c r="M83" s="202" t="s">
        <v>919</v>
      </c>
      <c r="N83" s="198" t="s">
        <v>1197</v>
      </c>
    </row>
    <row r="84" spans="2:14">
      <c r="C84" s="196" t="s">
        <v>1161</v>
      </c>
      <c r="D84" s="196" t="s">
        <v>1420</v>
      </c>
      <c r="E84" s="196">
        <v>1</v>
      </c>
      <c r="F84" s="196">
        <v>1500</v>
      </c>
      <c r="G84" s="196">
        <v>20</v>
      </c>
      <c r="H84" s="196">
        <v>5</v>
      </c>
      <c r="K84" s="207" t="s">
        <v>1642</v>
      </c>
      <c r="L84" s="196" t="s">
        <v>1643</v>
      </c>
      <c r="M84" s="196">
        <v>1</v>
      </c>
      <c r="N84" s="198" t="s">
        <v>948</v>
      </c>
    </row>
    <row r="85" spans="2:14">
      <c r="C85" s="196" t="s">
        <v>1163</v>
      </c>
      <c r="D85" s="196" t="s">
        <v>261</v>
      </c>
      <c r="E85" s="196">
        <v>2</v>
      </c>
      <c r="F85" s="196">
        <v>560</v>
      </c>
      <c r="G85" s="196">
        <v>80</v>
      </c>
      <c r="H85" s="196"/>
      <c r="K85" s="207" t="s">
        <v>1644</v>
      </c>
      <c r="L85" s="196" t="s">
        <v>1643</v>
      </c>
      <c r="M85" s="196">
        <v>1</v>
      </c>
      <c r="N85" s="198" t="s">
        <v>1645</v>
      </c>
    </row>
    <row r="86" spans="2:14">
      <c r="C86" s="196"/>
      <c r="D86" s="196" t="s">
        <v>213</v>
      </c>
      <c r="E86" s="196">
        <v>10</v>
      </c>
      <c r="F86" s="196">
        <v>300</v>
      </c>
      <c r="G86" s="196">
        <v>120</v>
      </c>
      <c r="H86" s="208">
        <v>1</v>
      </c>
      <c r="K86" s="207" t="s">
        <v>1646</v>
      </c>
      <c r="L86" s="196" t="s">
        <v>1643</v>
      </c>
      <c r="M86" s="196">
        <v>1</v>
      </c>
      <c r="N86" s="198" t="s">
        <v>1645</v>
      </c>
    </row>
    <row r="87" spans="2:14">
      <c r="C87" s="196" t="s">
        <v>1164</v>
      </c>
      <c r="D87" s="196" t="s">
        <v>291</v>
      </c>
      <c r="E87" s="196">
        <v>50</v>
      </c>
      <c r="F87" s="196">
        <v>150</v>
      </c>
      <c r="G87" s="196">
        <v>160</v>
      </c>
      <c r="H87" s="196"/>
      <c r="K87" s="207" t="s">
        <v>1647</v>
      </c>
      <c r="L87" s="196" t="s">
        <v>1643</v>
      </c>
      <c r="M87" s="196">
        <v>1</v>
      </c>
      <c r="N87" s="198" t="s">
        <v>1645</v>
      </c>
    </row>
    <row r="88" spans="2:14">
      <c r="C88" s="196"/>
      <c r="D88" s="196" t="s">
        <v>258</v>
      </c>
      <c r="E88" s="196">
        <v>2</v>
      </c>
      <c r="F88" s="196">
        <v>100</v>
      </c>
      <c r="G88" s="196">
        <v>170</v>
      </c>
      <c r="H88" s="196"/>
    </row>
    <row r="89" spans="2:14">
      <c r="C89" s="196"/>
      <c r="D89" s="196" t="s">
        <v>265</v>
      </c>
      <c r="E89" s="196">
        <v>2</v>
      </c>
      <c r="F89" s="196">
        <v>120</v>
      </c>
      <c r="G89" s="196">
        <v>290</v>
      </c>
      <c r="H89" s="196"/>
    </row>
    <row r="90" spans="2:14">
      <c r="C90" s="196" t="s">
        <v>1166</v>
      </c>
      <c r="D90" s="196" t="s">
        <v>527</v>
      </c>
      <c r="E90" s="196">
        <v>60</v>
      </c>
      <c r="F90" s="196">
        <v>60</v>
      </c>
      <c r="G90" s="196">
        <v>290</v>
      </c>
      <c r="H90" s="196"/>
    </row>
    <row r="91" spans="2:14">
      <c r="C91" s="196"/>
      <c r="D91" s="196" t="s">
        <v>242</v>
      </c>
      <c r="E91" s="196">
        <v>20</v>
      </c>
      <c r="F91" s="196">
        <v>60</v>
      </c>
      <c r="G91" s="196">
        <v>290</v>
      </c>
      <c r="H91" s="196"/>
    </row>
    <row r="92" spans="2:14">
      <c r="C92" s="196"/>
      <c r="D92" s="198" t="s">
        <v>263</v>
      </c>
      <c r="E92" s="196">
        <v>20</v>
      </c>
      <c r="F92" s="196">
        <v>100</v>
      </c>
      <c r="G92" s="196">
        <v>290</v>
      </c>
      <c r="H92" s="196"/>
    </row>
    <row r="93" spans="2:14">
      <c r="C93" s="196"/>
      <c r="D93" s="196" t="s">
        <v>195</v>
      </c>
      <c r="E93" s="196">
        <v>1500</v>
      </c>
      <c r="F93" s="196">
        <v>75</v>
      </c>
      <c r="G93" s="196">
        <v>290</v>
      </c>
      <c r="H93" s="196"/>
    </row>
    <row r="94" spans="2:14">
      <c r="F94" s="198">
        <f>SUM(F84:F93)</f>
        <v>3025</v>
      </c>
      <c r="G94" s="198">
        <f>SUM(G84:G93)</f>
        <v>2000</v>
      </c>
    </row>
    <row r="95" spans="2:14">
      <c r="J95" s="198" t="s">
        <v>1648</v>
      </c>
      <c r="K95" s="198" t="s">
        <v>1649</v>
      </c>
    </row>
    <row r="96" spans="2:14">
      <c r="J96" s="198" t="s">
        <v>1650</v>
      </c>
      <c r="K96" s="198" t="s">
        <v>1651</v>
      </c>
    </row>
  </sheetData>
  <mergeCells count="4">
    <mergeCell ref="S61:T61"/>
    <mergeCell ref="C85:C86"/>
    <mergeCell ref="C87:C89"/>
    <mergeCell ref="C90:C93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16"/>
  <sheetViews>
    <sheetView showGridLines="0" workbookViewId="0">
      <selection activeCell="C2" sqref="C2:U16"/>
    </sheetView>
  </sheetViews>
  <sheetFormatPr defaultColWidth="9" defaultRowHeight="16.5"/>
  <cols>
    <col min="1" max="26" width="9" style="192"/>
    <col min="27" max="16384" width="9" style="193"/>
  </cols>
  <sheetData>
    <row r="2" spans="3:19">
      <c r="C2" s="78" t="s">
        <v>1652</v>
      </c>
    </row>
    <row r="4" spans="3:19">
      <c r="D4" s="59" t="s">
        <v>1653</v>
      </c>
      <c r="E4" s="78" t="s">
        <v>189</v>
      </c>
      <c r="H4" s="78" t="s">
        <v>1654</v>
      </c>
      <c r="K4" s="78" t="s">
        <v>1655</v>
      </c>
    </row>
    <row r="5" spans="3:19">
      <c r="C5" s="194" t="s">
        <v>1442</v>
      </c>
      <c r="D5" s="194" t="s">
        <v>1656</v>
      </c>
      <c r="E5" s="194" t="s">
        <v>1099</v>
      </c>
      <c r="F5" s="194" t="s">
        <v>919</v>
      </c>
      <c r="G5" s="194"/>
      <c r="H5" s="194" t="s">
        <v>1099</v>
      </c>
      <c r="I5" s="194" t="s">
        <v>919</v>
      </c>
      <c r="J5" s="194"/>
      <c r="K5" s="194" t="s">
        <v>1099</v>
      </c>
      <c r="L5" s="194" t="s">
        <v>919</v>
      </c>
      <c r="M5" s="194"/>
      <c r="N5" s="194" t="s">
        <v>1099</v>
      </c>
      <c r="O5" s="194" t="s">
        <v>919</v>
      </c>
      <c r="P5" s="194" t="s">
        <v>922</v>
      </c>
      <c r="Q5" s="78" t="s">
        <v>1657</v>
      </c>
    </row>
    <row r="6" spans="3:19">
      <c r="C6" s="195">
        <v>1</v>
      </c>
      <c r="D6" s="195" t="str">
        <f t="shared" ref="D6:D16" si="0">C6&amp;"级宝箱"</f>
        <v>1级宝箱</v>
      </c>
      <c r="E6" s="195" t="s">
        <v>195</v>
      </c>
      <c r="F6" s="195">
        <v>1000</v>
      </c>
      <c r="G6" s="196">
        <f>VLOOKUP(E6,[2]Sheet1!$B$2:$D$1015,2,0)*F6</f>
        <v>50</v>
      </c>
      <c r="H6" s="195" t="s">
        <v>213</v>
      </c>
      <c r="I6" s="195">
        <v>5</v>
      </c>
      <c r="J6" s="196">
        <f>VLOOKUP(H6,[2]Sheet1!$B$2:$D$1015,2,0)*I6</f>
        <v>150</v>
      </c>
      <c r="K6" s="195"/>
      <c r="L6" s="195"/>
      <c r="M6" s="195"/>
      <c r="N6" s="195" t="str">
        <f t="shared" ref="N6:N15" si="1">D7</f>
        <v>5级宝箱</v>
      </c>
      <c r="O6" s="195">
        <v>1</v>
      </c>
      <c r="P6" s="195"/>
      <c r="S6" s="197" t="str">
        <f t="shared" ref="S6:S16" si="2">"打开后可获得"&amp;I6&amp;"个"&amp;H6&amp;"和"&amp;F6&amp;E6</f>
        <v>打开后可获得5个梦境招募器和1000金币</v>
      </c>
    </row>
    <row r="7" spans="3:19">
      <c r="C7" s="195">
        <v>5</v>
      </c>
      <c r="D7" s="195" t="str">
        <f t="shared" si="0"/>
        <v>5级宝箱</v>
      </c>
      <c r="E7" s="195"/>
      <c r="F7" s="195"/>
      <c r="G7" s="195"/>
      <c r="H7" s="195" t="s">
        <v>258</v>
      </c>
      <c r="I7" s="195">
        <v>5</v>
      </c>
      <c r="J7" s="196">
        <f>VLOOKUP(H7,[2]Sheet1!$B$2:$D$1015,2,0)*I7</f>
        <v>250</v>
      </c>
      <c r="K7" s="195" t="s">
        <v>291</v>
      </c>
      <c r="L7" s="195">
        <v>30</v>
      </c>
      <c r="M7" s="196">
        <f>VLOOKUP(K7,[2]Sheet1!$B$2:$D$1015,2,0)*L7</f>
        <v>90</v>
      </c>
      <c r="N7" s="195" t="str">
        <f t="shared" si="1"/>
        <v>10级宝箱</v>
      </c>
      <c r="O7" s="195">
        <v>1</v>
      </c>
      <c r="P7" s="195">
        <f t="shared" ref="P7:P16" si="3">G7+J7+M7</f>
        <v>340</v>
      </c>
      <c r="Q7" s="78">
        <f>INT(_xlfn.XLOOKUP(C7,[3]Sheet3!D:D,[3]Sheet3!G:G)/40/60+1)</f>
        <v>1</v>
      </c>
      <c r="S7" s="197" t="str">
        <f>"打开后可获得"&amp;I7&amp;"个"&amp;H7&amp;"和"&amp;L7&amp;"个"&amp;K7</f>
        <v>打开后可获得5个星之初愿和30个织梦微尘</v>
      </c>
    </row>
    <row r="8" spans="3:19">
      <c r="C8" s="195">
        <v>10</v>
      </c>
      <c r="D8" s="195" t="str">
        <f t="shared" si="0"/>
        <v>10级宝箱</v>
      </c>
      <c r="E8" s="195"/>
      <c r="F8" s="195"/>
      <c r="G8" s="195"/>
      <c r="H8" s="195" t="s">
        <v>213</v>
      </c>
      <c r="I8" s="195">
        <v>10</v>
      </c>
      <c r="J8" s="196">
        <f>VLOOKUP(H8,[2]Sheet1!$B$2:$D$1015,2,0)*I8</f>
        <v>300</v>
      </c>
      <c r="K8" s="195" t="s">
        <v>297</v>
      </c>
      <c r="L8" s="195">
        <v>5</v>
      </c>
      <c r="M8" s="196">
        <f>VLOOKUP(K8,[2]Sheet1!$B$2:$D$1015,2,0)*L8</f>
        <v>25</v>
      </c>
      <c r="N8" s="195" t="str">
        <f t="shared" si="1"/>
        <v>15级宝箱</v>
      </c>
      <c r="O8" s="195">
        <v>1</v>
      </c>
      <c r="P8" s="195">
        <f t="shared" si="3"/>
        <v>325</v>
      </c>
      <c r="Q8" s="78">
        <f>INT(_xlfn.XLOOKUP(C8,[3]Sheet3!D:D,[3]Sheet3!G:G)/40/60+1)</f>
        <v>1</v>
      </c>
      <c r="R8" s="78" t="s">
        <v>1658</v>
      </c>
      <c r="S8" s="197" t="str">
        <f>"打开后可获得"&amp;I8&amp;"个"&amp;H8&amp;"和"&amp;L8&amp;"个"&amp;K8</f>
        <v>打开后可获得10个梦境招募器和5个加速沙漏</v>
      </c>
    </row>
    <row r="9" spans="3:19">
      <c r="C9" s="195">
        <v>15</v>
      </c>
      <c r="D9" s="195" t="str">
        <f t="shared" si="0"/>
        <v>15级宝箱</v>
      </c>
      <c r="E9" s="195" t="s">
        <v>195</v>
      </c>
      <c r="F9" s="195">
        <v>2000</v>
      </c>
      <c r="G9" s="196">
        <f>VLOOKUP(E9,[2]Sheet1!$B$2:$D$1015,2,0)*F9</f>
        <v>100</v>
      </c>
      <c r="H9" s="195" t="s">
        <v>261</v>
      </c>
      <c r="I9" s="195">
        <v>1</v>
      </c>
      <c r="J9" s="196">
        <f>VLOOKUP(H9,[2]Sheet1!$B$2:$D$1015,2,0)*I9</f>
        <v>280</v>
      </c>
      <c r="K9" s="195"/>
      <c r="L9" s="195"/>
      <c r="M9" s="195"/>
      <c r="N9" s="195" t="str">
        <f t="shared" si="1"/>
        <v>20级宝箱</v>
      </c>
      <c r="O9" s="195">
        <v>1</v>
      </c>
      <c r="P9" s="195">
        <f t="shared" si="3"/>
        <v>380</v>
      </c>
      <c r="Q9" s="78">
        <f>INT(_xlfn.XLOOKUP(C9,[3]Sheet3!D:D,[3]Sheet3!G:G)/40/60+1)</f>
        <v>2</v>
      </c>
      <c r="S9" s="197" t="str">
        <f t="shared" si="2"/>
        <v>打开后可获得1个星辉秘契和2000金币</v>
      </c>
    </row>
    <row r="10" spans="3:19">
      <c r="C10" s="195">
        <v>20</v>
      </c>
      <c r="D10" s="195" t="str">
        <f t="shared" si="0"/>
        <v>20级宝箱</v>
      </c>
      <c r="E10" s="195" t="s">
        <v>188</v>
      </c>
      <c r="F10" s="195">
        <v>100</v>
      </c>
      <c r="G10" s="196">
        <f>VLOOKUP(E10,[2]Sheet1!$B$2:$D$1015,2,0)*F10</f>
        <v>100</v>
      </c>
      <c r="H10" s="195" t="s">
        <v>217</v>
      </c>
      <c r="I10" s="195">
        <v>2</v>
      </c>
      <c r="J10" s="196">
        <f>VLOOKUP(H10,[2]Sheet1!$B$2:$D$1015,2,0)*I10</f>
        <v>200</v>
      </c>
      <c r="K10" s="195"/>
      <c r="L10" s="195"/>
      <c r="M10" s="195"/>
      <c r="N10" s="195" t="str">
        <f t="shared" si="1"/>
        <v>25级宝箱</v>
      </c>
      <c r="O10" s="195">
        <v>1</v>
      </c>
      <c r="P10" s="195">
        <f t="shared" si="3"/>
        <v>300</v>
      </c>
      <c r="Q10" s="78">
        <f>INT(_xlfn.XLOOKUP(C10,[3]Sheet3!D:D,[3]Sheet3!G:G)/40/60+1)</f>
        <v>3</v>
      </c>
      <c r="R10" s="78" t="s">
        <v>1659</v>
      </c>
      <c r="S10" s="197" t="str">
        <f t="shared" si="2"/>
        <v>打开后可获得2个梦愿水晶和100钻石</v>
      </c>
    </row>
    <row r="11" spans="3:19">
      <c r="C11" s="195">
        <v>25</v>
      </c>
      <c r="D11" s="195" t="str">
        <f t="shared" si="0"/>
        <v>25级宝箱</v>
      </c>
      <c r="E11" s="195" t="s">
        <v>195</v>
      </c>
      <c r="F11" s="195">
        <v>3000</v>
      </c>
      <c r="G11" s="196">
        <f>VLOOKUP(E11,[2]Sheet1!$B$2:$D$1015,2,0)*F11</f>
        <v>150</v>
      </c>
      <c r="H11" s="195" t="s">
        <v>237</v>
      </c>
      <c r="I11" s="195">
        <v>1200</v>
      </c>
      <c r="J11" s="196">
        <f>VLOOKUP(H11,[2]Sheet1!$B$2:$D$1015,2,0)*I11</f>
        <v>400</v>
      </c>
      <c r="K11" s="195"/>
      <c r="L11" s="195"/>
      <c r="M11" s="195"/>
      <c r="N11" s="195" t="str">
        <f t="shared" si="1"/>
        <v>30级宝箱</v>
      </c>
      <c r="O11" s="195">
        <v>1</v>
      </c>
      <c r="P11" s="195">
        <f t="shared" si="3"/>
        <v>550</v>
      </c>
      <c r="Q11" s="78">
        <f>INT(_xlfn.XLOOKUP(C11,[3]Sheet3!D:D,[3]Sheet3!G:G)/40/60+1)</f>
        <v>5</v>
      </c>
      <c r="R11" s="78" t="s">
        <v>1660</v>
      </c>
      <c r="S11" s="197" t="str">
        <f t="shared" si="2"/>
        <v>打开后可获得1200个转运石和3000金币</v>
      </c>
    </row>
    <row r="12" spans="3:19">
      <c r="C12" s="195">
        <v>30</v>
      </c>
      <c r="D12" s="195" t="str">
        <f t="shared" si="0"/>
        <v>30级宝箱</v>
      </c>
      <c r="E12" s="195" t="s">
        <v>188</v>
      </c>
      <c r="F12" s="195">
        <v>150</v>
      </c>
      <c r="G12" s="196">
        <f>VLOOKUP(E12,[2]Sheet1!$B$2:$D$1015,2,0)*F12</f>
        <v>150</v>
      </c>
      <c r="H12" s="195" t="s">
        <v>265</v>
      </c>
      <c r="I12" s="195">
        <v>6</v>
      </c>
      <c r="J12" s="196">
        <f>VLOOKUP(H12,[2]Sheet1!$B$2:$D$1015,2,0)*I12</f>
        <v>360</v>
      </c>
      <c r="K12" s="195"/>
      <c r="L12" s="195"/>
      <c r="M12" s="195"/>
      <c r="N12" s="195" t="str">
        <f t="shared" si="1"/>
        <v>35级宝箱</v>
      </c>
      <c r="O12" s="195">
        <v>1</v>
      </c>
      <c r="P12" s="195">
        <f t="shared" si="3"/>
        <v>510</v>
      </c>
      <c r="Q12" s="78">
        <f>INT(_xlfn.XLOOKUP(C12,[3]Sheet3!D:D,[3]Sheet3!G:G)/40/60+1)</f>
        <v>7</v>
      </c>
      <c r="R12" s="78" t="s">
        <v>1661</v>
      </c>
      <c r="S12" s="197" t="str">
        <f t="shared" si="2"/>
        <v>打开后可获得6个幻梦晶核和150钻石</v>
      </c>
    </row>
    <row r="13" spans="3:19">
      <c r="C13" s="195">
        <v>35</v>
      </c>
      <c r="D13" s="195" t="str">
        <f t="shared" si="0"/>
        <v>35级宝箱</v>
      </c>
      <c r="E13" s="195" t="s">
        <v>195</v>
      </c>
      <c r="F13" s="195">
        <v>4000</v>
      </c>
      <c r="G13" s="196">
        <f>VLOOKUP(E13,[2]Sheet1!$B$2:$D$1015,2,0)*F13</f>
        <v>200</v>
      </c>
      <c r="H13" s="195" t="s">
        <v>213</v>
      </c>
      <c r="I13" s="195">
        <v>15</v>
      </c>
      <c r="J13" s="196">
        <f>VLOOKUP(H13,[2]Sheet1!$B$2:$D$1015,2,0)*I13</f>
        <v>450</v>
      </c>
      <c r="K13" s="195"/>
      <c r="L13" s="195"/>
      <c r="M13" s="195"/>
      <c r="N13" s="195" t="str">
        <f t="shared" si="1"/>
        <v>40级宝箱</v>
      </c>
      <c r="O13" s="195">
        <v>1</v>
      </c>
      <c r="P13" s="195">
        <f t="shared" si="3"/>
        <v>650</v>
      </c>
      <c r="Q13" s="78">
        <f>INT(_xlfn.XLOOKUP(C13,[3]Sheet3!D:D,[3]Sheet3!G:G)/40/60+1)</f>
        <v>10</v>
      </c>
      <c r="R13" s="78" t="s">
        <v>1662</v>
      </c>
      <c r="S13" s="197" t="str">
        <f t="shared" si="2"/>
        <v>打开后可获得15个梦境招募器和4000金币</v>
      </c>
    </row>
    <row r="14" spans="3:19">
      <c r="C14" s="195">
        <v>40</v>
      </c>
      <c r="D14" s="195" t="str">
        <f t="shared" si="0"/>
        <v>40级宝箱</v>
      </c>
      <c r="E14" s="195" t="s">
        <v>188</v>
      </c>
      <c r="F14" s="195">
        <v>150</v>
      </c>
      <c r="G14" s="196">
        <f>VLOOKUP(E14,[2]Sheet1!$B$2:$D$1015,2,0)*F14</f>
        <v>150</v>
      </c>
      <c r="H14" s="195" t="s">
        <v>261</v>
      </c>
      <c r="I14" s="195">
        <v>2</v>
      </c>
      <c r="J14" s="196">
        <f>VLOOKUP(H14,[2]Sheet1!$B$2:$D$1015,2,0)*I14</f>
        <v>560</v>
      </c>
      <c r="K14" s="195"/>
      <c r="L14" s="195"/>
      <c r="M14" s="195"/>
      <c r="N14" s="195" t="str">
        <f t="shared" si="1"/>
        <v>45级宝箱</v>
      </c>
      <c r="O14" s="195">
        <v>1</v>
      </c>
      <c r="P14" s="195">
        <f t="shared" si="3"/>
        <v>710</v>
      </c>
      <c r="Q14" s="78">
        <f>INT(_xlfn.XLOOKUP(C14,[3]Sheet3!D:D,[3]Sheet3!G:G)/40/60+1)</f>
        <v>13</v>
      </c>
      <c r="S14" s="197" t="str">
        <f t="shared" si="2"/>
        <v>打开后可获得2个星辉秘契和150钻石</v>
      </c>
    </row>
    <row r="15" spans="3:19">
      <c r="C15" s="195">
        <v>45</v>
      </c>
      <c r="D15" s="195" t="str">
        <f t="shared" si="0"/>
        <v>45级宝箱</v>
      </c>
      <c r="E15" s="195" t="s">
        <v>195</v>
      </c>
      <c r="F15" s="195">
        <v>5000</v>
      </c>
      <c r="G15" s="196">
        <f>VLOOKUP(E15,[2]Sheet1!$B$2:$D$1015,2,0)*F15</f>
        <v>250</v>
      </c>
      <c r="H15" s="195" t="s">
        <v>261</v>
      </c>
      <c r="I15" s="195">
        <v>3</v>
      </c>
      <c r="J15" s="196">
        <f>VLOOKUP(H15,[2]Sheet1!$B$2:$D$1015,2,0)*I15</f>
        <v>840</v>
      </c>
      <c r="K15" s="195"/>
      <c r="L15" s="195"/>
      <c r="M15" s="195"/>
      <c r="N15" s="195" t="str">
        <f t="shared" si="1"/>
        <v>50级宝箱</v>
      </c>
      <c r="O15" s="195">
        <v>1</v>
      </c>
      <c r="P15" s="195">
        <f t="shared" si="3"/>
        <v>1090</v>
      </c>
      <c r="Q15" s="78">
        <f>INT(_xlfn.XLOOKUP(C15,[3]Sheet3!D:D,[3]Sheet3!G:G)/40/60+1)</f>
        <v>15</v>
      </c>
      <c r="S15" s="197" t="str">
        <f t="shared" si="2"/>
        <v>打开后可获得3个星辉秘契和5000金币</v>
      </c>
    </row>
    <row r="16" spans="3:19">
      <c r="C16" s="195">
        <v>50</v>
      </c>
      <c r="D16" s="195" t="str">
        <f t="shared" si="0"/>
        <v>50级宝箱</v>
      </c>
      <c r="E16" s="195" t="s">
        <v>188</v>
      </c>
      <c r="F16" s="195">
        <v>200</v>
      </c>
      <c r="G16" s="196">
        <f>VLOOKUP(E16,[2]Sheet1!$B$2:$D$1015,2,0)*F16</f>
        <v>200</v>
      </c>
      <c r="H16" s="195" t="s">
        <v>261</v>
      </c>
      <c r="I16" s="195">
        <v>5</v>
      </c>
      <c r="J16" s="196">
        <f>VLOOKUP(H16,[2]Sheet1!$B$2:$D$1015,2,0)*I16</f>
        <v>1400</v>
      </c>
      <c r="K16" s="195"/>
      <c r="L16" s="195"/>
      <c r="M16" s="195"/>
      <c r="N16" s="195"/>
      <c r="O16" s="195"/>
      <c r="P16" s="195">
        <f t="shared" si="3"/>
        <v>1600</v>
      </c>
      <c r="Q16" s="78">
        <f>INT(_xlfn.XLOOKUP(C16,[3]Sheet3!D:D,[3]Sheet3!G:G)/40/60+1)</f>
        <v>21</v>
      </c>
      <c r="R16" s="78" t="s">
        <v>1663</v>
      </c>
      <c r="S16" s="197" t="str">
        <f t="shared" si="2"/>
        <v>打开后可获得5个星辉秘契和200钻石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16">
    <tabColor theme="4"/>
  </sheetPr>
  <dimension ref="B1:AE706"/>
  <sheetViews>
    <sheetView showGridLines="0" topLeftCell="A146" workbookViewId="0">
      <selection activeCell="N15" sqref="N15"/>
    </sheetView>
  </sheetViews>
  <sheetFormatPr defaultColWidth="9" defaultRowHeight="16.5"/>
  <cols>
    <col min="1" max="1" width="9" style="122"/>
    <col min="2" max="3" width="2.625" style="122" customWidth="1"/>
    <col min="4" max="30" width="13.375" style="124" customWidth="1"/>
    <col min="31" max="31" width="9" style="124"/>
    <col min="32" max="16384" width="9" style="122"/>
  </cols>
  <sheetData>
    <row r="1" s="122" customFormat="1" spans="2:31">
      <c r="B1" s="125"/>
      <c r="C1" s="125" t="s">
        <v>1664</v>
      </c>
      <c r="D1" s="124"/>
      <c r="E1" s="124"/>
      <c r="F1" s="124"/>
      <c r="G1" s="124"/>
      <c r="H1" s="124"/>
      <c r="I1" s="124"/>
      <c r="J1" s="124"/>
      <c r="K1" s="124" t="s">
        <v>1665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</row>
    <row r="2" spans="2:31">
      <c r="L2" s="14"/>
      <c r="M2" s="78" t="s">
        <v>922</v>
      </c>
      <c r="N2" s="78" t="s">
        <v>1666</v>
      </c>
      <c r="O2" s="78" t="s">
        <v>1667</v>
      </c>
      <c r="P2" s="14"/>
    </row>
    <row r="3" s="122" customFormat="1" spans="2:31">
      <c r="D3" s="14" t="s">
        <v>1668</v>
      </c>
      <c r="E3" s="14"/>
      <c r="F3" s="14"/>
      <c r="G3" s="124"/>
      <c r="H3" s="124"/>
      <c r="I3" s="124"/>
      <c r="J3" s="124"/>
      <c r="K3" s="124"/>
      <c r="L3" s="14" t="s">
        <v>1669</v>
      </c>
      <c r="M3" s="78">
        <f>8000+16000</f>
        <v>24000</v>
      </c>
      <c r="N3" s="78" t="str">
        <f>INT(M3/O3/10)&amp;"关"</f>
        <v>4关</v>
      </c>
      <c r="O3" s="126">
        <v>600</v>
      </c>
      <c r="P3" s="126">
        <v>4</v>
      </c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</row>
    <row r="4" s="122" customFormat="1" spans="2:31">
      <c r="D4" s="14" t="s">
        <v>1670</v>
      </c>
      <c r="E4" s="14"/>
      <c r="F4" s="14"/>
      <c r="G4" s="124"/>
      <c r="H4" s="124"/>
      <c r="I4" s="124"/>
      <c r="J4" s="124"/>
      <c r="K4" s="124"/>
      <c r="L4" s="14" t="s">
        <v>1671</v>
      </c>
      <c r="M4" s="78">
        <f>8000+16000*3</f>
        <v>56000</v>
      </c>
      <c r="N4" s="78" t="str">
        <f>INT((M4-M3)/O4/10+SUBSTITUTE(N3,"关",""))&amp;"关"</f>
        <v>7关</v>
      </c>
      <c r="O4" s="126">
        <v>1000</v>
      </c>
      <c r="P4" s="126">
        <v>3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</row>
    <row r="5" s="122" customFormat="1" spans="2:31">
      <c r="D5" s="14" t="s">
        <v>1672</v>
      </c>
      <c r="E5" s="14"/>
      <c r="F5" s="14"/>
      <c r="G5" s="124"/>
      <c r="H5" s="124"/>
      <c r="I5" s="124"/>
      <c r="J5" s="124"/>
      <c r="K5" s="124"/>
      <c r="L5" s="14" t="s">
        <v>1673</v>
      </c>
      <c r="M5" s="78">
        <f>8000+16000*5</f>
        <v>88000</v>
      </c>
      <c r="N5" s="78" t="str">
        <f>INT((M5-M4)/O5/10+SUBSTITUTE(N4,"关",""))&amp;"关"</f>
        <v>10关</v>
      </c>
      <c r="O5" s="126">
        <v>1000</v>
      </c>
      <c r="P5" s="126">
        <v>3</v>
      </c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</row>
    <row r="6" s="122" customFormat="1" spans="2:31">
      <c r="D6" s="14"/>
      <c r="E6" s="14"/>
      <c r="F6" s="14"/>
      <c r="G6" s="124"/>
      <c r="H6" s="124"/>
      <c r="I6" s="124"/>
      <c r="J6" s="124"/>
      <c r="K6" s="124"/>
      <c r="L6" s="14" t="s">
        <v>1674</v>
      </c>
      <c r="M6" s="78">
        <f>8000*5+16000*5</f>
        <v>120000</v>
      </c>
      <c r="N6" s="78" t="str">
        <f>INT((M6-M5)/O6/10+SUBSTITUTE(N5,"关",""))&amp;"关"</f>
        <v>12关</v>
      </c>
      <c r="O6" s="126">
        <v>1500</v>
      </c>
      <c r="P6" s="126">
        <v>2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</row>
    <row r="7" s="122" customFormat="1" spans="2:31">
      <c r="D7" s="14" t="s">
        <v>1675</v>
      </c>
      <c r="E7" s="14"/>
      <c r="F7" s="1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</row>
    <row r="8" s="122" customFormat="1" spans="2:31">
      <c r="D8" s="14" t="s">
        <v>1676</v>
      </c>
      <c r="E8" s="14"/>
      <c r="F8" s="1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</row>
    <row r="9" s="122" customFormat="1" spans="2:31">
      <c r="D9" s="14" t="s">
        <v>1677</v>
      </c>
      <c r="E9" s="14"/>
      <c r="F9" s="1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</row>
    <row r="10" s="122" customFormat="1" spans="2:31">
      <c r="D10" s="14" t="s">
        <v>1678</v>
      </c>
      <c r="E10" s="14"/>
      <c r="F10" s="1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</row>
    <row r="11" s="122" customFormat="1" spans="2:31">
      <c r="D11" s="14"/>
      <c r="E11" s="14"/>
      <c r="F11" s="1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</row>
    <row r="12" s="122" customFormat="1" spans="2:31">
      <c r="B12" s="125"/>
      <c r="C12" s="125" t="s">
        <v>1679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</row>
    <row r="14" s="122" customFormat="1" spans="2:31">
      <c r="D14" s="124" t="s">
        <v>1680</v>
      </c>
      <c r="E14" s="124" t="s">
        <v>1681</v>
      </c>
      <c r="F14" s="124"/>
      <c r="G14" s="124"/>
      <c r="H14" s="124"/>
      <c r="I14" s="124"/>
      <c r="J14" s="14"/>
      <c r="K14" s="14"/>
      <c r="L14" s="14"/>
      <c r="M14" s="124"/>
      <c r="N14" s="124"/>
      <c r="O14" s="12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24"/>
      <c r="AB14" s="124"/>
      <c r="AC14" s="124"/>
      <c r="AD14" s="124"/>
      <c r="AE14" s="124"/>
    </row>
    <row r="15" s="122" customFormat="1" spans="2:31">
      <c r="D15" s="124" t="s">
        <v>1682</v>
      </c>
      <c r="E15" s="124" t="s">
        <v>1597</v>
      </c>
      <c r="F15" s="124"/>
      <c r="G15" s="124"/>
      <c r="H15" s="124"/>
      <c r="I15" s="124"/>
      <c r="J15" s="14"/>
      <c r="K15" s="124"/>
      <c r="L15" s="124"/>
      <c r="M15" s="124"/>
      <c r="N15" s="124"/>
      <c r="O15" s="124"/>
      <c r="P15" s="124"/>
      <c r="Q15" s="124"/>
      <c r="R15" s="14"/>
      <c r="S15" s="14"/>
      <c r="T15" s="14"/>
      <c r="U15" s="14"/>
      <c r="V15" s="14"/>
      <c r="W15" s="14"/>
      <c r="X15" s="14"/>
      <c r="Y15" s="14"/>
      <c r="Z15" s="14"/>
      <c r="AA15" s="124"/>
      <c r="AB15" s="124"/>
      <c r="AC15" s="124"/>
      <c r="AD15" s="124"/>
      <c r="AE15" s="124"/>
    </row>
    <row r="16" s="122" customFormat="1" spans="2:31">
      <c r="D16" s="124" t="s">
        <v>1683</v>
      </c>
      <c r="E16" s="124" t="s">
        <v>1684</v>
      </c>
      <c r="F16" s="124"/>
      <c r="G16" s="124"/>
      <c r="H16" s="124"/>
      <c r="I16" s="124"/>
      <c r="J16" s="14"/>
      <c r="K16" s="124"/>
      <c r="L16" s="124"/>
      <c r="M16" s="124"/>
      <c r="N16" s="124"/>
      <c r="O16" s="124"/>
      <c r="P16" s="124"/>
      <c r="Q16" s="124"/>
      <c r="R16" s="14"/>
      <c r="S16" s="14"/>
      <c r="T16" s="14"/>
      <c r="U16" s="14"/>
      <c r="V16" s="14"/>
      <c r="W16" s="14"/>
      <c r="X16" s="14"/>
      <c r="Y16" s="14"/>
      <c r="Z16" s="14"/>
      <c r="AA16" s="124"/>
      <c r="AB16" s="124"/>
      <c r="AC16" s="124"/>
      <c r="AD16" s="124"/>
      <c r="AE16" s="124"/>
    </row>
    <row r="17" s="122" customFormat="1" spans="4:31">
      <c r="D17" s="124"/>
      <c r="E17" s="124"/>
      <c r="F17" s="124"/>
      <c r="G17" s="124"/>
      <c r="H17" s="124"/>
      <c r="I17" s="124"/>
      <c r="J17" s="14"/>
      <c r="K17" s="124"/>
      <c r="L17" s="124"/>
      <c r="M17" s="124"/>
      <c r="N17" s="124"/>
      <c r="O17" s="124"/>
      <c r="P17" s="124"/>
      <c r="Q17" s="124"/>
      <c r="R17" s="14"/>
      <c r="S17" s="14"/>
      <c r="T17" s="14"/>
      <c r="U17" s="124"/>
      <c r="V17" s="124"/>
      <c r="W17" s="124"/>
      <c r="X17" s="124"/>
      <c r="Y17" s="124"/>
      <c r="Z17" s="14"/>
      <c r="AA17" s="124"/>
      <c r="AB17" s="124"/>
      <c r="AC17" s="124"/>
      <c r="AD17" s="124"/>
      <c r="AE17" s="124"/>
    </row>
    <row r="18" s="122" customFormat="1" spans="4:31">
      <c r="D18" s="124"/>
      <c r="E18" s="124"/>
      <c r="F18" s="124"/>
      <c r="G18" s="124"/>
      <c r="H18" s="124"/>
      <c r="I18" s="14" t="s">
        <v>1685</v>
      </c>
      <c r="J18" s="14"/>
      <c r="K18" s="14"/>
      <c r="L18" s="124"/>
      <c r="M18" s="124">
        <f>10+210+70+70</f>
        <v>360</v>
      </c>
      <c r="N18" s="124"/>
      <c r="O18" s="124"/>
      <c r="P18" s="124"/>
      <c r="Q18" s="124"/>
      <c r="R18" s="14"/>
      <c r="S18" s="14"/>
      <c r="T18" s="14"/>
      <c r="U18" s="124"/>
      <c r="V18" s="124"/>
      <c r="W18" s="124"/>
      <c r="X18" s="124"/>
      <c r="Y18" s="124"/>
      <c r="Z18" s="14"/>
      <c r="AA18" s="124"/>
      <c r="AB18" s="124"/>
      <c r="AC18" s="124"/>
      <c r="AD18" s="124"/>
      <c r="AE18" s="124"/>
    </row>
    <row r="19" s="122" customFormat="1" spans="4:31">
      <c r="D19" s="124" t="s">
        <v>1686</v>
      </c>
      <c r="E19" s="124" t="s">
        <v>1687</v>
      </c>
      <c r="F19" s="124"/>
      <c r="G19" s="124"/>
      <c r="H19" s="124"/>
      <c r="I19" s="14"/>
      <c r="J19" s="14"/>
      <c r="K19" s="14"/>
      <c r="L19" s="124"/>
      <c r="M19" s="124"/>
      <c r="N19" s="124"/>
      <c r="O19" s="124"/>
      <c r="P19" s="124"/>
      <c r="Q19" s="124"/>
      <c r="R19" s="14"/>
      <c r="S19" s="14"/>
      <c r="T19" s="14"/>
      <c r="U19" s="124"/>
      <c r="V19" s="124"/>
      <c r="W19" s="124"/>
      <c r="X19" s="124"/>
      <c r="Y19" s="124"/>
      <c r="Z19" s="14"/>
      <c r="AA19" s="124"/>
      <c r="AB19" s="124"/>
      <c r="AC19" s="124"/>
      <c r="AD19" s="124"/>
      <c r="AE19" s="124"/>
    </row>
    <row r="20" s="122" customFormat="1" spans="4:31">
      <c r="D20" s="124" t="s">
        <v>1688</v>
      </c>
      <c r="E20" s="124">
        <v>30</v>
      </c>
      <c r="F20" s="124"/>
      <c r="G20" s="124"/>
      <c r="H20" s="124"/>
      <c r="I20" s="14" t="s">
        <v>1689</v>
      </c>
      <c r="J20" s="14" t="s">
        <v>1690</v>
      </c>
      <c r="K20" s="14"/>
      <c r="L20" s="124"/>
      <c r="M20" s="124"/>
      <c r="N20" s="124"/>
      <c r="O20" s="124"/>
      <c r="P20" s="124"/>
      <c r="Q20" s="124"/>
      <c r="R20" s="14"/>
      <c r="S20" s="14"/>
      <c r="T20" s="14"/>
      <c r="U20" s="124"/>
      <c r="V20" s="124"/>
      <c r="W20" s="124"/>
      <c r="X20" s="124"/>
      <c r="Y20" s="124"/>
      <c r="Z20" s="14"/>
      <c r="AA20" s="124"/>
      <c r="AB20" s="124"/>
      <c r="AC20" s="124"/>
      <c r="AD20" s="124"/>
      <c r="AE20" s="124"/>
    </row>
    <row r="21" s="122" customFormat="1" spans="4:31">
      <c r="D21" s="124" t="s">
        <v>1691</v>
      </c>
      <c r="E21" s="124">
        <v>30</v>
      </c>
      <c r="F21" s="124"/>
      <c r="G21" s="124"/>
      <c r="H21" s="124"/>
      <c r="I21" s="14" t="s">
        <v>1692</v>
      </c>
      <c r="J21" s="14" t="s">
        <v>1693</v>
      </c>
      <c r="K21" s="14"/>
      <c r="L21" s="124"/>
      <c r="M21" s="124"/>
      <c r="N21" s="124"/>
      <c r="O21" s="124"/>
      <c r="P21" s="124"/>
      <c r="Q21" s="124"/>
      <c r="R21" s="14"/>
      <c r="S21" s="14"/>
      <c r="T21" s="14"/>
      <c r="U21" s="124"/>
      <c r="V21" s="124"/>
      <c r="W21" s="124"/>
      <c r="X21" s="124"/>
      <c r="Y21" s="124"/>
      <c r="Z21" s="14"/>
      <c r="AA21" s="124"/>
      <c r="AB21" s="124"/>
      <c r="AC21" s="124"/>
      <c r="AD21" s="124"/>
      <c r="AE21" s="124"/>
    </row>
    <row r="22" s="122" customFormat="1" spans="4:31">
      <c r="D22" s="124"/>
      <c r="E22" s="124"/>
      <c r="F22" s="124"/>
      <c r="G22" s="124"/>
      <c r="H22" s="124"/>
      <c r="I22" s="14" t="s">
        <v>1694</v>
      </c>
      <c r="J22" s="14" t="s">
        <v>1695</v>
      </c>
      <c r="K22" s="14"/>
      <c r="L22" s="124"/>
      <c r="M22" s="124"/>
      <c r="N22" s="124"/>
      <c r="O22" s="124"/>
      <c r="P22" s="124"/>
      <c r="Q22" s="124"/>
      <c r="R22" s="14"/>
      <c r="S22" s="14"/>
      <c r="T22" s="14"/>
      <c r="U22" s="124"/>
      <c r="V22" s="124"/>
      <c r="W22" s="124"/>
      <c r="X22" s="124"/>
      <c r="Y22" s="124"/>
      <c r="Z22" s="14"/>
      <c r="AA22" s="124"/>
      <c r="AB22" s="124"/>
      <c r="AC22" s="124"/>
      <c r="AD22" s="124"/>
      <c r="AE22" s="124"/>
    </row>
    <row r="23" s="122" customFormat="1" spans="4:31">
      <c r="D23" s="124"/>
      <c r="E23" s="124"/>
      <c r="F23" s="124"/>
      <c r="G23" s="124"/>
      <c r="H23" s="124"/>
      <c r="I23" s="124"/>
      <c r="J23" s="14"/>
      <c r="K23" s="124"/>
      <c r="L23" s="124"/>
      <c r="M23" s="124"/>
      <c r="N23" s="124"/>
      <c r="O23" s="124"/>
      <c r="P23" s="124"/>
      <c r="Q23" s="124"/>
      <c r="R23" s="14"/>
      <c r="S23" s="14"/>
      <c r="T23" s="14"/>
      <c r="U23" s="124"/>
      <c r="V23" s="124"/>
      <c r="W23" s="124"/>
      <c r="X23" s="124"/>
      <c r="Y23" s="124"/>
      <c r="Z23" s="14"/>
      <c r="AA23" s="124"/>
      <c r="AB23" s="124"/>
      <c r="AC23" s="124"/>
      <c r="AD23" s="124"/>
      <c r="AE23" s="124"/>
    </row>
    <row r="24" s="122" customFormat="1" spans="4:31">
      <c r="D24" s="124"/>
      <c r="E24" s="124"/>
      <c r="F24" s="124"/>
      <c r="G24" s="124"/>
      <c r="H24" s="124"/>
      <c r="I24" s="124"/>
      <c r="J24" s="14"/>
      <c r="K24" s="124"/>
      <c r="L24" s="124"/>
      <c r="M24" s="124"/>
      <c r="N24" s="124"/>
      <c r="O24" s="124"/>
      <c r="P24" s="124"/>
      <c r="Q24" s="124"/>
      <c r="R24" s="14"/>
      <c r="S24" s="14"/>
      <c r="T24" s="14"/>
      <c r="U24" s="124"/>
      <c r="V24" s="124"/>
      <c r="W24" s="124"/>
      <c r="X24" s="124"/>
      <c r="Y24" s="124"/>
      <c r="Z24" s="14"/>
      <c r="AA24" s="124"/>
      <c r="AB24" s="124"/>
      <c r="AC24" s="124"/>
      <c r="AD24" s="124"/>
      <c r="AE24" s="124"/>
    </row>
    <row r="25" s="122" customFormat="1" spans="4:31">
      <c r="D25" s="127" t="s">
        <v>1696</v>
      </c>
      <c r="E25" s="124"/>
      <c r="F25" s="124"/>
      <c r="G25" s="124"/>
      <c r="H25" s="124"/>
      <c r="I25" s="124"/>
      <c r="J25" s="14"/>
      <c r="K25" s="124"/>
      <c r="L25" s="124"/>
      <c r="M25" s="124"/>
      <c r="N25" s="124"/>
      <c r="O25" s="124"/>
      <c r="P25" s="124"/>
      <c r="Q25" s="124"/>
      <c r="R25" s="14"/>
      <c r="S25" s="14"/>
      <c r="T25" s="14"/>
      <c r="U25" s="124"/>
      <c r="V25" s="124"/>
      <c r="W25" s="124"/>
      <c r="X25" s="124"/>
      <c r="Y25" s="124"/>
      <c r="Z25" s="14"/>
      <c r="AA25" s="124"/>
      <c r="AB25" s="124"/>
      <c r="AC25" s="124"/>
      <c r="AD25" s="124"/>
      <c r="AE25" s="124"/>
    </row>
    <row r="26" s="122" customFormat="1" spans="4:31">
      <c r="D26" s="124" t="s">
        <v>1686</v>
      </c>
      <c r="E26" s="124" t="s">
        <v>1697</v>
      </c>
      <c r="F26" s="124" t="s">
        <v>1698</v>
      </c>
      <c r="G26" s="124" t="s">
        <v>1699</v>
      </c>
      <c r="H26" s="124" t="s">
        <v>1700</v>
      </c>
      <c r="I26" s="124"/>
      <c r="J26" s="14"/>
      <c r="K26" s="14" t="s">
        <v>1701</v>
      </c>
      <c r="L26" s="14" t="s">
        <v>1702</v>
      </c>
      <c r="M26" s="124"/>
      <c r="N26" s="124"/>
      <c r="O26" s="124"/>
      <c r="P26" s="124"/>
      <c r="Q26" s="124"/>
      <c r="R26" s="14"/>
      <c r="S26" s="14"/>
      <c r="T26" s="14"/>
      <c r="U26" s="124"/>
      <c r="V26" s="124"/>
      <c r="W26" s="124"/>
      <c r="X26" s="124"/>
      <c r="Y26" s="124"/>
      <c r="Z26" s="14"/>
      <c r="AA26" s="124"/>
      <c r="AB26" s="124"/>
      <c r="AC26" s="124"/>
      <c r="AD26" s="124"/>
      <c r="AE26" s="124"/>
    </row>
    <row r="27" s="122" customFormat="1" spans="4:31">
      <c r="D27" s="124" t="s">
        <v>566</v>
      </c>
      <c r="E27" s="128">
        <v>50</v>
      </c>
      <c r="F27" s="129" cm="1">
        <f t="array" ref="F27">(SUMPRODUCT(--($E$33:$E$43=0),$F$33:$F$43,--($K$33:$K$43&lt;=MATCH(D27,$D$27:$D$30,0)))+SUMPRODUCT($E$33:$E$43,$F$33:$F$43,--($K$33:$K$43&lt;=MATCH(D27,$D$27:$D$30,0)))*7)/7</f>
        <v>51.4285714285714</v>
      </c>
      <c r="G27" s="128" cm="1">
        <f t="array" ref="G27">(SUMPRODUCT(--($E$33:$E$43=0),$G$33:$G$43,--($K$33:$K$43&lt;=MATCH(D27,$D$27:$D$30,0)))+SUMPRODUCT($E$33:$E$43,$G$33:$G$43,--($K$33:$K$43&lt;=MATCH(D27,$D$27:$D$30,0)))*7)/7</f>
        <v>0</v>
      </c>
      <c r="H27" s="129" cm="1">
        <f t="array" ref="H27">(SUMPRODUCT(--($E$33:$E$43=0),$I$33:$I$43,--($K$33:$K$43&lt;=MATCH(D27,$D$27:$D$30,0)))+SUMPRODUCT($E$33:$E$43,$I$33:$I$43,--($K$33:$K$43&lt;=MATCH(D27,$D$27:$D$30,0)))*7)/7</f>
        <v>0</v>
      </c>
      <c r="I27" s="124"/>
      <c r="J27" s="124"/>
      <c r="K27" s="14" t="s">
        <v>493</v>
      </c>
      <c r="L27" s="14" t="s">
        <v>1703</v>
      </c>
      <c r="M27" s="124"/>
      <c r="N27" s="124"/>
      <c r="O27" s="124"/>
      <c r="P27" s="124"/>
      <c r="Q27" s="124"/>
      <c r="R27" s="14"/>
      <c r="S27" s="14"/>
      <c r="T27" s="14"/>
      <c r="U27" s="124"/>
      <c r="V27" s="124"/>
      <c r="W27" s="124"/>
      <c r="X27" s="124"/>
      <c r="Y27" s="124"/>
      <c r="Z27" s="14"/>
      <c r="AA27" s="124"/>
      <c r="AB27" s="124"/>
      <c r="AC27" s="124"/>
      <c r="AD27" s="124"/>
      <c r="AE27" s="124"/>
    </row>
    <row r="28" s="122" customFormat="1" spans="4:31">
      <c r="D28" s="124" t="s">
        <v>1704</v>
      </c>
      <c r="E28" s="128">
        <v>80</v>
      </c>
      <c r="F28" s="129" cm="1">
        <f t="array" ref="F28">(SUMPRODUCT(--($E$33:$E$43=0),$F$33:$F$43,--($K$33:$K$43&lt;=MATCH(D28,$D$27:$D$30,0)))+SUMPRODUCT($E$33:$E$43,$F$33:$F$43,--($K$33:$K$43&lt;=MATCH(D28,$D$27:$D$30,0)))*7)/7</f>
        <v>79.1428571428571</v>
      </c>
      <c r="G28" s="128" cm="1">
        <f t="array" ref="G28">(SUMPRODUCT(--($E$33:$E$43=0),$G$33:$G$43,--($K$33:$K$43&lt;=MATCH(D28,$D$27:$D$30,0)))+SUMPRODUCT($E$33:$E$43,$G$33:$G$43,--($K$33:$K$43&lt;=MATCH(D28,$D$27:$D$30,0)))*7)/7</f>
        <v>300</v>
      </c>
      <c r="H28" s="129" cm="1">
        <f t="array" ref="H28">(SUMPRODUCT(--($E$33:$E$43=0),$I$33:$I$43,--($K$33:$K$43&lt;=MATCH(D28,$D$27:$D$30,0)))+SUMPRODUCT($E$33:$E$43,$I$33:$I$43,--($K$33:$K$43&lt;=MATCH(D28,$D$27:$D$30,0)))*7)/7</f>
        <v>9.71428571428571</v>
      </c>
      <c r="I28" s="124"/>
      <c r="J28" s="14"/>
      <c r="K28" s="14" t="s">
        <v>312</v>
      </c>
      <c r="L28" s="14" t="s">
        <v>1705</v>
      </c>
      <c r="M28" s="124"/>
      <c r="N28" s="124"/>
      <c r="O28" s="124"/>
      <c r="P28" s="124"/>
      <c r="Q28" s="124"/>
      <c r="R28" s="14"/>
      <c r="S28" s="14"/>
      <c r="T28" s="14"/>
      <c r="U28" s="14"/>
      <c r="V28" s="14"/>
      <c r="W28" s="14"/>
      <c r="X28" s="14"/>
      <c r="Y28" s="14"/>
      <c r="Z28" s="14"/>
      <c r="AA28" s="124"/>
      <c r="AB28" s="124"/>
      <c r="AC28" s="124"/>
      <c r="AD28" s="124"/>
      <c r="AE28" s="124"/>
    </row>
    <row r="29" s="122" customFormat="1" spans="4:31">
      <c r="D29" s="124" t="s">
        <v>577</v>
      </c>
      <c r="E29" s="128">
        <v>130</v>
      </c>
      <c r="F29" s="129" cm="1">
        <f t="array" ref="F29">(SUMPRODUCT(--($E$33:$E$43=0),$F$33:$F$43,--($K$33:$K$43&lt;=MATCH(D29,$D$27:$D$30,0)))+SUMPRODUCT($E$33:$E$43,$F$33:$F$43,--($K$33:$K$43&lt;=MATCH(D29,$D$27:$D$30,0)))*7)/7</f>
        <v>121.857142857143</v>
      </c>
      <c r="G29" s="128" cm="1">
        <f t="array" ref="G29">(SUMPRODUCT(--($E$33:$E$43=0),$G$33:$G$43,--($K$33:$K$43&lt;=MATCH(D29,$D$27:$D$30,0)))+SUMPRODUCT($E$33:$E$43,$G$33:$G$43,--($K$33:$K$43&lt;=MATCH(D29,$D$27:$D$30,0)))*7)/7</f>
        <v>300</v>
      </c>
      <c r="H29" s="129" cm="1">
        <f t="array" ref="H29">(SUMPRODUCT(--($E$33:$E$43=0),$I$33:$I$43,--($K$33:$K$43&lt;=MATCH(D29,$D$27:$D$30,0)))+SUMPRODUCT($E$33:$E$43,$I$33:$I$43,--($K$33:$K$43&lt;=MATCH(D29,$D$27:$D$30,0)))*7)/7</f>
        <v>67.1428571428571</v>
      </c>
      <c r="I29" s="124"/>
      <c r="J29" s="14"/>
      <c r="K29" s="124"/>
      <c r="L29" s="124"/>
      <c r="M29" s="124"/>
      <c r="N29" s="124"/>
      <c r="O29" s="124"/>
      <c r="P29" s="124"/>
      <c r="Q29" s="124"/>
      <c r="R29" s="14"/>
      <c r="S29" s="14"/>
      <c r="T29" s="14"/>
      <c r="U29" s="14"/>
      <c r="V29" s="14"/>
      <c r="W29" s="14"/>
      <c r="X29" s="14"/>
      <c r="Y29" s="14"/>
      <c r="Z29" s="14"/>
      <c r="AA29" s="124"/>
      <c r="AB29" s="124"/>
      <c r="AC29" s="124"/>
      <c r="AD29" s="124"/>
      <c r="AE29" s="124"/>
    </row>
    <row r="30" s="122" customFormat="1" spans="4:31">
      <c r="D30" s="124" t="s">
        <v>586</v>
      </c>
      <c r="E30" s="128">
        <v>250</v>
      </c>
      <c r="F30" s="129" cm="1">
        <f t="array" ref="F30">(SUMPRODUCT(--($E$33:$E$43=0),$F$33:$F$43,--($K$33:$K$43&lt;=MATCH(D30,$D$27:$D$30,0)))+SUMPRODUCT($E$33:$E$43,$F$33:$F$43,--($K$33:$K$43&lt;=MATCH(D30,$D$27:$D$30,0)))*7)/7</f>
        <v>243.285714285714</v>
      </c>
      <c r="G30" s="128" cm="1">
        <f t="array" ref="G30">(SUMPRODUCT(--($E$33:$E$43=0),$G$33:$G$43,--($K$33:$K$43&lt;=MATCH(D30,$D$27:$D$30,0)))+SUMPRODUCT($E$33:$E$43,$G$33:$G$43,--($K$33:$K$43&lt;=MATCH(D30,$D$27:$D$30,0)))*7)/7</f>
        <v>1800</v>
      </c>
      <c r="H30" s="129" cm="1">
        <f t="array" ref="H30">(SUMPRODUCT(--($E$33:$E$43=0),$I$33:$I$43,--($K$33:$K$43&lt;=MATCH(D30,$D$27:$D$30,0)))+SUMPRODUCT($E$33:$E$43,$I$33:$I$43,--($K$33:$K$43&lt;=MATCH(D30,$D$27:$D$30,0)))*7)/7</f>
        <v>301.428571428571</v>
      </c>
      <c r="I30" s="124"/>
      <c r="J30" s="14"/>
      <c r="K30" s="124"/>
      <c r="L30" s="124"/>
      <c r="M30" s="124"/>
      <c r="N30" s="124"/>
      <c r="O30" s="124"/>
      <c r="P30" s="124"/>
      <c r="Q30" s="124"/>
      <c r="R30" s="14"/>
      <c r="S30" s="14"/>
      <c r="T30" s="14"/>
      <c r="U30" s="14"/>
      <c r="V30" s="14"/>
      <c r="W30" s="14"/>
      <c r="X30" s="14"/>
      <c r="Y30" s="14"/>
      <c r="Z30" s="14"/>
      <c r="AA30" s="124"/>
      <c r="AB30" s="124"/>
      <c r="AC30" s="124"/>
      <c r="AD30" s="124"/>
      <c r="AE30" s="124"/>
    </row>
    <row r="31" s="122" customFormat="1" spans="4:31">
      <c r="D31" s="124"/>
      <c r="E31" s="124"/>
      <c r="F31" s="124"/>
      <c r="G31" s="124"/>
      <c r="H31" s="124"/>
      <c r="I31" s="124"/>
      <c r="J31" s="14"/>
      <c r="K31" s="124"/>
      <c r="L31" s="124"/>
      <c r="M31" s="124"/>
      <c r="N31" s="124"/>
      <c r="O31" s="124"/>
      <c r="P31" s="124"/>
      <c r="Q31" s="124"/>
      <c r="R31" s="14"/>
      <c r="S31" s="14"/>
      <c r="T31" s="14"/>
      <c r="U31" s="14"/>
      <c r="V31" s="14"/>
      <c r="W31" s="14"/>
      <c r="X31" s="14"/>
      <c r="Y31" s="14"/>
      <c r="Z31" s="14"/>
      <c r="AA31" s="124"/>
      <c r="AB31" s="124"/>
      <c r="AC31" s="124"/>
      <c r="AD31" s="124"/>
      <c r="AE31" s="124"/>
    </row>
    <row r="32" s="122" customFormat="1" spans="4:31">
      <c r="D32" s="124" t="s">
        <v>1686</v>
      </c>
      <c r="E32" s="124" t="s">
        <v>1706</v>
      </c>
      <c r="F32" s="124" t="s">
        <v>1707</v>
      </c>
      <c r="G32" s="124" t="s">
        <v>935</v>
      </c>
      <c r="H32" s="124" t="s">
        <v>1708</v>
      </c>
      <c r="I32" s="124" t="s">
        <v>1576</v>
      </c>
      <c r="J32" s="124" t="s">
        <v>1709</v>
      </c>
      <c r="K32" s="124" t="s">
        <v>917</v>
      </c>
      <c r="L32" s="124"/>
      <c r="M32" s="124"/>
      <c r="N32" s="124"/>
      <c r="O32" s="124"/>
      <c r="P32" s="124"/>
      <c r="Q32" s="124"/>
      <c r="R32" s="14"/>
      <c r="S32" s="14"/>
      <c r="T32" s="14"/>
      <c r="U32" s="14"/>
      <c r="V32" s="14"/>
      <c r="W32" s="14"/>
      <c r="X32" s="14"/>
      <c r="Y32" s="14"/>
      <c r="Z32" s="14"/>
      <c r="AA32" s="124"/>
      <c r="AB32" s="124"/>
      <c r="AC32" s="124"/>
      <c r="AD32" s="124"/>
      <c r="AE32" s="124"/>
    </row>
    <row r="33" s="122" customFormat="1" spans="2:31">
      <c r="D33" s="124" t="s">
        <v>1710</v>
      </c>
      <c r="E33" s="124">
        <v>0</v>
      </c>
      <c r="F33" s="124">
        <v>10</v>
      </c>
      <c r="G33" s="124"/>
      <c r="H33" s="124"/>
      <c r="I33" s="124"/>
      <c r="J33" s="124"/>
      <c r="K33" s="124">
        <v>1</v>
      </c>
      <c r="L33" s="124"/>
      <c r="M33" s="124"/>
      <c r="N33" s="124"/>
      <c r="O33" s="124"/>
      <c r="P33" s="124"/>
      <c r="Q33" s="124"/>
      <c r="R33" s="14"/>
      <c r="S33" s="14"/>
      <c r="T33" s="14"/>
      <c r="U33" s="14"/>
      <c r="V33" s="14"/>
      <c r="W33" s="14"/>
      <c r="X33" s="14"/>
      <c r="Y33" s="14"/>
      <c r="Z33" s="14"/>
      <c r="AA33" s="124"/>
      <c r="AB33" s="124"/>
      <c r="AC33" s="124"/>
      <c r="AD33" s="124"/>
      <c r="AE33" s="124"/>
    </row>
    <row r="34" s="122" customFormat="1" spans="2:31">
      <c r="D34" s="124" t="s">
        <v>1711</v>
      </c>
      <c r="E34" s="124">
        <v>3</v>
      </c>
      <c r="F34" s="124">
        <v>10</v>
      </c>
      <c r="G34" s="124"/>
      <c r="H34" s="124"/>
      <c r="I34" s="124"/>
      <c r="J34" s="124"/>
      <c r="K34" s="124">
        <v>1</v>
      </c>
      <c r="L34" s="124"/>
      <c r="M34" s="124"/>
      <c r="N34" s="124"/>
      <c r="O34" s="124"/>
      <c r="P34" s="124"/>
      <c r="Q34" s="124"/>
      <c r="R34" s="14"/>
      <c r="S34" s="14"/>
      <c r="T34" s="14"/>
      <c r="U34" s="14"/>
      <c r="V34" s="14"/>
      <c r="W34" s="14"/>
      <c r="X34" s="14"/>
      <c r="Y34" s="14"/>
      <c r="Z34" s="14"/>
      <c r="AA34" s="124"/>
      <c r="AB34" s="124"/>
      <c r="AC34" s="124"/>
      <c r="AD34" s="124"/>
      <c r="AE34" s="124"/>
    </row>
    <row r="35" s="122" customFormat="1" spans="2:31">
      <c r="D35" s="124" t="s">
        <v>1712</v>
      </c>
      <c r="E35" s="124">
        <v>0</v>
      </c>
      <c r="F35" s="124">
        <v>70</v>
      </c>
      <c r="G35" s="124"/>
      <c r="H35" s="124"/>
      <c r="I35" s="124"/>
      <c r="J35" s="124"/>
      <c r="K35" s="124">
        <v>1</v>
      </c>
      <c r="L35" s="124"/>
      <c r="M35" s="124"/>
      <c r="N35" s="124"/>
      <c r="O35" s="124"/>
      <c r="P35" s="124"/>
      <c r="Q35" s="124"/>
      <c r="R35" s="14"/>
      <c r="S35" s="14"/>
      <c r="T35" s="14"/>
      <c r="U35" s="14"/>
      <c r="V35" s="14"/>
      <c r="W35" s="14"/>
      <c r="X35" s="14"/>
      <c r="Y35" s="14"/>
      <c r="Z35" s="14"/>
      <c r="AA35" s="124"/>
      <c r="AB35" s="124"/>
      <c r="AC35" s="124"/>
      <c r="AD35" s="124"/>
      <c r="AE35" s="124"/>
    </row>
    <row r="36" s="122" customFormat="1" spans="2:31">
      <c r="D36" s="124" t="s">
        <v>1713</v>
      </c>
      <c r="E36" s="124">
        <v>1</v>
      </c>
      <c r="F36" s="124">
        <v>10</v>
      </c>
      <c r="G36" s="124"/>
      <c r="H36" s="124"/>
      <c r="I36" s="124"/>
      <c r="J36" s="124"/>
      <c r="K36" s="124">
        <v>1</v>
      </c>
      <c r="L36" s="124"/>
      <c r="M36" s="124"/>
      <c r="N36" s="124"/>
      <c r="O36" s="124"/>
      <c r="P36" s="124"/>
      <c r="Q36" s="124"/>
      <c r="R36" s="14"/>
      <c r="S36" s="14"/>
      <c r="T36" s="14"/>
      <c r="U36" s="14"/>
      <c r="V36" s="14"/>
      <c r="W36" s="14"/>
      <c r="X36" s="14"/>
      <c r="Y36" s="14"/>
      <c r="Z36" s="14"/>
      <c r="AA36" s="124"/>
      <c r="AB36" s="124"/>
      <c r="AC36" s="124"/>
      <c r="AD36" s="124"/>
      <c r="AE36" s="124"/>
    </row>
    <row r="37" s="122" customFormat="1" spans="2:31">
      <c r="D37" s="124" t="s">
        <v>1714</v>
      </c>
      <c r="E37" s="124">
        <v>0</v>
      </c>
      <c r="F37" s="124">
        <f>SUMIF($I$56:$I$70,$I$57,$J$56:$J$70)</f>
        <v>110</v>
      </c>
      <c r="G37" s="124"/>
      <c r="H37" s="124"/>
      <c r="I37" s="124">
        <f>68</f>
        <v>68</v>
      </c>
      <c r="J37" s="130">
        <f>I37*骰子价值/68/10</f>
        <v>3</v>
      </c>
      <c r="K37" s="124">
        <v>2</v>
      </c>
      <c r="L37" s="124"/>
      <c r="M37" s="124"/>
      <c r="N37" s="124"/>
      <c r="O37" s="124"/>
      <c r="P37" s="124"/>
      <c r="Q37" s="124"/>
      <c r="R37" s="14"/>
      <c r="S37" s="14"/>
      <c r="T37" s="14"/>
      <c r="U37" s="14"/>
      <c r="V37" s="14"/>
      <c r="W37" s="14"/>
      <c r="X37" s="14"/>
      <c r="Y37" s="14"/>
      <c r="Z37" s="14"/>
      <c r="AA37" s="124"/>
      <c r="AB37" s="124"/>
      <c r="AC37" s="124"/>
      <c r="AD37" s="124"/>
      <c r="AE37" s="124"/>
    </row>
    <row r="38" s="122" customFormat="1" spans="2:31">
      <c r="D38" s="124" t="s">
        <v>215</v>
      </c>
      <c r="E38" s="124">
        <v>2</v>
      </c>
      <c r="F38" s="124">
        <v>6</v>
      </c>
      <c r="G38" s="124">
        <v>150</v>
      </c>
      <c r="H38" s="130">
        <f>F38*骰子价值/G38</f>
        <v>1.2</v>
      </c>
      <c r="I38" s="124"/>
      <c r="J38" s="124"/>
      <c r="K38" s="124">
        <v>2</v>
      </c>
      <c r="L38" s="124"/>
      <c r="M38" s="124"/>
      <c r="N38" s="124"/>
      <c r="O38" s="124"/>
      <c r="P38" s="124"/>
      <c r="Q38" s="124"/>
      <c r="R38" s="14"/>
      <c r="S38" s="14"/>
      <c r="T38" s="14"/>
      <c r="U38" s="14"/>
      <c r="V38" s="14"/>
      <c r="W38" s="14"/>
      <c r="X38" s="14"/>
      <c r="Y38" s="14"/>
      <c r="Z38" s="14"/>
      <c r="AA38" s="124"/>
      <c r="AB38" s="124"/>
      <c r="AC38" s="124"/>
      <c r="AD38" s="124"/>
      <c r="AE38" s="124"/>
    </row>
    <row r="39" s="122" customFormat="1" spans="2:31">
      <c r="D39" s="124" t="s">
        <v>1715</v>
      </c>
      <c r="E39" s="124">
        <v>0</v>
      </c>
      <c r="F39" s="124" cm="1">
        <f t="array" ref="F39">SUMPRODUCT(H50:H52,J50:J52)</f>
        <v>285</v>
      </c>
      <c r="G39" s="124"/>
      <c r="H39" s="124"/>
      <c r="I39" s="124" cm="1">
        <f t="array" ref="I39">SUMPRODUCT(E50:E52,J50:J52)</f>
        <v>402</v>
      </c>
      <c r="J39" s="130">
        <f>F39*骰子价值/402/10</f>
        <v>2.12686567164179</v>
      </c>
      <c r="K39" s="124">
        <v>3</v>
      </c>
      <c r="L39" s="124"/>
      <c r="M39" s="124"/>
      <c r="N39" s="124"/>
      <c r="O39" s="124"/>
      <c r="P39" s="124"/>
      <c r="Q39" s="124"/>
      <c r="R39" s="14"/>
      <c r="S39" s="14"/>
      <c r="T39" s="14"/>
      <c r="U39" s="14"/>
      <c r="V39" s="14"/>
      <c r="W39" s="14"/>
      <c r="X39" s="14"/>
      <c r="Y39" s="14"/>
      <c r="Z39" s="14"/>
      <c r="AA39" s="124"/>
      <c r="AB39" s="124"/>
      <c r="AC39" s="124"/>
      <c r="AD39" s="124"/>
      <c r="AE39" s="124"/>
    </row>
    <row r="40" s="122" customFormat="1" spans="2:31">
      <c r="D40" s="124" t="s">
        <v>1716</v>
      </c>
      <c r="E40" s="124">
        <v>1</v>
      </c>
      <c r="F40" s="124">
        <v>2</v>
      </c>
      <c r="G40" s="124"/>
      <c r="H40" s="124"/>
      <c r="I40" s="124"/>
      <c r="J40" s="124"/>
      <c r="K40" s="124">
        <v>3</v>
      </c>
      <c r="L40" s="124"/>
      <c r="M40" s="124"/>
      <c r="N40" s="124"/>
      <c r="O40" s="124"/>
      <c r="P40" s="124"/>
      <c r="Q40" s="124"/>
      <c r="R40" s="14"/>
      <c r="S40" s="14"/>
      <c r="T40" s="14"/>
      <c r="U40" s="14"/>
      <c r="V40" s="14"/>
      <c r="W40" s="14"/>
      <c r="X40" s="14"/>
      <c r="Y40" s="14"/>
      <c r="Z40" s="14"/>
      <c r="AA40" s="124"/>
      <c r="AB40" s="124"/>
      <c r="AC40" s="124"/>
      <c r="AD40" s="124"/>
      <c r="AE40" s="124"/>
    </row>
    <row r="41" s="122" customFormat="1" spans="2:31">
      <c r="D41" s="124" t="s">
        <v>1717</v>
      </c>
      <c r="E41" s="124">
        <v>1</v>
      </c>
      <c r="F41" s="124">
        <f>H49</f>
        <v>0</v>
      </c>
      <c r="G41" s="124"/>
      <c r="H41" s="130"/>
      <c r="I41" s="124"/>
      <c r="J41" s="124"/>
      <c r="K41" s="124">
        <v>3</v>
      </c>
      <c r="L41" s="124"/>
      <c r="M41" s="124"/>
      <c r="N41" s="124"/>
      <c r="O41" s="124"/>
      <c r="P41" s="124"/>
      <c r="Q41" s="124"/>
      <c r="R41" s="14"/>
      <c r="S41" s="14"/>
      <c r="T41" s="14"/>
      <c r="U41" s="14"/>
      <c r="V41" s="14"/>
      <c r="W41" s="14"/>
      <c r="X41" s="14"/>
      <c r="Y41" s="14"/>
      <c r="Z41" s="14"/>
      <c r="AA41" s="124"/>
      <c r="AB41" s="124"/>
      <c r="AC41" s="124"/>
      <c r="AD41" s="124"/>
      <c r="AE41" s="124"/>
    </row>
    <row r="42" s="122" customFormat="1" spans="2:31">
      <c r="D42" s="124" t="s">
        <v>1718</v>
      </c>
      <c r="E42" s="124">
        <v>5</v>
      </c>
      <c r="F42" s="124">
        <v>10</v>
      </c>
      <c r="G42" s="124">
        <f>F42*30</f>
        <v>300</v>
      </c>
      <c r="H42" s="130">
        <f>F42*骰子价值/G42</f>
        <v>1</v>
      </c>
      <c r="I42" s="124"/>
      <c r="J42" s="124"/>
      <c r="K42" s="124">
        <v>4</v>
      </c>
      <c r="L42" s="124"/>
      <c r="M42" s="124"/>
      <c r="N42" s="124"/>
      <c r="O42" s="124"/>
      <c r="P42" s="124"/>
      <c r="Q42" s="124"/>
      <c r="R42" s="14"/>
      <c r="S42" s="14"/>
      <c r="T42" s="14"/>
      <c r="U42" s="14"/>
      <c r="V42" s="14"/>
      <c r="W42" s="14"/>
      <c r="X42" s="14"/>
      <c r="Y42" s="14"/>
      <c r="Z42" s="14"/>
      <c r="AA42" s="124"/>
      <c r="AB42" s="124"/>
      <c r="AC42" s="124"/>
      <c r="AD42" s="124"/>
      <c r="AE42" s="124"/>
    </row>
    <row r="43" s="122" customFormat="1" spans="2:31">
      <c r="D43" s="124" t="s">
        <v>1719</v>
      </c>
      <c r="E43" s="124">
        <v>0</v>
      </c>
      <c r="F43" s="124" cm="1">
        <f t="array" ref="F43">SUMPRODUCT(H53:H55,J53:J55)</f>
        <v>500</v>
      </c>
      <c r="G43" s="124"/>
      <c r="H43" s="124"/>
      <c r="I43" s="124">
        <f>E53*J53</f>
        <v>1640</v>
      </c>
      <c r="J43" s="130">
        <f>F43*骰子价值/328/5/10</f>
        <v>0.914634146341463</v>
      </c>
      <c r="K43" s="124">
        <v>4</v>
      </c>
      <c r="L43" s="78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24"/>
      <c r="AB43" s="124"/>
      <c r="AC43" s="124"/>
      <c r="AD43" s="124"/>
      <c r="AE43" s="124"/>
    </row>
    <row r="44" s="122" customFormat="1" spans="2:31">
      <c r="D44" s="124"/>
      <c r="E44" s="124"/>
      <c r="F44" s="124"/>
      <c r="G44" s="124"/>
      <c r="H44" s="124"/>
      <c r="I44" s="124"/>
      <c r="J44" s="14"/>
      <c r="K44" s="14"/>
      <c r="L44" s="124"/>
      <c r="M44" s="124"/>
      <c r="N44" s="124"/>
      <c r="O44" s="124"/>
      <c r="P44" s="124"/>
      <c r="Q44" s="124"/>
      <c r="R44" s="124"/>
      <c r="S44" s="14"/>
      <c r="T44" s="14"/>
      <c r="U44" s="14"/>
      <c r="V44" s="14"/>
      <c r="W44" s="14"/>
      <c r="X44" s="14"/>
      <c r="Y44" s="14"/>
      <c r="Z44" s="14"/>
      <c r="AA44" s="124"/>
      <c r="AB44" s="124"/>
      <c r="AC44" s="124"/>
      <c r="AD44" s="124"/>
      <c r="AE44" s="124"/>
    </row>
    <row r="45" s="122" customFormat="1" spans="2:31">
      <c r="B45" s="125"/>
      <c r="C45" s="125" t="s">
        <v>1720</v>
      </c>
      <c r="D45" s="124"/>
      <c r="E45" s="124"/>
      <c r="F45" s="124"/>
      <c r="G45" s="124"/>
      <c r="H45" s="124"/>
      <c r="I45" s="124"/>
      <c r="J45" s="14"/>
      <c r="K45" s="1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</row>
    <row r="46" s="122" customFormat="1" spans="2:31">
      <c r="D46" s="124"/>
      <c r="E46" s="124"/>
      <c r="F46" s="124"/>
      <c r="G46" s="124">
        <f>_xlfn.XLOOKUP(G47,[1]价值表!$D:$D,[1]价值表!$F:$F)</f>
        <v>1</v>
      </c>
      <c r="H46" s="124">
        <f>_xlfn.XLOOKUP(H47,[1]价值表!$D:$D,[1]价值表!$F:$F)</f>
        <v>30</v>
      </c>
      <c r="I46" s="124">
        <f>_xlfn.XLOOKUP(I47,[1]价值表!$D:$D,[1]价值表!$F:$F)</f>
        <v>200</v>
      </c>
      <c r="J46" s="78" cm="1">
        <f t="array" ref="J46">SUMPRODUCT(J50:J53,E50:E53)</f>
        <v>2042</v>
      </c>
      <c r="K46" s="1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</row>
    <row r="47" s="122" customFormat="1" spans="2:31">
      <c r="D47" s="124" t="s">
        <v>1121</v>
      </c>
      <c r="E47" s="124" t="s">
        <v>935</v>
      </c>
      <c r="F47" s="124" t="s">
        <v>1721</v>
      </c>
      <c r="G47" s="124" t="s">
        <v>188</v>
      </c>
      <c r="H47" s="124" t="s">
        <v>310</v>
      </c>
      <c r="I47" s="124" t="s">
        <v>312</v>
      </c>
      <c r="J47" s="124" t="s">
        <v>1197</v>
      </c>
      <c r="K47" s="124" t="s">
        <v>923</v>
      </c>
      <c r="L47" s="124"/>
      <c r="M47" s="78" t="s">
        <v>1722</v>
      </c>
      <c r="N47" s="14" t="s">
        <v>1723</v>
      </c>
      <c r="O47" s="14" t="s">
        <v>1724</v>
      </c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</row>
    <row r="48" s="122" customFormat="1" spans="2:31">
      <c r="D48" s="124" t="s">
        <v>1621</v>
      </c>
      <c r="E48" s="124"/>
      <c r="F48" s="124">
        <v>0</v>
      </c>
      <c r="G48" s="124"/>
      <c r="H48" s="124">
        <v>1</v>
      </c>
      <c r="I48" s="124"/>
      <c r="J48" s="124"/>
      <c r="K48" s="128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</row>
    <row r="49" s="122" customFormat="1" spans="4:31">
      <c r="D49" s="124"/>
      <c r="E49" s="124"/>
      <c r="F49" s="124"/>
      <c r="G49" s="124"/>
      <c r="H49" s="124"/>
      <c r="I49" s="124"/>
      <c r="J49" s="124"/>
      <c r="K49" s="130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</row>
    <row r="50" s="122" customFormat="1" spans="4:31">
      <c r="D50" s="124" t="s">
        <v>1581</v>
      </c>
      <c r="E50" s="124">
        <v>6</v>
      </c>
      <c r="F50" s="124"/>
      <c r="G50" s="124">
        <f t="shared" ref="G50:G53" si="0">E50*10</f>
        <v>60</v>
      </c>
      <c r="H50" s="131">
        <v>15</v>
      </c>
      <c r="I50" s="131">
        <v>1</v>
      </c>
      <c r="J50" s="124">
        <v>3</v>
      </c>
      <c r="K50" s="130" cm="1">
        <f t="array" ref="K50">SUMPRODUCT(G50:I50,$G$46:$I$46)/E50/10</f>
        <v>11.8333333333333</v>
      </c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</row>
    <row r="51" s="122" customFormat="1" spans="4:31">
      <c r="D51" s="124" t="s">
        <v>1581</v>
      </c>
      <c r="E51" s="124">
        <v>30</v>
      </c>
      <c r="F51" s="124"/>
      <c r="G51" s="124">
        <f t="shared" si="0"/>
        <v>300</v>
      </c>
      <c r="H51" s="131">
        <v>30</v>
      </c>
      <c r="I51" s="131">
        <v>2</v>
      </c>
      <c r="J51" s="124">
        <v>3</v>
      </c>
      <c r="K51" s="130" cm="1">
        <f t="array" ref="K51">SUMPRODUCT(G51:I51,$G$46:$I$46)/E51/10</f>
        <v>5.33333333333333</v>
      </c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</row>
    <row r="52" s="122" customFormat="1" spans="4:31">
      <c r="D52" s="124" t="s">
        <v>1581</v>
      </c>
      <c r="E52" s="124">
        <v>98</v>
      </c>
      <c r="F52" s="124"/>
      <c r="G52" s="124">
        <f t="shared" si="0"/>
        <v>980</v>
      </c>
      <c r="H52" s="131">
        <v>50</v>
      </c>
      <c r="I52" s="131">
        <v>4</v>
      </c>
      <c r="J52" s="124">
        <v>3</v>
      </c>
      <c r="K52" s="130" cm="1">
        <f t="array" ref="K52">SUMPRODUCT(G52:I52,$G$46:$I$46)/E52/10</f>
        <v>3.3469387755102</v>
      </c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</row>
    <row r="53" s="122" customFormat="1" spans="4:31">
      <c r="D53" s="124" t="s">
        <v>1581</v>
      </c>
      <c r="E53" s="124">
        <v>328</v>
      </c>
      <c r="F53" s="124"/>
      <c r="G53" s="124">
        <f t="shared" si="0"/>
        <v>3280</v>
      </c>
      <c r="H53" s="131">
        <v>100</v>
      </c>
      <c r="I53" s="132">
        <v>8</v>
      </c>
      <c r="J53" s="124">
        <v>5</v>
      </c>
      <c r="K53" s="130" cm="1">
        <f t="array" ref="K53">SUMPRODUCT(G53:I53,$G$46:$I$46)/E53/10</f>
        <v>2.40243902439024</v>
      </c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</row>
    <row r="54" s="122" customFormat="1" spans="4:31">
      <c r="D54" s="124"/>
      <c r="E54" s="124"/>
      <c r="F54" s="124"/>
      <c r="G54" s="124"/>
      <c r="H54" s="124"/>
      <c r="I54" s="124"/>
      <c r="J54" s="14"/>
      <c r="K54" s="1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</row>
    <row r="55" s="122" customFormat="1" spans="4:31">
      <c r="D55" s="124" t="s">
        <v>1725</v>
      </c>
      <c r="E55" s="124" t="s">
        <v>1073</v>
      </c>
      <c r="F55" s="124" t="s">
        <v>919</v>
      </c>
      <c r="G55" s="124" t="s">
        <v>1726</v>
      </c>
      <c r="H55" s="124" t="s">
        <v>1478</v>
      </c>
      <c r="I55" s="124" t="s">
        <v>1078</v>
      </c>
      <c r="J55" s="124" t="s">
        <v>1101</v>
      </c>
      <c r="K55" s="78" t="s">
        <v>1727</v>
      </c>
      <c r="L55" s="124"/>
      <c r="M55" s="78" t="s">
        <v>559</v>
      </c>
      <c r="N55" s="14" t="s">
        <v>1728</v>
      </c>
      <c r="O55" s="1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  <c r="AE55" s="124"/>
    </row>
    <row r="56" s="122" customFormat="1" spans="4:31">
      <c r="D56" s="124">
        <v>1</v>
      </c>
      <c r="E56" s="124" t="s">
        <v>310</v>
      </c>
      <c r="F56" s="124">
        <v>2</v>
      </c>
      <c r="G56" s="124" t="s">
        <v>188</v>
      </c>
      <c r="H56" s="124">
        <v>680</v>
      </c>
      <c r="I56" s="124" t="s">
        <v>312</v>
      </c>
      <c r="J56" s="124">
        <v>2</v>
      </c>
      <c r="K56" s="128">
        <f>IF(I56="","",_xlfn.XLOOKUP(G56,[1]价值表!D:D,[1]价值表!F:F)*H56+_xlfn.XLOOKUP(I56,[1]价值表!D:D,[1]价值表!F:F)*J56)</f>
        <v>1080</v>
      </c>
      <c r="L56" s="124"/>
      <c r="M56" s="78"/>
      <c r="N56" s="14" t="s">
        <v>1729</v>
      </c>
      <c r="O56" s="14" t="s">
        <v>1730</v>
      </c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</row>
    <row r="57" s="122" customFormat="1" spans="4:31">
      <c r="D57" s="124">
        <v>2</v>
      </c>
      <c r="E57" s="124" t="s">
        <v>924</v>
      </c>
      <c r="F57" s="124">
        <v>2</v>
      </c>
      <c r="G57" s="124" t="s">
        <v>924</v>
      </c>
      <c r="H57" s="124">
        <v>5</v>
      </c>
      <c r="I57" s="124" t="s">
        <v>310</v>
      </c>
      <c r="J57" s="124">
        <v>10</v>
      </c>
      <c r="K57" s="128">
        <f>IF(I57="","",_xlfn.XLOOKUP(G57,[1]价值表!D:D,[1]价值表!F:F)*H57+_xlfn.XLOOKUP(I57,[1]价值表!D:D,[1]价值表!F:F)*J57)</f>
        <v>450</v>
      </c>
      <c r="L57" s="124"/>
      <c r="M57" s="78"/>
      <c r="N57" s="14" t="s">
        <v>1731</v>
      </c>
      <c r="O57" s="14" t="s">
        <v>1732</v>
      </c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</row>
    <row r="58" s="122" customFormat="1" spans="4:31">
      <c r="D58" s="124">
        <v>3</v>
      </c>
      <c r="E58" s="124" t="s">
        <v>925</v>
      </c>
      <c r="F58" s="124">
        <v>1</v>
      </c>
      <c r="G58" s="124" t="s">
        <v>265</v>
      </c>
      <c r="H58" s="124">
        <v>2</v>
      </c>
      <c r="I58" s="124" t="s">
        <v>310</v>
      </c>
      <c r="J58" s="124">
        <v>10</v>
      </c>
      <c r="K58" s="128">
        <f>IF(I58="","",_xlfn.XLOOKUP(G58,[1]价值表!D:D,[1]价值表!F:F)*H58+_xlfn.XLOOKUP(I58,[1]价值表!D:D,[1]价值表!F:F)*J58)</f>
        <v>420</v>
      </c>
      <c r="L58" s="124"/>
      <c r="M58" s="78"/>
      <c r="N58" s="14" t="s">
        <v>1733</v>
      </c>
      <c r="O58" s="14" t="s">
        <v>1734</v>
      </c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</row>
    <row r="59" s="122" customFormat="1" spans="4:31">
      <c r="D59" s="124">
        <v>4</v>
      </c>
      <c r="E59" s="124" t="s">
        <v>925</v>
      </c>
      <c r="F59" s="124">
        <v>2</v>
      </c>
      <c r="G59" s="124" t="s">
        <v>926</v>
      </c>
      <c r="H59" s="124">
        <v>2</v>
      </c>
      <c r="I59" s="124" t="s">
        <v>310</v>
      </c>
      <c r="J59" s="124">
        <v>10</v>
      </c>
      <c r="K59" s="128">
        <f>IF(I59="","",_xlfn.XLOOKUP(G59,[1]价值表!D:D,[1]价值表!F:F)*H59+_xlfn.XLOOKUP(I59,[1]价值表!D:D,[1]价值表!F:F)*J59)</f>
        <v>860</v>
      </c>
      <c r="L59" s="124"/>
      <c r="M59" s="124"/>
      <c r="N59" s="124"/>
      <c r="O59" s="124"/>
      <c r="P59" s="124"/>
      <c r="Q59" s="14"/>
      <c r="R59" s="1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</row>
    <row r="60" s="122" customFormat="1" spans="4:31">
      <c r="D60" s="124">
        <v>5</v>
      </c>
      <c r="E60" s="124" t="s">
        <v>310</v>
      </c>
      <c r="F60" s="124">
        <v>2</v>
      </c>
      <c r="G60" s="124" t="s">
        <v>188</v>
      </c>
      <c r="H60" s="124">
        <v>100</v>
      </c>
      <c r="I60" s="124" t="s">
        <v>312</v>
      </c>
      <c r="J60" s="124">
        <v>1</v>
      </c>
      <c r="K60" s="128">
        <f>IF(I60="","",_xlfn.XLOOKUP(G60,[1]价值表!D:D,[1]价值表!F:F)*H60+_xlfn.XLOOKUP(I60,[1]价值表!D:D,[1]价值表!F:F)*J60)</f>
        <v>300</v>
      </c>
      <c r="L60" s="124"/>
      <c r="M60" s="124"/>
      <c r="N60" s="124"/>
      <c r="O60" s="124"/>
      <c r="P60" s="124"/>
      <c r="Q60" s="1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</row>
    <row r="61" s="122" customFormat="1" spans="4:31">
      <c r="D61" s="124">
        <v>6</v>
      </c>
      <c r="E61" s="124" t="s">
        <v>263</v>
      </c>
      <c r="F61" s="124">
        <v>20</v>
      </c>
      <c r="G61" s="124" t="s">
        <v>265</v>
      </c>
      <c r="H61" s="124">
        <v>2</v>
      </c>
      <c r="I61" s="124" t="s">
        <v>310</v>
      </c>
      <c r="J61" s="124">
        <v>10</v>
      </c>
      <c r="K61" s="128">
        <f>IF(I61="","",_xlfn.XLOOKUP(G61,[1]价值表!D:D,[1]价值表!F:F)*H61+_xlfn.XLOOKUP(I61,[1]价值表!D:D,[1]价值表!F:F)*J61)</f>
        <v>420</v>
      </c>
      <c r="L61" s="124"/>
      <c r="M61" s="124"/>
      <c r="N61" s="124"/>
      <c r="O61" s="124"/>
      <c r="P61" s="124"/>
      <c r="Q61" s="1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</row>
    <row r="62" s="122" customFormat="1" spans="4:31">
      <c r="D62" s="124">
        <v>7</v>
      </c>
      <c r="E62" s="124" t="s">
        <v>924</v>
      </c>
      <c r="F62" s="124">
        <v>2</v>
      </c>
      <c r="G62" s="124" t="s">
        <v>924</v>
      </c>
      <c r="H62" s="124">
        <v>5</v>
      </c>
      <c r="I62" s="124" t="s">
        <v>310</v>
      </c>
      <c r="J62" s="124">
        <v>10</v>
      </c>
      <c r="K62" s="128">
        <f>IF(I62="","",_xlfn.XLOOKUP(G62,[1]价值表!D:D,[1]价值表!F:F)*H62+_xlfn.XLOOKUP(I62,[1]价值表!D:D,[1]价值表!F:F)*J62)</f>
        <v>450</v>
      </c>
      <c r="L62" s="124"/>
      <c r="M62" s="124"/>
      <c r="N62" s="124"/>
      <c r="O62" s="124"/>
      <c r="P62" s="124"/>
      <c r="Q62" s="1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</row>
    <row r="63" s="122" customFormat="1" spans="4:31">
      <c r="D63" s="124">
        <v>8</v>
      </c>
      <c r="E63" s="124" t="s">
        <v>925</v>
      </c>
      <c r="F63" s="124">
        <v>1</v>
      </c>
      <c r="G63" s="124" t="s">
        <v>925</v>
      </c>
      <c r="H63" s="124">
        <v>2</v>
      </c>
      <c r="I63" s="124" t="s">
        <v>310</v>
      </c>
      <c r="J63" s="124">
        <v>10</v>
      </c>
      <c r="K63" s="128">
        <f>IF(I63="","",_xlfn.XLOOKUP(G63,[1]价值表!D:D,[1]价值表!F:F)*H63+_xlfn.XLOOKUP(I63,[1]价值表!D:D,[1]价值表!F:F)*J63)</f>
        <v>400</v>
      </c>
      <c r="L63" s="14"/>
      <c r="M63" s="14"/>
      <c r="N63" s="124"/>
      <c r="O63" s="124"/>
      <c r="P63" s="124"/>
      <c r="Q63" s="1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</row>
    <row r="64" s="122" customFormat="1" spans="4:31">
      <c r="D64" s="124">
        <v>9</v>
      </c>
      <c r="E64" s="124" t="s">
        <v>925</v>
      </c>
      <c r="F64" s="124">
        <v>2</v>
      </c>
      <c r="G64" s="124" t="s">
        <v>926</v>
      </c>
      <c r="H64" s="124">
        <v>1</v>
      </c>
      <c r="I64" s="124" t="s">
        <v>310</v>
      </c>
      <c r="J64" s="124">
        <v>10</v>
      </c>
      <c r="K64" s="128">
        <f>IF(I64="","",_xlfn.XLOOKUP(G64,[1]价值表!D:D,[1]价值表!F:F)*H64+_xlfn.XLOOKUP(I64,[1]价值表!D:D,[1]价值表!F:F)*J64)</f>
        <v>580</v>
      </c>
      <c r="L64" s="124"/>
      <c r="M64" s="124"/>
      <c r="N64" s="14"/>
      <c r="O64" s="14"/>
      <c r="P64" s="14"/>
      <c r="Q64" s="1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</row>
    <row r="65" s="122" customFormat="1" spans="2:31">
      <c r="D65" s="124">
        <v>10</v>
      </c>
      <c r="E65" s="124" t="s">
        <v>310</v>
      </c>
      <c r="F65" s="124">
        <v>2</v>
      </c>
      <c r="G65" s="124" t="s">
        <v>188</v>
      </c>
      <c r="H65" s="124">
        <v>100</v>
      </c>
      <c r="I65" s="124" t="s">
        <v>312</v>
      </c>
      <c r="J65" s="124">
        <v>1</v>
      </c>
      <c r="K65" s="128">
        <f>IF(I65="","",_xlfn.XLOOKUP(G65,[1]价值表!D:D,[1]价值表!F:F)*H65+_xlfn.XLOOKUP(I65,[1]价值表!D:D,[1]价值表!F:F)*J65)</f>
        <v>300</v>
      </c>
      <c r="L65" s="124"/>
      <c r="M65" s="124"/>
      <c r="N65" s="14"/>
      <c r="O65" s="14"/>
      <c r="P65" s="14"/>
      <c r="Q65" s="1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</row>
    <row r="66" s="122" customFormat="1" spans="2:31">
      <c r="D66" s="124">
        <v>11</v>
      </c>
      <c r="E66" s="124" t="s">
        <v>263</v>
      </c>
      <c r="F66" s="124">
        <v>20</v>
      </c>
      <c r="G66" s="124" t="s">
        <v>265</v>
      </c>
      <c r="H66" s="124">
        <v>2</v>
      </c>
      <c r="I66" s="124" t="s">
        <v>310</v>
      </c>
      <c r="J66" s="124">
        <v>10</v>
      </c>
      <c r="K66" s="128">
        <f>IF(I66="","",_xlfn.XLOOKUP(G66,[1]价值表!D:D,[1]价值表!F:F)*H66+_xlfn.XLOOKUP(I66,[1]价值表!D:D,[1]价值表!F:F)*J66)</f>
        <v>420</v>
      </c>
      <c r="L66" s="124"/>
      <c r="M66" s="124"/>
      <c r="N66" s="124"/>
      <c r="O66" s="124"/>
      <c r="P66" s="14"/>
      <c r="Q66" s="1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</row>
    <row r="67" s="122" customFormat="1" spans="2:31">
      <c r="D67" s="124">
        <v>12</v>
      </c>
      <c r="E67" s="124" t="s">
        <v>924</v>
      </c>
      <c r="F67" s="124">
        <v>2</v>
      </c>
      <c r="G67" s="124" t="s">
        <v>924</v>
      </c>
      <c r="H67" s="124">
        <v>5</v>
      </c>
      <c r="I67" s="124" t="s">
        <v>310</v>
      </c>
      <c r="J67" s="124">
        <v>10</v>
      </c>
      <c r="K67" s="128">
        <f>IF(I67="","",_xlfn.XLOOKUP(G67,[1]价值表!D:D,[1]价值表!F:F)*H67+_xlfn.XLOOKUP(I67,[1]价值表!D:D,[1]价值表!F:F)*J67)</f>
        <v>450</v>
      </c>
      <c r="L67" s="124"/>
      <c r="M67" s="124"/>
      <c r="N67" s="124"/>
      <c r="O67" s="124"/>
      <c r="P67" s="14"/>
      <c r="Q67" s="1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</row>
    <row r="68" s="122" customFormat="1" spans="2:31">
      <c r="D68" s="124">
        <v>13</v>
      </c>
      <c r="E68" s="124" t="s">
        <v>925</v>
      </c>
      <c r="F68" s="124">
        <v>1</v>
      </c>
      <c r="G68" s="124" t="s">
        <v>925</v>
      </c>
      <c r="H68" s="124">
        <v>2</v>
      </c>
      <c r="I68" s="124" t="s">
        <v>310</v>
      </c>
      <c r="J68" s="124">
        <v>10</v>
      </c>
      <c r="K68" s="128">
        <f>IF(I68="","",_xlfn.XLOOKUP(G68,[1]价值表!D:D,[1]价值表!F:F)*H68+_xlfn.XLOOKUP(I68,[1]价值表!D:D,[1]价值表!F:F)*J68)</f>
        <v>400</v>
      </c>
      <c r="L68" s="124"/>
      <c r="M68" s="124"/>
      <c r="N68" s="124"/>
      <c r="O68" s="124"/>
      <c r="P68" s="14"/>
      <c r="Q68" s="1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</row>
    <row r="69" s="122" customFormat="1" spans="2:31">
      <c r="D69" s="124">
        <v>14</v>
      </c>
      <c r="E69" s="124" t="s">
        <v>925</v>
      </c>
      <c r="F69" s="124">
        <v>2</v>
      </c>
      <c r="G69" s="124" t="s">
        <v>926</v>
      </c>
      <c r="H69" s="124">
        <v>1</v>
      </c>
      <c r="I69" s="124" t="s">
        <v>310</v>
      </c>
      <c r="J69" s="124">
        <v>10</v>
      </c>
      <c r="K69" s="128">
        <f>IF(I69="","",_xlfn.XLOOKUP(G69,[1]价值表!D:D,[1]价值表!F:F)*H69+_xlfn.XLOOKUP(I69,[1]价值表!D:D,[1]价值表!F:F)*J69)</f>
        <v>580</v>
      </c>
      <c r="L69" s="124"/>
      <c r="M69" s="124"/>
      <c r="N69" s="14"/>
      <c r="O69" s="14"/>
      <c r="P69" s="14"/>
      <c r="Q69" s="1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</row>
    <row r="70" s="122" customFormat="1" spans="2:31">
      <c r="D70" s="124">
        <v>15</v>
      </c>
      <c r="E70" s="124" t="s">
        <v>310</v>
      </c>
      <c r="F70" s="124">
        <v>2</v>
      </c>
      <c r="G70" s="124" t="s">
        <v>188</v>
      </c>
      <c r="H70" s="124">
        <v>100</v>
      </c>
      <c r="I70" s="124" t="s">
        <v>312</v>
      </c>
      <c r="J70" s="124">
        <v>1</v>
      </c>
      <c r="K70" s="128">
        <f>IF(I70="","",_xlfn.XLOOKUP(G70,[1]价值表!D:D,[1]价值表!F:F)*H70+_xlfn.XLOOKUP(I70,[1]价值表!D:D,[1]价值表!F:F)*J70)</f>
        <v>300</v>
      </c>
      <c r="L70" s="124"/>
      <c r="M70" s="124"/>
      <c r="N70" s="124"/>
      <c r="O70" s="124"/>
      <c r="P70" s="14"/>
      <c r="Q70" s="1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</row>
    <row r="71" s="122" customFormat="1" spans="2:31"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4"/>
      <c r="Q71" s="1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</row>
    <row r="72" s="122" customFormat="1" spans="2:31">
      <c r="D72" s="124"/>
      <c r="E72" s="124"/>
      <c r="F72" s="124"/>
      <c r="G72" s="124"/>
      <c r="H72" s="124"/>
      <c r="I72" s="124" t="s">
        <v>923</v>
      </c>
      <c r="J72" s="130">
        <f>SUM(K56:K70)/68/10</f>
        <v>10.8970588235294</v>
      </c>
      <c r="K72" s="124"/>
      <c r="L72" s="124"/>
      <c r="M72" s="124"/>
      <c r="N72" s="124"/>
      <c r="O72" s="124"/>
      <c r="P72" s="14"/>
      <c r="Q72" s="1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</row>
    <row r="73" s="122" customFormat="1" spans="2:31">
      <c r="D73" s="124"/>
      <c r="E73" s="124"/>
      <c r="F73" s="124"/>
      <c r="G73" s="124"/>
      <c r="H73" s="124"/>
      <c r="I73" s="124"/>
      <c r="J73" s="130"/>
      <c r="K73" s="124"/>
      <c r="L73" s="124"/>
      <c r="M73" s="124"/>
      <c r="N73" s="124"/>
      <c r="O73" s="124"/>
      <c r="P73" s="14"/>
      <c r="Q73" s="1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</row>
    <row r="74" s="122" customFormat="1" spans="2:31">
      <c r="B74" s="125"/>
      <c r="C74" s="125" t="s">
        <v>1735</v>
      </c>
      <c r="D74" s="124"/>
      <c r="E74" s="124"/>
      <c r="F74" s="124"/>
      <c r="G74" s="124"/>
      <c r="H74" s="124"/>
      <c r="I74" s="124"/>
      <c r="J74" s="130"/>
      <c r="K74" s="124"/>
      <c r="L74" s="124"/>
      <c r="M74" s="124"/>
      <c r="N74" s="124"/>
      <c r="O74" s="124"/>
      <c r="P74" s="14"/>
      <c r="Q74" s="1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</row>
    <row r="75" s="122" customFormat="1" spans="2:31">
      <c r="D75" s="133" t="s">
        <v>1686</v>
      </c>
      <c r="E75" s="134" t="s">
        <v>1697</v>
      </c>
      <c r="F75" s="134" t="s">
        <v>1736</v>
      </c>
      <c r="G75" s="124"/>
      <c r="H75" s="124"/>
      <c r="I75" s="124"/>
      <c r="J75" s="130"/>
      <c r="K75" s="124"/>
      <c r="L75" s="124"/>
      <c r="M75" s="124"/>
      <c r="N75" s="124"/>
      <c r="O75" s="124"/>
      <c r="P75" s="14"/>
      <c r="Q75" s="1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</row>
    <row r="76" s="122" customFormat="1" spans="2:31">
      <c r="D76" s="135" t="s">
        <v>566</v>
      </c>
      <c r="E76" s="136">
        <v>0</v>
      </c>
      <c r="F76" s="137" cm="1">
        <f t="array" ref="F76">(SUMPRODUCT(--($E$83:$E$86=0),$F$83:$F$86,--($G$83:$G$86&lt;=MATCH(D76,$D$76:$D$79,0)))+SUMPRODUCT($E$83:$E$86,$F$83:$F$86,--($G$83:$G$86&lt;=MATCH(D76,$D$76:$D$79,0)))*7)/7</f>
        <v>0</v>
      </c>
      <c r="G76" s="124"/>
      <c r="H76" s="124"/>
      <c r="I76" s="124"/>
      <c r="J76" s="130"/>
      <c r="K76" s="124"/>
      <c r="L76" s="124"/>
      <c r="M76" s="124"/>
      <c r="N76" s="124"/>
      <c r="O76" s="124"/>
      <c r="P76" s="14"/>
      <c r="Q76" s="1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</row>
    <row r="77" s="122" customFormat="1" spans="2:31">
      <c r="D77" s="135" t="s">
        <v>1704</v>
      </c>
      <c r="E77" s="136">
        <v>1</v>
      </c>
      <c r="F77" s="137" cm="1">
        <f t="array" ref="F77">(SUMPRODUCT(--($E$83:$E$86=0),$F$83:$F$86,--($G$83:$G$86&lt;=MATCH(D77,$D$76:$D$79,0)))+SUMPRODUCT($E$83:$E$86,$F$83:$F$86,--($G$83:$G$86&lt;=MATCH(D77,$D$76:$D$79,0)))*7)/7</f>
        <v>1</v>
      </c>
      <c r="G77" s="124"/>
      <c r="H77" s="124"/>
      <c r="I77" s="124"/>
      <c r="J77" s="130"/>
      <c r="K77" s="124"/>
      <c r="L77" s="124"/>
      <c r="M77" s="124"/>
      <c r="N77" s="124"/>
      <c r="O77" s="124"/>
      <c r="P77" s="14"/>
      <c r="Q77" s="1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</row>
    <row r="78" s="122" customFormat="1" spans="2:31">
      <c r="D78" s="135" t="s">
        <v>577</v>
      </c>
      <c r="E78" s="136">
        <v>2</v>
      </c>
      <c r="F78" s="137" cm="1">
        <f t="array" ref="F78">(SUMPRODUCT(--($E$83:$E$86=0),$F$83:$F$86,--($G$83:$G$86&lt;=MATCH(D78,$D$76:$D$79,0)))+SUMPRODUCT($E$83:$E$86,$F$83:$F$86,--($G$83:$G$86&lt;=MATCH(D78,$D$76:$D$79,0)))*7)/7</f>
        <v>1.62857142857143</v>
      </c>
      <c r="G78" s="124"/>
      <c r="H78" s="124"/>
      <c r="I78" s="124"/>
      <c r="J78" s="130"/>
      <c r="K78" s="124"/>
      <c r="L78" s="124"/>
      <c r="M78" s="124"/>
      <c r="N78" s="124"/>
      <c r="O78" s="124"/>
      <c r="P78" s="14"/>
      <c r="Q78" s="1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</row>
    <row r="79" s="122" customFormat="1" spans="2:31">
      <c r="D79" s="135" t="s">
        <v>586</v>
      </c>
      <c r="E79" s="136">
        <v>3</v>
      </c>
      <c r="F79" s="137" cm="1">
        <f t="array" ref="F79">(SUMPRODUCT(--($E$83:$E$86=0),$F$83:$F$86,--($G$83:$G$86&lt;=MATCH(D79,$D$76:$D$79,0)))+SUMPRODUCT($E$83:$E$86,$F$83:$F$86,--($G$83:$G$86&lt;=MATCH(D79,$D$76:$D$79,0)))*7)/7</f>
        <v>3.05714285714286</v>
      </c>
      <c r="G79" s="124"/>
      <c r="H79" s="124"/>
      <c r="I79" s="124"/>
      <c r="J79" s="130"/>
      <c r="K79" s="124"/>
      <c r="L79" s="124"/>
      <c r="M79" s="124"/>
      <c r="N79" s="124"/>
      <c r="O79" s="124"/>
      <c r="P79" s="14"/>
      <c r="Q79" s="1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</row>
    <row r="80" s="122" customFormat="1" spans="2:31">
      <c r="D80" s="124"/>
      <c r="E80" s="124"/>
      <c r="F80" s="124"/>
      <c r="G80" s="124"/>
      <c r="H80" s="124"/>
      <c r="I80" s="124"/>
      <c r="J80" s="130"/>
      <c r="K80" s="124"/>
      <c r="L80" s="124"/>
      <c r="M80" s="124"/>
      <c r="N80" s="124"/>
      <c r="O80" s="124"/>
      <c r="P80" s="14"/>
      <c r="Q80" s="1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</row>
    <row r="81" s="122" customFormat="1" spans="2:31">
      <c r="D81" s="138" t="s">
        <v>1686</v>
      </c>
      <c r="E81" s="139" t="s">
        <v>1706</v>
      </c>
      <c r="F81" s="124" t="s">
        <v>919</v>
      </c>
      <c r="G81" s="124" t="s">
        <v>917</v>
      </c>
      <c r="H81" s="124"/>
      <c r="I81" s="124"/>
      <c r="J81" s="130"/>
      <c r="K81" s="124"/>
      <c r="L81" s="124"/>
      <c r="M81" s="124"/>
      <c r="N81" s="124"/>
      <c r="O81" s="124"/>
      <c r="P81" s="14"/>
      <c r="Q81" s="1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</row>
    <row r="82" s="122" customFormat="1" spans="2:31">
      <c r="D82" s="140" t="s">
        <v>1737</v>
      </c>
      <c r="E82" s="141">
        <v>1</v>
      </c>
      <c r="F82" s="124">
        <v>1</v>
      </c>
      <c r="G82" s="124">
        <v>1</v>
      </c>
      <c r="H82" s="124"/>
      <c r="I82" s="124"/>
      <c r="J82" s="130"/>
      <c r="K82" s="124"/>
      <c r="L82" s="124"/>
      <c r="M82" s="124"/>
      <c r="N82" s="124"/>
      <c r="O82" s="124"/>
      <c r="P82" s="14"/>
      <c r="Q82" s="1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</row>
    <row r="83" s="122" customFormat="1" spans="2:31">
      <c r="D83" s="140" t="s">
        <v>1057</v>
      </c>
      <c r="E83" s="141">
        <v>1</v>
      </c>
      <c r="F83" s="124">
        <v>1</v>
      </c>
      <c r="G83" s="124">
        <v>2</v>
      </c>
      <c r="H83" s="124"/>
      <c r="I83" s="124"/>
      <c r="J83" s="130"/>
      <c r="K83" s="124"/>
      <c r="L83" s="124"/>
      <c r="M83" s="124"/>
      <c r="N83" s="124"/>
      <c r="O83" s="124"/>
      <c r="P83" s="14"/>
      <c r="Q83" s="1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</row>
    <row r="84" s="122" customFormat="1" spans="2:31">
      <c r="D84" s="140" t="s">
        <v>1738</v>
      </c>
      <c r="E84" s="141">
        <v>2</v>
      </c>
      <c r="F84" s="124">
        <v>0.1</v>
      </c>
      <c r="G84" s="124">
        <v>3</v>
      </c>
      <c r="H84" s="124"/>
      <c r="I84" s="124"/>
      <c r="J84" s="130"/>
      <c r="K84" s="124"/>
      <c r="L84" s="124"/>
      <c r="M84" s="124"/>
      <c r="N84" s="124"/>
      <c r="O84" s="124"/>
      <c r="P84" s="14"/>
      <c r="Q84" s="1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</row>
    <row r="85" s="122" customFormat="1" spans="2:31">
      <c r="D85" s="140" t="s">
        <v>1739</v>
      </c>
      <c r="E85" s="141">
        <v>0</v>
      </c>
      <c r="F85" s="124">
        <v>3</v>
      </c>
      <c r="G85" s="124">
        <v>3</v>
      </c>
      <c r="H85" s="124"/>
      <c r="I85" s="124"/>
      <c r="J85" s="130"/>
      <c r="K85" s="124"/>
      <c r="L85" s="124"/>
      <c r="M85" s="124"/>
      <c r="N85" s="124"/>
      <c r="O85" s="124"/>
      <c r="P85" s="14"/>
      <c r="Q85" s="1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</row>
    <row r="86" s="122" customFormat="1" spans="2:31">
      <c r="D86" s="140" t="s">
        <v>1740</v>
      </c>
      <c r="E86" s="141">
        <v>0</v>
      </c>
      <c r="F86" s="124">
        <v>10</v>
      </c>
      <c r="G86" s="124">
        <v>4</v>
      </c>
      <c r="H86" s="124"/>
      <c r="I86" s="124"/>
      <c r="J86" s="130"/>
      <c r="K86" s="124"/>
      <c r="L86" s="124"/>
      <c r="M86" s="124"/>
      <c r="N86" s="124"/>
      <c r="O86" s="124"/>
      <c r="P86" s="14"/>
      <c r="Q86" s="1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</row>
    <row r="87" s="122" customFormat="1" spans="2:31">
      <c r="D87" s="124"/>
      <c r="E87" s="124"/>
      <c r="F87" s="124"/>
      <c r="G87" s="124"/>
      <c r="H87" s="124"/>
      <c r="I87" s="124"/>
      <c r="J87" s="130"/>
      <c r="K87" s="124"/>
      <c r="L87" s="124"/>
      <c r="M87" s="124"/>
      <c r="N87" s="124"/>
      <c r="O87" s="124"/>
      <c r="P87" s="14"/>
      <c r="Q87" s="1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</row>
    <row r="88" s="122" customFormat="1" spans="2:31">
      <c r="D88" s="124"/>
      <c r="E88" s="124"/>
      <c r="F88" s="124"/>
      <c r="G88" s="124"/>
      <c r="H88" s="124"/>
      <c r="I88" s="124"/>
      <c r="J88" s="130"/>
      <c r="K88" s="124"/>
      <c r="L88" s="124"/>
      <c r="M88" s="124"/>
      <c r="N88" s="124"/>
      <c r="O88" s="124"/>
      <c r="P88" s="14"/>
      <c r="Q88" s="1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</row>
    <row r="89" s="122" customFormat="1" spans="2:31">
      <c r="B89" s="125"/>
      <c r="C89" s="125" t="s">
        <v>1741</v>
      </c>
      <c r="D89" s="124"/>
      <c r="E89" s="124"/>
      <c r="F89" s="124"/>
      <c r="G89" s="124"/>
      <c r="H89" s="124"/>
      <c r="I89" s="124"/>
      <c r="J89" s="130"/>
      <c r="K89" s="124"/>
      <c r="L89" s="124"/>
      <c r="M89" s="124"/>
      <c r="N89" s="124"/>
      <c r="O89" s="124"/>
      <c r="P89" s="14"/>
      <c r="Q89" s="1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</row>
    <row r="90" s="122" customFormat="1" spans="2:31">
      <c r="D90" s="124"/>
      <c r="E90" s="124"/>
      <c r="F90" s="124"/>
      <c r="G90" s="124"/>
      <c r="H90" s="124"/>
      <c r="I90" s="124"/>
      <c r="J90" s="130"/>
      <c r="K90" s="124"/>
      <c r="L90" s="124"/>
      <c r="M90" s="124"/>
      <c r="N90" s="124"/>
      <c r="O90" s="124"/>
      <c r="P90" s="14"/>
      <c r="Q90" s="1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</row>
    <row r="91" s="122" customFormat="1" spans="2:31">
      <c r="D91" s="14" t="s">
        <v>1742</v>
      </c>
      <c r="E91" s="14" t="s">
        <v>1743</v>
      </c>
      <c r="F91" s="124"/>
      <c r="G91" s="124"/>
      <c r="H91" s="124"/>
      <c r="I91" s="124"/>
      <c r="J91" s="130"/>
      <c r="K91" s="124"/>
      <c r="L91" s="124"/>
      <c r="M91" s="124"/>
      <c r="N91" s="124"/>
      <c r="O91" s="124"/>
      <c r="P91" s="14"/>
      <c r="Q91" s="1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</row>
    <row r="92" s="122" customFormat="1" spans="2:31">
      <c r="D92" s="14" t="s">
        <v>1744</v>
      </c>
      <c r="E92" s="14" t="s">
        <v>1745</v>
      </c>
      <c r="F92" s="124"/>
      <c r="G92" s="124"/>
      <c r="H92" s="124"/>
      <c r="I92" s="124"/>
      <c r="J92" s="130"/>
      <c r="K92" s="124"/>
      <c r="L92" s="124"/>
      <c r="M92" s="124"/>
      <c r="N92" s="124"/>
      <c r="O92" s="124"/>
      <c r="P92" s="14"/>
      <c r="Q92" s="1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</row>
    <row r="93" s="122" customFormat="1" spans="2:31">
      <c r="D93" s="14" t="s">
        <v>1746</v>
      </c>
      <c r="E93" s="14" t="s">
        <v>1747</v>
      </c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4"/>
      <c r="Q93" s="1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</row>
    <row r="94" s="122" customFormat="1" spans="2:31">
      <c r="D94" s="124"/>
      <c r="E94" s="124"/>
      <c r="F94" s="124"/>
      <c r="G94" s="124"/>
      <c r="H94" s="124"/>
      <c r="I94" s="124"/>
      <c r="J94" s="124">
        <f ca="1">SUM(J99:J110)</f>
        <v>20579</v>
      </c>
      <c r="K94" s="124"/>
      <c r="L94" s="124"/>
      <c r="M94" s="124"/>
      <c r="N94" s="124"/>
      <c r="O94" s="124"/>
      <c r="P94" s="124"/>
      <c r="Q94" s="1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</row>
    <row r="95" s="122" customFormat="1" spans="2:31">
      <c r="B95" s="125"/>
      <c r="C95" s="125" t="s">
        <v>1748</v>
      </c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</row>
    <row r="96" s="122" customFormat="1" spans="2:31">
      <c r="D96" s="127" t="s">
        <v>1749</v>
      </c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</row>
    <row r="97" s="122" customFormat="1" spans="4:31">
      <c r="D97" s="142" t="str">
        <f ca="1">OFFSET($D$396,$E$97,0)</f>
        <v>非R</v>
      </c>
      <c r="E97" s="142">
        <v>1</v>
      </c>
      <c r="F97" s="124"/>
      <c r="G97" s="124"/>
      <c r="H97" s="124">
        <f>_xlfn.XLOOKUP(H$98,[1]价值表!$D:$D,[1]价值表!$F:$F)</f>
        <v>30</v>
      </c>
      <c r="I97" s="124"/>
      <c r="J97" s="124">
        <f>_xlfn.XLOOKUP(J$98,[1]价值表!$D:$D,[1]价值表!$F:$F)</f>
        <v>1</v>
      </c>
      <c r="K97" s="124">
        <f>_xlfn.XLOOKUP(K$98,[1]价值表!$D:$D,[1]价值表!$F:$F)</f>
        <v>280</v>
      </c>
      <c r="L97" s="124">
        <f>_xlfn.XLOOKUP(L$98,[1]价值表!$D:$D,[1]价值表!$F:$F)</f>
        <v>30</v>
      </c>
      <c r="M97" s="124">
        <f>_xlfn.XLOOKUP(M$98,[1]价值表!$D:$D,[1]价值表!$F:$F)</f>
        <v>60</v>
      </c>
      <c r="N97" s="124">
        <f>_xlfn.XLOOKUP(N$98,[1]价值表!$D:$D,[1]价值表!$F:$F)</f>
        <v>1</v>
      </c>
      <c r="O97" s="124">
        <f>_xlfn.XLOOKUP(O$98,[1]价值表!$D:$D,[1]价值表!$F:$F)</f>
        <v>50</v>
      </c>
      <c r="P97" s="124">
        <f>_xlfn.XLOOKUP(P$98,[1]价值表!$D:$D,[1]价值表!$F:$F)</f>
        <v>5</v>
      </c>
      <c r="Q97" s="124">
        <f>_xlfn.XLOOKUP(Q$98,[1]价值表!$D:$D,[1]价值表!$F:$F)</f>
        <v>3</v>
      </c>
      <c r="R97" s="124">
        <f>_xlfn.XLOOKUP(R$98,[1]价值表!$D:$D,[1]价值表!$F:$F)</f>
        <v>2</v>
      </c>
      <c r="S97" s="124">
        <f>_xlfn.XLOOKUP(S$98,[1]价值表!$D:$D,[1]价值表!$F:$F)</f>
        <v>1</v>
      </c>
      <c r="T97" s="124">
        <f>_xlfn.XLOOKUP(T$98,[1]价值表!$D:$D,[1]价值表!$F:$F)</f>
        <v>0.05</v>
      </c>
      <c r="U97" s="124">
        <f>_xlfn.XLOOKUP(U$98,[1]价值表!$D:$D,[1]价值表!$F:$F)</f>
        <v>0.1</v>
      </c>
      <c r="V97" s="124">
        <f>_xlfn.XLOOKUP(V$98,[1]价值表!$D:$D,[1]价值表!$F:$F)</f>
        <v>0.33</v>
      </c>
      <c r="W97" s="124"/>
      <c r="X97" s="124"/>
      <c r="Y97" s="124"/>
      <c r="Z97" s="124"/>
      <c r="AA97" s="124"/>
      <c r="AB97" s="124"/>
      <c r="AC97" s="124"/>
      <c r="AD97" s="124"/>
      <c r="AE97" s="124"/>
    </row>
    <row r="98" s="122" customFormat="1" spans="4:31">
      <c r="D98" s="124" t="s">
        <v>1750</v>
      </c>
      <c r="E98" s="124" t="s">
        <v>1751</v>
      </c>
      <c r="F98" s="124" t="s">
        <v>1752</v>
      </c>
      <c r="G98" s="124" t="s">
        <v>1753</v>
      </c>
      <c r="H98" s="124" t="s">
        <v>310</v>
      </c>
      <c r="I98" s="124" t="s">
        <v>1754</v>
      </c>
      <c r="J98" s="124" t="s">
        <v>314</v>
      </c>
      <c r="K98" s="124" t="s">
        <v>926</v>
      </c>
      <c r="L98" s="124" t="s">
        <v>924</v>
      </c>
      <c r="M98" s="124" t="s">
        <v>265</v>
      </c>
      <c r="N98" s="124" t="s">
        <v>188</v>
      </c>
      <c r="O98" s="124" t="s">
        <v>925</v>
      </c>
      <c r="P98" s="124" t="s">
        <v>263</v>
      </c>
      <c r="Q98" s="124" t="s">
        <v>1755</v>
      </c>
      <c r="R98" s="124" t="s">
        <v>208</v>
      </c>
      <c r="S98" s="124" t="s">
        <v>209</v>
      </c>
      <c r="T98" s="124" t="s">
        <v>195</v>
      </c>
      <c r="U98" s="128" t="s">
        <v>245</v>
      </c>
      <c r="V98" s="124" t="s">
        <v>237</v>
      </c>
      <c r="W98" s="128" t="s">
        <v>1514</v>
      </c>
      <c r="X98" s="124"/>
      <c r="Y98" s="124"/>
      <c r="Z98" s="124"/>
      <c r="AA98" s="124"/>
      <c r="AB98" s="124"/>
      <c r="AC98" s="124"/>
      <c r="AD98" s="124"/>
      <c r="AE98" s="124"/>
    </row>
    <row r="99" s="122" customFormat="1" spans="4:31">
      <c r="D99" s="124" t="s">
        <v>1756</v>
      </c>
      <c r="E99" s="124" t="s">
        <v>1757</v>
      </c>
      <c r="F99" s="129" cm="1">
        <f ca="1" t="array" ref="F99">SUMPRODUCT(H99:V99,$H$97:$V$97)</f>
        <v>2295.9</v>
      </c>
      <c r="G99" s="128">
        <f ca="1" t="shared" ref="G99:G104" si="1">OFFSET($E$396,MATCH($D$97,$D$397:$D$400,0),MATCH($E99,$I$406:$P$406,0))</f>
        <v>25.51</v>
      </c>
      <c r="H99" s="124">
        <f ca="1">G99*3</f>
        <v>76.53</v>
      </c>
      <c r="I99" s="128"/>
      <c r="J99" s="128"/>
      <c r="K99" s="128"/>
      <c r="L99" s="128"/>
      <c r="M99" s="128"/>
      <c r="N99" s="128"/>
      <c r="O99" s="128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</row>
    <row r="100" s="122" customFormat="1" spans="4:31">
      <c r="D100" s="124"/>
      <c r="E100" s="124" t="s">
        <v>1758</v>
      </c>
      <c r="F100" s="129" cm="1">
        <f ca="1" t="array" ref="F100">SUMPRODUCT(H100:V100,$H$97:$V$97)</f>
        <v>0</v>
      </c>
      <c r="G100" s="128">
        <f ca="1" t="shared" si="1"/>
        <v>15.94</v>
      </c>
      <c r="H100" s="124"/>
      <c r="I100" s="143">
        <f ca="1" t="shared" ref="I100:V100" si="2">OFFSET($D$161,MATCH($E100,$D$165:$D$169,0),MATCH(I$98,$E$161:$R$161,0))*$G100</f>
        <v>0</v>
      </c>
      <c r="J100" s="143">
        <f ca="1" t="shared" si="2"/>
        <v>0</v>
      </c>
      <c r="K100" s="143">
        <f ca="1" t="shared" si="2"/>
        <v>0</v>
      </c>
      <c r="L100" s="143">
        <f ca="1" t="shared" si="2"/>
        <v>0</v>
      </c>
      <c r="M100" s="143">
        <f ca="1" t="shared" si="2"/>
        <v>0</v>
      </c>
      <c r="N100" s="143">
        <f ca="1" t="shared" si="2"/>
        <v>0</v>
      </c>
      <c r="O100" s="143">
        <f ca="1" t="shared" si="2"/>
        <v>0</v>
      </c>
      <c r="P100" s="143">
        <f ca="1" t="shared" si="2"/>
        <v>0</v>
      </c>
      <c r="Q100" s="143">
        <f ca="1" t="shared" si="2"/>
        <v>0</v>
      </c>
      <c r="R100" s="143">
        <f ca="1" t="shared" si="2"/>
        <v>0</v>
      </c>
      <c r="S100" s="143">
        <f ca="1" t="shared" si="2"/>
        <v>0</v>
      </c>
      <c r="T100" s="143">
        <f ca="1" t="shared" si="2"/>
        <v>0</v>
      </c>
      <c r="U100" s="143">
        <f ca="1" t="shared" si="2"/>
        <v>0</v>
      </c>
      <c r="V100" s="143">
        <f ca="1" t="shared" si="2"/>
        <v>0</v>
      </c>
      <c r="W100" s="124"/>
      <c r="X100" s="124"/>
      <c r="Y100" s="124"/>
      <c r="Z100" s="124"/>
      <c r="AA100" s="124"/>
      <c r="AB100" s="124"/>
      <c r="AC100" s="124"/>
      <c r="AD100" s="124"/>
      <c r="AE100" s="124"/>
    </row>
    <row r="101" s="122" customFormat="1" spans="4:31">
      <c r="D101" s="124"/>
      <c r="E101" s="124" t="s">
        <v>1759</v>
      </c>
      <c r="F101" s="129" cm="1">
        <f ca="1" t="array" ref="F101">SUMPRODUCT(H101:V101,$H$97:$V$97)</f>
        <v>9024.66</v>
      </c>
      <c r="G101" s="128">
        <f ca="1" t="shared" si="1"/>
        <v>49.86</v>
      </c>
      <c r="H101" s="124"/>
      <c r="I101" s="143">
        <f ca="1" t="shared" ref="I101:V101" si="3">OFFSET($D$161,MATCH($E101,$D$165:$D$169,0),MATCH(I$98,$E$161:$R$161,0))*$G101</f>
        <v>4986</v>
      </c>
      <c r="J101" s="143">
        <f ca="1" t="shared" si="3"/>
        <v>1246.5</v>
      </c>
      <c r="K101" s="143">
        <f ca="1" t="shared" si="3"/>
        <v>2.493</v>
      </c>
      <c r="L101" s="143">
        <f ca="1" t="shared" si="3"/>
        <v>87.255</v>
      </c>
      <c r="M101" s="143">
        <f ca="1" t="shared" si="3"/>
        <v>24.93</v>
      </c>
      <c r="N101" s="143">
        <f ca="1" t="shared" si="3"/>
        <v>0</v>
      </c>
      <c r="O101" s="143">
        <f ca="1" t="shared" si="3"/>
        <v>34.902</v>
      </c>
      <c r="P101" s="143">
        <f ca="1" t="shared" si="3"/>
        <v>0</v>
      </c>
      <c r="Q101" s="143">
        <f ca="1" t="shared" si="3"/>
        <v>0</v>
      </c>
      <c r="R101" s="143">
        <f ca="1" t="shared" si="3"/>
        <v>349.02</v>
      </c>
      <c r="S101" s="143">
        <f ca="1" t="shared" si="3"/>
        <v>523.53</v>
      </c>
      <c r="T101" s="143">
        <f ca="1" t="shared" si="3"/>
        <v>0</v>
      </c>
      <c r="U101" s="143">
        <f ca="1" t="shared" si="3"/>
        <v>0</v>
      </c>
      <c r="V101" s="143">
        <f ca="1" t="shared" si="3"/>
        <v>0</v>
      </c>
      <c r="W101" s="124"/>
      <c r="X101" s="124"/>
      <c r="Y101" s="124"/>
      <c r="Z101" s="124"/>
      <c r="AA101" s="124"/>
      <c r="AB101" s="124"/>
      <c r="AC101" s="124"/>
      <c r="AD101" s="124"/>
      <c r="AE101" s="124"/>
    </row>
    <row r="102" s="122" customFormat="1" spans="4:31">
      <c r="D102" s="124"/>
      <c r="E102" s="124" t="s">
        <v>1760</v>
      </c>
      <c r="F102" s="129" cm="1">
        <f ca="1" t="array" ref="F102">SUMPRODUCT(H102:V102,$H$97:$V$97)</f>
        <v>7929.5</v>
      </c>
      <c r="G102" s="128">
        <f ca="1" t="shared" si="1"/>
        <v>158.59</v>
      </c>
      <c r="H102" s="124"/>
      <c r="I102" s="143">
        <f ca="1" t="shared" ref="I102:V102" si="4">OFFSET($D$161,MATCH($E102,$D$165:$D$169,0),MATCH(I$98,$E$161:$R$161,0))*$G102</f>
        <v>15859</v>
      </c>
      <c r="J102" s="143">
        <f ca="1" t="shared" si="4"/>
        <v>7929.5</v>
      </c>
      <c r="K102" s="143">
        <f ca="1" t="shared" si="4"/>
        <v>0</v>
      </c>
      <c r="L102" s="143">
        <f ca="1" t="shared" si="4"/>
        <v>0</v>
      </c>
      <c r="M102" s="143">
        <f ca="1" t="shared" si="4"/>
        <v>0</v>
      </c>
      <c r="N102" s="143">
        <f ca="1" t="shared" si="4"/>
        <v>0</v>
      </c>
      <c r="O102" s="143">
        <f ca="1" t="shared" si="4"/>
        <v>0</v>
      </c>
      <c r="P102" s="143">
        <f ca="1" t="shared" si="4"/>
        <v>0</v>
      </c>
      <c r="Q102" s="143">
        <f ca="1" t="shared" si="4"/>
        <v>0</v>
      </c>
      <c r="R102" s="143">
        <f ca="1" t="shared" si="4"/>
        <v>0</v>
      </c>
      <c r="S102" s="143">
        <f ca="1" t="shared" si="4"/>
        <v>0</v>
      </c>
      <c r="T102" s="143">
        <f ca="1" t="shared" si="4"/>
        <v>0</v>
      </c>
      <c r="U102" s="143">
        <f ca="1" t="shared" si="4"/>
        <v>0</v>
      </c>
      <c r="V102" s="143">
        <f ca="1" t="shared" si="4"/>
        <v>0</v>
      </c>
      <c r="W102" s="124"/>
      <c r="X102" s="124"/>
      <c r="Y102" s="124"/>
      <c r="Z102" s="124"/>
      <c r="AA102" s="124"/>
      <c r="AB102" s="124"/>
      <c r="AC102" s="124"/>
      <c r="AD102" s="124"/>
      <c r="AE102" s="124"/>
    </row>
    <row r="103" s="122" customFormat="1" spans="4:31">
      <c r="D103" s="124"/>
      <c r="E103" s="124" t="s">
        <v>1761</v>
      </c>
      <c r="F103" s="129" cm="1">
        <f ca="1" t="array" ref="F103">SUMPRODUCT(H103:V103,$H$97:$V$97)</f>
        <v>22965.645</v>
      </c>
      <c r="G103" s="128">
        <f ca="1" t="shared" si="1"/>
        <v>65.71</v>
      </c>
      <c r="H103" s="124"/>
      <c r="I103" s="143">
        <f ca="1" t="shared" ref="I103:V103" si="5">OFFSET($D$161,MATCH($E103,$D$165:$D$169,0),MATCH(I$98,$E$161:$R$161,0))*$G103</f>
        <v>0</v>
      </c>
      <c r="J103" s="143">
        <f ca="1" t="shared" si="5"/>
        <v>6571</v>
      </c>
      <c r="K103" s="143">
        <f ca="1" t="shared" si="5"/>
        <v>0</v>
      </c>
      <c r="L103" s="143">
        <f ca="1" t="shared" si="5"/>
        <v>0</v>
      </c>
      <c r="M103" s="143">
        <f ca="1" t="shared" si="5"/>
        <v>131.42</v>
      </c>
      <c r="N103" s="143">
        <f ca="1" t="shared" si="5"/>
        <v>6571</v>
      </c>
      <c r="O103" s="143">
        <f ca="1" t="shared" si="5"/>
        <v>0</v>
      </c>
      <c r="P103" s="143">
        <f ca="1" t="shared" si="5"/>
        <v>0</v>
      </c>
      <c r="Q103" s="143">
        <f ca="1" t="shared" si="5"/>
        <v>164.275</v>
      </c>
      <c r="R103" s="143">
        <f ca="1" t="shared" si="5"/>
        <v>0</v>
      </c>
      <c r="S103" s="143">
        <f ca="1" t="shared" si="5"/>
        <v>492.825</v>
      </c>
      <c r="T103" s="143">
        <f ca="1" t="shared" si="5"/>
        <v>8213.75</v>
      </c>
      <c r="U103" s="143">
        <f ca="1" t="shared" si="5"/>
        <v>0</v>
      </c>
      <c r="V103" s="143">
        <f ca="1" t="shared" si="5"/>
        <v>1642.75</v>
      </c>
      <c r="W103" s="124"/>
      <c r="X103" s="124"/>
      <c r="Y103" s="124"/>
      <c r="Z103" s="124"/>
      <c r="AA103" s="124"/>
      <c r="AB103" s="124"/>
      <c r="AC103" s="124"/>
      <c r="AD103" s="124"/>
      <c r="AE103" s="124"/>
    </row>
    <row r="104" s="122" customFormat="1" spans="4:31">
      <c r="D104" s="124"/>
      <c r="E104" s="124" t="s">
        <v>1762</v>
      </c>
      <c r="F104" s="129" cm="1">
        <f ca="1" t="array" ref="F104">SUMPRODUCT(H104:V104,$H$97:$V$97)</f>
        <v>2662.4</v>
      </c>
      <c r="G104" s="128">
        <f ca="1" t="shared" si="1"/>
        <v>8.32</v>
      </c>
      <c r="H104" s="124"/>
      <c r="I104" s="143"/>
      <c r="J104" s="143">
        <f ca="1">$F$163*OFFSET($J$406,OFFSET($E$396,$E$97,0),0)</f>
        <v>832</v>
      </c>
      <c r="K104" s="143"/>
      <c r="L104" s="143"/>
      <c r="M104" s="143">
        <f ca="1">$I$163*OFFSET($J$406,OFFSET($E$396,$E$97,0),0)</f>
        <v>16.64</v>
      </c>
      <c r="N104" s="143">
        <f ca="1">$J$163*OFFSET($J$406,OFFSET($E$396,$E$97,0),0)</f>
        <v>832</v>
      </c>
      <c r="O104" s="143"/>
      <c r="P104" s="143"/>
      <c r="Q104" s="143"/>
      <c r="R104" s="143"/>
      <c r="S104" s="143"/>
      <c r="T104" s="143"/>
      <c r="U104" s="143"/>
      <c r="V104" s="143"/>
      <c r="W104" s="124"/>
      <c r="X104" s="124"/>
      <c r="Y104" s="124"/>
      <c r="Z104" s="124"/>
      <c r="AA104" s="124"/>
      <c r="AB104" s="124"/>
      <c r="AC104" s="124"/>
      <c r="AD104" s="124"/>
      <c r="AE104" s="124"/>
    </row>
    <row r="105" s="122" customFormat="1" spans="4:31">
      <c r="D105" s="124"/>
      <c r="E105" s="124" t="s">
        <v>312</v>
      </c>
      <c r="F105" s="129" cm="1">
        <f t="array" ref="F105">SUMPRODUCT(H105:V105,$H$97:$V$97)</f>
        <v>0</v>
      </c>
      <c r="G105" s="128"/>
      <c r="H105" s="124"/>
      <c r="I105" s="128"/>
      <c r="J105" s="128"/>
      <c r="K105" s="128"/>
      <c r="L105" s="128"/>
      <c r="M105" s="128"/>
      <c r="N105" s="128"/>
      <c r="O105" s="128"/>
      <c r="P105" s="124"/>
      <c r="Q105" s="124"/>
      <c r="R105" s="124"/>
      <c r="S105" s="14"/>
      <c r="T105" s="14"/>
      <c r="U105" s="1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</row>
    <row r="106" s="122" customFormat="1" spans="4:31">
      <c r="D106" s="124" t="s">
        <v>1763</v>
      </c>
      <c r="E106" s="124" t="s">
        <v>1764</v>
      </c>
      <c r="F106" s="129" cm="1">
        <f t="array" ref="F106">SUMPRODUCT(H106:V106,$H$97:$V$97)</f>
        <v>1560</v>
      </c>
      <c r="G106" s="128"/>
      <c r="H106" s="124">
        <f>I250</f>
        <v>52</v>
      </c>
      <c r="I106" s="128"/>
      <c r="J106" s="128"/>
      <c r="K106" s="128"/>
      <c r="L106" s="128"/>
      <c r="M106" s="128"/>
      <c r="N106" s="128"/>
      <c r="O106" s="128"/>
      <c r="P106" s="124"/>
      <c r="Q106" s="124"/>
      <c r="R106" s="124"/>
      <c r="S106" s="14"/>
      <c r="T106" s="14"/>
      <c r="U106" s="1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</row>
    <row r="107" s="122" customFormat="1" spans="4:31">
      <c r="D107" s="124"/>
      <c r="E107" s="124" t="s">
        <v>1414</v>
      </c>
      <c r="F107" s="129" cm="1">
        <f t="array" ref="F107">SUMPRODUCT(H107:V107,$H$97:$V$97)</f>
        <v>0</v>
      </c>
      <c r="G107" s="128"/>
      <c r="H107" s="124"/>
      <c r="I107" s="128"/>
      <c r="J107" s="128"/>
      <c r="K107" s="128"/>
      <c r="L107" s="128"/>
      <c r="M107" s="128"/>
      <c r="N107" s="128"/>
      <c r="O107" s="128"/>
      <c r="P107" s="124"/>
      <c r="Q107" s="124"/>
      <c r="R107" s="124"/>
      <c r="S107" s="14"/>
      <c r="T107" s="14"/>
      <c r="U107" s="1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</row>
    <row r="108" s="122" customFormat="1" spans="4:31">
      <c r="D108" s="124"/>
      <c r="E108" s="124" t="s">
        <v>1765</v>
      </c>
      <c r="F108" s="129" cm="1">
        <f ca="1" t="array" ref="F108">SUMPRODUCT(H108:V108,$H$97:$V$97)</f>
        <v>4660</v>
      </c>
      <c r="G108" s="128"/>
      <c r="H108" s="124">
        <f ca="1">SUMIF($D$210:$D$241,"&lt;="&amp;OFFSET($E$396,$E$97,0),$F$210:$F$241)</f>
        <v>22</v>
      </c>
      <c r="I108" s="128"/>
      <c r="J108" s="128">
        <f ca="1">SUMIF($D$210:$D$241,"&lt;="&amp;OFFSET($E$396,$E$97,0),$H$210:$H$241)</f>
        <v>4000</v>
      </c>
      <c r="K108" s="128"/>
      <c r="L108" s="128"/>
      <c r="M108" s="128"/>
      <c r="N108" s="128"/>
      <c r="O108" s="128"/>
      <c r="P108" s="124"/>
      <c r="Q108" s="124"/>
      <c r="R108" s="124"/>
      <c r="S108" s="14"/>
      <c r="T108" s="14"/>
      <c r="U108" s="1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</row>
    <row r="109" s="122" customFormat="1" spans="4:31">
      <c r="D109" s="124"/>
      <c r="E109" s="124" t="s">
        <v>1766</v>
      </c>
      <c r="F109" s="129" cm="1">
        <f t="array" ref="F109">SUMPRODUCT(H109:V109,$H$97:$V$97)</f>
        <v>1070</v>
      </c>
      <c r="G109" s="128"/>
      <c r="H109" s="124" cm="1">
        <f t="array" ref="H109">SUMPRODUCT(--($E$56:$E$70=H$98),$F$56:$F$70)+IF($E$97&gt;=$K$37,SUMPRODUCT(--($G$56:$G$70=H$98),$H$56:$H$70)+SUMPRODUCT(--($I$56:$I$70=H$98),$J$56:$J$70))</f>
        <v>8</v>
      </c>
      <c r="I109" s="124" cm="1">
        <f t="array" ref="I109">SUMPRODUCT(--($E$56:$E$70=I$98),$F$56:$F$70)+IF($E$97&gt;=$K$37,SUMPRODUCT(--($G$56:$G$70=I$98),$H$56:$H$70)+SUMPRODUCT(--($I$56:$I$70=I$98),$J$56:$J$70))</f>
        <v>0</v>
      </c>
      <c r="J109" s="124" cm="1">
        <f t="array" ref="J109">SUMPRODUCT(--($E$56:$E$70=J$98),$F$56:$F$70)+IF($E$97&gt;=$K$37,SUMPRODUCT(--($G$56:$G$70=J$98),$H$56:$H$70)+SUMPRODUCT(--($I$56:$I$70=J$98),$J$56:$J$70))</f>
        <v>0</v>
      </c>
      <c r="K109" s="124" cm="1">
        <f t="array" ref="K109">SUMPRODUCT(--($E$56:$E$70=K$98),$F$56:$F$70)+IF($E$97&gt;=$K$37,SUMPRODUCT(--($G$56:$G$70=K$98),$H$56:$H$70)+SUMPRODUCT(--($I$56:$I$70=K$98),$J$56:$J$70))</f>
        <v>0</v>
      </c>
      <c r="L109" s="124" cm="1">
        <f t="array" ref="L109">SUMPRODUCT(--($E$56:$E$70=L$98),$F$56:$F$70)+IF($E$97&gt;=$K$37,SUMPRODUCT(--($G$56:$G$70=L$98),$H$56:$H$70)+SUMPRODUCT(--($I$56:$I$70=L$98),$J$56:$J$70))</f>
        <v>6</v>
      </c>
      <c r="M109" s="124" cm="1">
        <f t="array" ref="M109">SUMPRODUCT(--($E$56:$E$70=M$98),$F$56:$F$70)+IF($E$97&gt;=$K$37,SUMPRODUCT(--($G$56:$G$70=M$98),$H$56:$H$70)+SUMPRODUCT(--($I$56:$I$70=M$98),$J$56:$J$70))</f>
        <v>0</v>
      </c>
      <c r="N109" s="124" cm="1">
        <f t="array" ref="N109">SUMPRODUCT(--($E$56:$E$70=N$98),$F$56:$F$70)+IF($E$97&gt;=$K$37,SUMPRODUCT(--($G$56:$G$70=N$98),$H$56:$H$70)+SUMPRODUCT(--($I$56:$I$70=N$98),$J$56:$J$70))</f>
        <v>0</v>
      </c>
      <c r="O109" s="124" cm="1">
        <f t="array" ref="O109">SUMPRODUCT(--($E$56:$E$70=O$98),$F$56:$F$70)+IF($E$97&gt;=$K$37,SUMPRODUCT(--($G$56:$G$70=O$98),$H$56:$H$70)+SUMPRODUCT(--($I$56:$I$70=O$98),$J$56:$J$70))</f>
        <v>9</v>
      </c>
      <c r="P109" s="124" cm="1">
        <f t="array" ref="P109">SUMPRODUCT(--($E$56:$E$70=P$98),$F$56:$F$70)+IF($E$97&gt;=$K$37,SUMPRODUCT(--($G$56:$G$70=P$98),$H$56:$H$70)+SUMPRODUCT(--($I$56:$I$70=P$98),$J$56:$J$70))</f>
        <v>40</v>
      </c>
      <c r="Q109" s="124" cm="1">
        <f t="array" ref="Q109">SUMPRODUCT(--($E$56:$E$70=Q$98),$F$56:$F$70)+IF($E$97&gt;=$K$37,SUMPRODUCT(--($G$56:$G$70=Q$98),$H$56:$H$70)+SUMPRODUCT(--($I$56:$I$70=Q$98),$J$56:$J$70))</f>
        <v>0</v>
      </c>
      <c r="R109" s="124" cm="1">
        <f t="array" ref="R109">SUMPRODUCT(--($E$56:$E$70=R$98),$F$56:$F$70)+IF($E$97&gt;=$K$37,SUMPRODUCT(--($G$56:$G$70=R$98),$H$56:$H$70)+SUMPRODUCT(--($I$56:$I$70=R$98),$J$56:$J$70))</f>
        <v>0</v>
      </c>
      <c r="S109" s="124" cm="1">
        <f t="array" ref="S109">SUMPRODUCT(--($E$56:$E$70=S$98),$F$56:$F$70)+IF($E$97&gt;=$K$37,SUMPRODUCT(--($G$56:$G$70=S$98),$H$56:$H$70)+SUMPRODUCT(--($I$56:$I$70=S$98),$J$56:$J$70))</f>
        <v>0</v>
      </c>
      <c r="T109" s="124" cm="1">
        <f t="array" ref="T109">SUMPRODUCT(--($E$56:$E$70=T$98),$F$56:$F$70)+IF($E$97&gt;=$K$37,SUMPRODUCT(--($G$56:$G$70=T$98),$H$56:$H$70)+SUMPRODUCT(--($I$56:$I$70=T$98),$J$56:$J$70))</f>
        <v>0</v>
      </c>
      <c r="U109" s="124" cm="1">
        <f t="array" ref="U109">SUMPRODUCT(--($E$56:$E$70=U$98),$F$56:$F$70)+IF($E$97&gt;=$K$37,SUMPRODUCT(--($G$56:$G$70=U$98),$H$56:$H$70)+SUMPRODUCT(--($I$56:$I$70=U$98),$J$56:$J$70))</f>
        <v>0</v>
      </c>
      <c r="V109" s="124" cm="1">
        <f t="array" ref="V109">SUMPRODUCT(--($E$56:$E$70=V$98),$F$56:$F$70)+IF($E$97&gt;=$K$37,SUMPRODUCT(--($G$56:$G$70=V$98),$H$56:$H$70)+SUMPRODUCT(--($I$56:$I$70=V$98),$J$56:$J$70))</f>
        <v>0</v>
      </c>
      <c r="W109" s="124"/>
      <c r="X109" s="124"/>
      <c r="Y109" s="124"/>
      <c r="Z109" s="124"/>
      <c r="AA109" s="124"/>
      <c r="AB109" s="124"/>
      <c r="AC109" s="124"/>
      <c r="AD109" s="124"/>
      <c r="AE109" s="124"/>
    </row>
    <row r="110" s="122" customFormat="1" spans="4:31">
      <c r="D110" s="124"/>
      <c r="E110" s="124" t="s">
        <v>1582</v>
      </c>
      <c r="F110" s="129" cm="1">
        <f ca="1" t="array" ref="F110">SUMPRODUCT(H110:V110,$H$97:$V$97)</f>
        <v>3100</v>
      </c>
      <c r="G110" s="128"/>
      <c r="H110" s="124"/>
      <c r="I110" s="128"/>
      <c r="J110" s="128"/>
      <c r="K110" s="128">
        <f ca="1">OFFSET($K$280,_xlfn.XLOOKUP($D$97,$D$274:$D$278,$G$274:$G$278),0)</f>
        <v>2</v>
      </c>
      <c r="L110" s="128">
        <f ca="1">OFFSET($M$292,_xlfn.XLOOKUP($D$97,$D$274:$D$278,$H$274:$H$278),0)</f>
        <v>10</v>
      </c>
      <c r="M110" s="128"/>
      <c r="N110" s="128">
        <f ca="1">IF(OFFSET($H$280,_xlfn.XLOOKUP($D$97,$D$274:$D$278,$G$274:$G$278),0)="钻石",OFFSET($I$280,_xlfn.XLOOKUP($D$97,$D$274:$D$278,$G$274:$G$278),0),0)</f>
        <v>400</v>
      </c>
      <c r="O110" s="128"/>
      <c r="P110" s="124"/>
      <c r="Q110" s="124">
        <f ca="1">OFFSET($O$280,_xlfn.XLOOKUP($D$97,$D$274:$D$278,$G$274:$G$278),0)</f>
        <v>400</v>
      </c>
      <c r="R110" s="124"/>
      <c r="S110" s="78">
        <f ca="1">OFFSET($M$280,_xlfn.XLOOKUP($D$97,$D$274:$D$278,$G$274:$G$278),0)+OFFSET($Q$292,_xlfn.XLOOKUP($D$97,$D$274:$D$278,$H$274:$H$278),0)</f>
        <v>640</v>
      </c>
      <c r="T110" s="14"/>
      <c r="U110" s="14"/>
      <c r="V110" s="124"/>
      <c r="W110" s="124">
        <f ca="1">IF(OFFSET($H$280,_xlfn.XLOOKUP($D$97,$D$274:$D$278,$G$274:$G$278),0)="星珀",OFFSET($I$280,_xlfn.XLOOKUP($D$97,$D$274:$D$278,$G$274:$G$278),0),0)</f>
        <v>0</v>
      </c>
      <c r="X110" s="124"/>
      <c r="Y110" s="124"/>
      <c r="Z110" s="124"/>
      <c r="AA110" s="124"/>
      <c r="AB110" s="124"/>
      <c r="AC110" s="124"/>
      <c r="AD110" s="124"/>
      <c r="AE110" s="124"/>
    </row>
    <row r="111" s="122" customFormat="1" spans="4:31"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4"/>
      <c r="O111" s="124"/>
      <c r="P111" s="124"/>
      <c r="Q111" s="124"/>
      <c r="R111" s="14"/>
      <c r="S111" s="14"/>
      <c r="T111" s="1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</row>
    <row r="112" s="122" customFormat="1" spans="4:31"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4"/>
      <c r="O112" s="14"/>
      <c r="P112" s="14"/>
      <c r="Q112" s="14"/>
      <c r="R112" s="14"/>
      <c r="S112" s="14"/>
      <c r="T112" s="1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</row>
    <row r="113" s="122" customFormat="1" spans="2:31">
      <c r="B113" s="125"/>
      <c r="C113" s="125" t="s">
        <v>1767</v>
      </c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4"/>
      <c r="O113" s="124"/>
      <c r="P113" s="14"/>
      <c r="Q113" s="14"/>
      <c r="R113" s="14"/>
      <c r="S113" s="14"/>
      <c r="T113" s="1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</row>
    <row r="114" s="122" customFormat="1" spans="2:31">
      <c r="B114" s="124"/>
      <c r="C114" s="124"/>
      <c r="D114" s="78" t="s">
        <v>1768</v>
      </c>
      <c r="E114" s="14" t="s">
        <v>1769</v>
      </c>
      <c r="F114" s="14"/>
      <c r="G114" s="14"/>
      <c r="H114" s="124"/>
      <c r="I114" s="124"/>
      <c r="J114" s="124"/>
      <c r="K114" s="124"/>
      <c r="L114" s="124"/>
      <c r="M114" s="124"/>
      <c r="N114" s="14"/>
      <c r="O114" s="124"/>
      <c r="P114" s="14"/>
      <c r="Q114" s="14"/>
      <c r="R114" s="14"/>
      <c r="S114" s="14"/>
      <c r="T114" s="1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</row>
    <row r="115" s="122" customFormat="1" spans="2:31">
      <c r="B115" s="124"/>
      <c r="C115" s="124"/>
      <c r="D115" s="78"/>
      <c r="E115" s="14" t="s">
        <v>1770</v>
      </c>
      <c r="F115" s="14" t="s">
        <v>1771</v>
      </c>
      <c r="G115" s="14"/>
      <c r="H115" s="124"/>
      <c r="I115" s="124"/>
      <c r="J115" s="124"/>
      <c r="K115" s="124"/>
      <c r="L115" s="124"/>
      <c r="M115" s="124"/>
      <c r="N115" s="14"/>
      <c r="O115" s="124"/>
      <c r="P115" s="14"/>
      <c r="Q115" s="14"/>
      <c r="R115" s="14"/>
      <c r="S115" s="14"/>
      <c r="T115" s="1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</row>
    <row r="116" s="122" customFormat="1" spans="2:31">
      <c r="B116" s="124"/>
      <c r="C116" s="124"/>
      <c r="D116" s="78"/>
      <c r="E116" s="14" t="s">
        <v>1772</v>
      </c>
      <c r="F116" s="14" t="s">
        <v>1773</v>
      </c>
      <c r="G116" s="14"/>
      <c r="H116" s="124"/>
      <c r="I116" s="124"/>
      <c r="J116" s="124"/>
      <c r="K116" s="124"/>
      <c r="L116" s="124"/>
      <c r="M116" s="124"/>
      <c r="N116" s="14"/>
      <c r="O116" s="124"/>
      <c r="P116" s="14"/>
      <c r="Q116" s="14"/>
      <c r="R116" s="14"/>
      <c r="S116" s="14"/>
      <c r="T116" s="1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</row>
    <row r="117" s="122" customFormat="1" spans="2:31">
      <c r="B117" s="124"/>
      <c r="C117" s="124"/>
      <c r="D117" s="78"/>
      <c r="E117" s="14"/>
      <c r="F117" s="14" t="s">
        <v>1774</v>
      </c>
      <c r="G117" s="14"/>
      <c r="H117" s="124"/>
      <c r="I117" s="124"/>
      <c r="J117" s="124"/>
      <c r="K117" s="124"/>
      <c r="L117" s="124"/>
      <c r="M117" s="124"/>
      <c r="N117" s="14"/>
      <c r="O117" s="124"/>
      <c r="P117" s="14"/>
      <c r="Q117" s="14"/>
      <c r="R117" s="14"/>
      <c r="S117" s="14"/>
      <c r="T117" s="1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</row>
    <row r="118" s="122" customFormat="1" spans="2:31">
      <c r="B118" s="124"/>
      <c r="C118" s="124"/>
      <c r="D118" s="78"/>
      <c r="E118" s="14" t="s">
        <v>1775</v>
      </c>
      <c r="F118" s="14" t="s">
        <v>1776</v>
      </c>
      <c r="G118" s="14" t="s">
        <v>1777</v>
      </c>
      <c r="H118" s="124"/>
      <c r="I118" s="124"/>
      <c r="J118" s="124"/>
      <c r="K118" s="124"/>
      <c r="L118" s="124"/>
      <c r="M118" s="124"/>
      <c r="N118" s="14"/>
      <c r="O118" s="124"/>
      <c r="P118" s="14"/>
      <c r="Q118" s="14"/>
      <c r="R118" s="14"/>
      <c r="S118" s="14"/>
      <c r="T118" s="1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</row>
    <row r="119" s="122" customFormat="1" spans="2:31">
      <c r="B119" s="124"/>
      <c r="C119" s="124"/>
      <c r="D119" s="78"/>
      <c r="E119" s="14"/>
      <c r="F119" s="14" t="s">
        <v>1778</v>
      </c>
      <c r="G119" s="14" t="s">
        <v>1779</v>
      </c>
      <c r="H119" s="124"/>
      <c r="I119" s="124"/>
      <c r="J119" s="124"/>
      <c r="K119" s="124"/>
      <c r="L119" s="124"/>
      <c r="M119" s="124"/>
      <c r="N119" s="14"/>
      <c r="O119" s="14"/>
      <c r="P119" s="14"/>
      <c r="Q119" s="14"/>
      <c r="R119" s="14"/>
      <c r="S119" s="14"/>
      <c r="T119" s="1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</row>
    <row r="120" s="122" customFormat="1" spans="2:31">
      <c r="B120" s="124"/>
      <c r="C120" s="124"/>
      <c r="D120" s="78"/>
      <c r="E120" s="14" t="s">
        <v>1780</v>
      </c>
      <c r="F120" s="14" t="s">
        <v>1781</v>
      </c>
      <c r="G120" s="14"/>
      <c r="H120" s="124"/>
      <c r="I120" s="124"/>
      <c r="J120" s="124"/>
      <c r="K120" s="124"/>
      <c r="L120" s="124"/>
      <c r="M120" s="124"/>
      <c r="N120" s="14"/>
      <c r="O120" s="124"/>
      <c r="P120" s="124"/>
      <c r="Q120" s="124"/>
      <c r="R120" s="124"/>
      <c r="S120" s="14"/>
      <c r="T120" s="1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</row>
    <row r="121" s="122" customFormat="1" spans="2:31">
      <c r="D121" s="78"/>
      <c r="E121" s="14" t="s">
        <v>1782</v>
      </c>
      <c r="F121" s="14" t="s">
        <v>1771</v>
      </c>
      <c r="G121" s="14"/>
      <c r="H121" s="124"/>
      <c r="I121" s="124"/>
      <c r="J121" s="124"/>
      <c r="K121" s="124"/>
      <c r="L121" s="124"/>
      <c r="M121" s="124"/>
      <c r="N121" s="14"/>
      <c r="O121" s="124"/>
      <c r="P121" s="124"/>
      <c r="Q121" s="124"/>
      <c r="R121" s="124"/>
      <c r="S121" s="14"/>
      <c r="T121" s="1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</row>
    <row r="122" s="122" customFormat="1" spans="2:31">
      <c r="D122" s="78"/>
      <c r="E122" s="14" t="s">
        <v>1783</v>
      </c>
      <c r="F122" s="14" t="s">
        <v>1784</v>
      </c>
      <c r="G122" s="14"/>
      <c r="H122" s="124"/>
      <c r="I122" s="124"/>
      <c r="J122" s="124"/>
      <c r="K122" s="124"/>
      <c r="L122" s="124"/>
      <c r="M122" s="124"/>
      <c r="N122" s="14"/>
      <c r="O122" s="124"/>
      <c r="P122" s="124"/>
      <c r="Q122" s="124"/>
      <c r="R122" s="124"/>
      <c r="S122" s="14"/>
      <c r="T122" s="1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</row>
    <row r="123" s="122" customFormat="1" spans="2:31">
      <c r="D123" s="78"/>
      <c r="E123" s="14"/>
      <c r="F123" s="14" t="s">
        <v>1785</v>
      </c>
      <c r="G123" s="14"/>
      <c r="H123" s="124"/>
      <c r="I123" s="124"/>
      <c r="J123" s="124"/>
      <c r="K123" s="124"/>
      <c r="L123" s="124"/>
      <c r="M123" s="124"/>
      <c r="N123" s="14"/>
      <c r="O123" s="124"/>
      <c r="P123" s="124"/>
      <c r="Q123" s="124"/>
      <c r="R123" s="124"/>
      <c r="S123" s="14"/>
      <c r="T123" s="1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</row>
    <row r="124" s="122" customFormat="1" spans="2:31"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4"/>
      <c r="O124" s="124"/>
      <c r="P124" s="124"/>
      <c r="Q124" s="124"/>
      <c r="R124" s="124"/>
      <c r="S124" s="14"/>
      <c r="T124" s="1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</row>
    <row r="125" s="122" customFormat="1" spans="2:31">
      <c r="D125" s="78" t="s">
        <v>1367</v>
      </c>
      <c r="E125" s="14" t="s">
        <v>1423</v>
      </c>
      <c r="F125" s="14" t="s">
        <v>1786</v>
      </c>
      <c r="G125" s="14"/>
      <c r="H125" s="124"/>
      <c r="I125" s="124"/>
      <c r="J125" s="124"/>
      <c r="K125" s="124"/>
      <c r="L125" s="124"/>
      <c r="M125" s="124"/>
      <c r="N125" s="14"/>
      <c r="O125" s="124"/>
      <c r="P125" s="124"/>
      <c r="Q125" s="124"/>
      <c r="R125" s="124"/>
      <c r="S125" s="14"/>
      <c r="T125" s="1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</row>
    <row r="126" s="122" customFormat="1" spans="2:31">
      <c r="D126" s="78"/>
      <c r="E126" s="14"/>
      <c r="F126" s="14" t="s">
        <v>1787</v>
      </c>
      <c r="G126" s="14"/>
      <c r="H126" s="124"/>
      <c r="I126" s="124"/>
      <c r="J126" s="124"/>
      <c r="K126" s="124"/>
      <c r="L126" s="124"/>
      <c r="M126" s="124"/>
      <c r="N126" s="14"/>
      <c r="O126" s="124"/>
      <c r="P126" s="124"/>
      <c r="Q126" s="124"/>
      <c r="R126" s="124"/>
      <c r="S126" s="14"/>
      <c r="T126" s="1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</row>
    <row r="127" s="122" customFormat="1" spans="2:31">
      <c r="D127" s="78"/>
      <c r="E127" s="14" t="s">
        <v>1788</v>
      </c>
      <c r="F127" s="14" t="s">
        <v>1789</v>
      </c>
      <c r="G127" s="14"/>
      <c r="H127" s="124"/>
      <c r="I127" s="124"/>
      <c r="J127" s="124"/>
      <c r="K127" s="124"/>
      <c r="L127" s="124"/>
      <c r="M127" s="124"/>
      <c r="N127" s="14"/>
      <c r="O127" s="124"/>
      <c r="P127" s="124"/>
      <c r="Q127" s="144"/>
      <c r="R127" s="124"/>
      <c r="S127" s="14"/>
      <c r="T127" s="1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</row>
    <row r="128" s="122" customFormat="1" spans="2:31">
      <c r="D128" s="78"/>
      <c r="E128" s="14"/>
      <c r="F128" s="14"/>
      <c r="G128" s="14"/>
      <c r="H128" s="124"/>
      <c r="I128" s="124"/>
      <c r="J128" s="124"/>
      <c r="K128" s="124"/>
      <c r="L128" s="124"/>
      <c r="M128" s="124"/>
      <c r="N128" s="14"/>
      <c r="O128" s="124"/>
      <c r="P128" s="124"/>
      <c r="Q128" s="144"/>
      <c r="R128" s="124"/>
      <c r="S128" s="14"/>
      <c r="T128" s="1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</row>
    <row r="129" s="122" customFormat="1" spans="4:31">
      <c r="D129" s="78" t="s">
        <v>1790</v>
      </c>
      <c r="E129" s="78">
        <f>[1]价值表!F95</f>
        <v>1</v>
      </c>
      <c r="F129" s="14"/>
      <c r="G129" s="14"/>
      <c r="H129" s="124"/>
      <c r="I129" s="124"/>
      <c r="J129" s="124"/>
      <c r="K129" s="124"/>
      <c r="L129" s="124"/>
      <c r="M129" s="124"/>
      <c r="N129" s="14"/>
      <c r="O129" s="124"/>
      <c r="P129" s="124"/>
      <c r="Q129" s="144"/>
      <c r="R129" s="124"/>
      <c r="S129" s="14"/>
      <c r="T129" s="1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</row>
    <row r="130" s="122" customFormat="1" spans="4:31">
      <c r="D130" s="124" t="s">
        <v>1688</v>
      </c>
      <c r="E130" s="78">
        <f>E20</f>
        <v>30</v>
      </c>
      <c r="F130" s="14"/>
      <c r="G130" s="14"/>
      <c r="H130" s="124"/>
      <c r="I130" s="124"/>
      <c r="J130" s="124"/>
      <c r="K130" s="124"/>
      <c r="L130" s="124"/>
      <c r="M130" s="124"/>
      <c r="N130" s="14"/>
      <c r="O130" s="124"/>
      <c r="P130" s="124"/>
      <c r="Q130" s="124"/>
      <c r="R130" s="124"/>
      <c r="S130" s="14"/>
      <c r="T130" s="1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</row>
    <row r="131" s="122" customFormat="1" spans="4:31">
      <c r="D131" s="78" t="s">
        <v>1791</v>
      </c>
      <c r="E131" s="78">
        <v>200</v>
      </c>
      <c r="F131" s="14"/>
      <c r="G131" s="14"/>
      <c r="H131" s="124"/>
      <c r="I131" s="124"/>
      <c r="J131" s="124"/>
      <c r="K131" s="124"/>
      <c r="L131" s="124"/>
      <c r="M131" s="124"/>
      <c r="N131" s="14"/>
      <c r="O131" s="124"/>
      <c r="P131" s="124"/>
      <c r="Q131" s="145"/>
      <c r="R131" s="124"/>
      <c r="S131" s="14"/>
      <c r="T131" s="1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</row>
    <row r="132" s="122" customFormat="1" spans="4:31">
      <c r="D132" s="78"/>
      <c r="E132" s="124"/>
      <c r="F132" s="78" t="s">
        <v>1792</v>
      </c>
      <c r="G132" s="14"/>
      <c r="H132" s="78" t="s">
        <v>1793</v>
      </c>
      <c r="I132" s="124"/>
      <c r="J132" s="78" t="s">
        <v>1794</v>
      </c>
      <c r="K132" s="124"/>
      <c r="L132" s="124"/>
      <c r="M132" s="124"/>
      <c r="N132" s="14"/>
      <c r="O132" s="124"/>
      <c r="P132" s="124"/>
      <c r="Q132" s="145"/>
      <c r="R132" s="124"/>
      <c r="S132" s="14"/>
      <c r="T132" s="1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</row>
    <row r="133" s="122" customFormat="1" spans="4:31">
      <c r="D133" s="78" t="s">
        <v>1795</v>
      </c>
      <c r="E133" s="124" t="s">
        <v>1158</v>
      </c>
      <c r="F133" s="124" t="s">
        <v>1796</v>
      </c>
      <c r="G133" s="124" t="s">
        <v>1797</v>
      </c>
      <c r="H133" s="124" t="s">
        <v>1798</v>
      </c>
      <c r="I133" s="124" t="s">
        <v>1799</v>
      </c>
      <c r="J133" s="124" t="s">
        <v>1800</v>
      </c>
      <c r="K133" s="124" t="s">
        <v>1801</v>
      </c>
      <c r="L133" s="124" t="s">
        <v>1802</v>
      </c>
      <c r="M133" s="124" t="s">
        <v>1803</v>
      </c>
      <c r="N133" s="124" t="s">
        <v>1804</v>
      </c>
      <c r="O133" s="124" t="s">
        <v>1805</v>
      </c>
      <c r="P133" s="124" t="s">
        <v>922</v>
      </c>
      <c r="Q133" s="145"/>
      <c r="R133" s="124"/>
      <c r="S133" s="14"/>
      <c r="T133" s="1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</row>
    <row r="134" s="122" customFormat="1" spans="4:31">
      <c r="D134" s="78" t="s">
        <v>1806</v>
      </c>
      <c r="E134" s="124">
        <v>1000</v>
      </c>
      <c r="F134" s="124" t="s">
        <v>188</v>
      </c>
      <c r="G134" s="124">
        <v>100</v>
      </c>
      <c r="H134" s="124" t="s">
        <v>265</v>
      </c>
      <c r="I134" s="124">
        <v>2</v>
      </c>
      <c r="J134" s="124" t="s">
        <v>314</v>
      </c>
      <c r="K134" s="124">
        <v>100</v>
      </c>
      <c r="L134" s="124"/>
      <c r="M134" s="124"/>
      <c r="N134" s="124"/>
      <c r="O134" s="124"/>
      <c r="P134" s="128">
        <f>_xlfn.XLOOKUP(F134,[1]价值表!$D:$D,[1]价值表!$F:$F)*G134+_xlfn.XLOOKUP(H134,[1]价值表!$D:$D,[1]价值表!$F:$F)*I134+_xlfn.XLOOKUP(J134,[1]价值表!$D:$D,[1]价值表!$F:$F)*K134</f>
        <v>320</v>
      </c>
      <c r="Q134" s="145"/>
      <c r="R134" s="124"/>
      <c r="S134" s="14"/>
      <c r="T134" s="1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</row>
    <row r="135" s="122" customFormat="1" spans="4:31">
      <c r="D135" s="78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8"/>
      <c r="Q135" s="145"/>
      <c r="R135" s="124"/>
      <c r="S135" s="14"/>
      <c r="T135" s="1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</row>
    <row r="136" s="122" customFormat="1" spans="4:31">
      <c r="D136" s="78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8"/>
      <c r="Q136" s="145"/>
      <c r="R136" s="124"/>
      <c r="S136" s="14"/>
      <c r="T136" s="1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</row>
    <row r="137" s="122" customFormat="1" spans="4:31">
      <c r="D137" s="78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8"/>
      <c r="Q137" s="145"/>
      <c r="R137" s="124"/>
      <c r="S137" s="14"/>
      <c r="T137" s="14">
        <f>30*30</f>
        <v>900</v>
      </c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</row>
    <row r="138" s="122" customFormat="1" spans="4:31"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8"/>
      <c r="Q138" s="145"/>
      <c r="R138" s="124">
        <f>900*0.8</f>
        <v>720</v>
      </c>
      <c r="S138" s="14"/>
      <c r="T138" s="14">
        <f>750</f>
        <v>750</v>
      </c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</row>
    <row r="139" s="122" customFormat="1" spans="4:31">
      <c r="D139" s="78"/>
      <c r="E139" s="124"/>
      <c r="F139" s="14"/>
      <c r="G139" s="14"/>
      <c r="H139" s="14"/>
      <c r="I139" s="124"/>
      <c r="J139" s="124"/>
      <c r="K139" s="124"/>
      <c r="L139" s="124"/>
      <c r="M139" s="124"/>
      <c r="N139" s="14"/>
      <c r="O139" s="124"/>
      <c r="P139" s="124"/>
      <c r="Q139" s="145"/>
      <c r="R139" s="124"/>
      <c r="S139" s="14"/>
      <c r="T139" s="1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</row>
    <row r="140" s="122" customFormat="1" spans="4:31">
      <c r="D140" s="78"/>
      <c r="E140" s="124" t="s">
        <v>310</v>
      </c>
      <c r="F140" s="124" cm="1">
        <f t="array" ref="F140">SUMPRODUCT(--(F142:F150="普通骰子"),G142:G150,E142:E150)/SUMPRODUCT(E142:E150)</f>
        <v>6.575</v>
      </c>
      <c r="G140" s="78" cm="1">
        <f t="array" ref="G140">SUMPRODUCT(--(F142:F150="金骰子"),G142:G150,E142:E150)/SUMPRODUCT(E142:E150)</f>
        <v>0</v>
      </c>
      <c r="H140" s="14"/>
      <c r="I140" s="124"/>
      <c r="J140" s="124"/>
      <c r="K140" s="124"/>
      <c r="L140" s="124"/>
      <c r="M140" s="124"/>
      <c r="N140" s="14"/>
      <c r="O140" s="124"/>
      <c r="P140" s="124"/>
      <c r="Q140" s="145"/>
      <c r="R140" s="124"/>
      <c r="S140" s="14"/>
      <c r="T140" s="1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</row>
    <row r="141" s="122" customFormat="1" spans="4:31">
      <c r="D141" s="146" t="s">
        <v>1807</v>
      </c>
      <c r="E141" s="147" t="s">
        <v>1158</v>
      </c>
      <c r="F141" s="147" t="s">
        <v>1796</v>
      </c>
      <c r="G141" s="147" t="s">
        <v>1797</v>
      </c>
      <c r="H141" s="147" t="s">
        <v>1798</v>
      </c>
      <c r="I141" s="147" t="s">
        <v>1799</v>
      </c>
      <c r="J141" s="147" t="s">
        <v>1800</v>
      </c>
      <c r="K141" s="147" t="s">
        <v>1801</v>
      </c>
      <c r="L141" s="148" t="s">
        <v>1808</v>
      </c>
      <c r="M141" s="147" t="s">
        <v>1809</v>
      </c>
      <c r="N141" s="147" t="s">
        <v>1810</v>
      </c>
      <c r="O141" s="147" t="s">
        <v>1086</v>
      </c>
      <c r="P141" s="147" t="s">
        <v>1811</v>
      </c>
      <c r="Q141" s="149" t="s">
        <v>954</v>
      </c>
      <c r="R141" s="124"/>
      <c r="S141" s="14"/>
      <c r="T141" s="124" t="s">
        <v>1812</v>
      </c>
      <c r="U141" s="124" t="s">
        <v>1813</v>
      </c>
      <c r="V141" s="124" t="s">
        <v>1478</v>
      </c>
      <c r="W141" s="124"/>
      <c r="X141" s="124"/>
      <c r="Y141" s="124"/>
      <c r="Z141" s="124"/>
      <c r="AA141" s="124"/>
      <c r="AB141" s="124"/>
      <c r="AC141" s="124"/>
      <c r="AD141" s="124"/>
      <c r="AE141" s="124"/>
    </row>
    <row r="142" s="122" customFormat="1" spans="4:31">
      <c r="D142" s="150" t="s">
        <v>1814</v>
      </c>
      <c r="E142" s="151">
        <v>1000</v>
      </c>
      <c r="F142" s="152" t="s">
        <v>310</v>
      </c>
      <c r="G142" s="152">
        <v>18</v>
      </c>
      <c r="H142" s="152" t="s">
        <v>265</v>
      </c>
      <c r="I142" s="152">
        <v>2</v>
      </c>
      <c r="J142" s="152" t="s">
        <v>1808</v>
      </c>
      <c r="K142" s="152">
        <v>1</v>
      </c>
      <c r="L142" s="152"/>
      <c r="M142" s="152">
        <v>480</v>
      </c>
      <c r="N142" s="152"/>
      <c r="O142" s="153">
        <f>(_xlfn.XLOOKUP(F142,[1]价值表!D:D,[1]价值表!F:F)*G142+_xlfn.XLOOKUP(H142,[1]价值表!D:D,[1]价值表!F:F)*I142)/M142</f>
        <v>1.375</v>
      </c>
      <c r="P142" s="153">
        <f>_xlfn.XLOOKUP(F142,[1]价值表!D:D,[1]价值表!F:F)*G142/M142</f>
        <v>1.125</v>
      </c>
      <c r="Q142" s="152" t="str">
        <f t="shared" ref="Q142:Q146" si="6">INT(1/O142*10)&amp;"折"</f>
        <v>7折</v>
      </c>
      <c r="R142" s="124"/>
      <c r="S142" s="14"/>
      <c r="T142" s="154">
        <v>0.2</v>
      </c>
      <c r="U142" s="124" t="s">
        <v>310</v>
      </c>
      <c r="V142" s="124">
        <v>1</v>
      </c>
      <c r="W142" s="124"/>
      <c r="X142" s="124"/>
      <c r="Y142" s="124"/>
      <c r="Z142" s="124"/>
      <c r="AA142" s="124"/>
      <c r="AB142" s="124"/>
      <c r="AC142" s="124"/>
      <c r="AD142" s="124"/>
      <c r="AE142" s="124"/>
    </row>
    <row r="143" s="122" customFormat="1" spans="4:31">
      <c r="D143" s="150"/>
      <c r="E143" s="151">
        <v>3000</v>
      </c>
      <c r="F143" s="152" t="s">
        <v>310</v>
      </c>
      <c r="G143" s="152">
        <v>6</v>
      </c>
      <c r="H143" s="152" t="s">
        <v>193</v>
      </c>
      <c r="I143" s="152">
        <v>20</v>
      </c>
      <c r="J143" s="152" t="s">
        <v>1808</v>
      </c>
      <c r="K143" s="152">
        <v>1</v>
      </c>
      <c r="L143" s="152"/>
      <c r="M143" s="152">
        <v>180</v>
      </c>
      <c r="N143" s="152"/>
      <c r="O143" s="153">
        <f>(_xlfn.XLOOKUP(F143,[1]价值表!D:D,[1]价值表!F:F)*G143+_xlfn.XLOOKUP(H143,[1]价值表!D:D,[1]价值表!F:F)*I143)/M143</f>
        <v>1.22222222222222</v>
      </c>
      <c r="P143" s="153">
        <f>_xlfn.XLOOKUP(F143,[1]价值表!D:D,[1]价值表!F:F)*G143/M143</f>
        <v>1</v>
      </c>
      <c r="Q143" s="152" t="str">
        <f t="shared" si="6"/>
        <v>8折</v>
      </c>
      <c r="R143" s="124"/>
      <c r="S143" s="14"/>
      <c r="T143" s="154">
        <v>0.3</v>
      </c>
      <c r="U143" s="124" t="s">
        <v>925</v>
      </c>
      <c r="V143" s="124">
        <v>1</v>
      </c>
      <c r="W143" s="124"/>
      <c r="X143" s="124"/>
      <c r="Y143" s="124"/>
      <c r="Z143" s="124"/>
      <c r="AA143" s="124"/>
      <c r="AB143" s="124"/>
      <c r="AC143" s="124"/>
      <c r="AD143" s="124"/>
      <c r="AE143" s="124"/>
    </row>
    <row r="144" s="122" customFormat="1" spans="4:31">
      <c r="D144" s="150"/>
      <c r="E144" s="151">
        <v>500</v>
      </c>
      <c r="F144" s="152" t="s">
        <v>310</v>
      </c>
      <c r="G144" s="152">
        <v>18</v>
      </c>
      <c r="H144" s="155" t="s">
        <v>925</v>
      </c>
      <c r="I144" s="152">
        <v>3</v>
      </c>
      <c r="J144" s="152" t="s">
        <v>1808</v>
      </c>
      <c r="K144" s="152">
        <v>1</v>
      </c>
      <c r="L144" s="152"/>
      <c r="M144" s="152">
        <v>480</v>
      </c>
      <c r="N144" s="152"/>
      <c r="O144" s="153">
        <f>(_xlfn.XLOOKUP(F144,[1]价值表!D:D,[1]价值表!F:F)*G144+_xlfn.XLOOKUP(H144,[1]价值表!D:D,[1]价值表!F:F)*I144)/M144</f>
        <v>1.4375</v>
      </c>
      <c r="P144" s="153">
        <f>_xlfn.XLOOKUP(F144,[1]价值表!D:D,[1]价值表!F:F)*G144/M144</f>
        <v>1.125</v>
      </c>
      <c r="Q144" s="152" t="str">
        <f t="shared" si="6"/>
        <v>6折</v>
      </c>
      <c r="R144" s="124"/>
      <c r="S144" s="14"/>
      <c r="T144" s="154">
        <v>0.5</v>
      </c>
      <c r="U144" s="124" t="s">
        <v>924</v>
      </c>
      <c r="V144" s="124">
        <v>1</v>
      </c>
      <c r="W144" s="124"/>
      <c r="X144" s="124"/>
      <c r="Y144" s="124"/>
      <c r="Z144" s="124"/>
      <c r="AA144" s="124"/>
      <c r="AB144" s="124"/>
      <c r="AC144" s="124"/>
      <c r="AD144" s="124"/>
      <c r="AE144" s="124"/>
    </row>
    <row r="145" s="122" customFormat="1" spans="4:31">
      <c r="D145" s="150"/>
      <c r="E145" s="151">
        <v>3000</v>
      </c>
      <c r="F145" s="152" t="s">
        <v>310</v>
      </c>
      <c r="G145" s="152">
        <v>18</v>
      </c>
      <c r="H145" s="152" t="s">
        <v>924</v>
      </c>
      <c r="I145" s="152">
        <v>5</v>
      </c>
      <c r="J145" s="152" t="s">
        <v>1808</v>
      </c>
      <c r="K145" s="152">
        <v>1</v>
      </c>
      <c r="L145" s="152"/>
      <c r="M145" s="152">
        <v>480</v>
      </c>
      <c r="N145" s="152"/>
      <c r="O145" s="153">
        <f>(_xlfn.XLOOKUP(F145,[1]价值表!D:D,[1]价值表!F:F)*G145+_xlfn.XLOOKUP(H145,[1]价值表!D:D,[1]价值表!F:F)*I145)/M145</f>
        <v>1.4375</v>
      </c>
      <c r="P145" s="153">
        <f>_xlfn.XLOOKUP(F145,[1]价值表!D:D,[1]价值表!F:F)*G145/M145</f>
        <v>1.125</v>
      </c>
      <c r="Q145" s="152" t="str">
        <f t="shared" si="6"/>
        <v>6折</v>
      </c>
      <c r="R145" s="124"/>
      <c r="S145" s="1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</row>
    <row r="146" s="122" customFormat="1" spans="4:31">
      <c r="D146" s="150"/>
      <c r="E146" s="151">
        <v>2500</v>
      </c>
      <c r="F146" s="152" t="s">
        <v>310</v>
      </c>
      <c r="G146" s="152">
        <v>12</v>
      </c>
      <c r="H146" s="152" t="s">
        <v>237</v>
      </c>
      <c r="I146" s="152">
        <v>1000</v>
      </c>
      <c r="J146" s="152" t="s">
        <v>1808</v>
      </c>
      <c r="K146" s="152">
        <v>1</v>
      </c>
      <c r="L146" s="152"/>
      <c r="M146" s="152">
        <v>330</v>
      </c>
      <c r="N146" s="152"/>
      <c r="O146" s="153">
        <f>(_xlfn.XLOOKUP(F146,[1]价值表!D:D,[1]价值表!F:F)*G146+_xlfn.XLOOKUP(H146,[1]价值表!D:D,[1]价值表!F:F)*I146)/M146</f>
        <v>2.09090909090909</v>
      </c>
      <c r="P146" s="153">
        <f>_xlfn.XLOOKUP(F146,[1]价值表!D:D,[1]价值表!F:F)*G146/M146</f>
        <v>1.09090909090909</v>
      </c>
      <c r="Q146" s="152" t="str">
        <f t="shared" si="6"/>
        <v>4折</v>
      </c>
      <c r="R146" s="124"/>
      <c r="S146" s="14"/>
      <c r="T146" s="1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</row>
    <row r="147" s="122" customFormat="1" spans="4:31">
      <c r="D147" s="150" t="s">
        <v>1815</v>
      </c>
      <c r="E147" s="151">
        <v>2500</v>
      </c>
      <c r="F147" s="151" t="s">
        <v>924</v>
      </c>
      <c r="G147" s="151">
        <v>2</v>
      </c>
      <c r="H147" s="151" t="s">
        <v>209</v>
      </c>
      <c r="I147" s="151">
        <v>88</v>
      </c>
      <c r="J147" s="151"/>
      <c r="K147" s="151"/>
      <c r="L147" s="151"/>
      <c r="M147" s="151">
        <v>0</v>
      </c>
      <c r="N147" s="151"/>
      <c r="O147" s="156"/>
      <c r="P147" s="157"/>
      <c r="Q147" s="151"/>
      <c r="R147" s="124"/>
      <c r="S147" s="14"/>
      <c r="T147" s="1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</row>
    <row r="148" s="122" customFormat="1" spans="4:31">
      <c r="D148" s="150"/>
      <c r="E148" s="151">
        <v>2500</v>
      </c>
      <c r="F148" s="151" t="s">
        <v>310</v>
      </c>
      <c r="G148" s="151">
        <v>1</v>
      </c>
      <c r="H148" s="151" t="s">
        <v>1755</v>
      </c>
      <c r="I148" s="151">
        <v>33</v>
      </c>
      <c r="J148" s="151"/>
      <c r="K148" s="151"/>
      <c r="L148" s="151"/>
      <c r="M148" s="151">
        <v>0</v>
      </c>
      <c r="N148" s="151"/>
      <c r="O148" s="156"/>
      <c r="P148" s="157"/>
      <c r="Q148" s="151"/>
      <c r="R148" s="124"/>
      <c r="S148" s="14"/>
      <c r="T148" s="1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</row>
    <row r="149" s="122" customFormat="1" spans="4:31">
      <c r="D149" s="150"/>
      <c r="E149" s="151">
        <v>2500</v>
      </c>
      <c r="F149" s="151" t="s">
        <v>925</v>
      </c>
      <c r="G149" s="151">
        <v>1</v>
      </c>
      <c r="H149" s="151" t="s">
        <v>208</v>
      </c>
      <c r="I149" s="151">
        <v>66</v>
      </c>
      <c r="J149" s="151"/>
      <c r="K149" s="151"/>
      <c r="L149" s="151"/>
      <c r="M149" s="151">
        <v>0</v>
      </c>
      <c r="N149" s="151"/>
      <c r="O149" s="156"/>
      <c r="P149" s="157"/>
      <c r="Q149" s="151"/>
      <c r="R149" s="124"/>
      <c r="S149" s="14"/>
      <c r="T149" s="1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</row>
    <row r="150" s="122" customFormat="1" spans="4:31">
      <c r="D150" s="150"/>
      <c r="E150" s="151">
        <v>2500</v>
      </c>
      <c r="F150" s="151" t="s">
        <v>237</v>
      </c>
      <c r="G150" s="151">
        <v>300</v>
      </c>
      <c r="H150" s="151" t="s">
        <v>195</v>
      </c>
      <c r="I150" s="151">
        <v>300</v>
      </c>
      <c r="J150" s="151"/>
      <c r="K150" s="151"/>
      <c r="L150" s="151"/>
      <c r="M150" s="151">
        <v>0</v>
      </c>
      <c r="N150" s="158"/>
      <c r="O150" s="159"/>
      <c r="P150" s="160"/>
      <c r="Q150" s="158"/>
      <c r="R150" s="124"/>
      <c r="S150" s="14"/>
      <c r="T150" s="1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</row>
    <row r="151" s="122" customFormat="1" spans="4:31">
      <c r="D151" s="78"/>
      <c r="E151" s="78"/>
      <c r="F151" s="124"/>
      <c r="G151" s="78"/>
      <c r="H151" s="124"/>
      <c r="I151" s="124"/>
      <c r="J151" s="124"/>
      <c r="K151" s="124"/>
      <c r="L151" s="130"/>
      <c r="M151" s="124"/>
      <c r="N151" s="14"/>
      <c r="O151" s="124"/>
      <c r="P151" s="124"/>
      <c r="Q151" s="145"/>
      <c r="R151" s="124"/>
      <c r="S151" s="14"/>
      <c r="T151" s="1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</row>
    <row r="152" s="122" customFormat="1" spans="4:31"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4"/>
      <c r="O152" s="124"/>
      <c r="P152" s="124"/>
      <c r="Q152" s="145"/>
      <c r="R152" s="124"/>
      <c r="S152" s="14"/>
      <c r="T152" s="1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</row>
    <row r="153" s="122" customFormat="1" spans="4:31"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4"/>
      <c r="O153" s="124"/>
      <c r="P153" s="124"/>
      <c r="Q153" s="145"/>
      <c r="R153" s="124"/>
      <c r="S153" s="14"/>
      <c r="T153" s="1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</row>
    <row r="154" s="122" customFormat="1" spans="4:31">
      <c r="D154" s="124" t="s">
        <v>1816</v>
      </c>
      <c r="E154" s="124" t="s">
        <v>1817</v>
      </c>
      <c r="F154" s="124" t="s">
        <v>1818</v>
      </c>
      <c r="G154" s="124" t="s">
        <v>1819</v>
      </c>
      <c r="H154" s="124" t="s">
        <v>1752</v>
      </c>
      <c r="I154" s="124" t="s">
        <v>1820</v>
      </c>
      <c r="J154" s="124" t="s">
        <v>1632</v>
      </c>
      <c r="K154" s="124"/>
      <c r="L154" s="124"/>
      <c r="M154" s="124"/>
      <c r="N154" s="14"/>
      <c r="O154" s="124"/>
      <c r="P154" s="124"/>
      <c r="Q154" s="145"/>
      <c r="R154" s="124"/>
      <c r="S154" s="14"/>
      <c r="T154" s="1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</row>
    <row r="155" s="122" customFormat="1" spans="4:31">
      <c r="D155" s="124" t="s">
        <v>1759</v>
      </c>
      <c r="E155" s="124" t="s">
        <v>1821</v>
      </c>
      <c r="F155" s="124">
        <v>8000</v>
      </c>
      <c r="G155" s="124">
        <v>1001</v>
      </c>
      <c r="H155" s="129" cm="1">
        <f t="array" ref="H155">SUMPRODUCT($U$174:$U$193,$F$174:$F$193,--($D$174:$D$193=$G155))/SUMPRODUCT(--($D$174:$D$193=G155),$F$174:$F$193)</f>
        <v>65.2</v>
      </c>
      <c r="I155" s="128" cm="1">
        <f t="array" ref="I155">SUMPRODUCT($H$174:$H$193,$F$174:$F$193,--($D$174:$D$193=$G155))/SUMPRODUCT(--($D$174:$D$193=G155),$F$174:$F$193)</f>
        <v>10</v>
      </c>
      <c r="J155" s="129" cm="1">
        <f t="array" ref="J155">SUMPRODUCT(H155:H156,F155:F156)/SUM(F155:F156)</f>
        <v>75.96</v>
      </c>
      <c r="K155" s="124"/>
      <c r="L155" s="124"/>
      <c r="M155" s="124"/>
      <c r="N155" s="14"/>
      <c r="O155" s="124"/>
      <c r="P155" s="124"/>
      <c r="Q155" s="145"/>
      <c r="R155" s="124"/>
      <c r="S155" s="14"/>
      <c r="T155" s="1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</row>
    <row r="156" s="122" customFormat="1" spans="4:31">
      <c r="D156" s="124" t="s">
        <v>1759</v>
      </c>
      <c r="E156" s="124" t="s">
        <v>1822</v>
      </c>
      <c r="F156" s="124">
        <v>2000</v>
      </c>
      <c r="G156" s="124">
        <v>1002</v>
      </c>
      <c r="H156" s="129" cm="1">
        <f t="array" ref="H156">SUMPRODUCT($U$174:$U$193,$F$174:$F$193,--($D$174:$D$193=$G156))/SUMPRODUCT(--($D$174:$D$193=G156),$F$174:$F$193)</f>
        <v>119</v>
      </c>
      <c r="I156" s="128" cm="1">
        <f t="array" ref="I156">SUMPRODUCT($H$174:$H$193,$F$174:$F$193,--($D$174:$D$193=$G156))/SUMPRODUCT(--($D$174:$D$193=G156),$F$174:$F$193)</f>
        <v>15</v>
      </c>
      <c r="J156" s="124"/>
      <c r="K156" s="124"/>
      <c r="L156" s="124"/>
      <c r="M156" s="124"/>
      <c r="N156" s="14"/>
      <c r="O156" s="124"/>
      <c r="P156" s="124"/>
      <c r="Q156" s="145"/>
      <c r="R156" s="124"/>
      <c r="S156" s="14"/>
      <c r="T156" s="1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</row>
    <row r="157" s="122" customFormat="1" spans="4:31">
      <c r="D157" s="124" t="s">
        <v>1760</v>
      </c>
      <c r="E157" s="124" t="s">
        <v>1760</v>
      </c>
      <c r="F157" s="124">
        <v>10000</v>
      </c>
      <c r="G157" s="124">
        <v>2001</v>
      </c>
      <c r="H157" s="129" cm="1">
        <f t="array" ref="H157">SUMPRODUCT($U$174:$U$193,$F$174:$F$193,--($D$174:$D$193=$G157))/SUMPRODUCT(--($D$174:$D$193=G157),$F$174:$F$193)</f>
        <v>39.5</v>
      </c>
      <c r="I157" s="128" cm="1">
        <f t="array" ref="I157">SUMPRODUCT($H$174:$H$193,$F$174:$F$193,--($D$174:$D$193=$G157))/SUMPRODUCT(--($D$174:$D$193=G157),$F$174:$F$193)</f>
        <v>10</v>
      </c>
      <c r="J157" s="129">
        <f t="shared" ref="J157:J159" si="7">H157</f>
        <v>39.5</v>
      </c>
      <c r="K157" s="124"/>
      <c r="L157" s="124"/>
      <c r="M157" s="124"/>
      <c r="N157" s="14"/>
      <c r="O157" s="124"/>
      <c r="P157" s="124"/>
      <c r="Q157" s="145"/>
      <c r="R157" s="124"/>
      <c r="S157" s="14"/>
      <c r="T157" s="1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</row>
    <row r="158" s="122" customFormat="1" spans="4:31">
      <c r="D158" s="124" t="s">
        <v>1761</v>
      </c>
      <c r="E158" s="124" t="s">
        <v>1761</v>
      </c>
      <c r="F158" s="124">
        <v>10000</v>
      </c>
      <c r="G158" s="124">
        <v>2002</v>
      </c>
      <c r="H158" s="129" cm="1">
        <f t="array" ref="H158">SUMPRODUCT($U$174:$U$193,$F$174:$F$193,--($D$174:$D$193=$G158))/SUMPRODUCT(--($D$174:$D$193=G158),$F$174:$F$193)</f>
        <v>181</v>
      </c>
      <c r="I158" s="128" cm="1">
        <f t="array" ref="I158">SUMPRODUCT($H$174:$H$193,$F$174:$F$193,--($D$174:$D$193=$G158))/SUMPRODUCT(--($D$174:$D$193=G158),$F$174:$F$193)</f>
        <v>25</v>
      </c>
      <c r="J158" s="129">
        <f t="shared" si="7"/>
        <v>181</v>
      </c>
      <c r="K158" s="124"/>
      <c r="L158" s="124"/>
      <c r="M158" s="124"/>
      <c r="N158" s="14"/>
      <c r="O158" s="124"/>
      <c r="P158" s="124"/>
      <c r="Q158" s="145"/>
      <c r="R158" s="124"/>
      <c r="S158" s="14"/>
      <c r="T158" s="1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</row>
    <row r="159" s="122" customFormat="1" spans="4:31">
      <c r="D159" s="124" t="s">
        <v>1758</v>
      </c>
      <c r="E159" s="124" t="s">
        <v>1823</v>
      </c>
      <c r="F159" s="124">
        <v>10000</v>
      </c>
      <c r="G159" s="124">
        <v>3001</v>
      </c>
      <c r="H159" s="129" cm="1">
        <f t="array" ref="H159">SUMPRODUCT($U$174:$U$193,$F$174:$F$193,--($D$174:$D$193=$G159))/SUMPRODUCT(--($D$174:$D$193=G159),$F$174:$F$193)</f>
        <v>50</v>
      </c>
      <c r="I159" s="128" cm="1">
        <f t="array" ref="I159">SUMPRODUCT($H$174:$H$193,$F$174:$F$193,--($D$174:$D$193=$G159))/SUMPRODUCT(--($D$174:$D$193=G159),$F$174:$F$193)</f>
        <v>50</v>
      </c>
      <c r="J159" s="129">
        <f t="shared" si="7"/>
        <v>50</v>
      </c>
      <c r="K159" s="124" t="s">
        <v>1824</v>
      </c>
      <c r="L159" s="124"/>
      <c r="M159" s="124"/>
      <c r="N159" s="14"/>
      <c r="O159" s="124"/>
      <c r="P159" s="124"/>
      <c r="Q159" s="145"/>
      <c r="R159" s="124"/>
      <c r="S159" s="14"/>
      <c r="T159" s="1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</row>
    <row r="160" s="122" customFormat="1" spans="4:31">
      <c r="D160" s="124"/>
      <c r="E160" s="124"/>
      <c r="F160" s="124"/>
      <c r="G160" s="124"/>
      <c r="H160" s="129"/>
      <c r="I160" s="129"/>
      <c r="J160" s="124"/>
      <c r="K160" s="124"/>
      <c r="L160" s="124"/>
      <c r="M160" s="124"/>
      <c r="N160" s="14"/>
      <c r="O160" s="124"/>
      <c r="P160" s="124"/>
      <c r="Q160" s="145"/>
      <c r="R160" s="124"/>
      <c r="S160" s="14"/>
      <c r="T160" s="1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</row>
    <row r="161" s="122" customFormat="1" spans="4:31">
      <c r="D161" s="161" t="s">
        <v>1816</v>
      </c>
      <c r="E161" s="162" t="s">
        <v>1754</v>
      </c>
      <c r="F161" s="162" t="s">
        <v>314</v>
      </c>
      <c r="G161" s="162" t="s">
        <v>926</v>
      </c>
      <c r="H161" s="162" t="s">
        <v>924</v>
      </c>
      <c r="I161" s="162" t="s">
        <v>265</v>
      </c>
      <c r="J161" s="162" t="s">
        <v>188</v>
      </c>
      <c r="K161" s="162" t="s">
        <v>925</v>
      </c>
      <c r="L161" s="162" t="s">
        <v>263</v>
      </c>
      <c r="M161" s="162" t="s">
        <v>1755</v>
      </c>
      <c r="N161" s="162" t="s">
        <v>208</v>
      </c>
      <c r="O161" s="162" t="s">
        <v>209</v>
      </c>
      <c r="P161" s="162" t="s">
        <v>195</v>
      </c>
      <c r="Q161" s="163" t="s">
        <v>245</v>
      </c>
      <c r="R161" s="162" t="s">
        <v>237</v>
      </c>
      <c r="S161" s="14"/>
      <c r="T161" s="1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</row>
    <row r="162" s="122" customFormat="1" spans="4:31">
      <c r="D162" s="124" t="s">
        <v>1825</v>
      </c>
      <c r="E162" s="143">
        <v>100</v>
      </c>
      <c r="F162" s="143">
        <v>50</v>
      </c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"/>
      <c r="T162" s="1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</row>
    <row r="163" s="122" customFormat="1" spans="4:31">
      <c r="D163" s="164" t="s">
        <v>1762</v>
      </c>
      <c r="E163" s="143"/>
      <c r="F163" s="143">
        <f>K134</f>
        <v>100</v>
      </c>
      <c r="G163" s="143">
        <f ca="1" t="shared" ref="G163:R163" si="8">SUMPRODUCT(--($E$174:$E$193=$D165),OFFSET($F$174:$F$193,0,MATCH(G$161,$G$173:$T$173,0)),$F$174:$F$193)/SUMPRODUCT(--($E$174:$E$193=$D165),$F$174:$F$193)</f>
        <v>0</v>
      </c>
      <c r="H163" s="143">
        <f ca="1" t="shared" si="8"/>
        <v>0</v>
      </c>
      <c r="I163" s="143">
        <f>I134</f>
        <v>2</v>
      </c>
      <c r="J163" s="143">
        <f>G134</f>
        <v>100</v>
      </c>
      <c r="K163" s="143">
        <f ca="1" t="shared" si="8"/>
        <v>0</v>
      </c>
      <c r="L163" s="143">
        <f ca="1" t="shared" si="8"/>
        <v>0</v>
      </c>
      <c r="M163" s="143">
        <f ca="1" t="shared" si="8"/>
        <v>2.5</v>
      </c>
      <c r="N163" s="143">
        <f ca="1" t="shared" si="8"/>
        <v>0</v>
      </c>
      <c r="O163" s="143">
        <f ca="1" t="shared" si="8"/>
        <v>7.5</v>
      </c>
      <c r="P163" s="143">
        <f ca="1" t="shared" si="8"/>
        <v>125</v>
      </c>
      <c r="Q163" s="143">
        <f ca="1" t="shared" si="8"/>
        <v>0</v>
      </c>
      <c r="R163" s="143">
        <f ca="1" t="shared" si="8"/>
        <v>25</v>
      </c>
      <c r="S163" s="14"/>
      <c r="T163" s="1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</row>
    <row r="164" s="122" customFormat="1" spans="4:31">
      <c r="D164" s="124" t="s">
        <v>1757</v>
      </c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"/>
      <c r="T164" s="1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</row>
    <row r="165" s="122" customFormat="1" spans="4:31">
      <c r="D165" s="124" t="s">
        <v>1760</v>
      </c>
      <c r="E165" s="143" cm="1">
        <f ca="1" t="array" ref="E165">SUMPRODUCT(--($E$174:$E$193=$D165),OFFSET($F$174:$F$193,0,MATCH(E$161,$G$173:$T$173,0)),$F$174:$F$193)/SUMPRODUCT(--($E$174:$E$193=$D165),$F$174:$F$193)</f>
        <v>20</v>
      </c>
      <c r="F165" s="143" cm="1">
        <f ca="1" t="array" ref="F165">SUMPRODUCT(--($E$174:$E$193=$D165),OFFSET($F$174:$F$193,0,MATCH(F$161,$G$173:$T$173,0)),$F$174:$F$193)/SUMPRODUCT(--($E$174:$E$193=$D165),$F$174:$F$193)</f>
        <v>10</v>
      </c>
      <c r="G165" s="143" cm="1">
        <f ca="1" t="array" ref="G165">SUMPRODUCT(--($E$174:$E$193=$D165),OFFSET($F$174:$F$193,0,MATCH(G$161,$G$173:$T$173,0)),$F$174:$F$193)/SUMPRODUCT(--($E$174:$E$193=$D165),$F$174:$F$193)</f>
        <v>0</v>
      </c>
      <c r="H165" s="143" cm="1">
        <f ca="1" t="array" ref="H165">SUMPRODUCT(--($E$174:$E$193=$D165),OFFSET($F$174:$F$193,0,MATCH(H$161,$G$173:$T$173,0)),$F$174:$F$193)/SUMPRODUCT(--($E$174:$E$193=$D165),$F$174:$F$193)</f>
        <v>0</v>
      </c>
      <c r="I165" s="143" cm="1">
        <f ca="1" t="array" ref="I165">SUMPRODUCT(--($E$174:$E$193=$D165),OFFSET($F$174:$F$193,0,MATCH(I$161,$G$173:$T$173,0)),$F$174:$F$193)/SUMPRODUCT(--($E$174:$E$193=$D165),$F$174:$F$193)</f>
        <v>0</v>
      </c>
      <c r="J165" s="143" cm="1">
        <f ca="1" t="array" ref="J165">SUMPRODUCT(--($E$174:$E$193=$D165),OFFSET($F$174:$F$193,0,MATCH(J$161,$G$173:$T$173,0)),$F$174:$F$193)/SUMPRODUCT(--($E$174:$E$193=$D165),$F$174:$F$193)</f>
        <v>0</v>
      </c>
      <c r="K165" s="143" cm="1">
        <f ca="1" t="array" ref="K165">SUMPRODUCT(--($E$174:$E$193=$D165),OFFSET($F$174:$F$193,0,MATCH(K$161,$G$173:$T$173,0)),$F$174:$F$193)/SUMPRODUCT(--($E$174:$E$193=$D165),$F$174:$F$193)</f>
        <v>0</v>
      </c>
      <c r="L165" s="143" cm="1">
        <f ca="1" t="array" ref="L165">SUMPRODUCT(--($E$174:$E$193=$D165),OFFSET($F$174:$F$193,0,MATCH(L$161,$G$173:$T$173,0)),$F$174:$F$193)/SUMPRODUCT(--($E$174:$E$193=$D165),$F$174:$F$193)</f>
        <v>0</v>
      </c>
      <c r="M165" s="143" cm="1">
        <f ca="1" t="array" ref="M165">SUMPRODUCT(--($E$174:$E$193=$D165),OFFSET($F$174:$F$193,0,MATCH(M$161,$G$173:$T$173,0)),$F$174:$F$193)/SUMPRODUCT(--($E$174:$E$193=$D165),$F$174:$F$193)</f>
        <v>2.5</v>
      </c>
      <c r="N165" s="143" cm="1">
        <f ca="1" t="array" ref="N165">SUMPRODUCT(--($E$174:$E$193=$D165),OFFSET($F$174:$F$193,0,MATCH(N$161,$G$173:$T$173,0)),$F$174:$F$193)/SUMPRODUCT(--($E$174:$E$193=$D165),$F$174:$F$193)</f>
        <v>0</v>
      </c>
      <c r="O165" s="143" cm="1">
        <f ca="1" t="array" ref="O165">SUMPRODUCT(--($E$174:$E$193=$D165),OFFSET($F$174:$F$193,0,MATCH(O$161,$G$173:$T$173,0)),$F$174:$F$193)/SUMPRODUCT(--($E$174:$E$193=$D165),$F$174:$F$193)</f>
        <v>7.5</v>
      </c>
      <c r="P165" s="143" cm="1">
        <f ca="1" t="array" ref="P165">SUMPRODUCT(--($E$174:$E$193=$D165),OFFSET($F$174:$F$193,0,MATCH(P$161,$G$173:$T$173,0)),$F$174:$F$193)/SUMPRODUCT(--($E$174:$E$193=$D165),$F$174:$F$193)</f>
        <v>125</v>
      </c>
      <c r="Q165" s="143" cm="1">
        <f ca="1" t="array" ref="Q165">SUMPRODUCT(--($E$174:$E$193=$D165),OFFSET($F$174:$F$193,0,MATCH(Q$161,$G$173:$T$173,0)),$F$174:$F$193)/SUMPRODUCT(--($E$174:$E$193=$D165),$F$174:$F$193)</f>
        <v>0</v>
      </c>
      <c r="R165" s="143" cm="1">
        <f ca="1" t="array" ref="R165">SUMPRODUCT(--($E$174:$E$193=$D165),OFFSET($F$174:$F$193,0,MATCH(R$161,$G$173:$T$173,0)),$F$174:$F$193)/SUMPRODUCT(--($E$174:$E$193=$D165),$F$174:$F$193)</f>
        <v>25</v>
      </c>
      <c r="S165" s="14"/>
      <c r="T165" s="1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</row>
    <row r="166" s="122" customFormat="1" spans="4:31">
      <c r="D166" s="124" t="s">
        <v>1761</v>
      </c>
      <c r="E166" s="143" cm="1">
        <f ca="1" t="array" ref="E166">SUMPRODUCT(--($E$174:$E$193=$D166),OFFSET($F$174:$F$193,0,MATCH(E$161,$G$173:$T$173,0)),$F$174:$F$193)/SUMPRODUCT(--($E$174:$E$193=$D166),$F$174:$F$193)</f>
        <v>100</v>
      </c>
      <c r="F166" s="143" cm="1">
        <f ca="1" t="array" ref="F166">SUMPRODUCT(--($E$174:$E$193=$D166),OFFSET($F$174:$F$193,0,MATCH(F$161,$G$173:$T$173,0)),$F$174:$F$193)/SUMPRODUCT(--($E$174:$E$193=$D166),$F$174:$F$193)</f>
        <v>25</v>
      </c>
      <c r="G166" s="143" cm="1">
        <f ca="1" t="array" ref="G166">SUMPRODUCT(--($E$174:$E$193=$D166),OFFSET($F$174:$F$193,0,MATCH(G$161,$G$173:$T$173,0)),$F$174:$F$193)/SUMPRODUCT(--($E$174:$E$193=$D166),$F$174:$F$193)</f>
        <v>0.05</v>
      </c>
      <c r="H166" s="143" cm="1">
        <f ca="1" t="array" ref="H166">SUMPRODUCT(--($E$174:$E$193=$D166),OFFSET($F$174:$F$193,0,MATCH(H$161,$G$173:$T$173,0)),$F$174:$F$193)/SUMPRODUCT(--($E$174:$E$193=$D166),$F$174:$F$193)</f>
        <v>1.75</v>
      </c>
      <c r="I166" s="143" cm="1">
        <f ca="1" t="array" ref="I166">SUMPRODUCT(--($E$174:$E$193=$D166),OFFSET($F$174:$F$193,0,MATCH(I$161,$G$173:$T$173,0)),$F$174:$F$193)/SUMPRODUCT(--($E$174:$E$193=$D166),$F$174:$F$193)</f>
        <v>0.5</v>
      </c>
      <c r="J166" s="143" cm="1">
        <f ca="1" t="array" ref="J166">SUMPRODUCT(--($E$174:$E$193=$D166),OFFSET($F$174:$F$193,0,MATCH(J$161,$G$173:$T$173,0)),$F$174:$F$193)/SUMPRODUCT(--($E$174:$E$193=$D166),$F$174:$F$193)</f>
        <v>0</v>
      </c>
      <c r="K166" s="143" cm="1">
        <f ca="1" t="array" ref="K166">SUMPRODUCT(--($E$174:$E$193=$D166),OFFSET($F$174:$F$193,0,MATCH(K$161,$G$173:$T$173,0)),$F$174:$F$193)/SUMPRODUCT(--($E$174:$E$193=$D166),$F$174:$F$193)</f>
        <v>0.7</v>
      </c>
      <c r="L166" s="143" cm="1">
        <f ca="1" t="array" ref="L166">SUMPRODUCT(--($E$174:$E$193=$D166),OFFSET($F$174:$F$193,0,MATCH(L$161,$G$173:$T$173,0)),$F$174:$F$193)/SUMPRODUCT(--($E$174:$E$193=$D166),$F$174:$F$193)</f>
        <v>0</v>
      </c>
      <c r="M166" s="143" cm="1">
        <f ca="1" t="array" ref="M166">SUMPRODUCT(--($E$174:$E$193=$D166),OFFSET($F$174:$F$193,0,MATCH(M$161,$G$173:$T$173,0)),$F$174:$F$193)/SUMPRODUCT(--($E$174:$E$193=$D166),$F$174:$F$193)</f>
        <v>0</v>
      </c>
      <c r="N166" s="143" cm="1">
        <f ca="1" t="array" ref="N166">SUMPRODUCT(--($E$174:$E$193=$D166),OFFSET($F$174:$F$193,0,MATCH(N$161,$G$173:$T$173,0)),$F$174:$F$193)/SUMPRODUCT(--($E$174:$E$193=$D166),$F$174:$F$193)</f>
        <v>7</v>
      </c>
      <c r="O166" s="143" cm="1">
        <f ca="1" t="array" ref="O166">SUMPRODUCT(--($E$174:$E$193=$D166),OFFSET($F$174:$F$193,0,MATCH(O$161,$G$173:$T$173,0)),$F$174:$F$193)/SUMPRODUCT(--($E$174:$E$193=$D166),$F$174:$F$193)</f>
        <v>10.5</v>
      </c>
      <c r="P166" s="143" cm="1">
        <f ca="1" t="array" ref="P166">SUMPRODUCT(--($E$174:$E$193=$D166),OFFSET($F$174:$F$193,0,MATCH(P$161,$G$173:$T$173,0)),$F$174:$F$193)/SUMPRODUCT(--($E$174:$E$193=$D166),$F$174:$F$193)</f>
        <v>0</v>
      </c>
      <c r="Q166" s="143" cm="1">
        <f ca="1" t="array" ref="Q166">SUMPRODUCT(--($E$174:$E$193=$D166),OFFSET($F$174:$F$193,0,MATCH(Q$161,$G$173:$T$173,0)),$F$174:$F$193)/SUMPRODUCT(--($E$174:$E$193=$D166),$F$174:$F$193)</f>
        <v>0</v>
      </c>
      <c r="R166" s="143" cm="1">
        <f ca="1" t="array" ref="R166">SUMPRODUCT(--($E$174:$E$193=$D166),OFFSET($F$174:$F$193,0,MATCH(R$161,$G$173:$T$173,0)),$F$174:$F$193)/SUMPRODUCT(--($E$174:$E$193=$D166),$F$174:$F$193)</f>
        <v>0</v>
      </c>
      <c r="S166" s="14"/>
      <c r="T166" s="1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</row>
    <row r="167" s="122" customFormat="1" spans="4:31">
      <c r="D167" s="164" t="s">
        <v>1758</v>
      </c>
      <c r="E167" s="143" cm="1">
        <f ca="1" t="array" ref="E167">SUMPRODUCT(--($E$174:$E$193=$D167),OFFSET($F$174:$F$193,0,MATCH(E$161,$G$173:$T$173,0)),$F$174:$F$193)/SUMPRODUCT(--($E$174:$E$193=$D167),$F$174:$F$193)</f>
        <v>100</v>
      </c>
      <c r="F167" s="143">
        <v>50</v>
      </c>
      <c r="G167" s="143" cm="1">
        <f ca="1" t="array" ref="G167">SUMPRODUCT(--($E$174:$E$193=$D167),OFFSET($F$174:$F$193,0,MATCH(G$161,$G$173:$T$173,0)),$F$174:$F$193)/SUMPRODUCT(--($E$174:$E$193=$D167),$F$174:$F$193)</f>
        <v>0</v>
      </c>
      <c r="H167" s="143" cm="1">
        <f ca="1" t="array" ref="H167">SUMPRODUCT(--($E$174:$E$193=$D167),OFFSET($F$174:$F$193,0,MATCH(H$161,$G$173:$T$173,0)),$F$174:$F$193)/SUMPRODUCT(--($E$174:$E$193=$D167),$F$174:$F$193)</f>
        <v>0</v>
      </c>
      <c r="I167" s="143" cm="1">
        <f ca="1" t="array" ref="I167">SUMPRODUCT(--($E$174:$E$193=$D167),OFFSET($F$174:$F$193,0,MATCH(I$161,$G$173:$T$173,0)),$F$174:$F$193)/SUMPRODUCT(--($E$174:$E$193=$D167),$F$174:$F$193)</f>
        <v>0</v>
      </c>
      <c r="J167" s="143" cm="1">
        <f ca="1" t="array" ref="J167">SUMPRODUCT(--($E$174:$E$193=$D167),OFFSET($F$174:$F$193,0,MATCH(J$161,$G$173:$T$173,0)),$F$174:$F$193)/SUMPRODUCT(--($E$174:$E$193=$D167),$F$174:$F$193)</f>
        <v>0</v>
      </c>
      <c r="K167" s="143" cm="1">
        <f ca="1" t="array" ref="K167">SUMPRODUCT(--($E$174:$E$193=$D167),OFFSET($F$174:$F$193,0,MATCH(K$161,$G$173:$T$173,0)),$F$174:$F$193)/SUMPRODUCT(--($E$174:$E$193=$D167),$F$174:$F$193)</f>
        <v>0</v>
      </c>
      <c r="L167" s="143" cm="1">
        <f ca="1" t="array" ref="L167">SUMPRODUCT(--($E$174:$E$193=$D167),OFFSET($F$174:$F$193,0,MATCH(L$161,$G$173:$T$173,0)),$F$174:$F$193)/SUMPRODUCT(--($E$174:$E$193=$D167),$F$174:$F$193)</f>
        <v>0</v>
      </c>
      <c r="M167" s="143" cm="1">
        <f ca="1" t="array" ref="M167">SUMPRODUCT(--($E$174:$E$193=$D167),OFFSET($F$174:$F$193,0,MATCH(M$161,$G$173:$T$173,0)),$F$174:$F$193)/SUMPRODUCT(--($E$174:$E$193=$D167),$F$174:$F$193)</f>
        <v>0</v>
      </c>
      <c r="N167" s="143" cm="1">
        <f ca="1" t="array" ref="N167">SUMPRODUCT(--($E$174:$E$193=$D167),OFFSET($F$174:$F$193,0,MATCH(N$161,$G$173:$T$173,0)),$F$174:$F$193)/SUMPRODUCT(--($E$174:$E$193=$D167),$F$174:$F$193)</f>
        <v>0</v>
      </c>
      <c r="O167" s="143" cm="1">
        <f ca="1" t="array" ref="O167">SUMPRODUCT(--($E$174:$E$193=$D167),OFFSET($F$174:$F$193,0,MATCH(O$161,$G$173:$T$173,0)),$F$174:$F$193)/SUMPRODUCT(--($E$174:$E$193=$D167),$F$174:$F$193)</f>
        <v>0</v>
      </c>
      <c r="P167" s="143" cm="1">
        <f ca="1" t="array" ref="P167">SUMPRODUCT(--($E$174:$E$193=$D167),OFFSET($F$174:$F$193,0,MATCH(P$161,$G$173:$T$173,0)),$F$174:$F$193)/SUMPRODUCT(--($E$174:$E$193=$D167),$F$174:$F$193)</f>
        <v>0</v>
      </c>
      <c r="Q167" s="143" cm="1">
        <f ca="1" t="array" ref="Q167">SUMPRODUCT(--($E$174:$E$193=$D167),OFFSET($F$174:$F$193,0,MATCH(Q$161,$G$173:$T$173,0)),$F$174:$F$193)/SUMPRODUCT(--($E$174:$E$193=$D167),$F$174:$F$193)</f>
        <v>0</v>
      </c>
      <c r="R167" s="143" cm="1">
        <f ca="1" t="array" ref="R167">SUMPRODUCT(--($E$174:$E$193=$D167),OFFSET($F$174:$F$193,0,MATCH(R$161,$G$173:$T$173,0)),$F$174:$F$193)/SUMPRODUCT(--($E$174:$E$193=$D167),$F$174:$F$193)</f>
        <v>0</v>
      </c>
      <c r="S167" s="14"/>
      <c r="T167" s="1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</row>
    <row r="168" s="122" customFormat="1" spans="4:31">
      <c r="D168" s="164" t="s">
        <v>1826</v>
      </c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"/>
      <c r="T168" s="1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</row>
    <row r="169" s="122" customFormat="1" spans="4:31">
      <c r="D169" s="124" t="s">
        <v>1759</v>
      </c>
      <c r="E169" s="143" cm="1">
        <f ca="1" t="array" ref="E169">SUMPRODUCT(--($E$174:$E$193=$D169),OFFSET($F$174:$F$193,0,MATCH(E$161,$G$173:$T$173,0)),$F$174:$F$193)/SUMPRODUCT(--($E$174:$E$193=$D169),$F$174:$F$193)</f>
        <v>55</v>
      </c>
      <c r="F169" s="143" cm="1">
        <f ca="1" t="array" ref="F169">SUMPRODUCT(--($E$174:$E$193=$D169),OFFSET($F$174:$F$193,0,MATCH(F$161,$G$173:$T$173,0)),$F$174:$F$193)/SUMPRODUCT(--($E$174:$E$193=$D169),$F$174:$F$193)</f>
        <v>11</v>
      </c>
      <c r="G169" s="143" cm="1">
        <f ca="1" t="array" ref="G169">SUMPRODUCT(--($E$174:$E$193=$D169),OFFSET($F$174:$F$193,0,MATCH(G$161,$G$173:$T$173,0)),$F$174:$F$193)/SUMPRODUCT(--($E$174:$E$193=$D169),$F$174:$F$193)</f>
        <v>0</v>
      </c>
      <c r="H169" s="143" cm="1">
        <f ca="1" t="array" ref="H169">SUMPRODUCT(--($E$174:$E$193=$D169),OFFSET($F$174:$F$193,0,MATCH(H$161,$G$173:$T$173,0)),$F$174:$F$193)/SUMPRODUCT(--($E$174:$E$193=$D169),$F$174:$F$193)</f>
        <v>0.22</v>
      </c>
      <c r="I169" s="143" cm="1">
        <f ca="1" t="array" ref="I169">SUMPRODUCT(--($E$174:$E$193=$D169),OFFSET($F$174:$F$193,0,MATCH(I$161,$G$173:$T$173,0)),$F$174:$F$193)/SUMPRODUCT(--($E$174:$E$193=$D169),$F$174:$F$193)</f>
        <v>0.18</v>
      </c>
      <c r="J169" s="143" cm="1">
        <f ca="1" t="array" ref="J169">SUMPRODUCT(--($E$174:$E$193=$D169),OFFSET($F$174:$F$193,0,MATCH(J$161,$G$173:$T$173,0)),$F$174:$F$193)/SUMPRODUCT(--($E$174:$E$193=$D169),$F$174:$F$193)</f>
        <v>0</v>
      </c>
      <c r="K169" s="143" cm="1">
        <f ca="1" t="array" ref="K169">SUMPRODUCT(--($E$174:$E$193=$D169),OFFSET($F$174:$F$193,0,MATCH(K$161,$G$173:$T$173,0)),$F$174:$F$193)/SUMPRODUCT(--($E$174:$E$193=$D169),$F$174:$F$193)</f>
        <v>0.3</v>
      </c>
      <c r="L169" s="143" cm="1">
        <f ca="1" t="array" ref="L169">SUMPRODUCT(--($E$174:$E$193=$D169),OFFSET($F$174:$F$193,0,MATCH(L$161,$G$173:$T$173,0)),$F$174:$F$193)/SUMPRODUCT(--($E$174:$E$193=$D169),$F$174:$F$193)</f>
        <v>0</v>
      </c>
      <c r="M169" s="143" cm="1">
        <f ca="1" t="array" ref="M169">SUMPRODUCT(--($E$174:$E$193=$D169),OFFSET($F$174:$F$193,0,MATCH(M$161,$G$173:$T$173,0)),$F$174:$F$193)/SUMPRODUCT(--($E$174:$E$193=$D169),$F$174:$F$193)</f>
        <v>4</v>
      </c>
      <c r="N169" s="143" cm="1">
        <f ca="1" t="array" ref="N169">SUMPRODUCT(--($E$174:$E$193=$D169),OFFSET($F$174:$F$193,0,MATCH(N$161,$G$173:$T$173,0)),$F$174:$F$193)/SUMPRODUCT(--($E$174:$E$193=$D169),$F$174:$F$193)</f>
        <v>0</v>
      </c>
      <c r="O169" s="143" cm="1">
        <f ca="1" t="array" ref="O169">SUMPRODUCT(--($E$174:$E$193=$D169),OFFSET($F$174:$F$193,0,MATCH(O$161,$G$173:$T$173,0)),$F$174:$F$193)/SUMPRODUCT(--($E$174:$E$193=$D169),$F$174:$F$193)</f>
        <v>10</v>
      </c>
      <c r="P169" s="143" cm="1">
        <f ca="1" t="array" ref="P169">SUMPRODUCT(--($E$174:$E$193=$D169),OFFSET($F$174:$F$193,0,MATCH(P$161,$G$173:$T$173,0)),$F$174:$F$193)/SUMPRODUCT(--($E$174:$E$193=$D169),$F$174:$F$193)</f>
        <v>0</v>
      </c>
      <c r="Q169" s="143" cm="1">
        <f ca="1" t="array" ref="Q169">SUMPRODUCT(--($E$174:$E$193=$D169),OFFSET($F$174:$F$193,0,MATCH(Q$161,$G$173:$T$173,0)),$F$174:$F$193)/SUMPRODUCT(--($E$174:$E$193=$D169),$F$174:$F$193)</f>
        <v>0</v>
      </c>
      <c r="R169" s="143" cm="1">
        <f ca="1" t="array" ref="R169">SUMPRODUCT(--($E$174:$E$193=$D169),OFFSET($F$174:$F$193,0,MATCH(R$161,$G$173:$T$173,0)),$F$174:$F$193)/SUMPRODUCT(--($E$174:$E$193=$D169),$F$174:$F$193)</f>
        <v>32</v>
      </c>
      <c r="S169" s="14"/>
      <c r="T169" s="1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</row>
    <row r="170" s="122" customFormat="1" spans="4:31">
      <c r="D170" s="124"/>
      <c r="E170" s="124"/>
      <c r="F170" s="124"/>
      <c r="G170" s="124"/>
      <c r="H170" s="129"/>
      <c r="I170" s="129"/>
      <c r="J170" s="124"/>
      <c r="K170" s="124"/>
      <c r="L170" s="124"/>
      <c r="M170" s="124"/>
      <c r="N170" s="14"/>
      <c r="O170" s="124"/>
      <c r="P170" s="124"/>
      <c r="Q170" s="145"/>
      <c r="R170" s="124"/>
      <c r="S170" s="14"/>
      <c r="T170" s="1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</row>
    <row r="171" s="122" customFormat="1" spans="4:31"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4"/>
      <c r="O171" s="124"/>
      <c r="P171" s="124"/>
      <c r="Q171" s="145"/>
      <c r="R171" s="124"/>
      <c r="S171" s="14"/>
      <c r="T171" s="1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</row>
    <row r="172" s="122" customFormat="1" spans="4:31">
      <c r="D172" s="124"/>
      <c r="E172" s="124"/>
      <c r="F172" s="124"/>
      <c r="G172" s="124"/>
      <c r="H172" s="124">
        <v>1</v>
      </c>
      <c r="I172" s="124">
        <f>_xlfn.XLOOKUP(I173,[1]价值表!$D:$D,[1]价值表!$F:$F)</f>
        <v>280</v>
      </c>
      <c r="J172" s="124">
        <f>_xlfn.XLOOKUP(J173,[1]价值表!$D:$D,[1]价值表!$F:$F)</f>
        <v>30</v>
      </c>
      <c r="K172" s="124">
        <f>_xlfn.XLOOKUP(K173,[1]价值表!$D:$D,[1]价值表!$F:$F)</f>
        <v>60</v>
      </c>
      <c r="L172" s="124">
        <f>_xlfn.XLOOKUP(L173,[1]价值表!$D:$D,[1]价值表!$F:$F)</f>
        <v>1</v>
      </c>
      <c r="M172" s="124">
        <f>_xlfn.XLOOKUP(M173,[1]价值表!$D:$D,[1]价值表!$F:$F)</f>
        <v>50</v>
      </c>
      <c r="N172" s="124">
        <f>_xlfn.XLOOKUP(N173,[1]价值表!$D:$D,[1]价值表!$F:$F)</f>
        <v>5</v>
      </c>
      <c r="O172" s="124">
        <f>_xlfn.XLOOKUP(O173,[1]价值表!$D:$D,[1]价值表!$F:$F)</f>
        <v>3</v>
      </c>
      <c r="P172" s="124">
        <f>_xlfn.XLOOKUP(P173,[1]价值表!$D:$D,[1]价值表!$F:$F)</f>
        <v>2</v>
      </c>
      <c r="Q172" s="124">
        <f>_xlfn.XLOOKUP(Q173,[1]价值表!$D:$D,[1]价值表!$F:$F)</f>
        <v>1</v>
      </c>
      <c r="R172" s="124">
        <f>_xlfn.XLOOKUP(R173,[1]价值表!$D:$D,[1]价值表!$F:$F)</f>
        <v>0.05</v>
      </c>
      <c r="S172" s="124">
        <f>_xlfn.XLOOKUP(S173,[1]价值表!$D:$D,[1]价值表!$F:$F)</f>
        <v>0.1</v>
      </c>
      <c r="T172" s="124">
        <f>_xlfn.XLOOKUP(T173,[1]价值表!$D:$D,[1]价值表!$F:$F)</f>
        <v>0.33</v>
      </c>
      <c r="U172" s="1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</row>
    <row r="173" s="122" customFormat="1" spans="4:31">
      <c r="D173" s="124" t="s">
        <v>1827</v>
      </c>
      <c r="E173" s="124" t="s">
        <v>1816</v>
      </c>
      <c r="F173" s="124" t="s">
        <v>1327</v>
      </c>
      <c r="G173" s="124" t="s">
        <v>1754</v>
      </c>
      <c r="H173" s="124" t="s">
        <v>314</v>
      </c>
      <c r="I173" s="124" t="s">
        <v>926</v>
      </c>
      <c r="J173" s="124" t="s">
        <v>924</v>
      </c>
      <c r="K173" s="124" t="s">
        <v>265</v>
      </c>
      <c r="L173" s="124" t="s">
        <v>188</v>
      </c>
      <c r="M173" s="124" t="s">
        <v>925</v>
      </c>
      <c r="N173" s="124" t="s">
        <v>263</v>
      </c>
      <c r="O173" s="124" t="s">
        <v>1755</v>
      </c>
      <c r="P173" s="124" t="s">
        <v>208</v>
      </c>
      <c r="Q173" s="124" t="s">
        <v>209</v>
      </c>
      <c r="R173" s="124" t="s">
        <v>195</v>
      </c>
      <c r="S173" s="128" t="s">
        <v>245</v>
      </c>
      <c r="T173" s="124" t="s">
        <v>237</v>
      </c>
      <c r="U173" s="124" t="s">
        <v>922</v>
      </c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</row>
    <row r="174" s="122" customFormat="1" spans="4:31">
      <c r="D174" s="124">
        <v>1001</v>
      </c>
      <c r="E174" s="128" t="str">
        <f t="shared" ref="E174:E193" si="9">_xlfn.XLOOKUP(D174,$G$155:$G$159,$D$155:$D$159)</f>
        <v>挑战事件</v>
      </c>
      <c r="F174" s="128">
        <v>2000</v>
      </c>
      <c r="G174" s="124">
        <v>50</v>
      </c>
      <c r="H174" s="15">
        <v>10</v>
      </c>
      <c r="I174" s="124"/>
      <c r="J174" s="124"/>
      <c r="K174" s="124"/>
      <c r="L174" s="124"/>
      <c r="M174" s="124"/>
      <c r="N174" s="124"/>
      <c r="O174" s="124"/>
      <c r="P174" s="124"/>
      <c r="Q174" s="124">
        <v>50</v>
      </c>
      <c r="R174" s="124"/>
      <c r="S174" s="124"/>
      <c r="T174" s="124"/>
      <c r="U174" s="128" cm="1">
        <f t="array" ref="U174">SUMPRODUCT(H174:T174,H$172:T$172)</f>
        <v>60</v>
      </c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</row>
    <row r="175" s="122" customFormat="1" spans="4:31">
      <c r="D175" s="124">
        <v>1001</v>
      </c>
      <c r="E175" s="128" t="str">
        <f t="shared" si="9"/>
        <v>挑战事件</v>
      </c>
      <c r="F175" s="128">
        <v>2000</v>
      </c>
      <c r="G175" s="124">
        <v>50</v>
      </c>
      <c r="H175" s="15">
        <v>10</v>
      </c>
      <c r="I175" s="124"/>
      <c r="J175" s="124"/>
      <c r="K175" s="124"/>
      <c r="L175" s="124"/>
      <c r="M175" s="124"/>
      <c r="N175" s="124"/>
      <c r="O175" s="124">
        <v>20</v>
      </c>
      <c r="P175" s="124"/>
      <c r="Q175" s="124"/>
      <c r="R175" s="124"/>
      <c r="S175" s="124"/>
      <c r="T175" s="124"/>
      <c r="U175" s="128" cm="1">
        <f t="array" ref="U175">SUMPRODUCT(H175:T175,H$172:T$172)</f>
        <v>70</v>
      </c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</row>
    <row r="176" s="122" customFormat="1" spans="4:31">
      <c r="D176" s="124">
        <v>1001</v>
      </c>
      <c r="E176" s="128" t="str">
        <f t="shared" si="9"/>
        <v>挑战事件</v>
      </c>
      <c r="F176" s="128">
        <v>1600</v>
      </c>
      <c r="G176" s="124">
        <v>50</v>
      </c>
      <c r="H176" s="15">
        <v>10</v>
      </c>
      <c r="I176" s="124"/>
      <c r="J176" s="124"/>
      <c r="K176" s="124"/>
      <c r="L176" s="124"/>
      <c r="M176" s="124">
        <v>1</v>
      </c>
      <c r="N176" s="124"/>
      <c r="O176" s="124"/>
      <c r="P176" s="124"/>
      <c r="Q176" s="124"/>
      <c r="R176" s="124"/>
      <c r="S176" s="124"/>
      <c r="T176" s="124"/>
      <c r="U176" s="128" cm="1">
        <f t="array" ref="U176">SUMPRODUCT(H176:T176,H$172:T$172)</f>
        <v>60</v>
      </c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</row>
    <row r="177" s="122" customFormat="1" spans="4:31">
      <c r="D177" s="124">
        <v>1001</v>
      </c>
      <c r="E177" s="128" t="str">
        <f t="shared" si="9"/>
        <v>挑战事件</v>
      </c>
      <c r="F177" s="128">
        <v>1600</v>
      </c>
      <c r="G177" s="124">
        <v>50</v>
      </c>
      <c r="H177" s="15">
        <v>10</v>
      </c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>
        <v>200</v>
      </c>
      <c r="U177" s="128" cm="1">
        <f t="array" ref="U177">SUMPRODUCT(H177:T177,H$172:T$172)</f>
        <v>76</v>
      </c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</row>
    <row r="178" s="122" customFormat="1" spans="4:31">
      <c r="D178" s="124">
        <v>1001</v>
      </c>
      <c r="E178" s="128" t="str">
        <f t="shared" si="9"/>
        <v>挑战事件</v>
      </c>
      <c r="F178" s="128">
        <v>400</v>
      </c>
      <c r="G178" s="124">
        <v>50</v>
      </c>
      <c r="H178" s="15">
        <v>10</v>
      </c>
      <c r="I178" s="124"/>
      <c r="J178" s="124">
        <v>1</v>
      </c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8" cm="1">
        <f t="array" ref="U178">SUMPRODUCT(H178:T178,H$172:T$172)</f>
        <v>40</v>
      </c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</row>
    <row r="179" s="122" customFormat="1" spans="4:31">
      <c r="D179" s="124">
        <v>1001</v>
      </c>
      <c r="E179" s="128" t="str">
        <f t="shared" si="9"/>
        <v>挑战事件</v>
      </c>
      <c r="F179" s="128">
        <v>400</v>
      </c>
      <c r="G179" s="124">
        <v>50</v>
      </c>
      <c r="H179" s="15">
        <v>10</v>
      </c>
      <c r="I179" s="124"/>
      <c r="J179" s="124"/>
      <c r="K179" s="124">
        <v>1</v>
      </c>
      <c r="L179" s="124"/>
      <c r="M179" s="124"/>
      <c r="N179" s="124"/>
      <c r="O179" s="124"/>
      <c r="P179" s="124"/>
      <c r="Q179" s="124"/>
      <c r="R179" s="124"/>
      <c r="S179" s="124"/>
      <c r="T179" s="124"/>
      <c r="U179" s="128" cm="1">
        <f t="array" ref="U179">SUMPRODUCT(H179:T179,H$172:T$172)</f>
        <v>70</v>
      </c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</row>
    <row r="180" s="122" customFormat="1" spans="4:31">
      <c r="D180" s="124">
        <v>1002</v>
      </c>
      <c r="E180" s="128" t="str">
        <f t="shared" si="9"/>
        <v>挑战事件</v>
      </c>
      <c r="F180" s="124">
        <v>600</v>
      </c>
      <c r="G180" s="124">
        <v>75</v>
      </c>
      <c r="H180" s="15">
        <v>15</v>
      </c>
      <c r="I180" s="124"/>
      <c r="J180" s="124">
        <v>3</v>
      </c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8" cm="1">
        <f t="array" ref="U180">SUMPRODUCT(H180:T180,H$172:T$172)</f>
        <v>105</v>
      </c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</row>
    <row r="181" s="122" customFormat="1" spans="4:31">
      <c r="D181" s="124">
        <v>1002</v>
      </c>
      <c r="E181" s="128" t="str">
        <f t="shared" si="9"/>
        <v>挑战事件</v>
      </c>
      <c r="F181" s="124">
        <v>700</v>
      </c>
      <c r="G181" s="124">
        <v>75</v>
      </c>
      <c r="H181" s="15">
        <v>15</v>
      </c>
      <c r="I181" s="124"/>
      <c r="J181" s="124"/>
      <c r="K181" s="124">
        <v>2</v>
      </c>
      <c r="L181" s="124"/>
      <c r="M181" s="124"/>
      <c r="N181" s="124"/>
      <c r="O181" s="124"/>
      <c r="P181" s="124"/>
      <c r="Q181" s="124"/>
      <c r="R181" s="124"/>
      <c r="S181" s="124"/>
      <c r="T181" s="124"/>
      <c r="U181" s="128" cm="1">
        <f t="array" ref="U181">SUMPRODUCT(H181:T181,H$172:T$172)</f>
        <v>135</v>
      </c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</row>
    <row r="182" s="122" customFormat="1" spans="4:31">
      <c r="D182" s="124">
        <v>1002</v>
      </c>
      <c r="E182" s="128" t="str">
        <f t="shared" si="9"/>
        <v>挑战事件</v>
      </c>
      <c r="F182" s="124">
        <v>700</v>
      </c>
      <c r="G182" s="124">
        <v>75</v>
      </c>
      <c r="H182" s="15">
        <v>15</v>
      </c>
      <c r="I182" s="124"/>
      <c r="J182" s="124"/>
      <c r="K182" s="124"/>
      <c r="L182" s="124"/>
      <c r="M182" s="124">
        <v>2</v>
      </c>
      <c r="N182" s="124"/>
      <c r="O182" s="124"/>
      <c r="P182" s="124"/>
      <c r="Q182" s="124"/>
      <c r="R182" s="124"/>
      <c r="S182" s="124"/>
      <c r="T182" s="124"/>
      <c r="U182" s="128" cm="1">
        <f t="array" ref="U182">SUMPRODUCT(H182:T182,H$172:T$172)</f>
        <v>115</v>
      </c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</row>
    <row r="183" s="122" customFormat="1" spans="4:31">
      <c r="D183" s="124">
        <v>2001</v>
      </c>
      <c r="E183" s="128" t="str">
        <f t="shared" si="9"/>
        <v>普通增益</v>
      </c>
      <c r="F183" s="124">
        <v>2500</v>
      </c>
      <c r="G183" s="124">
        <v>20</v>
      </c>
      <c r="H183" s="15">
        <v>10</v>
      </c>
      <c r="I183" s="124"/>
      <c r="J183" s="124"/>
      <c r="K183" s="124"/>
      <c r="L183" s="124"/>
      <c r="M183" s="124"/>
      <c r="N183" s="124"/>
      <c r="O183" s="124"/>
      <c r="P183" s="124"/>
      <c r="Q183" s="128"/>
      <c r="R183" s="124">
        <v>500</v>
      </c>
      <c r="S183" s="128"/>
      <c r="T183" s="124"/>
      <c r="U183" s="128" cm="1">
        <f t="array" ref="U183">SUMPRODUCT(H183:T183,H$172:T$172)</f>
        <v>35</v>
      </c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</row>
    <row r="184" s="122" customFormat="1" spans="4:31">
      <c r="D184" s="124">
        <v>2001</v>
      </c>
      <c r="E184" s="128" t="str">
        <f t="shared" si="9"/>
        <v>普通增益</v>
      </c>
      <c r="F184" s="124">
        <v>2500</v>
      </c>
      <c r="G184" s="124">
        <v>20</v>
      </c>
      <c r="H184" s="15">
        <v>10</v>
      </c>
      <c r="I184" s="124"/>
      <c r="J184" s="124"/>
      <c r="K184" s="124"/>
      <c r="L184" s="124"/>
      <c r="M184" s="124"/>
      <c r="N184" s="124"/>
      <c r="O184" s="124"/>
      <c r="P184" s="124"/>
      <c r="Q184" s="128"/>
      <c r="R184" s="124"/>
      <c r="S184" s="128"/>
      <c r="T184" s="124">
        <v>100</v>
      </c>
      <c r="U184" s="128" cm="1">
        <f t="array" ref="U184">SUMPRODUCT(H184:T184,H$172:T$172)</f>
        <v>43</v>
      </c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</row>
    <row r="185" s="122" customFormat="1" spans="4:31">
      <c r="D185" s="124">
        <v>2001</v>
      </c>
      <c r="E185" s="128" t="str">
        <f t="shared" si="9"/>
        <v>普通增益</v>
      </c>
      <c r="F185" s="124">
        <v>2500</v>
      </c>
      <c r="G185" s="124">
        <v>20</v>
      </c>
      <c r="H185" s="15">
        <v>10</v>
      </c>
      <c r="I185" s="124"/>
      <c r="J185" s="124"/>
      <c r="K185" s="124"/>
      <c r="L185" s="124"/>
      <c r="M185" s="124"/>
      <c r="N185" s="124"/>
      <c r="O185" s="124">
        <v>10</v>
      </c>
      <c r="P185" s="124"/>
      <c r="Q185" s="128"/>
      <c r="R185" s="124"/>
      <c r="S185" s="128"/>
      <c r="T185" s="124"/>
      <c r="U185" s="128" cm="1">
        <f t="array" ref="U185">SUMPRODUCT(H185:T185,H$172:T$172)</f>
        <v>40</v>
      </c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</row>
    <row r="186" s="122" customFormat="1" spans="4:31">
      <c r="D186" s="124">
        <v>2001</v>
      </c>
      <c r="E186" s="128" t="str">
        <f t="shared" si="9"/>
        <v>普通增益</v>
      </c>
      <c r="F186" s="124">
        <v>2500</v>
      </c>
      <c r="G186" s="124">
        <v>20</v>
      </c>
      <c r="H186" s="15">
        <v>10</v>
      </c>
      <c r="I186" s="124"/>
      <c r="J186" s="124"/>
      <c r="K186" s="124"/>
      <c r="L186" s="124"/>
      <c r="M186" s="124"/>
      <c r="N186" s="124"/>
      <c r="O186" s="124"/>
      <c r="P186" s="124"/>
      <c r="Q186" s="128">
        <v>30</v>
      </c>
      <c r="R186" s="124"/>
      <c r="S186" s="128"/>
      <c r="T186" s="124"/>
      <c r="U186" s="128" cm="1">
        <f t="array" ref="U186">SUMPRODUCT(H186:T186,H$172:T$172)</f>
        <v>40</v>
      </c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</row>
    <row r="187" s="122" customFormat="1" spans="4:31">
      <c r="D187" s="124">
        <v>2002</v>
      </c>
      <c r="E187" s="128" t="str">
        <f t="shared" si="9"/>
        <v>高级增益</v>
      </c>
      <c r="F187" s="124">
        <v>3500</v>
      </c>
      <c r="G187" s="124">
        <v>100</v>
      </c>
      <c r="H187" s="15">
        <v>25</v>
      </c>
      <c r="I187" s="124"/>
      <c r="J187" s="124">
        <v>5</v>
      </c>
      <c r="K187" s="124"/>
      <c r="L187" s="124"/>
      <c r="M187" s="124"/>
      <c r="N187" s="124"/>
      <c r="O187" s="124"/>
      <c r="P187" s="124"/>
      <c r="Q187" s="128">
        <v>30</v>
      </c>
      <c r="R187" s="124"/>
      <c r="S187" s="165"/>
      <c r="T187" s="124"/>
      <c r="U187" s="128" cm="1">
        <f t="array" ref="U187">SUMPRODUCT(H187:T187,H$172:T$172)</f>
        <v>205</v>
      </c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</row>
    <row r="188" s="122" customFormat="1" spans="4:31">
      <c r="D188" s="124">
        <v>2002</v>
      </c>
      <c r="E188" s="128" t="str">
        <f t="shared" si="9"/>
        <v>高级增益</v>
      </c>
      <c r="F188" s="124">
        <v>3500</v>
      </c>
      <c r="G188" s="124">
        <v>100</v>
      </c>
      <c r="H188" s="15">
        <v>25</v>
      </c>
      <c r="I188" s="124"/>
      <c r="J188" s="124"/>
      <c r="K188" s="124"/>
      <c r="L188" s="124"/>
      <c r="M188" s="124">
        <v>2</v>
      </c>
      <c r="N188" s="124"/>
      <c r="O188" s="124"/>
      <c r="P188" s="124">
        <v>20</v>
      </c>
      <c r="Q188" s="128"/>
      <c r="R188" s="124"/>
      <c r="S188" s="165"/>
      <c r="T188" s="124"/>
      <c r="U188" s="128" cm="1">
        <f t="array" ref="U188">SUMPRODUCT(H188:T188,H$172:T$172)</f>
        <v>165</v>
      </c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</row>
    <row r="189" s="122" customFormat="1" spans="4:31">
      <c r="D189" s="124">
        <v>2002</v>
      </c>
      <c r="E189" s="128" t="str">
        <f t="shared" si="9"/>
        <v>高级增益</v>
      </c>
      <c r="F189" s="124">
        <v>500</v>
      </c>
      <c r="G189" s="124">
        <v>100</v>
      </c>
      <c r="H189" s="15">
        <v>25</v>
      </c>
      <c r="I189" s="124">
        <v>1</v>
      </c>
      <c r="J189" s="124"/>
      <c r="K189" s="124"/>
      <c r="L189" s="124"/>
      <c r="M189" s="124"/>
      <c r="N189" s="124"/>
      <c r="O189" s="124"/>
      <c r="P189" s="124"/>
      <c r="Q189" s="128"/>
      <c r="R189" s="124"/>
      <c r="S189" s="165"/>
      <c r="T189" s="124"/>
      <c r="U189" s="128" cm="1">
        <f t="array" ref="U189">SUMPRODUCT(H189:T189,H$172:T$172)</f>
        <v>305</v>
      </c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</row>
    <row r="190" s="122" customFormat="1" spans="4:31">
      <c r="D190" s="124">
        <v>2002</v>
      </c>
      <c r="E190" s="128" t="str">
        <f t="shared" si="9"/>
        <v>高级增益</v>
      </c>
      <c r="F190" s="124">
        <v>2500</v>
      </c>
      <c r="G190" s="124">
        <v>100</v>
      </c>
      <c r="H190" s="15">
        <v>25</v>
      </c>
      <c r="I190" s="124"/>
      <c r="J190" s="124"/>
      <c r="K190" s="124">
        <v>2</v>
      </c>
      <c r="L190" s="124"/>
      <c r="M190" s="124"/>
      <c r="N190" s="124"/>
      <c r="O190" s="124"/>
      <c r="P190" s="124"/>
      <c r="Q190" s="128"/>
      <c r="R190" s="124"/>
      <c r="S190" s="165"/>
      <c r="T190" s="124"/>
      <c r="U190" s="128" cm="1">
        <f t="array" ref="U190">SUMPRODUCT(H190:T190,H$172:T$172)</f>
        <v>145</v>
      </c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</row>
    <row r="191" s="122" customFormat="1" spans="4:31">
      <c r="D191" s="124">
        <v>3001</v>
      </c>
      <c r="E191" s="128" t="str">
        <f t="shared" si="9"/>
        <v>公会花田</v>
      </c>
      <c r="F191" s="124">
        <v>3000</v>
      </c>
      <c r="G191" s="124">
        <v>100</v>
      </c>
      <c r="H191" s="15">
        <v>50</v>
      </c>
      <c r="I191" s="124"/>
      <c r="J191" s="124"/>
      <c r="K191" s="124"/>
      <c r="L191" s="124"/>
      <c r="M191" s="124"/>
      <c r="N191" s="124"/>
      <c r="O191" s="124"/>
      <c r="P191" s="128"/>
      <c r="Q191" s="128"/>
      <c r="R191" s="128"/>
      <c r="S191" s="165"/>
      <c r="T191" s="124"/>
      <c r="U191" s="128" cm="1">
        <f t="array" ref="U191">SUMPRODUCT(H191:T191,H$172:T$172)</f>
        <v>50</v>
      </c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</row>
    <row r="192" s="122" customFormat="1" spans="4:31">
      <c r="D192" s="124">
        <v>3001</v>
      </c>
      <c r="E192" s="128" t="str">
        <f t="shared" si="9"/>
        <v>公会花田</v>
      </c>
      <c r="F192" s="124">
        <v>3000</v>
      </c>
      <c r="G192" s="124">
        <v>100</v>
      </c>
      <c r="H192" s="15">
        <v>50</v>
      </c>
      <c r="I192" s="124"/>
      <c r="J192" s="124"/>
      <c r="K192" s="124"/>
      <c r="L192" s="124"/>
      <c r="M192" s="124"/>
      <c r="N192" s="124"/>
      <c r="O192" s="124"/>
      <c r="P192" s="128"/>
      <c r="Q192" s="128"/>
      <c r="R192" s="128"/>
      <c r="S192" s="165"/>
      <c r="T192" s="124"/>
      <c r="U192" s="128" cm="1">
        <f t="array" ref="U192">SUMPRODUCT(H192:T192,H$172:T$172)</f>
        <v>50</v>
      </c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</row>
    <row r="193" s="122" customFormat="1" spans="4:31">
      <c r="D193" s="124">
        <v>3001</v>
      </c>
      <c r="E193" s="128" t="str">
        <f t="shared" si="9"/>
        <v>公会花田</v>
      </c>
      <c r="F193" s="124">
        <v>4000</v>
      </c>
      <c r="G193" s="124">
        <v>100</v>
      </c>
      <c r="H193" s="15">
        <v>50</v>
      </c>
      <c r="I193" s="124"/>
      <c r="J193" s="124"/>
      <c r="K193" s="124"/>
      <c r="L193" s="124"/>
      <c r="M193" s="124"/>
      <c r="N193" s="124"/>
      <c r="O193" s="124"/>
      <c r="P193" s="128"/>
      <c r="Q193" s="128"/>
      <c r="R193" s="128"/>
      <c r="S193" s="165"/>
      <c r="T193" s="124"/>
      <c r="U193" s="128" cm="1">
        <f t="array" ref="U193">SUMPRODUCT(H193:T193,H$172:T$172)</f>
        <v>50</v>
      </c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</row>
    <row r="194" s="122" customFormat="1" spans="4:31"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8"/>
      <c r="Q194" s="124"/>
      <c r="R194" s="165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</row>
    <row r="195" s="122" customFormat="1" spans="4:31"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8"/>
      <c r="Q195" s="124"/>
      <c r="R195" s="165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</row>
    <row r="196" s="122" customFormat="1" spans="4:31"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8"/>
      <c r="Q196" s="124"/>
      <c r="R196" s="165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</row>
    <row r="197" s="122" customFormat="1" spans="4:31">
      <c r="D197" s="164" t="s">
        <v>1828</v>
      </c>
      <c r="E197" s="124" t="s">
        <v>1158</v>
      </c>
      <c r="F197" s="164" t="s">
        <v>1829</v>
      </c>
      <c r="G197" s="124"/>
      <c r="H197" s="124"/>
      <c r="I197" s="166" t="s">
        <v>1830</v>
      </c>
      <c r="J197" s="167" t="s">
        <v>1831</v>
      </c>
      <c r="K197" s="167" t="s">
        <v>962</v>
      </c>
      <c r="L197" s="167" t="s">
        <v>1832</v>
      </c>
      <c r="M197" s="124"/>
      <c r="N197" s="124"/>
      <c r="O197" s="124"/>
      <c r="P197" s="128"/>
      <c r="Q197" s="124"/>
      <c r="R197" s="165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</row>
    <row r="198" s="122" customFormat="1" spans="4:31">
      <c r="D198" s="168" t="s">
        <v>1833</v>
      </c>
      <c r="E198" s="151">
        <v>2000</v>
      </c>
      <c r="F198" s="169" t="s">
        <v>1834</v>
      </c>
      <c r="G198" s="124"/>
      <c r="H198" s="124"/>
      <c r="I198" s="170">
        <v>1</v>
      </c>
      <c r="J198" s="171"/>
      <c r="K198" s="171"/>
      <c r="L198" s="171">
        <v>50000</v>
      </c>
      <c r="M198" s="124"/>
      <c r="N198" s="124"/>
      <c r="O198" s="124"/>
      <c r="P198" s="128"/>
      <c r="Q198" s="124"/>
      <c r="R198" s="165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</row>
    <row r="199" s="122" customFormat="1" spans="4:31">
      <c r="D199" s="168" t="s">
        <v>1833</v>
      </c>
      <c r="E199" s="151">
        <v>1500</v>
      </c>
      <c r="F199" s="169" t="s">
        <v>1835</v>
      </c>
      <c r="G199" s="124"/>
      <c r="H199" s="124"/>
      <c r="I199" s="170">
        <v>2</v>
      </c>
      <c r="J199" s="172" t="s">
        <v>1836</v>
      </c>
      <c r="K199" s="171" t="s">
        <v>1837</v>
      </c>
      <c r="L199" s="171">
        <v>100000</v>
      </c>
      <c r="M199" s="124"/>
      <c r="N199" s="124"/>
      <c r="O199" s="124"/>
      <c r="P199" s="128"/>
      <c r="Q199" s="124"/>
      <c r="R199" s="165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</row>
    <row r="200" s="122" customFormat="1" spans="4:31">
      <c r="D200" s="168" t="s">
        <v>1833</v>
      </c>
      <c r="E200" s="151">
        <v>500</v>
      </c>
      <c r="F200" s="169" t="s">
        <v>1838</v>
      </c>
      <c r="G200" s="124"/>
      <c r="H200" s="124"/>
      <c r="I200" s="170">
        <v>3</v>
      </c>
      <c r="J200" s="172" t="s">
        <v>1839</v>
      </c>
      <c r="K200" s="171" t="s">
        <v>1837</v>
      </c>
      <c r="L200" s="171">
        <v>150000</v>
      </c>
      <c r="M200" s="124"/>
      <c r="N200" s="124"/>
      <c r="O200" s="124"/>
      <c r="P200" s="128"/>
      <c r="Q200" s="124"/>
      <c r="R200" s="165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</row>
    <row r="201" s="122" customFormat="1" spans="4:31">
      <c r="D201" s="168" t="s">
        <v>1833</v>
      </c>
      <c r="E201" s="151">
        <v>500</v>
      </c>
      <c r="F201" s="169" t="s">
        <v>1840</v>
      </c>
      <c r="G201" s="124"/>
      <c r="H201" s="124"/>
      <c r="I201" s="170">
        <v>4</v>
      </c>
      <c r="J201" s="172" t="s">
        <v>1841</v>
      </c>
      <c r="K201" s="171" t="s">
        <v>1837</v>
      </c>
      <c r="L201" s="171">
        <v>250000</v>
      </c>
      <c r="M201" s="124"/>
      <c r="N201" s="124"/>
      <c r="O201" s="124"/>
      <c r="P201" s="128"/>
      <c r="Q201" s="124"/>
      <c r="R201" s="165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</row>
    <row r="202" s="122" customFormat="1" spans="4:31">
      <c r="D202" s="168" t="s">
        <v>1833</v>
      </c>
      <c r="E202" s="151">
        <v>2000</v>
      </c>
      <c r="F202" s="169" t="s">
        <v>1842</v>
      </c>
      <c r="G202" s="124"/>
      <c r="H202" s="124"/>
      <c r="I202" s="170"/>
      <c r="J202" s="171"/>
      <c r="K202" s="171"/>
      <c r="L202" s="171"/>
      <c r="M202" s="124"/>
      <c r="N202" s="124"/>
      <c r="O202" s="124"/>
      <c r="P202" s="128"/>
      <c r="Q202" s="124"/>
      <c r="R202" s="165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</row>
    <row r="203" s="122" customFormat="1" spans="4:31">
      <c r="D203" s="168" t="s">
        <v>1843</v>
      </c>
      <c r="E203" s="151">
        <v>2000</v>
      </c>
      <c r="F203" s="169" t="s">
        <v>1844</v>
      </c>
      <c r="G203" s="124"/>
      <c r="H203" s="124"/>
      <c r="I203" s="124"/>
      <c r="J203" s="124"/>
      <c r="K203" s="124"/>
      <c r="L203" s="124"/>
      <c r="M203" s="124"/>
      <c r="N203" s="124"/>
      <c r="O203" s="124"/>
      <c r="P203" s="128"/>
      <c r="Q203" s="124"/>
      <c r="R203" s="165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</row>
    <row r="204" s="122" customFormat="1" spans="4:31">
      <c r="D204" s="168" t="s">
        <v>1843</v>
      </c>
      <c r="E204" s="151">
        <v>100</v>
      </c>
      <c r="F204" s="169" t="s">
        <v>1845</v>
      </c>
      <c r="G204" s="124"/>
      <c r="H204" s="124"/>
      <c r="I204" s="124"/>
      <c r="J204" s="124"/>
      <c r="K204" s="124"/>
      <c r="L204" s="124"/>
      <c r="M204" s="124"/>
      <c r="N204" s="124"/>
      <c r="O204" s="124"/>
      <c r="P204" s="128"/>
      <c r="Q204" s="124"/>
      <c r="R204" s="165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</row>
    <row r="205" s="122" customFormat="1" spans="4:31">
      <c r="D205" s="168" t="s">
        <v>1843</v>
      </c>
      <c r="E205" s="151">
        <v>100</v>
      </c>
      <c r="F205" s="169" t="s">
        <v>1846</v>
      </c>
      <c r="G205" s="124"/>
      <c r="H205" s="124"/>
      <c r="I205" s="124"/>
      <c r="J205" s="124"/>
      <c r="K205" s="124"/>
      <c r="L205" s="124"/>
      <c r="M205" s="124"/>
      <c r="N205" s="124"/>
      <c r="O205" s="124"/>
      <c r="P205" s="128"/>
      <c r="Q205" s="124"/>
      <c r="R205" s="165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</row>
    <row r="206" s="122" customFormat="1" spans="4:31">
      <c r="D206" s="168" t="s">
        <v>1843</v>
      </c>
      <c r="E206" s="151">
        <v>300</v>
      </c>
      <c r="F206" s="169" t="s">
        <v>1847</v>
      </c>
      <c r="G206" s="124"/>
      <c r="H206" s="124"/>
      <c r="I206" s="124"/>
      <c r="J206" s="124"/>
      <c r="K206" s="124"/>
      <c r="L206" s="124"/>
      <c r="M206" s="124"/>
      <c r="N206" s="124"/>
      <c r="O206" s="124"/>
      <c r="P206" s="128"/>
      <c r="Q206" s="124"/>
      <c r="R206" s="165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</row>
    <row r="207" s="122" customFormat="1" spans="4:31">
      <c r="D207" s="168" t="s">
        <v>1843</v>
      </c>
      <c r="E207" s="151">
        <v>1000</v>
      </c>
      <c r="F207" s="169" t="s">
        <v>1848</v>
      </c>
      <c r="G207" s="124"/>
      <c r="H207" s="124"/>
      <c r="I207" s="124"/>
      <c r="J207" s="124"/>
      <c r="K207" s="124"/>
      <c r="L207" s="124"/>
      <c r="M207" s="124"/>
      <c r="N207" s="128"/>
      <c r="O207" s="124"/>
      <c r="P207" s="165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</row>
    <row r="208" s="122" customFormat="1" spans="4:31"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8"/>
      <c r="O208" s="124"/>
      <c r="P208" s="165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</row>
    <row r="209" s="122" customFormat="1" spans="4:28">
      <c r="D209" s="124" t="s">
        <v>1849</v>
      </c>
      <c r="E209" s="124" t="s">
        <v>1796</v>
      </c>
      <c r="F209" s="124" t="s">
        <v>1797</v>
      </c>
      <c r="G209" s="124" t="s">
        <v>1798</v>
      </c>
      <c r="H209" s="124" t="s">
        <v>1799</v>
      </c>
      <c r="I209" s="124" t="s">
        <v>1800</v>
      </c>
      <c r="J209" s="124" t="s">
        <v>1801</v>
      </c>
      <c r="K209" s="124"/>
      <c r="L209" s="124"/>
      <c r="M209" s="128"/>
      <c r="N209" s="124"/>
      <c r="O209" s="165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</row>
    <row r="210" s="122" customFormat="1" spans="4:28">
      <c r="D210" s="124">
        <v>1</v>
      </c>
      <c r="E210" s="124" t="s">
        <v>310</v>
      </c>
      <c r="F210" s="124">
        <v>2</v>
      </c>
      <c r="G210" s="124" t="s">
        <v>314</v>
      </c>
      <c r="H210" s="173">
        <v>100</v>
      </c>
      <c r="I210" s="124"/>
      <c r="J210" s="151"/>
      <c r="K210" s="124"/>
      <c r="L210" s="124"/>
      <c r="M210" s="128"/>
      <c r="N210" s="124"/>
      <c r="O210" s="165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</row>
    <row r="211" s="122" customFormat="1" spans="4:28">
      <c r="D211" s="124">
        <v>2</v>
      </c>
      <c r="E211" s="124" t="s">
        <v>310</v>
      </c>
      <c r="F211" s="124">
        <v>2</v>
      </c>
      <c r="G211" s="124" t="s">
        <v>314</v>
      </c>
      <c r="H211" s="173">
        <v>100</v>
      </c>
      <c r="I211" s="124"/>
      <c r="J211" s="151"/>
      <c r="K211" s="124"/>
      <c r="L211" s="124">
        <f t="shared" ref="L211:L241" si="10">H211/(D211-D210)</f>
        <v>100</v>
      </c>
      <c r="M211" s="128"/>
      <c r="N211" s="124"/>
      <c r="O211" s="165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</row>
    <row r="212" s="122" customFormat="1" spans="4:28">
      <c r="D212" s="124">
        <v>3</v>
      </c>
      <c r="E212" s="124" t="s">
        <v>310</v>
      </c>
      <c r="F212" s="124">
        <v>2</v>
      </c>
      <c r="G212" s="124" t="s">
        <v>314</v>
      </c>
      <c r="H212" s="173">
        <v>200</v>
      </c>
      <c r="I212" s="124"/>
      <c r="J212" s="174"/>
      <c r="K212" s="124"/>
      <c r="L212" s="124">
        <f t="shared" si="10"/>
        <v>200</v>
      </c>
      <c r="M212" s="128"/>
      <c r="N212" s="124"/>
      <c r="O212" s="165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</row>
    <row r="213" s="122" customFormat="1" spans="4:28">
      <c r="D213" s="124">
        <v>5</v>
      </c>
      <c r="E213" s="124" t="s">
        <v>310</v>
      </c>
      <c r="F213" s="124">
        <v>2</v>
      </c>
      <c r="G213" s="124" t="s">
        <v>314</v>
      </c>
      <c r="H213" s="173">
        <v>300</v>
      </c>
      <c r="I213" s="154" t="s">
        <v>312</v>
      </c>
      <c r="J213" s="174">
        <v>1</v>
      </c>
      <c r="K213" s="124"/>
      <c r="L213" s="124">
        <f t="shared" si="10"/>
        <v>150</v>
      </c>
      <c r="M213" s="128"/>
      <c r="N213" s="124"/>
      <c r="O213" s="165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</row>
    <row r="214" s="122" customFormat="1" spans="4:28">
      <c r="D214" s="124">
        <v>8</v>
      </c>
      <c r="E214" s="124" t="s">
        <v>310</v>
      </c>
      <c r="F214" s="124">
        <v>2</v>
      </c>
      <c r="G214" s="124" t="s">
        <v>314</v>
      </c>
      <c r="H214" s="173">
        <v>400</v>
      </c>
      <c r="I214" s="124"/>
      <c r="J214" s="174"/>
      <c r="K214" s="124"/>
      <c r="L214" s="124">
        <f t="shared" si="10"/>
        <v>133.333333333333</v>
      </c>
      <c r="M214" s="128"/>
      <c r="N214" s="124"/>
      <c r="O214" s="165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</row>
    <row r="215" s="122" customFormat="1" spans="4:28">
      <c r="D215" s="124">
        <v>10</v>
      </c>
      <c r="E215" s="124" t="s">
        <v>310</v>
      </c>
      <c r="F215" s="124">
        <v>2</v>
      </c>
      <c r="G215" s="124" t="s">
        <v>314</v>
      </c>
      <c r="H215" s="173">
        <v>400</v>
      </c>
      <c r="I215" s="154" t="s">
        <v>312</v>
      </c>
      <c r="J215" s="174">
        <v>1</v>
      </c>
      <c r="K215" s="124"/>
      <c r="L215" s="124">
        <f t="shared" si="10"/>
        <v>200</v>
      </c>
      <c r="M215" s="128"/>
      <c r="N215" s="124"/>
      <c r="O215" s="165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</row>
    <row r="216" s="122" customFormat="1" spans="4:28">
      <c r="D216" s="124">
        <v>12</v>
      </c>
      <c r="E216" s="124" t="s">
        <v>310</v>
      </c>
      <c r="F216" s="124">
        <v>2</v>
      </c>
      <c r="G216" s="124" t="s">
        <v>314</v>
      </c>
      <c r="H216" s="173">
        <v>400</v>
      </c>
      <c r="I216" s="124"/>
      <c r="J216" s="174"/>
      <c r="K216" s="124"/>
      <c r="L216" s="124">
        <f t="shared" si="10"/>
        <v>200</v>
      </c>
      <c r="M216" s="128"/>
      <c r="N216" s="124"/>
      <c r="O216" s="165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</row>
    <row r="217" s="122" customFormat="1" spans="4:28">
      <c r="D217" s="124">
        <v>15</v>
      </c>
      <c r="E217" s="124" t="s">
        <v>310</v>
      </c>
      <c r="F217" s="124">
        <v>2</v>
      </c>
      <c r="G217" s="124" t="s">
        <v>314</v>
      </c>
      <c r="H217" s="173">
        <v>500</v>
      </c>
      <c r="I217" s="175" t="s">
        <v>312</v>
      </c>
      <c r="J217" s="176">
        <v>1</v>
      </c>
      <c r="K217" s="124"/>
      <c r="L217" s="124">
        <f t="shared" si="10"/>
        <v>166.666666666667</v>
      </c>
      <c r="M217" s="128"/>
      <c r="N217" s="124"/>
      <c r="O217" s="165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</row>
    <row r="218" s="122" customFormat="1" spans="4:28">
      <c r="D218" s="124">
        <v>18</v>
      </c>
      <c r="E218" s="124" t="s">
        <v>310</v>
      </c>
      <c r="F218" s="124">
        <v>2</v>
      </c>
      <c r="G218" s="124" t="s">
        <v>314</v>
      </c>
      <c r="H218" s="173">
        <v>500</v>
      </c>
      <c r="I218" s="124"/>
      <c r="J218" s="174"/>
      <c r="K218" s="124"/>
      <c r="L218" s="124">
        <f t="shared" si="10"/>
        <v>166.666666666667</v>
      </c>
      <c r="M218" s="128"/>
      <c r="N218" s="124"/>
      <c r="O218" s="165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</row>
    <row r="219" s="122" customFormat="1" spans="4:28">
      <c r="D219" s="124">
        <v>21</v>
      </c>
      <c r="E219" s="124" t="s">
        <v>310</v>
      </c>
      <c r="F219" s="124">
        <v>2</v>
      </c>
      <c r="G219" s="124" t="s">
        <v>314</v>
      </c>
      <c r="H219" s="173">
        <v>500</v>
      </c>
      <c r="I219" s="154" t="s">
        <v>312</v>
      </c>
      <c r="J219" s="174">
        <v>1</v>
      </c>
      <c r="K219" s="124"/>
      <c r="L219" s="124">
        <f t="shared" si="10"/>
        <v>166.666666666667</v>
      </c>
      <c r="M219" s="128"/>
      <c r="N219" s="124"/>
      <c r="O219" s="165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</row>
    <row r="220" s="122" customFormat="1" spans="4:28">
      <c r="D220" s="124">
        <v>25</v>
      </c>
      <c r="E220" s="124" t="s">
        <v>310</v>
      </c>
      <c r="F220" s="124">
        <v>2</v>
      </c>
      <c r="G220" s="124" t="s">
        <v>314</v>
      </c>
      <c r="H220" s="173">
        <v>600</v>
      </c>
      <c r="I220" s="124"/>
      <c r="J220" s="174"/>
      <c r="K220" s="124"/>
      <c r="L220" s="124">
        <f t="shared" si="10"/>
        <v>150</v>
      </c>
      <c r="M220" s="128"/>
      <c r="N220" s="124"/>
      <c r="O220" s="165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</row>
    <row r="221" s="122" customFormat="1" spans="4:28">
      <c r="D221" s="124">
        <v>30</v>
      </c>
      <c r="E221" s="124" t="s">
        <v>310</v>
      </c>
      <c r="F221" s="124">
        <v>2</v>
      </c>
      <c r="G221" s="124" t="s">
        <v>314</v>
      </c>
      <c r="H221" s="173">
        <v>600</v>
      </c>
      <c r="I221" s="154" t="s">
        <v>312</v>
      </c>
      <c r="J221" s="174">
        <v>1</v>
      </c>
      <c r="K221" s="124"/>
      <c r="L221" s="124">
        <f t="shared" si="10"/>
        <v>120</v>
      </c>
      <c r="M221" s="128"/>
      <c r="N221" s="124"/>
      <c r="O221" s="165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</row>
    <row r="222" s="122" customFormat="1" spans="4:28">
      <c r="D222" s="124">
        <v>35</v>
      </c>
      <c r="E222" s="124" t="s">
        <v>310</v>
      </c>
      <c r="F222" s="124">
        <v>2</v>
      </c>
      <c r="G222" s="124" t="s">
        <v>314</v>
      </c>
      <c r="H222" s="173">
        <v>700</v>
      </c>
      <c r="I222" s="124"/>
      <c r="J222" s="174"/>
      <c r="K222" s="124"/>
      <c r="L222" s="124">
        <f t="shared" si="10"/>
        <v>140</v>
      </c>
      <c r="M222" s="128"/>
      <c r="N222" s="124"/>
      <c r="O222" s="165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</row>
    <row r="223" s="122" customFormat="1" spans="4:28">
      <c r="D223" s="124">
        <v>40</v>
      </c>
      <c r="E223" s="124" t="s">
        <v>310</v>
      </c>
      <c r="F223" s="124">
        <v>2</v>
      </c>
      <c r="G223" s="124" t="s">
        <v>314</v>
      </c>
      <c r="H223" s="173">
        <v>700</v>
      </c>
      <c r="I223" s="154" t="s">
        <v>312</v>
      </c>
      <c r="J223" s="174">
        <v>1</v>
      </c>
      <c r="K223" s="124"/>
      <c r="L223" s="124">
        <f t="shared" si="10"/>
        <v>140</v>
      </c>
      <c r="M223" s="128"/>
      <c r="N223" s="124"/>
      <c r="O223" s="165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</row>
    <row r="224" s="122" customFormat="1" spans="4:28">
      <c r="D224" s="124">
        <v>45</v>
      </c>
      <c r="E224" s="124" t="s">
        <v>310</v>
      </c>
      <c r="F224" s="124">
        <v>2</v>
      </c>
      <c r="G224" s="124" t="s">
        <v>314</v>
      </c>
      <c r="H224" s="173">
        <v>800</v>
      </c>
      <c r="I224" s="124"/>
      <c r="J224" s="174"/>
      <c r="K224" s="124"/>
      <c r="L224" s="124">
        <f t="shared" si="10"/>
        <v>160</v>
      </c>
      <c r="M224" s="128"/>
      <c r="N224" s="124"/>
      <c r="O224" s="165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</row>
    <row r="225" s="122" customFormat="1" spans="4:28">
      <c r="D225" s="124">
        <v>50</v>
      </c>
      <c r="E225" s="124" t="s">
        <v>310</v>
      </c>
      <c r="F225" s="124">
        <v>2</v>
      </c>
      <c r="G225" s="124" t="s">
        <v>314</v>
      </c>
      <c r="H225" s="173">
        <v>800</v>
      </c>
      <c r="I225" s="154" t="s">
        <v>312</v>
      </c>
      <c r="J225" s="174">
        <v>1</v>
      </c>
      <c r="K225" s="124"/>
      <c r="L225" s="124">
        <f t="shared" si="10"/>
        <v>160</v>
      </c>
      <c r="M225" s="128"/>
      <c r="N225" s="165"/>
      <c r="O225" s="165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</row>
    <row r="226" s="122" customFormat="1" spans="4:28">
      <c r="D226" s="124">
        <v>55</v>
      </c>
      <c r="E226" s="124" t="s">
        <v>310</v>
      </c>
      <c r="F226" s="124">
        <v>2</v>
      </c>
      <c r="G226" s="124" t="s">
        <v>314</v>
      </c>
      <c r="H226" s="173">
        <v>900</v>
      </c>
      <c r="I226" s="124"/>
      <c r="J226" s="174"/>
      <c r="K226" s="124"/>
      <c r="L226" s="124">
        <f t="shared" si="10"/>
        <v>180</v>
      </c>
      <c r="M226" s="128"/>
      <c r="N226" s="165"/>
      <c r="O226" s="165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</row>
    <row r="227" s="122" customFormat="1" spans="4:28">
      <c r="D227" s="124">
        <v>60</v>
      </c>
      <c r="E227" s="124" t="s">
        <v>310</v>
      </c>
      <c r="F227" s="124">
        <v>2</v>
      </c>
      <c r="G227" s="124" t="s">
        <v>314</v>
      </c>
      <c r="H227" s="173">
        <v>900</v>
      </c>
      <c r="I227" s="154" t="s">
        <v>312</v>
      </c>
      <c r="J227" s="174">
        <v>1</v>
      </c>
      <c r="K227" s="124"/>
      <c r="L227" s="124">
        <f t="shared" si="10"/>
        <v>180</v>
      </c>
      <c r="M227" s="128"/>
      <c r="N227" s="165"/>
      <c r="O227" s="165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</row>
    <row r="228" s="122" customFormat="1" spans="4:28">
      <c r="D228" s="124">
        <v>70</v>
      </c>
      <c r="E228" s="124" t="s">
        <v>310</v>
      </c>
      <c r="F228" s="124">
        <v>2</v>
      </c>
      <c r="G228" s="124" t="s">
        <v>314</v>
      </c>
      <c r="H228" s="173">
        <v>1000</v>
      </c>
      <c r="I228" s="124"/>
      <c r="J228" s="174"/>
      <c r="K228" s="124"/>
      <c r="L228" s="124">
        <f t="shared" si="10"/>
        <v>100</v>
      </c>
      <c r="M228" s="128"/>
      <c r="N228" s="165"/>
      <c r="O228" s="165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</row>
    <row r="229" s="122" customFormat="1" spans="4:28">
      <c r="D229" s="124">
        <v>80</v>
      </c>
      <c r="E229" s="124" t="s">
        <v>310</v>
      </c>
      <c r="F229" s="124">
        <v>2</v>
      </c>
      <c r="G229" s="124" t="s">
        <v>314</v>
      </c>
      <c r="H229" s="173">
        <v>1000</v>
      </c>
      <c r="I229" s="154" t="s">
        <v>312</v>
      </c>
      <c r="J229" s="174">
        <v>1</v>
      </c>
      <c r="K229" s="124"/>
      <c r="L229" s="124">
        <f t="shared" si="10"/>
        <v>100</v>
      </c>
      <c r="M229" s="128"/>
      <c r="N229" s="165"/>
      <c r="O229" s="165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</row>
    <row r="230" s="122" customFormat="1" spans="4:28">
      <c r="D230" s="124">
        <v>90</v>
      </c>
      <c r="E230" s="124" t="s">
        <v>310</v>
      </c>
      <c r="F230" s="124">
        <v>2</v>
      </c>
      <c r="G230" s="124" t="s">
        <v>314</v>
      </c>
      <c r="H230" s="173">
        <v>1100</v>
      </c>
      <c r="I230" s="124"/>
      <c r="J230" s="151"/>
      <c r="K230" s="124"/>
      <c r="L230" s="124">
        <f t="shared" si="10"/>
        <v>110</v>
      </c>
      <c r="M230" s="128"/>
      <c r="N230" s="165"/>
      <c r="O230" s="165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</row>
    <row r="231" s="122" customFormat="1" spans="4:28">
      <c r="D231" s="124">
        <v>100</v>
      </c>
      <c r="E231" s="124" t="s">
        <v>310</v>
      </c>
      <c r="F231" s="124">
        <v>2</v>
      </c>
      <c r="G231" s="124" t="s">
        <v>314</v>
      </c>
      <c r="H231" s="173">
        <v>1100</v>
      </c>
      <c r="I231" s="154" t="s">
        <v>312</v>
      </c>
      <c r="J231" s="151">
        <v>1</v>
      </c>
      <c r="K231" s="124"/>
      <c r="L231" s="124">
        <f t="shared" si="10"/>
        <v>110</v>
      </c>
      <c r="M231" s="128"/>
      <c r="N231" s="165"/>
      <c r="O231" s="165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</row>
    <row r="232" s="122" customFormat="1" spans="4:28">
      <c r="D232" s="124">
        <v>120</v>
      </c>
      <c r="E232" s="124" t="s">
        <v>310</v>
      </c>
      <c r="F232" s="124">
        <v>2</v>
      </c>
      <c r="G232" s="124" t="s">
        <v>314</v>
      </c>
      <c r="H232" s="173">
        <v>1200</v>
      </c>
      <c r="I232" s="124"/>
      <c r="J232" s="151"/>
      <c r="K232" s="124"/>
      <c r="L232" s="124">
        <f t="shared" si="10"/>
        <v>60</v>
      </c>
      <c r="M232" s="128"/>
      <c r="N232" s="165"/>
      <c r="O232" s="165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</row>
    <row r="233" s="122" customFormat="1" spans="4:28">
      <c r="D233" s="124">
        <v>140</v>
      </c>
      <c r="E233" s="124" t="s">
        <v>310</v>
      </c>
      <c r="F233" s="124">
        <v>2</v>
      </c>
      <c r="G233" s="124" t="s">
        <v>314</v>
      </c>
      <c r="H233" s="173">
        <v>1200</v>
      </c>
      <c r="I233" s="154" t="s">
        <v>312</v>
      </c>
      <c r="J233" s="151">
        <v>1</v>
      </c>
      <c r="K233" s="124"/>
      <c r="L233" s="124">
        <f t="shared" si="10"/>
        <v>60</v>
      </c>
      <c r="M233" s="128"/>
      <c r="N233" s="124"/>
      <c r="O233" s="165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</row>
    <row r="234" s="122" customFormat="1" spans="4:28">
      <c r="D234" s="124">
        <v>160</v>
      </c>
      <c r="E234" s="124" t="s">
        <v>310</v>
      </c>
      <c r="F234" s="124">
        <v>2</v>
      </c>
      <c r="G234" s="124" t="s">
        <v>314</v>
      </c>
      <c r="H234" s="173">
        <v>1200</v>
      </c>
      <c r="I234" s="154"/>
      <c r="J234" s="151"/>
      <c r="K234" s="124"/>
      <c r="L234" s="124">
        <f t="shared" si="10"/>
        <v>60</v>
      </c>
      <c r="M234" s="128"/>
      <c r="N234" s="124"/>
      <c r="O234" s="165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</row>
    <row r="235" s="122" customFormat="1" spans="4:28">
      <c r="D235" s="124">
        <v>180</v>
      </c>
      <c r="E235" s="124" t="s">
        <v>310</v>
      </c>
      <c r="F235" s="124">
        <v>2</v>
      </c>
      <c r="G235" s="124" t="s">
        <v>314</v>
      </c>
      <c r="H235" s="173">
        <v>1200</v>
      </c>
      <c r="I235" s="154" t="s">
        <v>312</v>
      </c>
      <c r="J235" s="151">
        <v>1</v>
      </c>
      <c r="K235" s="124"/>
      <c r="L235" s="124">
        <f t="shared" si="10"/>
        <v>60</v>
      </c>
      <c r="M235" s="128"/>
      <c r="N235" s="124"/>
      <c r="O235" s="165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</row>
    <row r="236" s="122" customFormat="1" spans="4:28">
      <c r="D236" s="124">
        <v>200</v>
      </c>
      <c r="E236" s="124" t="s">
        <v>310</v>
      </c>
      <c r="F236" s="124">
        <v>2</v>
      </c>
      <c r="G236" s="124" t="s">
        <v>314</v>
      </c>
      <c r="H236" s="173">
        <v>1200</v>
      </c>
      <c r="I236" s="154"/>
      <c r="J236" s="151"/>
      <c r="K236" s="124"/>
      <c r="L236" s="124">
        <f t="shared" si="10"/>
        <v>60</v>
      </c>
      <c r="M236" s="128"/>
      <c r="N236" s="124"/>
      <c r="O236" s="165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</row>
    <row r="237" s="122" customFormat="1" spans="4:28">
      <c r="D237" s="124">
        <v>240</v>
      </c>
      <c r="E237" s="124" t="s">
        <v>310</v>
      </c>
      <c r="F237" s="124">
        <v>2</v>
      </c>
      <c r="G237" s="124" t="s">
        <v>314</v>
      </c>
      <c r="H237" s="173">
        <v>1200</v>
      </c>
      <c r="I237" s="154" t="s">
        <v>312</v>
      </c>
      <c r="J237" s="151">
        <v>1</v>
      </c>
      <c r="K237" s="124"/>
      <c r="L237" s="124">
        <f t="shared" si="10"/>
        <v>30</v>
      </c>
      <c r="M237" s="128"/>
      <c r="N237" s="124"/>
      <c r="O237" s="165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</row>
    <row r="238" s="122" customFormat="1" spans="4:28">
      <c r="D238" s="124">
        <v>280</v>
      </c>
      <c r="E238" s="124" t="s">
        <v>310</v>
      </c>
      <c r="F238" s="124">
        <v>2</v>
      </c>
      <c r="G238" s="124" t="s">
        <v>314</v>
      </c>
      <c r="H238" s="173">
        <v>1200</v>
      </c>
      <c r="I238" s="154"/>
      <c r="J238" s="151"/>
      <c r="K238" s="124"/>
      <c r="L238" s="124">
        <f t="shared" si="10"/>
        <v>30</v>
      </c>
      <c r="M238" s="128"/>
      <c r="N238" s="124"/>
      <c r="O238" s="165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</row>
    <row r="239" s="122" customFormat="1" spans="4:28">
      <c r="D239" s="124">
        <v>320</v>
      </c>
      <c r="E239" s="124" t="s">
        <v>310</v>
      </c>
      <c r="F239" s="124">
        <v>2</v>
      </c>
      <c r="G239" s="124" t="s">
        <v>314</v>
      </c>
      <c r="H239" s="173">
        <v>1200</v>
      </c>
      <c r="I239" s="154" t="s">
        <v>312</v>
      </c>
      <c r="J239" s="151">
        <v>1</v>
      </c>
      <c r="K239" s="124"/>
      <c r="L239" s="124">
        <f t="shared" si="10"/>
        <v>30</v>
      </c>
      <c r="M239" s="128"/>
      <c r="N239" s="124"/>
      <c r="O239" s="165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</row>
    <row r="240" s="122" customFormat="1" spans="4:28">
      <c r="D240" s="124">
        <v>360</v>
      </c>
      <c r="E240" s="124" t="s">
        <v>310</v>
      </c>
      <c r="F240" s="124">
        <v>2</v>
      </c>
      <c r="G240" s="124" t="s">
        <v>314</v>
      </c>
      <c r="H240" s="173">
        <v>1200</v>
      </c>
      <c r="I240" s="154"/>
      <c r="J240" s="151"/>
      <c r="K240" s="124"/>
      <c r="L240" s="124">
        <f t="shared" si="10"/>
        <v>30</v>
      </c>
      <c r="M240" s="128"/>
      <c r="N240" s="124"/>
      <c r="O240" s="165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</row>
    <row r="241" s="122" customFormat="1" spans="2:31">
      <c r="D241" s="124">
        <v>400</v>
      </c>
      <c r="E241" s="124" t="s">
        <v>310</v>
      </c>
      <c r="F241" s="124">
        <v>2</v>
      </c>
      <c r="G241" s="124" t="s">
        <v>314</v>
      </c>
      <c r="H241" s="173">
        <v>1200</v>
      </c>
      <c r="I241" s="154" t="s">
        <v>312</v>
      </c>
      <c r="J241" s="151">
        <v>1</v>
      </c>
      <c r="K241" s="124"/>
      <c r="L241" s="124">
        <f t="shared" si="10"/>
        <v>30</v>
      </c>
      <c r="M241" s="128"/>
      <c r="N241" s="124"/>
      <c r="O241" s="165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</row>
    <row r="242" s="122" customFormat="1" spans="2:31">
      <c r="D242" s="124"/>
      <c r="E242" s="124"/>
      <c r="F242" s="124"/>
      <c r="G242" s="124"/>
      <c r="H242" s="124"/>
      <c r="I242" s="154"/>
      <c r="J242" s="177"/>
      <c r="K242" s="124"/>
      <c r="L242" s="124"/>
      <c r="M242" s="128"/>
      <c r="N242" s="124"/>
      <c r="O242" s="165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</row>
    <row r="243" s="122" customFormat="1" spans="2:31">
      <c r="D243" s="124"/>
      <c r="E243" s="124"/>
      <c r="F243" s="124"/>
      <c r="G243" s="124"/>
      <c r="H243" s="124"/>
      <c r="I243" s="154"/>
      <c r="J243" s="144"/>
      <c r="K243" s="124"/>
      <c r="L243" s="124"/>
      <c r="M243" s="128"/>
      <c r="N243" s="124"/>
      <c r="O243" s="165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</row>
    <row r="244" s="122" customFormat="1" spans="2:31">
      <c r="D244" s="124"/>
      <c r="E244" s="124"/>
      <c r="F244" s="124"/>
      <c r="G244" s="124"/>
      <c r="H244" s="124"/>
      <c r="I244" s="145"/>
      <c r="J244" s="124"/>
      <c r="K244" s="124"/>
      <c r="L244" s="124"/>
      <c r="M244" s="128"/>
      <c r="N244" s="124"/>
      <c r="O244" s="145"/>
      <c r="P244" s="124"/>
      <c r="Q244" s="14"/>
      <c r="R244" s="1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</row>
    <row r="245" s="122" customFormat="1" spans="2:31">
      <c r="B245" s="125"/>
      <c r="C245" s="125" t="s">
        <v>1175</v>
      </c>
      <c r="D245" s="124"/>
      <c r="E245" s="124"/>
      <c r="F245" s="124"/>
      <c r="G245" s="124"/>
      <c r="H245" s="124"/>
      <c r="I245" s="124"/>
      <c r="J245" s="124"/>
      <c r="K245" s="124"/>
      <c r="L245" s="14"/>
      <c r="M245" s="124"/>
      <c r="N245" s="124"/>
      <c r="O245" s="145"/>
      <c r="P245" s="124"/>
      <c r="Q245" s="14"/>
      <c r="R245" s="1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</row>
    <row r="246" s="122" customFormat="1" spans="2:31"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4"/>
      <c r="O246" s="124"/>
      <c r="P246" s="124"/>
      <c r="Q246" s="145"/>
      <c r="R246" s="124"/>
      <c r="S246" s="14"/>
      <c r="T246" s="1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</row>
    <row r="247" s="122" customFormat="1" spans="2:31">
      <c r="D247" s="78" t="s">
        <v>1539</v>
      </c>
      <c r="E247" s="14" t="s">
        <v>1850</v>
      </c>
      <c r="F247" s="14" t="s">
        <v>1701</v>
      </c>
      <c r="G247" s="124"/>
      <c r="H247" s="124"/>
      <c r="I247" s="124"/>
      <c r="J247" s="124"/>
      <c r="K247" s="124"/>
      <c r="L247" s="124"/>
      <c r="M247" s="124"/>
      <c r="N247" s="14"/>
      <c r="O247" s="124"/>
      <c r="P247" s="124"/>
      <c r="Q247" s="145"/>
      <c r="R247" s="124"/>
      <c r="S247" s="14"/>
      <c r="T247" s="1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</row>
    <row r="248" s="122" customFormat="1" spans="2:31">
      <c r="D248" s="124" t="s">
        <v>1851</v>
      </c>
      <c r="E248" s="124"/>
      <c r="F248" s="124"/>
      <c r="G248" s="124"/>
      <c r="H248" s="124"/>
      <c r="I248" s="124"/>
      <c r="J248" s="124"/>
      <c r="K248" s="124"/>
      <c r="L248" s="124"/>
      <c r="M248" s="124"/>
      <c r="N248" s="14"/>
      <c r="O248" s="124"/>
      <c r="P248" s="124"/>
      <c r="Q248" s="145"/>
      <c r="R248" s="124"/>
      <c r="S248" s="14"/>
      <c r="T248" s="1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</row>
    <row r="249" s="122" customFormat="1" spans="2:31">
      <c r="D249" s="124" t="s">
        <v>1852</v>
      </c>
      <c r="E249" s="124" t="s">
        <v>1179</v>
      </c>
      <c r="F249" s="124" t="s">
        <v>1853</v>
      </c>
      <c r="G249" s="124" t="s">
        <v>310</v>
      </c>
      <c r="H249" s="124" t="s">
        <v>312</v>
      </c>
      <c r="I249" s="124" t="s">
        <v>1854</v>
      </c>
      <c r="J249" s="124"/>
      <c r="K249" s="124"/>
      <c r="L249" s="124"/>
      <c r="M249" s="124"/>
      <c r="N249" s="14"/>
      <c r="O249" s="78"/>
      <c r="P249" s="14"/>
      <c r="Q249" s="145"/>
      <c r="R249" s="14"/>
      <c r="S249" s="14"/>
      <c r="T249" s="1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</row>
    <row r="250" s="122" customFormat="1" spans="2:31">
      <c r="D250" s="124" t="s">
        <v>1855</v>
      </c>
      <c r="E250" s="124" t="s">
        <v>948</v>
      </c>
      <c r="F250" s="124">
        <v>1</v>
      </c>
      <c r="G250" s="124">
        <v>1</v>
      </c>
      <c r="H250" s="124"/>
      <c r="I250" s="128" cm="1">
        <f t="array" ref="I250">SUMPRODUCT(--($E$250:$E$267="每日"),$G$250:$G$267)*7+SUMPRODUCT(--($E$250:$E$267="每周"),$G$250:$G$267)</f>
        <v>52</v>
      </c>
      <c r="J250" s="124"/>
      <c r="K250" s="124"/>
      <c r="L250" s="124"/>
      <c r="M250" s="124"/>
      <c r="N250" s="78"/>
      <c r="O250" s="124"/>
      <c r="P250" s="124"/>
      <c r="Q250" s="145"/>
      <c r="R250" s="14"/>
      <c r="S250" s="14"/>
      <c r="T250" s="1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</row>
    <row r="251" s="122" customFormat="1" spans="2:31">
      <c r="D251" s="124" t="s">
        <v>1194</v>
      </c>
      <c r="E251" s="124" t="s">
        <v>948</v>
      </c>
      <c r="F251" s="124">
        <v>1</v>
      </c>
      <c r="G251" s="124">
        <v>1</v>
      </c>
      <c r="H251" s="124"/>
      <c r="I251" s="128"/>
      <c r="J251" s="124"/>
      <c r="K251" s="124"/>
      <c r="L251" s="124"/>
      <c r="M251" s="124"/>
      <c r="N251" s="78"/>
      <c r="O251" s="124"/>
      <c r="P251" s="124"/>
      <c r="Q251" s="145"/>
      <c r="R251" s="14"/>
      <c r="S251" s="14"/>
      <c r="T251" s="1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</row>
    <row r="252" s="122" customFormat="1" spans="2:31">
      <c r="D252" s="124" t="s">
        <v>1466</v>
      </c>
      <c r="E252" s="124" t="s">
        <v>948</v>
      </c>
      <c r="F252" s="124">
        <v>2</v>
      </c>
      <c r="G252" s="124">
        <v>1</v>
      </c>
      <c r="H252" s="124"/>
      <c r="I252" s="128"/>
      <c r="J252" s="124"/>
      <c r="K252" s="124"/>
      <c r="L252" s="124"/>
      <c r="M252" s="124"/>
      <c r="N252" s="78"/>
      <c r="O252" s="124"/>
      <c r="P252" s="124"/>
      <c r="Q252" s="145"/>
      <c r="R252" s="14"/>
      <c r="S252" s="14"/>
      <c r="T252" s="1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</row>
    <row r="253" s="122" customFormat="1" spans="2:31">
      <c r="D253" s="124" t="s">
        <v>1856</v>
      </c>
      <c r="E253" s="124" t="s">
        <v>948</v>
      </c>
      <c r="F253" s="124">
        <v>1</v>
      </c>
      <c r="G253" s="124">
        <v>1</v>
      </c>
      <c r="H253" s="124"/>
      <c r="I253" s="128"/>
      <c r="J253" s="124"/>
      <c r="K253" s="124"/>
      <c r="L253" s="124"/>
      <c r="M253" s="124"/>
      <c r="N253" s="78"/>
      <c r="O253" s="124"/>
      <c r="P253" s="124"/>
      <c r="Q253" s="145"/>
      <c r="R253" s="14"/>
      <c r="S253" s="14"/>
      <c r="T253" s="1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</row>
    <row r="254" s="122" customFormat="1" spans="2:31">
      <c r="D254" s="124" t="s">
        <v>1857</v>
      </c>
      <c r="E254" s="124" t="s">
        <v>948</v>
      </c>
      <c r="F254" s="124">
        <v>2</v>
      </c>
      <c r="G254" s="124">
        <v>1</v>
      </c>
      <c r="H254" s="124"/>
      <c r="I254" s="128"/>
      <c r="J254" s="124"/>
      <c r="K254" s="124"/>
      <c r="L254" s="124"/>
      <c r="M254" s="124"/>
      <c r="N254" s="78"/>
      <c r="O254" s="124"/>
      <c r="P254" s="124"/>
      <c r="Q254" s="145"/>
      <c r="R254" s="14"/>
      <c r="S254" s="14"/>
      <c r="T254" s="1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</row>
    <row r="255" s="122" customFormat="1" spans="2:31">
      <c r="D255" s="124"/>
      <c r="E255" s="124"/>
      <c r="F255" s="124"/>
      <c r="G255" s="124"/>
      <c r="H255" s="124"/>
      <c r="I255" s="128"/>
      <c r="J255" s="124"/>
      <c r="K255" s="124"/>
      <c r="L255" s="124"/>
      <c r="M255" s="124"/>
      <c r="N255" s="78"/>
      <c r="O255" s="124"/>
      <c r="P255" s="124"/>
      <c r="Q255" s="145"/>
      <c r="R255" s="14"/>
      <c r="S255" s="14"/>
      <c r="T255" s="1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</row>
    <row r="256" s="122" customFormat="1" spans="2:31">
      <c r="D256" s="124" t="s">
        <v>1858</v>
      </c>
      <c r="E256" s="124" t="s">
        <v>949</v>
      </c>
      <c r="F256" s="124">
        <v>100</v>
      </c>
      <c r="G256" s="124">
        <v>1</v>
      </c>
      <c r="H256" s="124"/>
      <c r="I256" s="128"/>
      <c r="J256" s="124"/>
      <c r="K256" s="124"/>
      <c r="L256" s="124"/>
      <c r="M256" s="124"/>
      <c r="N256" s="78"/>
      <c r="O256" s="124"/>
      <c r="P256" s="124"/>
      <c r="Q256" s="145"/>
      <c r="R256" s="14"/>
      <c r="S256" s="14"/>
      <c r="T256" s="1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</row>
    <row r="257" s="122" customFormat="1" spans="2:31">
      <c r="D257" s="124" t="s">
        <v>1858</v>
      </c>
      <c r="E257" s="124" t="s">
        <v>949</v>
      </c>
      <c r="F257" s="124">
        <v>200</v>
      </c>
      <c r="G257" s="124">
        <v>1</v>
      </c>
      <c r="H257" s="124"/>
      <c r="I257" s="128"/>
      <c r="J257" s="124"/>
      <c r="K257" s="124"/>
      <c r="L257" s="124"/>
      <c r="M257" s="124"/>
      <c r="N257" s="78"/>
      <c r="O257" s="124"/>
      <c r="P257" s="124"/>
      <c r="Q257" s="145"/>
      <c r="R257" s="14"/>
      <c r="S257" s="14"/>
      <c r="T257" s="1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</row>
    <row r="258" s="122" customFormat="1" spans="2:31">
      <c r="D258" s="124" t="s">
        <v>1858</v>
      </c>
      <c r="E258" s="124" t="s">
        <v>949</v>
      </c>
      <c r="F258" s="124">
        <v>300</v>
      </c>
      <c r="G258" s="124">
        <v>1</v>
      </c>
      <c r="H258" s="124"/>
      <c r="I258" s="128"/>
      <c r="J258" s="124"/>
      <c r="K258" s="124"/>
      <c r="L258" s="124"/>
      <c r="M258" s="124"/>
      <c r="N258" s="78"/>
      <c r="O258" s="124"/>
      <c r="P258" s="124"/>
      <c r="Q258" s="145"/>
      <c r="R258" s="14"/>
      <c r="S258" s="14"/>
      <c r="T258" s="1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</row>
    <row r="259" s="122" customFormat="1" spans="2:31">
      <c r="D259" s="124" t="s">
        <v>1858</v>
      </c>
      <c r="E259" s="124" t="s">
        <v>949</v>
      </c>
      <c r="F259" s="124">
        <v>500</v>
      </c>
      <c r="G259" s="124">
        <v>2</v>
      </c>
      <c r="H259" s="124"/>
      <c r="I259" s="128"/>
      <c r="J259" s="124"/>
      <c r="K259" s="124"/>
      <c r="L259" s="124"/>
      <c r="M259" s="124"/>
      <c r="N259" s="78"/>
      <c r="O259" s="124"/>
      <c r="P259" s="124"/>
      <c r="Q259" s="145"/>
      <c r="R259" s="14"/>
      <c r="S259" s="14"/>
      <c r="T259" s="1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</row>
    <row r="260" s="122" customFormat="1" spans="2:31">
      <c r="D260" s="124" t="s">
        <v>1859</v>
      </c>
      <c r="E260" s="124" t="s">
        <v>949</v>
      </c>
      <c r="F260" s="124">
        <v>300</v>
      </c>
      <c r="G260" s="124">
        <v>1</v>
      </c>
      <c r="H260" s="124"/>
      <c r="I260" s="128"/>
      <c r="J260" s="124"/>
      <c r="K260" s="124"/>
      <c r="L260" s="124"/>
      <c r="M260" s="124"/>
      <c r="N260" s="78"/>
      <c r="O260" s="124"/>
      <c r="P260" s="124"/>
      <c r="Q260" s="145"/>
      <c r="R260" s="14"/>
      <c r="S260" s="14"/>
      <c r="T260" s="1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</row>
    <row r="261" s="122" customFormat="1" spans="2:31">
      <c r="D261" s="124" t="s">
        <v>1859</v>
      </c>
      <c r="E261" s="124" t="s">
        <v>949</v>
      </c>
      <c r="F261" s="124">
        <v>600</v>
      </c>
      <c r="G261" s="124">
        <v>1</v>
      </c>
      <c r="H261" s="124"/>
      <c r="I261" s="128"/>
      <c r="J261" s="124"/>
      <c r="K261" s="124"/>
      <c r="L261" s="124"/>
      <c r="M261" s="124"/>
      <c r="N261" s="14"/>
      <c r="O261" s="78"/>
      <c r="P261" s="14"/>
      <c r="Q261" s="145"/>
      <c r="R261" s="14"/>
      <c r="S261" s="14"/>
      <c r="T261" s="1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</row>
    <row r="262" s="122" customFormat="1" spans="2:31">
      <c r="D262" s="124" t="s">
        <v>1859</v>
      </c>
      <c r="E262" s="124" t="s">
        <v>949</v>
      </c>
      <c r="F262" s="124">
        <v>1200</v>
      </c>
      <c r="G262" s="124">
        <v>2</v>
      </c>
      <c r="H262" s="124"/>
      <c r="I262" s="128"/>
      <c r="J262" s="124"/>
      <c r="K262" s="124"/>
      <c r="L262" s="124"/>
      <c r="M262" s="124"/>
      <c r="N262" s="14"/>
      <c r="O262" s="124"/>
      <c r="P262" s="124"/>
      <c r="Q262" s="145"/>
      <c r="R262" s="14"/>
      <c r="S262" s="14"/>
      <c r="T262" s="1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</row>
    <row r="263" s="122" customFormat="1" spans="2:31">
      <c r="D263" s="124" t="s">
        <v>1860</v>
      </c>
      <c r="E263" s="124" t="s">
        <v>949</v>
      </c>
      <c r="F263" s="124">
        <v>300</v>
      </c>
      <c r="G263" s="124">
        <v>1</v>
      </c>
      <c r="H263" s="124"/>
      <c r="I263" s="128"/>
      <c r="J263" s="124"/>
      <c r="K263" s="124"/>
      <c r="L263" s="124"/>
      <c r="M263" s="124"/>
      <c r="N263" s="14"/>
      <c r="O263" s="124"/>
      <c r="P263" s="124"/>
      <c r="Q263" s="145"/>
      <c r="R263" s="14"/>
      <c r="S263" s="14"/>
      <c r="T263" s="1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</row>
    <row r="264" s="122" customFormat="1" spans="2:31">
      <c r="D264" s="124" t="s">
        <v>1860</v>
      </c>
      <c r="E264" s="124" t="s">
        <v>949</v>
      </c>
      <c r="F264" s="124">
        <v>500</v>
      </c>
      <c r="G264" s="124">
        <v>1</v>
      </c>
      <c r="H264" s="124"/>
      <c r="I264" s="128"/>
      <c r="J264" s="124"/>
      <c r="K264" s="124"/>
      <c r="L264" s="124"/>
      <c r="M264" s="124"/>
      <c r="N264" s="14"/>
      <c r="O264" s="124"/>
      <c r="P264" s="124"/>
      <c r="Q264" s="145"/>
      <c r="R264" s="14"/>
      <c r="S264" s="14"/>
      <c r="T264" s="1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</row>
    <row r="265" s="122" customFormat="1" spans="2:31">
      <c r="D265" s="124" t="s">
        <v>1860</v>
      </c>
      <c r="E265" s="124" t="s">
        <v>949</v>
      </c>
      <c r="F265" s="124">
        <v>800</v>
      </c>
      <c r="G265" s="124">
        <v>2</v>
      </c>
      <c r="H265" s="124"/>
      <c r="I265" s="128"/>
      <c r="J265" s="124"/>
      <c r="K265" s="124"/>
      <c r="L265" s="124"/>
      <c r="M265" s="124"/>
      <c r="N265" s="14"/>
      <c r="O265" s="124"/>
      <c r="P265" s="124"/>
      <c r="Q265" s="145"/>
      <c r="R265" s="14"/>
      <c r="S265" s="14"/>
      <c r="T265" s="1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</row>
    <row r="266" s="122" customFormat="1" spans="2:31">
      <c r="D266" s="124" t="s">
        <v>1860</v>
      </c>
      <c r="E266" s="124" t="s">
        <v>949</v>
      </c>
      <c r="F266" s="124">
        <v>1000</v>
      </c>
      <c r="G266" s="124">
        <v>2</v>
      </c>
      <c r="H266" s="124"/>
      <c r="I266" s="128"/>
      <c r="J266" s="124"/>
      <c r="K266" s="124"/>
      <c r="L266" s="124"/>
      <c r="M266" s="124"/>
      <c r="N266" s="14"/>
      <c r="O266" s="124"/>
      <c r="P266" s="124"/>
      <c r="Q266" s="145"/>
      <c r="R266" s="14"/>
      <c r="S266" s="14"/>
      <c r="T266" s="1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</row>
    <row r="267" s="122" customFormat="1" spans="2:31">
      <c r="D267" s="124" t="s">
        <v>1860</v>
      </c>
      <c r="E267" s="124" t="s">
        <v>949</v>
      </c>
      <c r="F267" s="124">
        <v>1500</v>
      </c>
      <c r="G267" s="124">
        <v>2</v>
      </c>
      <c r="H267" s="124"/>
      <c r="I267" s="128"/>
      <c r="J267" s="124"/>
      <c r="K267" s="124"/>
      <c r="L267" s="124"/>
      <c r="M267" s="124"/>
      <c r="N267" s="14"/>
      <c r="O267" s="78"/>
      <c r="P267" s="14"/>
      <c r="Q267" s="145"/>
      <c r="R267" s="14"/>
      <c r="S267" s="14"/>
      <c r="T267" s="1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</row>
    <row r="268" s="122" customFormat="1" spans="2:31">
      <c r="D268" s="124"/>
      <c r="E268" s="124"/>
      <c r="F268" s="124"/>
      <c r="G268" s="124"/>
      <c r="H268" s="128"/>
      <c r="I268" s="124"/>
      <c r="J268" s="124"/>
      <c r="K268" s="124"/>
      <c r="L268" s="124"/>
      <c r="M268" s="124"/>
      <c r="N268" s="14"/>
      <c r="O268" s="78"/>
      <c r="P268" s="14"/>
      <c r="Q268" s="145"/>
      <c r="R268" s="14"/>
      <c r="S268" s="14"/>
      <c r="T268" s="1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</row>
    <row r="269" s="122" customFormat="1" spans="2:31"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4"/>
      <c r="O269" s="78"/>
      <c r="P269" s="14"/>
      <c r="Q269" s="145"/>
      <c r="R269" s="14"/>
      <c r="S269" s="14"/>
      <c r="T269" s="1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</row>
    <row r="270" s="122" customFormat="1" spans="2:31">
      <c r="B270" s="125"/>
      <c r="C270" s="125" t="s">
        <v>1861</v>
      </c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4"/>
      <c r="O270" s="124"/>
      <c r="P270" s="124"/>
      <c r="Q270" s="145"/>
      <c r="R270" s="124"/>
      <c r="S270" s="14"/>
      <c r="T270" s="1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</row>
    <row r="271" s="122" customFormat="1" spans="2:31"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4"/>
      <c r="O271" s="124"/>
      <c r="P271" s="124"/>
      <c r="Q271" s="145"/>
      <c r="R271" s="124"/>
      <c r="S271" s="14"/>
      <c r="T271" s="1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</row>
    <row r="272" s="122" customFormat="1" spans="2:31">
      <c r="D272" s="14" t="s">
        <v>1862</v>
      </c>
      <c r="E272" s="14" t="s">
        <v>1863</v>
      </c>
      <c r="F272" s="124"/>
      <c r="G272" s="124"/>
      <c r="H272" s="124"/>
      <c r="I272" s="124"/>
      <c r="J272" s="124"/>
      <c r="K272" s="124"/>
      <c r="L272" s="124"/>
      <c r="M272" s="124"/>
      <c r="N272" s="14"/>
      <c r="O272" s="124"/>
      <c r="P272" s="124"/>
      <c r="Q272" s="145"/>
      <c r="R272" s="124"/>
      <c r="S272" s="14"/>
      <c r="T272" s="1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</row>
    <row r="273" s="122" customFormat="1" spans="4:31">
      <c r="D273" s="14" t="s">
        <v>1864</v>
      </c>
      <c r="E273" s="14" t="s">
        <v>1865</v>
      </c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45"/>
      <c r="R273" s="14"/>
      <c r="S273" s="14"/>
      <c r="T273" s="1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</row>
    <row r="274" s="122" customFormat="1" spans="4:31">
      <c r="D274" s="78" t="s">
        <v>1866</v>
      </c>
      <c r="E274" s="78" t="s">
        <v>1867</v>
      </c>
      <c r="F274" s="124" t="s">
        <v>1868</v>
      </c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45"/>
      <c r="R274" s="14"/>
      <c r="S274" s="14"/>
      <c r="T274" s="1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</row>
    <row r="275" s="122" customFormat="1" spans="4:31">
      <c r="D275" s="78" t="s">
        <v>566</v>
      </c>
      <c r="E275" s="78">
        <v>100</v>
      </c>
      <c r="F275" s="124">
        <v>3</v>
      </c>
      <c r="G275" s="128">
        <f t="shared" ref="G275:G278" si="11">MATCH(E275,$D$281:$D$290,1)</f>
        <v>7</v>
      </c>
      <c r="H275" s="124">
        <f t="shared" ref="H275:H278" si="12">MATCH(F275,$D$293:$D$298,1)</f>
        <v>3</v>
      </c>
      <c r="I275" s="124"/>
      <c r="J275" s="124"/>
      <c r="K275" s="124"/>
      <c r="L275" s="124"/>
      <c r="M275" s="124"/>
      <c r="N275" s="124"/>
      <c r="O275" s="124"/>
      <c r="P275" s="124"/>
      <c r="Q275" s="145"/>
      <c r="R275" s="14"/>
      <c r="S275" s="14"/>
      <c r="T275" s="1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</row>
    <row r="276" s="122" customFormat="1" spans="4:31">
      <c r="D276" s="78" t="s">
        <v>568</v>
      </c>
      <c r="E276" s="78">
        <v>30</v>
      </c>
      <c r="F276" s="124">
        <v>2</v>
      </c>
      <c r="G276" s="128">
        <f t="shared" si="11"/>
        <v>6</v>
      </c>
      <c r="H276" s="124">
        <f t="shared" si="12"/>
        <v>2</v>
      </c>
      <c r="I276" s="124"/>
      <c r="J276" s="124"/>
      <c r="K276" s="124"/>
      <c r="L276" s="124"/>
      <c r="M276" s="124"/>
      <c r="N276" s="124"/>
      <c r="O276" s="124"/>
      <c r="P276" s="124"/>
      <c r="Q276" s="145"/>
      <c r="R276" s="14"/>
      <c r="S276" s="14"/>
      <c r="T276" s="1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</row>
    <row r="277" s="122" customFormat="1" spans="4:31">
      <c r="D277" s="78" t="s">
        <v>577</v>
      </c>
      <c r="E277" s="78">
        <v>10</v>
      </c>
      <c r="F277" s="124">
        <v>1</v>
      </c>
      <c r="G277" s="128">
        <f t="shared" si="11"/>
        <v>5</v>
      </c>
      <c r="H277" s="124">
        <f t="shared" si="12"/>
        <v>1</v>
      </c>
      <c r="I277" s="124"/>
      <c r="J277" s="124"/>
      <c r="K277" s="124"/>
      <c r="L277" s="124"/>
      <c r="M277" s="124"/>
      <c r="N277" s="124"/>
      <c r="O277" s="124"/>
      <c r="P277" s="124"/>
      <c r="Q277" s="145"/>
      <c r="R277" s="14"/>
      <c r="S277" s="14"/>
      <c r="T277" s="1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</row>
    <row r="278" s="122" customFormat="1" spans="4:31">
      <c r="D278" s="78" t="s">
        <v>586</v>
      </c>
      <c r="E278" s="78">
        <v>3</v>
      </c>
      <c r="F278" s="124">
        <v>1</v>
      </c>
      <c r="G278" s="128">
        <f t="shared" si="11"/>
        <v>3</v>
      </c>
      <c r="H278" s="124">
        <f t="shared" si="12"/>
        <v>1</v>
      </c>
      <c r="I278" s="124"/>
      <c r="J278" s="124"/>
      <c r="K278" s="124"/>
      <c r="L278" s="124"/>
      <c r="M278" s="124"/>
      <c r="N278" s="124"/>
      <c r="O278" s="124"/>
      <c r="P278" s="124"/>
      <c r="Q278" s="145"/>
      <c r="R278" s="14"/>
      <c r="S278" s="14"/>
      <c r="T278" s="1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</row>
    <row r="279" s="122" customFormat="1" spans="4:31">
      <c r="D279" s="14"/>
      <c r="E279" s="1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45"/>
      <c r="R279" s="14"/>
      <c r="S279" s="14"/>
      <c r="T279" s="1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</row>
    <row r="280" s="122" customFormat="1" spans="4:31">
      <c r="D280" s="128" t="s">
        <v>1869</v>
      </c>
      <c r="E280" s="128" t="s">
        <v>1870</v>
      </c>
      <c r="F280" s="124" t="s">
        <v>1871</v>
      </c>
      <c r="G280" s="124" t="s">
        <v>1872</v>
      </c>
      <c r="H280" s="124" t="s">
        <v>1873</v>
      </c>
      <c r="I280" s="124" t="s">
        <v>1874</v>
      </c>
      <c r="J280" s="124" t="s">
        <v>1875</v>
      </c>
      <c r="K280" s="124" t="s">
        <v>1876</v>
      </c>
      <c r="L280" s="124" t="s">
        <v>1877</v>
      </c>
      <c r="M280" s="124" t="s">
        <v>1878</v>
      </c>
      <c r="N280" s="124" t="s">
        <v>1879</v>
      </c>
      <c r="O280" s="124" t="s">
        <v>1880</v>
      </c>
      <c r="P280" s="124" t="s">
        <v>965</v>
      </c>
      <c r="Q280" s="145"/>
      <c r="R280" s="14"/>
      <c r="S280" s="14"/>
      <c r="T280" s="1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</row>
    <row r="281" s="122" customFormat="1" spans="4:31">
      <c r="D281" s="128">
        <v>1</v>
      </c>
      <c r="E281" s="128">
        <v>1</v>
      </c>
      <c r="F281" s="124" t="s">
        <v>1881</v>
      </c>
      <c r="G281" s="124">
        <v>1</v>
      </c>
      <c r="H281" s="128" t="s">
        <v>1514</v>
      </c>
      <c r="I281" s="178">
        <v>120</v>
      </c>
      <c r="J281" s="124" t="s">
        <v>926</v>
      </c>
      <c r="K281" s="128">
        <v>10</v>
      </c>
      <c r="L281" s="124" t="s">
        <v>209</v>
      </c>
      <c r="M281" s="128">
        <v>800</v>
      </c>
      <c r="N281" s="124" t="s">
        <v>1755</v>
      </c>
      <c r="O281" s="128">
        <v>800</v>
      </c>
      <c r="P281" s="128">
        <f>I281+_xlfn.XLOOKUP(J281,[1]价值表!D:D,[1]价值表!F:F)*K281+_xlfn.XLOOKUP(L281,[1]价值表!D:D,[1]价值表!F:F)*M281+_xlfn.XLOOKUP(N281,[1]价值表!D:D,[1]价值表!F:F)*O281</f>
        <v>6120</v>
      </c>
      <c r="Q281" s="124"/>
      <c r="R281" s="14"/>
      <c r="S281" s="14"/>
      <c r="T281" s="1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</row>
    <row r="282" s="122" customFormat="1" spans="4:31">
      <c r="D282" s="128">
        <v>2</v>
      </c>
      <c r="E282" s="128">
        <v>2</v>
      </c>
      <c r="F282" s="124" t="s">
        <v>1882</v>
      </c>
      <c r="G282" s="124">
        <v>1</v>
      </c>
      <c r="H282" s="128" t="s">
        <v>1514</v>
      </c>
      <c r="I282" s="178">
        <v>90</v>
      </c>
      <c r="J282" s="124" t="s">
        <v>926</v>
      </c>
      <c r="K282" s="128">
        <v>8</v>
      </c>
      <c r="L282" s="124" t="s">
        <v>209</v>
      </c>
      <c r="M282" s="128">
        <v>600</v>
      </c>
      <c r="N282" s="124" t="s">
        <v>1755</v>
      </c>
      <c r="O282" s="128">
        <v>600</v>
      </c>
      <c r="P282" s="128">
        <f>I282+_xlfn.XLOOKUP(J282,[1]价值表!D:D,[1]价值表!F:F)*K282+_xlfn.XLOOKUP(L282,[1]价值表!D:D,[1]价值表!F:F)*M282+_xlfn.XLOOKUP(N282,[1]价值表!D:D,[1]价值表!F:F)*O282</f>
        <v>4730</v>
      </c>
      <c r="Q282" s="124"/>
      <c r="R282" s="14"/>
      <c r="S282" s="14"/>
      <c r="T282" s="1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</row>
    <row r="283" s="122" customFormat="1" spans="4:31">
      <c r="D283" s="128">
        <v>3</v>
      </c>
      <c r="E283" s="128">
        <v>3</v>
      </c>
      <c r="F283" s="124" t="s">
        <v>1883</v>
      </c>
      <c r="G283" s="124">
        <v>1</v>
      </c>
      <c r="H283" s="128" t="s">
        <v>1514</v>
      </c>
      <c r="I283" s="178">
        <v>60</v>
      </c>
      <c r="J283" s="124" t="s">
        <v>926</v>
      </c>
      <c r="K283" s="128">
        <v>6</v>
      </c>
      <c r="L283" s="124" t="s">
        <v>209</v>
      </c>
      <c r="M283" s="128">
        <v>500</v>
      </c>
      <c r="N283" s="124" t="s">
        <v>1755</v>
      </c>
      <c r="O283" s="128">
        <v>500</v>
      </c>
      <c r="P283" s="128">
        <f>I283+_xlfn.XLOOKUP(J283,[1]价值表!D:D,[1]价值表!F:F)*K283+_xlfn.XLOOKUP(L283,[1]价值表!D:D,[1]价值表!F:F)*M283+_xlfn.XLOOKUP(N283,[1]价值表!D:D,[1]价值表!F:F)*O283</f>
        <v>3740</v>
      </c>
      <c r="Q283" s="124"/>
      <c r="R283" s="14"/>
      <c r="S283" s="14"/>
      <c r="T283" s="1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</row>
    <row r="284" s="122" customFormat="1" spans="4:31">
      <c r="D284" s="128">
        <v>4</v>
      </c>
      <c r="E284" s="128">
        <v>5</v>
      </c>
      <c r="F284" s="124"/>
      <c r="G284" s="124"/>
      <c r="H284" s="128" t="s">
        <v>1514</v>
      </c>
      <c r="I284" s="178">
        <v>40</v>
      </c>
      <c r="J284" s="124" t="s">
        <v>926</v>
      </c>
      <c r="K284" s="128">
        <v>6</v>
      </c>
      <c r="L284" s="124" t="s">
        <v>209</v>
      </c>
      <c r="M284" s="128">
        <v>450</v>
      </c>
      <c r="N284" s="124" t="s">
        <v>1755</v>
      </c>
      <c r="O284" s="128">
        <v>450</v>
      </c>
      <c r="P284" s="128">
        <f>I284+_xlfn.XLOOKUP(J284,[1]价值表!D:D,[1]价值表!F:F)*K284+_xlfn.XLOOKUP(L284,[1]价值表!D:D,[1]价值表!F:F)*M284+_xlfn.XLOOKUP(N284,[1]价值表!D:D,[1]价值表!F:F)*O284</f>
        <v>3520</v>
      </c>
      <c r="Q284" s="124"/>
      <c r="R284" s="14"/>
      <c r="S284" s="14"/>
      <c r="T284" s="1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</row>
    <row r="285" s="122" customFormat="1" spans="4:31">
      <c r="D285" s="128">
        <v>6</v>
      </c>
      <c r="E285" s="128">
        <v>10</v>
      </c>
      <c r="F285" s="124"/>
      <c r="G285" s="124"/>
      <c r="H285" s="128" t="s">
        <v>1514</v>
      </c>
      <c r="I285" s="128">
        <v>30</v>
      </c>
      <c r="J285" s="124" t="s">
        <v>926</v>
      </c>
      <c r="K285" s="128">
        <v>4</v>
      </c>
      <c r="L285" s="124" t="s">
        <v>209</v>
      </c>
      <c r="M285" s="128">
        <v>450</v>
      </c>
      <c r="N285" s="124" t="s">
        <v>1755</v>
      </c>
      <c r="O285" s="128">
        <v>450</v>
      </c>
      <c r="P285" s="128">
        <f>I285+_xlfn.XLOOKUP(J285,[1]价值表!D:D,[1]价值表!F:F)*K285+_xlfn.XLOOKUP(L285,[1]价值表!D:D,[1]价值表!F:F)*M285+_xlfn.XLOOKUP(N285,[1]价值表!D:D,[1]价值表!F:F)*O285</f>
        <v>2950</v>
      </c>
      <c r="Q285" s="124"/>
      <c r="R285" s="14"/>
      <c r="S285" s="14"/>
      <c r="T285" s="1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</row>
    <row r="286" s="122" customFormat="1" spans="4:31">
      <c r="D286" s="128">
        <v>11</v>
      </c>
      <c r="E286" s="128">
        <v>30</v>
      </c>
      <c r="F286" s="124"/>
      <c r="G286" s="124"/>
      <c r="H286" s="128" t="s">
        <v>188</v>
      </c>
      <c r="I286" s="128">
        <v>400</v>
      </c>
      <c r="J286" s="124" t="s">
        <v>926</v>
      </c>
      <c r="K286" s="128">
        <v>4</v>
      </c>
      <c r="L286" s="124" t="s">
        <v>209</v>
      </c>
      <c r="M286" s="128">
        <v>400</v>
      </c>
      <c r="N286" s="124" t="s">
        <v>1755</v>
      </c>
      <c r="O286" s="128">
        <v>400</v>
      </c>
      <c r="P286" s="128">
        <f>I286+_xlfn.XLOOKUP(J286,[1]价值表!D:D,[1]价值表!F:F)*K286+_xlfn.XLOOKUP(L286,[1]价值表!D:D,[1]价值表!F:F)*M286+_xlfn.XLOOKUP(N286,[1]价值表!D:D,[1]价值表!F:F)*O286</f>
        <v>3120</v>
      </c>
      <c r="Q286" s="124"/>
      <c r="R286" s="14"/>
      <c r="S286" s="14"/>
      <c r="T286" s="1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</row>
    <row r="287" s="122" customFormat="1" spans="4:31">
      <c r="D287" s="128">
        <v>31</v>
      </c>
      <c r="E287" s="128">
        <v>100</v>
      </c>
      <c r="F287" s="124"/>
      <c r="G287" s="124"/>
      <c r="H287" s="128" t="s">
        <v>188</v>
      </c>
      <c r="I287" s="128">
        <v>400</v>
      </c>
      <c r="J287" s="124" t="s">
        <v>926</v>
      </c>
      <c r="K287" s="128">
        <v>2</v>
      </c>
      <c r="L287" s="124" t="s">
        <v>209</v>
      </c>
      <c r="M287" s="128">
        <v>400</v>
      </c>
      <c r="N287" s="124" t="s">
        <v>1755</v>
      </c>
      <c r="O287" s="128">
        <v>400</v>
      </c>
      <c r="P287" s="128">
        <f>I287+_xlfn.XLOOKUP(J287,[1]价值表!D:D,[1]价值表!F:F)*K287+_xlfn.XLOOKUP(L287,[1]价值表!D:D,[1]价值表!F:F)*M287+_xlfn.XLOOKUP(N287,[1]价值表!D:D,[1]价值表!F:F)*O287</f>
        <v>2560</v>
      </c>
      <c r="Q287" s="124"/>
      <c r="R287" s="14"/>
      <c r="S287" s="14"/>
      <c r="T287" s="1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</row>
    <row r="288" s="122" customFormat="1" spans="4:31">
      <c r="D288" s="128">
        <v>101</v>
      </c>
      <c r="E288" s="128">
        <v>200</v>
      </c>
      <c r="F288" s="124"/>
      <c r="G288" s="124"/>
      <c r="H288" s="128" t="s">
        <v>188</v>
      </c>
      <c r="I288" s="178">
        <v>240</v>
      </c>
      <c r="J288" s="124" t="s">
        <v>926</v>
      </c>
      <c r="K288" s="128">
        <v>2</v>
      </c>
      <c r="L288" s="124" t="s">
        <v>209</v>
      </c>
      <c r="M288" s="128">
        <v>350</v>
      </c>
      <c r="N288" s="124" t="s">
        <v>1755</v>
      </c>
      <c r="O288" s="128">
        <v>350</v>
      </c>
      <c r="P288" s="128">
        <f>I288+_xlfn.XLOOKUP(J288,[1]价值表!D:D,[1]价值表!F:F)*K288+_xlfn.XLOOKUP(L288,[1]价值表!D:D,[1]价值表!F:F)*M288+_xlfn.XLOOKUP(N288,[1]价值表!D:D,[1]价值表!F:F)*O288</f>
        <v>2200</v>
      </c>
      <c r="Q288" s="124"/>
      <c r="R288" s="14"/>
      <c r="S288" s="14"/>
      <c r="T288" s="1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</row>
    <row r="289" s="122" customFormat="1" spans="4:31">
      <c r="D289" s="128">
        <v>201</v>
      </c>
      <c r="E289" s="128">
        <v>300</v>
      </c>
      <c r="F289" s="124"/>
      <c r="G289" s="124"/>
      <c r="H289" s="128" t="s">
        <v>188</v>
      </c>
      <c r="I289" s="178">
        <v>240</v>
      </c>
      <c r="J289" s="124"/>
      <c r="K289" s="124"/>
      <c r="L289" s="124" t="s">
        <v>209</v>
      </c>
      <c r="M289" s="128">
        <v>350</v>
      </c>
      <c r="N289" s="124" t="s">
        <v>1755</v>
      </c>
      <c r="O289" s="128">
        <v>350</v>
      </c>
      <c r="P289" s="128">
        <f>I289+_xlfn.XLOOKUP(J289,[1]价值表!D:D,[1]价值表!F:F)*K289+_xlfn.XLOOKUP(L289,[1]价值表!D:D,[1]价值表!F:F)*M289+_xlfn.XLOOKUP(N289,[1]价值表!D:D,[1]价值表!F:F)*O289</f>
        <v>1640</v>
      </c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</row>
    <row r="290" s="122" customFormat="1" spans="4:31">
      <c r="D290" s="128">
        <v>301</v>
      </c>
      <c r="E290" s="128">
        <v>500</v>
      </c>
      <c r="F290" s="124"/>
      <c r="G290" s="124"/>
      <c r="H290" s="128"/>
      <c r="I290" s="128"/>
      <c r="J290" s="124"/>
      <c r="K290" s="124"/>
      <c r="L290" s="124" t="s">
        <v>209</v>
      </c>
      <c r="M290" s="128">
        <v>300</v>
      </c>
      <c r="N290" s="124" t="s">
        <v>1755</v>
      </c>
      <c r="O290" s="128">
        <v>300</v>
      </c>
      <c r="P290" s="128">
        <f>I290+_xlfn.XLOOKUP(J290,[1]价值表!D:D,[1]价值表!F:F)*K290+_xlfn.XLOOKUP(L290,[1]价值表!D:D,[1]价值表!F:F)*M290+_xlfn.XLOOKUP(N290,[1]价值表!D:D,[1]价值表!F:F)*O290</f>
        <v>1200</v>
      </c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</row>
    <row r="292" s="122" customFormat="1" spans="4:31">
      <c r="D292" s="128" t="s">
        <v>1869</v>
      </c>
      <c r="E292" s="128" t="s">
        <v>1870</v>
      </c>
      <c r="F292" s="124" t="s">
        <v>1871</v>
      </c>
      <c r="G292" s="124" t="s">
        <v>1872</v>
      </c>
      <c r="H292" s="124" t="s">
        <v>1873</v>
      </c>
      <c r="I292" s="124" t="s">
        <v>1874</v>
      </c>
      <c r="J292" s="124" t="s">
        <v>1875</v>
      </c>
      <c r="K292" s="124" t="s">
        <v>1876</v>
      </c>
      <c r="L292" s="124" t="s">
        <v>1877</v>
      </c>
      <c r="M292" s="124" t="s">
        <v>1878</v>
      </c>
      <c r="N292" s="124" t="s">
        <v>1879</v>
      </c>
      <c r="O292" s="124" t="s">
        <v>1880</v>
      </c>
      <c r="P292" s="124" t="s">
        <v>1884</v>
      </c>
      <c r="Q292" s="124" t="s">
        <v>1885</v>
      </c>
      <c r="R292" s="124" t="s">
        <v>965</v>
      </c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</row>
    <row r="293" s="122" customFormat="1" spans="4:31">
      <c r="D293" s="128">
        <v>1</v>
      </c>
      <c r="E293" s="128">
        <v>1</v>
      </c>
      <c r="F293" s="124" t="s">
        <v>860</v>
      </c>
      <c r="G293" s="124">
        <v>1</v>
      </c>
      <c r="H293" s="124" t="s">
        <v>856</v>
      </c>
      <c r="I293" s="124">
        <v>1</v>
      </c>
      <c r="J293" s="124" t="s">
        <v>315</v>
      </c>
      <c r="K293" s="124">
        <v>10</v>
      </c>
      <c r="L293" s="124" t="s">
        <v>924</v>
      </c>
      <c r="M293" s="124">
        <v>20</v>
      </c>
      <c r="N293" s="124" t="s">
        <v>236</v>
      </c>
      <c r="O293" s="124">
        <v>6000</v>
      </c>
      <c r="P293" s="124" t="s">
        <v>209</v>
      </c>
      <c r="Q293" s="124">
        <v>400</v>
      </c>
      <c r="R293" s="128">
        <f>_xlfn.XLOOKUP(J293,[1]价值表!D:D,[1]价值表!F:F)*K293+_xlfn.XLOOKUP(L293,[1]价值表!D:D,[1]价值表!F:F)*M293+_xlfn.XLOOKUP(N293,[1]价值表!D:D,[1]价值表!F:F)*O293+_xlfn.XLOOKUP(P293,[1]价值表!D:D,[1]价值表!F:F)*Q293</f>
        <v>3600</v>
      </c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</row>
    <row r="294" s="122" customFormat="1" spans="4:31">
      <c r="D294" s="128">
        <v>2</v>
      </c>
      <c r="E294" s="128">
        <v>2</v>
      </c>
      <c r="F294" s="124" t="s">
        <v>860</v>
      </c>
      <c r="G294" s="124">
        <v>1</v>
      </c>
      <c r="H294" s="124" t="s">
        <v>856</v>
      </c>
      <c r="I294" s="124">
        <v>1</v>
      </c>
      <c r="J294" s="124" t="s">
        <v>315</v>
      </c>
      <c r="K294" s="124">
        <v>10</v>
      </c>
      <c r="L294" s="124" t="s">
        <v>924</v>
      </c>
      <c r="M294" s="124">
        <v>15</v>
      </c>
      <c r="N294" s="124" t="s">
        <v>236</v>
      </c>
      <c r="O294" s="124">
        <v>5000</v>
      </c>
      <c r="P294" s="124" t="s">
        <v>209</v>
      </c>
      <c r="Q294" s="124">
        <v>320</v>
      </c>
      <c r="R294" s="128">
        <f>_xlfn.XLOOKUP(J294,[1]价值表!D:D,[1]价值表!F:F)*K294+_xlfn.XLOOKUP(L294,[1]价值表!D:D,[1]价值表!F:F)*M294+_xlfn.XLOOKUP(N294,[1]价值表!D:D,[1]价值表!F:F)*O294+_xlfn.XLOOKUP(P294,[1]价值表!D:D,[1]价值表!F:F)*Q294</f>
        <v>3270</v>
      </c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</row>
    <row r="295" s="122" customFormat="1" spans="4:31">
      <c r="D295" s="128">
        <v>3</v>
      </c>
      <c r="E295" s="128">
        <v>3</v>
      </c>
      <c r="F295" s="124" t="s">
        <v>860</v>
      </c>
      <c r="G295" s="124">
        <v>1</v>
      </c>
      <c r="H295" s="124" t="s">
        <v>856</v>
      </c>
      <c r="I295" s="124">
        <v>1</v>
      </c>
      <c r="J295" s="124" t="s">
        <v>315</v>
      </c>
      <c r="K295" s="124">
        <v>8</v>
      </c>
      <c r="L295" s="124" t="s">
        <v>924</v>
      </c>
      <c r="M295" s="124">
        <v>10</v>
      </c>
      <c r="N295" s="124" t="s">
        <v>236</v>
      </c>
      <c r="O295" s="124">
        <v>4000</v>
      </c>
      <c r="P295" s="124" t="s">
        <v>209</v>
      </c>
      <c r="Q295" s="124">
        <v>240</v>
      </c>
      <c r="R295" s="128">
        <f>_xlfn.XLOOKUP(J295,[1]价值表!D:D,[1]价值表!F:F)*K295+_xlfn.XLOOKUP(L295,[1]价值表!D:D,[1]价值表!F:F)*M295+_xlfn.XLOOKUP(N295,[1]价值表!D:D,[1]价值表!F:F)*O295+_xlfn.XLOOKUP(P295,[1]价值表!D:D,[1]价值表!F:F)*Q295</f>
        <v>2540</v>
      </c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</row>
    <row r="296" s="122" customFormat="1" spans="4:31">
      <c r="D296" s="128">
        <v>4</v>
      </c>
      <c r="E296" s="128">
        <v>10</v>
      </c>
      <c r="F296" s="124"/>
      <c r="G296" s="124"/>
      <c r="H296" s="124" t="s">
        <v>856</v>
      </c>
      <c r="I296" s="124">
        <v>1</v>
      </c>
      <c r="J296" s="124" t="s">
        <v>315</v>
      </c>
      <c r="K296" s="124">
        <v>5</v>
      </c>
      <c r="L296" s="124" t="s">
        <v>924</v>
      </c>
      <c r="M296" s="124">
        <v>10</v>
      </c>
      <c r="N296" s="124" t="s">
        <v>236</v>
      </c>
      <c r="O296" s="124">
        <v>3000</v>
      </c>
      <c r="P296" s="124" t="s">
        <v>209</v>
      </c>
      <c r="Q296" s="124">
        <v>200</v>
      </c>
      <c r="R296" s="128">
        <f>_xlfn.XLOOKUP(J296,[1]价值表!D:D,[1]价值表!F:F)*K296+_xlfn.XLOOKUP(L296,[1]价值表!D:D,[1]价值表!F:F)*M296+_xlfn.XLOOKUP(N296,[1]价值表!D:D,[1]价值表!F:F)*O296+_xlfn.XLOOKUP(P296,[1]价值表!D:D,[1]价值表!F:F)*Q296</f>
        <v>1800</v>
      </c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</row>
    <row r="297" s="122" customFormat="1" spans="4:31">
      <c r="D297" s="128">
        <v>11</v>
      </c>
      <c r="E297" s="128">
        <v>20</v>
      </c>
      <c r="F297" s="124"/>
      <c r="G297" s="124"/>
      <c r="H297" s="124" t="s">
        <v>856</v>
      </c>
      <c r="I297" s="124">
        <v>1</v>
      </c>
      <c r="J297" s="124" t="s">
        <v>315</v>
      </c>
      <c r="K297" s="124">
        <v>3</v>
      </c>
      <c r="L297" s="124" t="s">
        <v>924</v>
      </c>
      <c r="M297" s="124">
        <v>10</v>
      </c>
      <c r="N297" s="124" t="s">
        <v>236</v>
      </c>
      <c r="O297" s="124">
        <v>2500</v>
      </c>
      <c r="P297" s="124" t="s">
        <v>209</v>
      </c>
      <c r="Q297" s="124">
        <v>160</v>
      </c>
      <c r="R297" s="128">
        <f>_xlfn.XLOOKUP(J297,[1]价值表!D:D,[1]价值表!F:F)*K297+_xlfn.XLOOKUP(L297,[1]价值表!D:D,[1]价值表!F:F)*M297+_xlfn.XLOOKUP(N297,[1]价值表!D:D,[1]价值表!F:F)*O297+_xlfn.XLOOKUP(P297,[1]价值表!D:D,[1]价值表!F:F)*Q297</f>
        <v>1310</v>
      </c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</row>
    <row r="298" s="122" customFormat="1" spans="4:31">
      <c r="D298" s="128">
        <v>21</v>
      </c>
      <c r="E298" s="128">
        <v>50</v>
      </c>
      <c r="F298" s="124"/>
      <c r="G298" s="124"/>
      <c r="H298" s="124" t="s">
        <v>856</v>
      </c>
      <c r="I298" s="124">
        <v>1</v>
      </c>
      <c r="J298" s="124" t="s">
        <v>315</v>
      </c>
      <c r="K298" s="124">
        <v>2</v>
      </c>
      <c r="L298" s="124" t="s">
        <v>924</v>
      </c>
      <c r="M298" s="124">
        <v>10</v>
      </c>
      <c r="N298" s="124" t="s">
        <v>236</v>
      </c>
      <c r="O298" s="124">
        <v>2000</v>
      </c>
      <c r="P298" s="124" t="s">
        <v>209</v>
      </c>
      <c r="Q298" s="124">
        <v>120</v>
      </c>
      <c r="R298" s="128">
        <f>_xlfn.XLOOKUP(J298,[1]价值表!D:D,[1]价值表!F:F)*K298+_xlfn.XLOOKUP(L298,[1]价值表!D:D,[1]价值表!F:F)*M298+_xlfn.XLOOKUP(N298,[1]价值表!D:D,[1]价值表!F:F)*O298+_xlfn.XLOOKUP(P298,[1]价值表!D:D,[1]价值表!F:F)*Q298</f>
        <v>1020</v>
      </c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</row>
    <row r="300" s="122" customFormat="1" spans="4:31">
      <c r="D300" s="124" t="s">
        <v>315</v>
      </c>
      <c r="E300" s="124" t="s">
        <v>1158</v>
      </c>
      <c r="F300" s="124" t="s">
        <v>919</v>
      </c>
      <c r="G300" s="124" t="s">
        <v>922</v>
      </c>
      <c r="H300" s="124" t="s">
        <v>965</v>
      </c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</row>
    <row r="301" s="122" customFormat="1" spans="4:31">
      <c r="D301" s="124" t="s">
        <v>188</v>
      </c>
      <c r="E301" s="124">
        <v>1000</v>
      </c>
      <c r="F301" s="124">
        <v>200</v>
      </c>
      <c r="G301" s="128">
        <f>_xlfn.XLOOKUP(D301,[1]价值表!D:D,[1]价值表!F:F)*F301</f>
        <v>200</v>
      </c>
      <c r="H301" s="124" cm="1">
        <f t="array" ref="H301">SUMPRODUCT(G301:G306,E301:E306)/SUM(E301:E306)</f>
        <v>194</v>
      </c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</row>
    <row r="302" s="122" customFormat="1" spans="4:31">
      <c r="D302" s="124" t="s">
        <v>926</v>
      </c>
      <c r="E302" s="124">
        <v>1000</v>
      </c>
      <c r="F302" s="124">
        <v>1</v>
      </c>
      <c r="G302" s="128">
        <f>_xlfn.XLOOKUP(D302,[1]价值表!D:D,[1]价值表!F:F)*F302</f>
        <v>280</v>
      </c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</row>
    <row r="303" s="122" customFormat="1" spans="4:31">
      <c r="D303" s="124" t="s">
        <v>265</v>
      </c>
      <c r="E303" s="124">
        <v>1000</v>
      </c>
      <c r="F303" s="124">
        <v>6</v>
      </c>
      <c r="G303" s="128">
        <f>_xlfn.XLOOKUP(D303,[1]价值表!D:D,[1]价值表!F:F)*F303</f>
        <v>360</v>
      </c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</row>
    <row r="304" s="122" customFormat="1" spans="4:31">
      <c r="D304" s="124" t="s">
        <v>925</v>
      </c>
      <c r="E304" s="124">
        <v>2000</v>
      </c>
      <c r="F304" s="124">
        <v>5</v>
      </c>
      <c r="G304" s="128">
        <f>_xlfn.XLOOKUP(D304,[1]价值表!D:D,[1]价值表!F:F)*F304</f>
        <v>250</v>
      </c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</row>
    <row r="305" s="122" customFormat="1" spans="4:31">
      <c r="D305" s="124" t="s">
        <v>924</v>
      </c>
      <c r="E305" s="124">
        <v>2000</v>
      </c>
      <c r="F305" s="124">
        <v>5</v>
      </c>
      <c r="G305" s="128">
        <f>_xlfn.XLOOKUP(D305,[1]价值表!D:D,[1]价值表!F:F)*F305</f>
        <v>150</v>
      </c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</row>
    <row r="306" s="122" customFormat="1" spans="4:31">
      <c r="D306" s="124" t="s">
        <v>208</v>
      </c>
      <c r="E306" s="124">
        <v>3000</v>
      </c>
      <c r="F306" s="124">
        <v>50</v>
      </c>
      <c r="G306" s="128">
        <f>_xlfn.XLOOKUP(D306,[1]价值表!D:D,[1]价值表!F:F)*F306</f>
        <v>100</v>
      </c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</row>
    <row r="309" s="122" customFormat="1" spans="4:31">
      <c r="D309" s="124" t="s">
        <v>1886</v>
      </c>
      <c r="E309" s="124" t="s">
        <v>962</v>
      </c>
      <c r="F309" s="124" t="s">
        <v>919</v>
      </c>
      <c r="G309" s="124" t="s">
        <v>1479</v>
      </c>
      <c r="H309" s="124" t="s">
        <v>1101</v>
      </c>
      <c r="I309" s="124" t="s">
        <v>1887</v>
      </c>
      <c r="J309" s="124" t="s">
        <v>938</v>
      </c>
      <c r="K309" s="124" t="s">
        <v>965</v>
      </c>
      <c r="L309" s="124" t="s">
        <v>1888</v>
      </c>
      <c r="M309" s="124"/>
      <c r="N309" s="124"/>
      <c r="O309" s="124"/>
      <c r="P309" s="124"/>
      <c r="Q309" s="124"/>
      <c r="R309" s="124"/>
      <c r="S309" s="124"/>
      <c r="T309" s="124"/>
      <c r="U309" s="124"/>
    </row>
    <row r="310" s="122" customFormat="1" spans="4:31">
      <c r="D310" s="168">
        <v>1</v>
      </c>
      <c r="E310" s="151" t="s">
        <v>310</v>
      </c>
      <c r="F310" s="151">
        <v>1</v>
      </c>
      <c r="G310" s="152" t="s">
        <v>1889</v>
      </c>
      <c r="H310" s="155">
        <v>100</v>
      </c>
      <c r="I310" s="151"/>
      <c r="J310" s="124"/>
      <c r="K310" s="128">
        <f>IFERROR(_xlfn.XLOOKUP(E310,[1]价值表!D:D,[1]价值表!F:F)*F310,"")</f>
        <v>30</v>
      </c>
      <c r="L310" s="128">
        <f>SUM($K$310:K310)/D310/12/30</f>
        <v>0.0833333333333333</v>
      </c>
      <c r="M310" s="124"/>
      <c r="N310" s="124"/>
      <c r="O310" s="124"/>
      <c r="P310" s="124"/>
      <c r="Q310" s="124"/>
      <c r="R310" s="124"/>
      <c r="S310" s="124"/>
      <c r="T310" s="124"/>
      <c r="U310" s="124"/>
    </row>
    <row r="311" s="122" customFormat="1" spans="4:31">
      <c r="D311" s="168">
        <v>2</v>
      </c>
      <c r="E311" s="151" t="s">
        <v>312</v>
      </c>
      <c r="F311" s="151">
        <v>1</v>
      </c>
      <c r="G311" s="152" t="s">
        <v>1889</v>
      </c>
      <c r="H311" s="155">
        <v>100</v>
      </c>
      <c r="I311" s="151"/>
      <c r="J311" s="124"/>
      <c r="K311" s="128">
        <f>IFERROR(_xlfn.XLOOKUP(E311,[1]价值表!D:D,[1]价值表!F:F)*F311,"")</f>
        <v>200</v>
      </c>
      <c r="L311" s="128">
        <f>SUM($K$310:K311)/D311/12/30</f>
        <v>0.319444444444444</v>
      </c>
      <c r="M311" s="124"/>
      <c r="N311" s="124"/>
      <c r="O311" s="124"/>
      <c r="P311" s="124"/>
      <c r="Q311" s="124"/>
      <c r="R311" s="124"/>
      <c r="S311" s="124"/>
      <c r="T311" s="124"/>
      <c r="U311" s="124"/>
    </row>
    <row r="312" s="122" customFormat="1" spans="4:31">
      <c r="D312" s="168">
        <v>3</v>
      </c>
      <c r="E312" s="151" t="s">
        <v>310</v>
      </c>
      <c r="F312" s="151">
        <v>2</v>
      </c>
      <c r="G312" s="152" t="s">
        <v>1889</v>
      </c>
      <c r="H312" s="155">
        <v>100</v>
      </c>
      <c r="I312" s="151"/>
      <c r="J312" s="124"/>
      <c r="K312" s="128">
        <f>IFERROR(_xlfn.XLOOKUP(E312,[1]价值表!D:D,[1]价值表!F:F)*F312,"")</f>
        <v>60</v>
      </c>
      <c r="L312" s="128">
        <f>SUM($K$310:K312)/D312/12/30</f>
        <v>0.268518518518518</v>
      </c>
      <c r="M312" s="124"/>
      <c r="N312" s="124"/>
      <c r="O312" s="124"/>
      <c r="P312" s="124"/>
      <c r="Q312" s="124"/>
      <c r="R312" s="124"/>
      <c r="S312" s="124"/>
      <c r="T312" s="124"/>
      <c r="U312" s="124"/>
    </row>
    <row r="313" s="122" customFormat="1" spans="4:31">
      <c r="D313" s="168">
        <v>5</v>
      </c>
      <c r="E313" s="151" t="s">
        <v>188</v>
      </c>
      <c r="F313" s="151">
        <v>100</v>
      </c>
      <c r="G313" s="152" t="s">
        <v>1889</v>
      </c>
      <c r="H313" s="155">
        <v>100</v>
      </c>
      <c r="I313" s="171" t="s">
        <v>1890</v>
      </c>
      <c r="J313" s="124"/>
      <c r="K313" s="128">
        <f>IFERROR(_xlfn.XLOOKUP(E313,[1]价值表!D:D,[1]价值表!F:F)*F313,"")</f>
        <v>100</v>
      </c>
      <c r="L313" s="128">
        <f>SUM($K$310:K313)/D313/12/30</f>
        <v>0.216666666666667</v>
      </c>
      <c r="M313" s="124"/>
      <c r="N313" s="124"/>
      <c r="O313" s="124"/>
      <c r="P313" s="124"/>
      <c r="Q313" s="124"/>
      <c r="R313" s="124"/>
      <c r="S313" s="124"/>
      <c r="T313" s="124"/>
      <c r="U313" s="124"/>
    </row>
    <row r="314" s="122" customFormat="1" spans="4:31">
      <c r="D314" s="168">
        <v>8</v>
      </c>
      <c r="E314" s="151" t="s">
        <v>310</v>
      </c>
      <c r="F314" s="151">
        <v>1</v>
      </c>
      <c r="G314" s="152" t="s">
        <v>1889</v>
      </c>
      <c r="H314" s="155">
        <v>100</v>
      </c>
      <c r="I314" s="171"/>
      <c r="J314" s="124"/>
      <c r="K314" s="128">
        <f>IFERROR(_xlfn.XLOOKUP(E314,[1]价值表!D:D,[1]价值表!F:F)*F314,"")</f>
        <v>30</v>
      </c>
      <c r="L314" s="128">
        <f>SUM($K$310:K314)/D314/12/30</f>
        <v>0.145833333333333</v>
      </c>
      <c r="M314" s="124"/>
      <c r="N314" s="124"/>
      <c r="O314" s="124"/>
      <c r="P314" s="124"/>
      <c r="Q314" s="124"/>
      <c r="R314" s="124"/>
      <c r="S314" s="124"/>
      <c r="T314" s="124"/>
      <c r="U314" s="124"/>
    </row>
    <row r="315" s="122" customFormat="1" spans="4:31">
      <c r="D315" s="168">
        <v>10</v>
      </c>
      <c r="E315" s="151" t="s">
        <v>188</v>
      </c>
      <c r="F315" s="151">
        <v>100</v>
      </c>
      <c r="G315" s="152" t="s">
        <v>1889</v>
      </c>
      <c r="H315" s="155">
        <v>100</v>
      </c>
      <c r="I315" s="171" t="s">
        <v>1890</v>
      </c>
      <c r="J315" s="124"/>
      <c r="K315" s="128">
        <f>IFERROR(_xlfn.XLOOKUP(E315,[1]价值表!D:D,[1]价值表!F:F)*F315,"")</f>
        <v>100</v>
      </c>
      <c r="L315" s="128">
        <f>SUM($K$310:K315)/D315/12/30</f>
        <v>0.144444444444444</v>
      </c>
      <c r="M315" s="124"/>
      <c r="N315" s="124"/>
      <c r="O315" s="124"/>
      <c r="P315" s="124"/>
      <c r="Q315" s="124"/>
      <c r="R315" s="124"/>
      <c r="S315" s="124"/>
      <c r="T315" s="124"/>
      <c r="U315" s="124"/>
    </row>
    <row r="316" s="122" customFormat="1" spans="4:31">
      <c r="D316" s="168">
        <v>12</v>
      </c>
      <c r="E316" s="151" t="s">
        <v>310</v>
      </c>
      <c r="F316" s="151">
        <v>1</v>
      </c>
      <c r="G316" s="152" t="s">
        <v>1889</v>
      </c>
      <c r="H316" s="155">
        <v>100</v>
      </c>
      <c r="I316" s="171"/>
      <c r="J316" s="124"/>
      <c r="K316" s="128">
        <f>IFERROR(_xlfn.XLOOKUP(E316,[1]价值表!D:D,[1]价值表!F:F)*F316,"")</f>
        <v>30</v>
      </c>
      <c r="L316" s="128">
        <f>SUM($K$310:K316)/D316/12/30</f>
        <v>0.127314814814815</v>
      </c>
      <c r="M316" s="124"/>
      <c r="N316" s="124"/>
      <c r="O316" s="124"/>
      <c r="P316" s="124"/>
      <c r="Q316" s="124"/>
      <c r="R316" s="124"/>
      <c r="S316" s="124"/>
      <c r="T316" s="124"/>
      <c r="U316" s="124"/>
    </row>
    <row r="317" s="122" customFormat="1" spans="4:31">
      <c r="D317" s="168">
        <v>15</v>
      </c>
      <c r="E317" s="151" t="s">
        <v>312</v>
      </c>
      <c r="F317" s="151">
        <v>1</v>
      </c>
      <c r="G317" s="152" t="s">
        <v>1889</v>
      </c>
      <c r="H317" s="155">
        <v>100</v>
      </c>
      <c r="I317" s="171"/>
      <c r="J317" s="124"/>
      <c r="K317" s="128">
        <f>IFERROR(_xlfn.XLOOKUP(E317,[1]价值表!D:D,[1]价值表!F:F)*F317,"")</f>
        <v>200</v>
      </c>
      <c r="L317" s="128">
        <f>SUM($K$310:K317)/D317/12/30</f>
        <v>0.138888888888889</v>
      </c>
      <c r="M317" s="124"/>
      <c r="N317" s="124"/>
      <c r="O317" s="124"/>
      <c r="P317" s="124"/>
      <c r="Q317" s="124"/>
      <c r="R317" s="124"/>
      <c r="S317" s="124"/>
      <c r="T317" s="124"/>
      <c r="U317" s="124"/>
    </row>
    <row r="318" s="122" customFormat="1" spans="4:31">
      <c r="D318" s="168">
        <v>18</v>
      </c>
      <c r="E318" s="151" t="s">
        <v>310</v>
      </c>
      <c r="F318" s="151">
        <v>1</v>
      </c>
      <c r="G318" s="152" t="s">
        <v>1889</v>
      </c>
      <c r="H318" s="155">
        <v>100</v>
      </c>
      <c r="I318" s="171"/>
      <c r="J318" s="124"/>
      <c r="K318" s="128">
        <f>IFERROR(_xlfn.XLOOKUP(E318,[1]价值表!D:D,[1]价值表!F:F)*F318,"")</f>
        <v>30</v>
      </c>
      <c r="L318" s="128">
        <f>SUM($K$310:K318)/D318/12/30</f>
        <v>0.12037037037037</v>
      </c>
      <c r="M318" s="124"/>
      <c r="N318" s="124"/>
      <c r="O318" s="124"/>
      <c r="P318" s="124"/>
      <c r="Q318" s="124"/>
      <c r="R318" s="124"/>
      <c r="S318" s="124"/>
      <c r="T318" s="124"/>
      <c r="U318" s="124"/>
    </row>
    <row r="319" s="122" customFormat="1" spans="4:31">
      <c r="D319" s="168">
        <v>20</v>
      </c>
      <c r="E319" s="151" t="s">
        <v>188</v>
      </c>
      <c r="F319" s="144">
        <v>100</v>
      </c>
      <c r="G319" s="152" t="s">
        <v>1889</v>
      </c>
      <c r="H319" s="155">
        <v>100</v>
      </c>
      <c r="I319" s="171" t="s">
        <v>1890</v>
      </c>
      <c r="J319" s="124"/>
      <c r="K319" s="128">
        <f>IFERROR(_xlfn.XLOOKUP(E319,[1]价值表!D:D,[1]价值表!F:F)*F319,"")</f>
        <v>100</v>
      </c>
      <c r="L319" s="128">
        <f>SUM($K$310:K319)/D319/12/30</f>
        <v>0.122222222222222</v>
      </c>
      <c r="M319" s="124"/>
      <c r="N319" s="124"/>
      <c r="O319" s="124"/>
      <c r="P319" s="124"/>
      <c r="Q319" s="124"/>
      <c r="R319" s="124"/>
      <c r="S319" s="124"/>
      <c r="T319" s="124"/>
      <c r="U319" s="124"/>
    </row>
    <row r="320" s="122" customFormat="1" spans="4:31">
      <c r="D320" s="168">
        <v>25</v>
      </c>
      <c r="E320" s="151" t="s">
        <v>310</v>
      </c>
      <c r="F320" s="151">
        <v>2</v>
      </c>
      <c r="G320" s="152" t="s">
        <v>1889</v>
      </c>
      <c r="H320" s="155">
        <v>300</v>
      </c>
      <c r="I320" s="171"/>
      <c r="J320" s="124"/>
      <c r="K320" s="128">
        <f>IFERROR(_xlfn.XLOOKUP(E320,[1]价值表!D:D,[1]价值表!F:F)*F320,"")</f>
        <v>60</v>
      </c>
      <c r="L320" s="128">
        <f>SUM($K$310:K320)/D320/12/30</f>
        <v>0.104444444444444</v>
      </c>
      <c r="M320" s="124"/>
      <c r="N320" s="124"/>
      <c r="O320" s="124"/>
      <c r="P320" s="124"/>
      <c r="Q320" s="124"/>
      <c r="R320" s="124"/>
      <c r="S320" s="124"/>
      <c r="T320" s="124"/>
      <c r="U320" s="124"/>
    </row>
    <row r="321" s="122" customFormat="1" spans="4:31">
      <c r="D321" s="168">
        <v>30</v>
      </c>
      <c r="E321" s="151" t="s">
        <v>312</v>
      </c>
      <c r="F321" s="151">
        <v>1</v>
      </c>
      <c r="G321" s="152" t="s">
        <v>1889</v>
      </c>
      <c r="H321" s="155">
        <v>200</v>
      </c>
      <c r="I321" s="171" t="s">
        <v>1890</v>
      </c>
      <c r="J321" s="124" t="s">
        <v>1891</v>
      </c>
      <c r="K321" s="128">
        <f>IFERROR(_xlfn.XLOOKUP(E321,[1]价值表!D:D,[1]价值表!F:F)*F321,"")</f>
        <v>200</v>
      </c>
      <c r="L321" s="128">
        <f>SUM($K$310:K321)/D321/12/30</f>
        <v>0.105555555555556</v>
      </c>
      <c r="M321" s="124"/>
      <c r="N321" s="124"/>
      <c r="O321" s="124"/>
      <c r="P321" s="124"/>
      <c r="Q321" s="124"/>
      <c r="R321" s="124"/>
      <c r="S321" s="124"/>
      <c r="T321" s="124"/>
      <c r="U321" s="124"/>
    </row>
    <row r="322" s="122" customFormat="1" spans="4:31">
      <c r="D322" s="168">
        <v>35</v>
      </c>
      <c r="E322" s="151" t="s">
        <v>310</v>
      </c>
      <c r="F322" s="151">
        <v>2</v>
      </c>
      <c r="G322" s="152" t="s">
        <v>1889</v>
      </c>
      <c r="H322" s="155">
        <v>200</v>
      </c>
      <c r="I322" s="151"/>
      <c r="J322" s="124"/>
      <c r="K322" s="128">
        <f>IFERROR(_xlfn.XLOOKUP(E322,[1]价值表!D:D,[1]价值表!F:F)*F322,"")</f>
        <v>60</v>
      </c>
      <c r="L322" s="128">
        <f>SUM($K$310:K322)/D322/12/30</f>
        <v>0.0952380952380952</v>
      </c>
      <c r="M322" s="124"/>
      <c r="N322" s="124"/>
      <c r="O322" s="124"/>
      <c r="P322" s="124"/>
      <c r="Q322" s="124"/>
      <c r="R322" s="124"/>
      <c r="S322" s="124"/>
      <c r="T322" s="124"/>
      <c r="U322" s="124"/>
    </row>
    <row r="323" s="122" customFormat="1" spans="4:31">
      <c r="D323" s="168">
        <v>40</v>
      </c>
      <c r="E323" s="151" t="s">
        <v>188</v>
      </c>
      <c r="F323" s="144">
        <v>200</v>
      </c>
      <c r="G323" s="152" t="s">
        <v>1889</v>
      </c>
      <c r="H323" s="155">
        <v>200</v>
      </c>
      <c r="I323" s="151"/>
      <c r="J323" s="124"/>
      <c r="K323" s="128">
        <f>IFERROR(_xlfn.XLOOKUP(E323,[1]价值表!D:D,[1]价值表!F:F)*F323,"")</f>
        <v>200</v>
      </c>
      <c r="L323" s="128">
        <f>SUM($K$310:K323)/D323/12/30</f>
        <v>0.0972222222222222</v>
      </c>
      <c r="M323" s="124"/>
      <c r="N323" s="124"/>
      <c r="O323" s="124"/>
      <c r="P323" s="124"/>
      <c r="Q323" s="124"/>
      <c r="R323" s="124"/>
      <c r="S323" s="124"/>
      <c r="T323" s="124"/>
      <c r="U323" s="124"/>
    </row>
    <row r="324" s="122" customFormat="1" spans="4:31">
      <c r="D324" s="168">
        <v>45</v>
      </c>
      <c r="E324" s="151" t="s">
        <v>310</v>
      </c>
      <c r="F324" s="151">
        <v>2</v>
      </c>
      <c r="G324" s="152" t="s">
        <v>1889</v>
      </c>
      <c r="H324" s="155">
        <v>200</v>
      </c>
      <c r="I324" s="151"/>
      <c r="J324" s="124"/>
      <c r="K324" s="128">
        <f>IFERROR(_xlfn.XLOOKUP(E324,[1]价值表!D:D,[1]价值表!F:F)*F324,"")</f>
        <v>60</v>
      </c>
      <c r="L324" s="128">
        <f>SUM($K$310:K324)/D324/12/30</f>
        <v>0.0901234567901235</v>
      </c>
      <c r="M324" s="124"/>
      <c r="N324" s="124"/>
      <c r="O324" s="124"/>
      <c r="P324" s="124"/>
      <c r="Q324" s="124"/>
      <c r="R324" s="124"/>
      <c r="S324" s="124"/>
      <c r="T324" s="124"/>
      <c r="U324" s="124"/>
    </row>
    <row r="325" s="122" customFormat="1" spans="4:31">
      <c r="D325" s="168">
        <v>50</v>
      </c>
      <c r="E325" s="151" t="s">
        <v>836</v>
      </c>
      <c r="F325" s="151">
        <v>1</v>
      </c>
      <c r="G325" s="152" t="s">
        <v>1889</v>
      </c>
      <c r="H325" s="155">
        <v>200</v>
      </c>
      <c r="I325" s="151"/>
      <c r="J325" s="124"/>
      <c r="K325" s="128" t="str">
        <f>IFERROR(_xlfn.XLOOKUP(E325,[1]价值表!D:D,[1]价值表!F:F)*F325,"")</f>
        <v/>
      </c>
      <c r="L325" s="128">
        <f>SUM($K$310:K325)/D325/12/30</f>
        <v>0.0811111111111111</v>
      </c>
      <c r="M325" s="124"/>
      <c r="N325" s="124"/>
      <c r="O325" s="124"/>
      <c r="P325" s="124"/>
      <c r="Q325" s="124"/>
      <c r="R325" s="124"/>
      <c r="S325" s="124"/>
      <c r="T325" s="124"/>
      <c r="U325" s="124"/>
    </row>
    <row r="326" s="122" customFormat="1" spans="4:31">
      <c r="D326" s="168">
        <v>55</v>
      </c>
      <c r="E326" s="151" t="s">
        <v>310</v>
      </c>
      <c r="F326" s="151">
        <v>3</v>
      </c>
      <c r="G326" s="152" t="s">
        <v>1889</v>
      </c>
      <c r="H326" s="155">
        <v>300</v>
      </c>
      <c r="I326" s="151"/>
      <c r="J326" s="124" t="s">
        <v>1892</v>
      </c>
      <c r="K326" s="128">
        <f>IFERROR(_xlfn.XLOOKUP(E326,[1]价值表!D:D,[1]价值表!F:F)*F326,"")</f>
        <v>90</v>
      </c>
      <c r="L326" s="128">
        <f>SUM($K$310:K326)/D326/12/30</f>
        <v>0.0782828282828283</v>
      </c>
      <c r="M326" s="124"/>
      <c r="N326" s="124"/>
      <c r="O326" s="124"/>
      <c r="P326" s="124"/>
      <c r="Q326" s="124"/>
      <c r="R326" s="124"/>
      <c r="S326" s="124"/>
      <c r="T326" s="124"/>
      <c r="U326" s="124"/>
    </row>
    <row r="327" s="122" customFormat="1" spans="4:31">
      <c r="D327" s="168">
        <v>60</v>
      </c>
      <c r="E327" s="151" t="s">
        <v>188</v>
      </c>
      <c r="F327" s="144">
        <v>200</v>
      </c>
      <c r="G327" s="152" t="s">
        <v>1889</v>
      </c>
      <c r="H327" s="155">
        <v>300</v>
      </c>
      <c r="I327" s="151"/>
      <c r="J327" s="124"/>
      <c r="K327" s="128">
        <f>IFERROR(_xlfn.XLOOKUP(E327,[1]价值表!D:D,[1]价值表!F:F)*F327,"")</f>
        <v>200</v>
      </c>
      <c r="L327" s="128">
        <f>SUM($K$310:K327)/D327/12/30</f>
        <v>0.0810185185185185</v>
      </c>
      <c r="M327" s="124"/>
      <c r="N327" s="124"/>
      <c r="O327" s="124"/>
      <c r="P327" s="124"/>
      <c r="Q327" s="124"/>
      <c r="R327" s="124"/>
      <c r="S327" s="124"/>
      <c r="T327" s="124"/>
      <c r="U327" s="124"/>
    </row>
    <row r="328" s="122" customFormat="1" spans="4:31">
      <c r="D328" s="168">
        <v>70</v>
      </c>
      <c r="E328" s="151" t="s">
        <v>310</v>
      </c>
      <c r="F328" s="151">
        <v>3</v>
      </c>
      <c r="G328" s="152" t="s">
        <v>1889</v>
      </c>
      <c r="H328" s="155">
        <v>300</v>
      </c>
      <c r="I328" s="151"/>
      <c r="J328" s="124"/>
      <c r="K328" s="128">
        <f>IFERROR(_xlfn.XLOOKUP(E328,[1]价值表!D:D,[1]价值表!F:F)*F328,"")</f>
        <v>90</v>
      </c>
      <c r="L328" s="128">
        <f>SUM($K$310:K328)/D328/12/30</f>
        <v>0.073015873015873</v>
      </c>
      <c r="M328" s="124"/>
      <c r="N328" s="124"/>
      <c r="O328" s="124"/>
      <c r="P328" s="124"/>
      <c r="Q328" s="124"/>
      <c r="R328" s="124"/>
      <c r="S328" s="124"/>
      <c r="T328" s="124"/>
      <c r="U328" s="124"/>
    </row>
    <row r="329" s="122" customFormat="1" spans="4:31">
      <c r="D329" s="168">
        <v>80</v>
      </c>
      <c r="E329" s="151" t="s">
        <v>312</v>
      </c>
      <c r="F329" s="151">
        <v>1</v>
      </c>
      <c r="G329" s="152" t="s">
        <v>1889</v>
      </c>
      <c r="H329" s="155">
        <v>300</v>
      </c>
      <c r="I329" s="151"/>
      <c r="J329" s="124" t="s">
        <v>1893</v>
      </c>
      <c r="K329" s="128">
        <f>IFERROR(_xlfn.XLOOKUP(E329,[1]价值表!D:D,[1]价值表!F:F)*F329,"")</f>
        <v>200</v>
      </c>
      <c r="L329" s="128">
        <f>SUM($K$310:K329)/D329/12/30</f>
        <v>0.0708333333333333</v>
      </c>
      <c r="M329" s="124"/>
      <c r="N329" s="124"/>
      <c r="O329" s="124"/>
      <c r="P329" s="124"/>
      <c r="Q329" s="124"/>
      <c r="R329" s="124"/>
      <c r="S329" s="124"/>
      <c r="T329" s="124"/>
      <c r="U329" s="124"/>
    </row>
    <row r="330" s="122" customFormat="1" spans="4:31">
      <c r="D330" s="168">
        <v>90</v>
      </c>
      <c r="E330" s="151" t="s">
        <v>310</v>
      </c>
      <c r="F330" s="151">
        <v>5</v>
      </c>
      <c r="G330" s="152" t="s">
        <v>1889</v>
      </c>
      <c r="H330" s="155">
        <v>300</v>
      </c>
      <c r="I330" s="151"/>
      <c r="J330" s="124"/>
      <c r="K330" s="128">
        <f>IFERROR(_xlfn.XLOOKUP(E330,[1]价值表!D:D,[1]价值表!F:F)*F330,"")</f>
        <v>150</v>
      </c>
      <c r="L330" s="128">
        <f>SUM($K$310:K330)/D330/12/30</f>
        <v>0.0675925925925926</v>
      </c>
      <c r="M330" s="124"/>
      <c r="N330" s="124"/>
      <c r="O330" s="124"/>
      <c r="P330" s="124"/>
      <c r="Q330" s="124"/>
      <c r="R330" s="124"/>
      <c r="S330" s="124"/>
      <c r="T330" s="124"/>
      <c r="U330" s="124"/>
    </row>
    <row r="331" s="122" customFormat="1" spans="4:31">
      <c r="D331" s="168">
        <v>100</v>
      </c>
      <c r="E331" s="151" t="s">
        <v>188</v>
      </c>
      <c r="F331" s="144">
        <v>300</v>
      </c>
      <c r="G331" s="152" t="s">
        <v>1889</v>
      </c>
      <c r="H331" s="155">
        <v>400</v>
      </c>
      <c r="I331" s="151"/>
      <c r="J331" s="124"/>
      <c r="K331" s="128">
        <f>IFERROR(_xlfn.XLOOKUP(E331,[1]价值表!D:D,[1]价值表!F:F)*F331,"")</f>
        <v>300</v>
      </c>
      <c r="L331" s="128">
        <f>SUM($K$310:K331)/D331/12/30</f>
        <v>0.0691666666666667</v>
      </c>
      <c r="M331" s="124"/>
      <c r="N331" s="124"/>
      <c r="O331" s="124"/>
      <c r="P331" s="124"/>
      <c r="Q331" s="124"/>
      <c r="R331" s="124"/>
      <c r="S331" s="124"/>
      <c r="T331" s="124"/>
      <c r="U331" s="124"/>
    </row>
    <row r="332" s="122" customFormat="1" spans="4:31">
      <c r="D332" s="168">
        <v>110</v>
      </c>
      <c r="E332" s="151" t="s">
        <v>310</v>
      </c>
      <c r="F332" s="151">
        <v>5</v>
      </c>
      <c r="G332" s="152" t="s">
        <v>1889</v>
      </c>
      <c r="H332" s="155">
        <v>400</v>
      </c>
      <c r="I332" s="151"/>
      <c r="J332" s="124"/>
      <c r="K332" s="128">
        <f>IFERROR(_xlfn.XLOOKUP(E332,[1]价值表!D:D,[1]价值表!F:F)*F332,"")</f>
        <v>150</v>
      </c>
      <c r="L332" s="128">
        <f>SUM($K$310:K332)/D332/12/30</f>
        <v>0.0666666666666667</v>
      </c>
      <c r="M332" s="124"/>
      <c r="N332" s="124"/>
      <c r="O332" s="124"/>
      <c r="P332" s="124"/>
      <c r="Q332" s="124"/>
      <c r="R332" s="124"/>
      <c r="S332" s="124"/>
      <c r="T332" s="124"/>
      <c r="U332" s="124"/>
    </row>
    <row r="333" s="122" customFormat="1" spans="4:31">
      <c r="D333" s="168">
        <v>120</v>
      </c>
      <c r="E333" s="151" t="s">
        <v>801</v>
      </c>
      <c r="F333" s="151">
        <v>1</v>
      </c>
      <c r="G333" s="152" t="s">
        <v>1889</v>
      </c>
      <c r="H333" s="155">
        <v>400</v>
      </c>
      <c r="I333" s="151"/>
      <c r="J333" s="124"/>
      <c r="K333" s="128" t="str">
        <f>IFERROR(_xlfn.XLOOKUP(E333,[1]价值表!D:D,[1]价值表!F:F)*F333,"")</f>
        <v/>
      </c>
      <c r="L333" s="128">
        <f>SUM($K$310:K333)/D333/12/30</f>
        <v>0.0611111111111111</v>
      </c>
      <c r="M333" s="124"/>
      <c r="N333" s="124"/>
      <c r="O333" s="124"/>
      <c r="P333" s="124"/>
      <c r="Q333" s="124"/>
      <c r="R333" s="124"/>
      <c r="S333" s="124"/>
      <c r="T333" s="124"/>
      <c r="U333" s="124"/>
    </row>
    <row r="334" s="122" customFormat="1" spans="4:31">
      <c r="D334" s="168">
        <v>130</v>
      </c>
      <c r="E334" s="151" t="s">
        <v>310</v>
      </c>
      <c r="F334" s="151">
        <v>5</v>
      </c>
      <c r="G334" s="152" t="s">
        <v>1889</v>
      </c>
      <c r="H334" s="155">
        <v>400</v>
      </c>
      <c r="I334" s="151"/>
      <c r="J334" s="124"/>
      <c r="K334" s="128">
        <f>IFERROR(_xlfn.XLOOKUP(E334,[1]价值表!D:D,[1]价值表!F:F)*F334,"")</f>
        <v>150</v>
      </c>
      <c r="L334" s="128">
        <f>SUM($K$310:K334)/D334/12/30</f>
        <v>0.0596153846153846</v>
      </c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</row>
    <row r="335" s="122" customFormat="1" spans="4:31">
      <c r="D335" s="168">
        <v>140</v>
      </c>
      <c r="E335" s="151" t="s">
        <v>310</v>
      </c>
      <c r="F335" s="151">
        <v>5</v>
      </c>
      <c r="G335" s="152" t="s">
        <v>1889</v>
      </c>
      <c r="H335" s="155">
        <v>400</v>
      </c>
      <c r="I335" s="151"/>
      <c r="J335" s="124"/>
      <c r="K335" s="128">
        <f>IFERROR(_xlfn.XLOOKUP(E335,[1]价值表!D:D,[1]价值表!F:F)*F335,"")</f>
        <v>150</v>
      </c>
      <c r="L335" s="128">
        <f>SUM($K$310:K335)/D335/12/30</f>
        <v>0.0583333333333333</v>
      </c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</row>
    <row r="336" s="122" customFormat="1" spans="4:31">
      <c r="D336" s="168">
        <v>150</v>
      </c>
      <c r="E336" s="151" t="s">
        <v>188</v>
      </c>
      <c r="F336" s="144">
        <v>1000</v>
      </c>
      <c r="G336" s="152" t="s">
        <v>1889</v>
      </c>
      <c r="H336" s="155">
        <v>500</v>
      </c>
      <c r="I336" s="151"/>
      <c r="J336" s="124" t="s">
        <v>1894</v>
      </c>
      <c r="K336" s="128">
        <f>IFERROR(_xlfn.XLOOKUP(E336,[1]价值表!D:D,[1]价值表!F:F)*F336,"")</f>
        <v>1000</v>
      </c>
      <c r="L336" s="128">
        <f>SUM($K$310:K336)/D336/12/30</f>
        <v>0.072962962962963</v>
      </c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</row>
    <row r="337" s="122" customFormat="1" spans="2:31">
      <c r="D337" s="168">
        <v>160</v>
      </c>
      <c r="E337" s="151" t="s">
        <v>310</v>
      </c>
      <c r="F337" s="151">
        <v>5</v>
      </c>
      <c r="G337" s="152" t="s">
        <v>1889</v>
      </c>
      <c r="H337" s="155">
        <v>500</v>
      </c>
      <c r="I337" s="151"/>
      <c r="J337" s="124"/>
      <c r="K337" s="128">
        <f>IFERROR(_xlfn.XLOOKUP(E337,[1]价值表!D:D,[1]价值表!F:F)*F337,"")</f>
        <v>150</v>
      </c>
      <c r="L337" s="128">
        <f>SUM($K$310:K337)/D337/12/30</f>
        <v>0.0710069444444445</v>
      </c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</row>
    <row r="338" s="122" customFormat="1" spans="2:31">
      <c r="D338" s="168">
        <v>170</v>
      </c>
      <c r="E338" s="151" t="s">
        <v>312</v>
      </c>
      <c r="F338" s="151">
        <v>1</v>
      </c>
      <c r="G338" s="152" t="s">
        <v>1889</v>
      </c>
      <c r="H338" s="155">
        <v>500</v>
      </c>
      <c r="I338" s="151"/>
      <c r="J338" s="124"/>
      <c r="K338" s="128">
        <f>IFERROR(_xlfn.XLOOKUP(E338,[1]价值表!D:D,[1]价值表!F:F)*F338,"")</f>
        <v>200</v>
      </c>
      <c r="L338" s="128">
        <f>SUM($K$310:K338)/D338/12/30</f>
        <v>0.0700980392156863</v>
      </c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</row>
    <row r="339" s="122" customFormat="1" spans="2:31">
      <c r="D339" s="168">
        <v>180</v>
      </c>
      <c r="E339" s="151" t="s">
        <v>310</v>
      </c>
      <c r="F339" s="151">
        <v>5</v>
      </c>
      <c r="G339" s="152" t="s">
        <v>1889</v>
      </c>
      <c r="H339" s="155">
        <v>500</v>
      </c>
      <c r="I339" s="151"/>
      <c r="J339" s="124"/>
      <c r="K339" s="128">
        <f>IFERROR(_xlfn.XLOOKUP(E339,[1]价值表!D:D,[1]价值表!F:F)*F339,"")</f>
        <v>150</v>
      </c>
      <c r="L339" s="128">
        <f>SUM($K$310:K339)/D339/12/30</f>
        <v>0.0685185185185185</v>
      </c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</row>
    <row r="340" s="122" customFormat="1" spans="2:31">
      <c r="D340" s="168">
        <v>190</v>
      </c>
      <c r="E340" s="151" t="s">
        <v>310</v>
      </c>
      <c r="F340" s="151">
        <v>5</v>
      </c>
      <c r="G340" s="152" t="s">
        <v>1889</v>
      </c>
      <c r="H340" s="155">
        <v>500</v>
      </c>
      <c r="I340" s="151"/>
      <c r="J340" s="124"/>
      <c r="K340" s="128">
        <f>IFERROR(_xlfn.XLOOKUP(E340,[1]价值表!D:D,[1]价值表!F:F)*F340,"")</f>
        <v>150</v>
      </c>
      <c r="L340" s="128">
        <f>SUM($K$310:K340)/D340/12/30</f>
        <v>0.0671052631578947</v>
      </c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</row>
    <row r="341" s="122" customFormat="1" spans="2:31">
      <c r="D341" s="168">
        <v>200</v>
      </c>
      <c r="E341" s="151" t="s">
        <v>827</v>
      </c>
      <c r="F341" s="151">
        <v>1</v>
      </c>
      <c r="G341" s="152" t="s">
        <v>1889</v>
      </c>
      <c r="H341" s="155">
        <v>500</v>
      </c>
      <c r="I341" s="151"/>
      <c r="J341" s="124"/>
      <c r="K341" s="128" t="str">
        <f>IFERROR(_xlfn.XLOOKUP(E341,[1]价值表!D:D,[1]价值表!F:F)*F341,"")</f>
        <v/>
      </c>
      <c r="L341" s="128">
        <f>SUM($K$310:K341)/D341/12/30</f>
        <v>0.06375</v>
      </c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</row>
    <row r="345" s="122" customFormat="1" spans="2:31">
      <c r="B345" s="125"/>
      <c r="C345" s="125" t="s">
        <v>1174</v>
      </c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</row>
    <row r="347" s="122" customFormat="1" spans="2:31">
      <c r="D347" s="78" t="s">
        <v>1414</v>
      </c>
      <c r="E347" s="14" t="s">
        <v>1895</v>
      </c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</row>
    <row r="348" s="122" customFormat="1" spans="2:31">
      <c r="D348" s="78"/>
      <c r="E348" s="14" t="s">
        <v>1896</v>
      </c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</row>
    <row r="349" s="122" customFormat="1" spans="2:31">
      <c r="D349" s="78" t="s">
        <v>1897</v>
      </c>
      <c r="E349" s="78" t="s">
        <v>1820</v>
      </c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</row>
    <row r="350" s="122" customFormat="1" spans="2:31">
      <c r="D350" s="78" t="s">
        <v>566</v>
      </c>
      <c r="E350" s="179">
        <f ca="1">OFFSET($Q$406,MATCH(7,OFFSET($D$407:$D$706,0,MATCH($D350,$D$350:$D$353,0))),0)</f>
        <v>9523.61</v>
      </c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</row>
    <row r="351" s="122" customFormat="1" spans="2:31">
      <c r="D351" s="78" t="s">
        <v>568</v>
      </c>
      <c r="E351" s="179">
        <f ca="1">OFFSET($Q$406,MATCH(7,OFFSET($D$407:$D$706,0,MATCH($D351,$D$350:$D$353,0))),0)</f>
        <v>15352.74</v>
      </c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>
        <f>1/1.5</f>
        <v>0.666666666666667</v>
      </c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</row>
    <row r="352" s="122" customFormat="1" spans="2:31">
      <c r="D352" s="78" t="s">
        <v>577</v>
      </c>
      <c r="E352" s="179">
        <f ca="1">OFFSET($Q$406,MATCH(7,OFFSET($D$407:$D$706,0,MATCH($D352,$D$350:$D$353,0))),0)</f>
        <v>22822.54</v>
      </c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>
        <f>1/2</f>
        <v>0.5</v>
      </c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</row>
    <row r="353" s="122" customFormat="1" spans="4:31">
      <c r="D353" s="78" t="s">
        <v>586</v>
      </c>
      <c r="E353" s="179">
        <f ca="1">OFFSET($Q$406,MATCH(7,OFFSET($D$407:$D$706,0,MATCH($D353,$D$350:$D$353,0))),0)</f>
        <v>44589.11</v>
      </c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</row>
    <row r="354" s="122" customFormat="1" spans="4:31">
      <c r="D354" s="78"/>
      <c r="E354" s="1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</row>
    <row r="355" s="122" customFormat="1" spans="4:31">
      <c r="D355" s="128" t="s">
        <v>1898</v>
      </c>
      <c r="E355" s="128" t="s">
        <v>1899</v>
      </c>
      <c r="F355" s="128" t="s">
        <v>919</v>
      </c>
      <c r="G355" s="124" t="s">
        <v>922</v>
      </c>
      <c r="H355" s="128" t="s">
        <v>1900</v>
      </c>
      <c r="I355" s="128" t="s">
        <v>1094</v>
      </c>
      <c r="J355" s="128" t="s">
        <v>1901</v>
      </c>
      <c r="K355" s="128" t="s">
        <v>1902</v>
      </c>
      <c r="L355" s="124" t="s">
        <v>1903</v>
      </c>
      <c r="M355" s="128" t="s">
        <v>1904</v>
      </c>
      <c r="N355" s="124" t="s">
        <v>1905</v>
      </c>
      <c r="O355" s="124" t="s">
        <v>1906</v>
      </c>
      <c r="P355" s="124" t="s">
        <v>938</v>
      </c>
      <c r="Q355" s="124"/>
      <c r="R355" s="124"/>
      <c r="S355" s="124"/>
      <c r="T355" s="124">
        <f>60000</f>
        <v>60000</v>
      </c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</row>
    <row r="356" s="122" customFormat="1" spans="4:31">
      <c r="D356" s="128" t="s">
        <v>330</v>
      </c>
      <c r="E356" s="124" t="s">
        <v>1907</v>
      </c>
      <c r="F356" s="124">
        <v>1</v>
      </c>
      <c r="G356" s="128">
        <f>_xlfn.XLOOKUP(D356,[1]价值表!D:D,[1]价值表!F:F)*F356</f>
        <v>13000</v>
      </c>
      <c r="H356" s="124"/>
      <c r="I356" s="173">
        <v>16000</v>
      </c>
      <c r="J356" s="173" t="str">
        <f>IFERROR(ROUND(I356*积分定价/G356*10,0)&amp;"折","")</f>
        <v>12折</v>
      </c>
      <c r="K356" s="15">
        <v>5</v>
      </c>
      <c r="L356" s="15"/>
      <c r="M356" s="124"/>
      <c r="N356" s="124"/>
      <c r="O356" s="124"/>
      <c r="P356" s="128"/>
      <c r="Q356" s="124"/>
      <c r="R356" s="124"/>
      <c r="S356" s="124"/>
      <c r="T356" s="124" t="str">
        <f>"2000元+45000"</f>
        <v>2000元+45000</v>
      </c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</row>
    <row r="357" s="122" customFormat="1" spans="4:31">
      <c r="D357" s="128" t="s">
        <v>326</v>
      </c>
      <c r="E357" s="124" t="s">
        <v>1907</v>
      </c>
      <c r="F357" s="124">
        <v>1</v>
      </c>
      <c r="G357" s="128">
        <f>_xlfn.XLOOKUP(D357,[1]价值表!D:D,[1]价值表!F:F)*F357</f>
        <v>8000</v>
      </c>
      <c r="H357" s="124"/>
      <c r="I357" s="173">
        <v>8000</v>
      </c>
      <c r="J357" s="173" t="str">
        <f>IFERROR(ROUND(I357*积分定价/G357*10,0)&amp;"折","")</f>
        <v>10折</v>
      </c>
      <c r="K357" s="15">
        <v>4</v>
      </c>
      <c r="L357" s="15"/>
      <c r="M357" s="124"/>
      <c r="N357" s="124"/>
      <c r="O357" s="124"/>
      <c r="P357" s="128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</row>
    <row r="358" s="122" customFormat="1" spans="4:31">
      <c r="D358" s="128" t="s">
        <v>323</v>
      </c>
      <c r="E358" s="124" t="s">
        <v>1907</v>
      </c>
      <c r="F358" s="124">
        <v>1</v>
      </c>
      <c r="G358" s="128">
        <f>_xlfn.XLOOKUP(D358,[1]价值表!D:D,[1]价值表!F:F)*F358</f>
        <v>8000</v>
      </c>
      <c r="H358" s="124"/>
      <c r="I358" s="173">
        <v>10000</v>
      </c>
      <c r="J358" s="173" t="str">
        <f>IFERROR(ROUND(I358*积分定价/G358*10,0)&amp;"折","")</f>
        <v>13折</v>
      </c>
      <c r="K358" s="15">
        <v>3</v>
      </c>
      <c r="L358" s="15"/>
      <c r="M358" s="124"/>
      <c r="N358" s="124"/>
      <c r="O358" s="124"/>
      <c r="P358" s="128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</row>
    <row r="359" s="122" customFormat="1" spans="4:31">
      <c r="D359" s="128" t="s">
        <v>1908</v>
      </c>
      <c r="E359" s="124" t="s">
        <v>1909</v>
      </c>
      <c r="F359" s="124">
        <v>1</v>
      </c>
      <c r="G359" s="128">
        <f>_xlfn.XLOOKUP(D359,[1]价值表!D:D,[1]价值表!F:F)*F359</f>
        <v>12000</v>
      </c>
      <c r="H359" s="124"/>
      <c r="I359" s="173">
        <v>12000</v>
      </c>
      <c r="J359" s="173" t="str">
        <f>IFERROR(ROUND(I359*积分定价/G359*10,0)&amp;"折","")</f>
        <v>10折</v>
      </c>
      <c r="K359" s="15">
        <v>4</v>
      </c>
      <c r="L359" s="15" t="s">
        <v>1910</v>
      </c>
      <c r="M359" s="124"/>
      <c r="N359" s="124"/>
      <c r="O359" s="124"/>
      <c r="P359" s="128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</row>
    <row r="360" s="122" customFormat="1" spans="4:31">
      <c r="D360" s="128" t="s">
        <v>1911</v>
      </c>
      <c r="E360" s="124" t="s">
        <v>1907</v>
      </c>
      <c r="F360" s="124">
        <v>10</v>
      </c>
      <c r="G360" s="128">
        <f>_xlfn.XLOOKUP(D360,[1]价值表!D:D,[1]价值表!F:F)*F360</f>
        <v>1500</v>
      </c>
      <c r="H360" s="124"/>
      <c r="I360" s="173">
        <v>2000</v>
      </c>
      <c r="J360" s="173" t="str">
        <f>IFERROR(ROUND(I360*积分定价/G360*10,0)&amp;"折","")</f>
        <v>13折</v>
      </c>
      <c r="K360" s="15">
        <v>5</v>
      </c>
      <c r="L360" s="15" t="s">
        <v>1910</v>
      </c>
      <c r="M360" s="124"/>
      <c r="N360" s="124"/>
      <c r="O360" s="124"/>
      <c r="P360" s="128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</row>
    <row r="361" s="122" customFormat="1" spans="4:31">
      <c r="D361" s="128" t="s">
        <v>926</v>
      </c>
      <c r="E361" s="124" t="s">
        <v>1907</v>
      </c>
      <c r="F361" s="128">
        <v>10</v>
      </c>
      <c r="G361" s="128">
        <f>_xlfn.XLOOKUP(D361,[1]价值表!D:D,[1]价值表!F:F)*F361</f>
        <v>2800</v>
      </c>
      <c r="H361" s="128"/>
      <c r="I361" s="173">
        <v>2500</v>
      </c>
      <c r="J361" s="173" t="str">
        <f>IFERROR(ROUND(I361*积分定价/G361*10,0)&amp;"折","")</f>
        <v>9折</v>
      </c>
      <c r="K361" s="173">
        <v>5</v>
      </c>
      <c r="L361" s="15"/>
      <c r="M361" s="124"/>
      <c r="N361" s="124"/>
      <c r="O361" s="124"/>
      <c r="P361" s="128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</row>
    <row r="362" s="122" customFormat="1" spans="4:31">
      <c r="D362" s="128" t="s">
        <v>924</v>
      </c>
      <c r="E362" s="124" t="s">
        <v>1907</v>
      </c>
      <c r="F362" s="124">
        <v>80</v>
      </c>
      <c r="G362" s="128">
        <f>_xlfn.XLOOKUP(D362,[1]价值表!D:D,[1]价值表!F:F)*F362</f>
        <v>2400</v>
      </c>
      <c r="H362" s="124"/>
      <c r="I362" s="173">
        <v>2800</v>
      </c>
      <c r="J362" s="173" t="str">
        <f>IFERROR(ROUND(I362*积分定价/G362*10,0)&amp;"折","")</f>
        <v>12折</v>
      </c>
      <c r="K362" s="15">
        <v>20</v>
      </c>
      <c r="L362" s="15"/>
      <c r="M362" s="124"/>
      <c r="N362" s="124"/>
      <c r="O362" s="124"/>
      <c r="P362" s="128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</row>
    <row r="363" s="122" customFormat="1" spans="4:31">
      <c r="D363" s="128" t="s">
        <v>265</v>
      </c>
      <c r="E363" s="124" t="s">
        <v>1907</v>
      </c>
      <c r="F363" s="124">
        <v>50</v>
      </c>
      <c r="G363" s="128">
        <f>_xlfn.XLOOKUP(D363,[1]价值表!D:D,[1]价值表!F:F)*F363</f>
        <v>3000</v>
      </c>
      <c r="H363" s="124"/>
      <c r="I363" s="173">
        <v>4000</v>
      </c>
      <c r="J363" s="173" t="str">
        <f>IFERROR(ROUND(I363*积分定价/G363*10,0)&amp;"折","")</f>
        <v>13折</v>
      </c>
      <c r="K363" s="15">
        <v>20</v>
      </c>
      <c r="L363" s="15"/>
      <c r="M363" s="124"/>
      <c r="N363" s="124"/>
      <c r="O363" s="124"/>
      <c r="P363" s="128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</row>
    <row r="364" s="122" customFormat="1" spans="4:31">
      <c r="D364" s="180" t="s">
        <v>1908</v>
      </c>
      <c r="E364" s="181" t="s">
        <v>1909</v>
      </c>
      <c r="F364" s="181">
        <v>1</v>
      </c>
      <c r="G364" s="180">
        <f>_xlfn.XLOOKUP(D364,[1]价值表!D:D,[1]价值表!F:F)*F364</f>
        <v>12000</v>
      </c>
      <c r="H364" s="181"/>
      <c r="I364" s="173">
        <v>12000</v>
      </c>
      <c r="J364" s="173" t="str">
        <f>IFERROR(ROUND(I364*积分定价/G364*10,0)&amp;"折","")</f>
        <v>10折</v>
      </c>
      <c r="K364" s="15">
        <v>1</v>
      </c>
      <c r="L364" s="15"/>
      <c r="M364" s="181">
        <v>15000</v>
      </c>
      <c r="N364" s="124"/>
      <c r="O364" s="124"/>
      <c r="P364" s="128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</row>
    <row r="365" s="122" customFormat="1" spans="4:31">
      <c r="D365" s="180" t="s">
        <v>326</v>
      </c>
      <c r="E365" s="181" t="s">
        <v>1909</v>
      </c>
      <c r="F365" s="181">
        <v>1</v>
      </c>
      <c r="G365" s="180">
        <f>_xlfn.XLOOKUP(D365,[1]价值表!D:D,[1]价值表!F:F)*F365</f>
        <v>8000</v>
      </c>
      <c r="H365" s="181"/>
      <c r="I365" s="173">
        <v>10000</v>
      </c>
      <c r="J365" s="173" t="str">
        <f>IFERROR(ROUND(I365*积分定价/G365*10,0)&amp;"折","")</f>
        <v>13折</v>
      </c>
      <c r="K365" s="15">
        <v>1</v>
      </c>
      <c r="L365" s="15"/>
      <c r="M365" s="181"/>
      <c r="N365" s="124"/>
      <c r="O365" s="124"/>
      <c r="P365" s="128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</row>
    <row r="366" s="122" customFormat="1" spans="4:31">
      <c r="D366" s="181" t="s">
        <v>332</v>
      </c>
      <c r="E366" s="181" t="s">
        <v>1909</v>
      </c>
      <c r="F366" s="181">
        <v>1</v>
      </c>
      <c r="G366" s="180">
        <f>_xlfn.XLOOKUP(D366,[1]价值表!D:D,[1]价值表!F:F)*F366</f>
        <v>3000</v>
      </c>
      <c r="H366" s="181"/>
      <c r="I366" s="173">
        <v>6000</v>
      </c>
      <c r="J366" s="173" t="str">
        <f>IFERROR(ROUND(I366*积分定价/G366*10,0)&amp;"折","")</f>
        <v>20折</v>
      </c>
      <c r="K366" s="15">
        <v>1</v>
      </c>
      <c r="L366" s="15"/>
      <c r="M366" s="181"/>
      <c r="N366" s="124"/>
      <c r="O366" s="124"/>
      <c r="P366" s="128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</row>
    <row r="367" s="122" customFormat="1" spans="4:31">
      <c r="D367" s="181" t="s">
        <v>1912</v>
      </c>
      <c r="E367" s="181" t="s">
        <v>1909</v>
      </c>
      <c r="F367" s="181">
        <v>1</v>
      </c>
      <c r="G367" s="180">
        <f>_xlfn.XLOOKUP(D367,[1]价值表!D:D,[1]价值表!F:F)*F367</f>
        <v>16000</v>
      </c>
      <c r="H367" s="181"/>
      <c r="I367" s="173">
        <v>4000</v>
      </c>
      <c r="J367" s="173" t="str">
        <f>IFERROR(ROUND(I367*积分定价/G367*10,0)&amp;"折","")</f>
        <v>3折</v>
      </c>
      <c r="K367" s="15">
        <v>1</v>
      </c>
      <c r="L367" s="15" t="s">
        <v>1910</v>
      </c>
      <c r="M367" s="181"/>
      <c r="N367" s="124"/>
      <c r="O367" s="124"/>
      <c r="P367" s="128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</row>
    <row r="368" s="122" customFormat="1" spans="4:31">
      <c r="D368" s="181" t="s">
        <v>265</v>
      </c>
      <c r="E368" s="181" t="s">
        <v>1909</v>
      </c>
      <c r="F368" s="181">
        <v>30</v>
      </c>
      <c r="G368" s="180">
        <f>_xlfn.XLOOKUP(D368,[1]价值表!D:D,[1]价值表!F:F)*F368</f>
        <v>1800</v>
      </c>
      <c r="H368" s="181"/>
      <c r="I368" s="173">
        <v>3000</v>
      </c>
      <c r="J368" s="173" t="str">
        <f>IFERROR(ROUND(I368*积分定价/G368*10,0)&amp;"折","")</f>
        <v>17折</v>
      </c>
      <c r="K368" s="15">
        <v>2</v>
      </c>
      <c r="L368" s="15"/>
      <c r="M368" s="181"/>
      <c r="N368" s="124"/>
      <c r="O368" s="124"/>
      <c r="P368" s="128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</row>
    <row r="369" s="122" customFormat="1" spans="2:31">
      <c r="D369" s="181" t="s">
        <v>237</v>
      </c>
      <c r="E369" s="181" t="s">
        <v>1909</v>
      </c>
      <c r="F369" s="181">
        <v>10000</v>
      </c>
      <c r="G369" s="180">
        <f>_xlfn.XLOOKUP(D369,[1]价值表!D:D,[1]价值表!F:F)*F369</f>
        <v>3300</v>
      </c>
      <c r="H369" s="181"/>
      <c r="I369" s="173">
        <v>2500</v>
      </c>
      <c r="J369" s="173" t="str">
        <f>IFERROR(ROUND(I369*积分定价/G369*10,0)&amp;"折","")</f>
        <v>8折</v>
      </c>
      <c r="K369" s="15">
        <v>2</v>
      </c>
      <c r="L369" s="15"/>
      <c r="M369" s="181"/>
      <c r="N369" s="124"/>
      <c r="O369" s="124"/>
      <c r="P369" s="128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</row>
    <row r="370" s="122" customFormat="1" spans="2:31">
      <c r="D370" s="181" t="s">
        <v>1911</v>
      </c>
      <c r="E370" s="181" t="s">
        <v>1909</v>
      </c>
      <c r="F370" s="181">
        <v>5</v>
      </c>
      <c r="G370" s="180">
        <f>_xlfn.XLOOKUP(D370,[1]价值表!D:D,[1]价值表!F:F)*F370</f>
        <v>750</v>
      </c>
      <c r="H370" s="181"/>
      <c r="I370" s="173">
        <v>1200</v>
      </c>
      <c r="J370" s="173" t="str">
        <f>IFERROR(ROUND(I370*积分定价/G370*10,0)&amp;"折","")</f>
        <v>16折</v>
      </c>
      <c r="K370" s="15">
        <v>5</v>
      </c>
      <c r="L370" s="15"/>
      <c r="M370" s="181"/>
      <c r="N370" s="124"/>
      <c r="O370" s="124"/>
      <c r="P370" s="128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</row>
    <row r="371" s="122" customFormat="1" spans="2:31">
      <c r="D371" s="181" t="s">
        <v>926</v>
      </c>
      <c r="E371" s="181" t="s">
        <v>1909</v>
      </c>
      <c r="F371" s="181">
        <v>5</v>
      </c>
      <c r="G371" s="180">
        <f>_xlfn.XLOOKUP(D371,[1]价值表!D:D,[1]价值表!F:F)*F371</f>
        <v>1400</v>
      </c>
      <c r="H371" s="181"/>
      <c r="I371" s="173">
        <v>1500</v>
      </c>
      <c r="J371" s="173" t="str">
        <f>IFERROR(ROUND(I371*积分定价/G371*10,0)&amp;"折","")</f>
        <v>11折</v>
      </c>
      <c r="K371" s="15">
        <v>5</v>
      </c>
      <c r="L371" s="15"/>
      <c r="M371" s="181"/>
      <c r="N371" s="124"/>
      <c r="O371" s="124"/>
      <c r="P371" s="128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</row>
    <row r="372" s="122" customFormat="1" spans="2:31">
      <c r="D372" s="181" t="s">
        <v>924</v>
      </c>
      <c r="E372" s="181" t="s">
        <v>1909</v>
      </c>
      <c r="F372" s="181">
        <v>50</v>
      </c>
      <c r="G372" s="180">
        <f>_xlfn.XLOOKUP(D372,[1]价值表!D:D,[1]价值表!F:F)*F372</f>
        <v>1500</v>
      </c>
      <c r="H372" s="181"/>
      <c r="I372" s="173">
        <v>2000</v>
      </c>
      <c r="J372" s="173" t="str">
        <f>IFERROR(ROUND(I372*积分定价/G372*10,0)&amp;"折","")</f>
        <v>13折</v>
      </c>
      <c r="K372" s="15">
        <v>5</v>
      </c>
      <c r="L372" s="15"/>
      <c r="M372" s="181"/>
      <c r="N372" s="124"/>
      <c r="O372" s="124"/>
      <c r="P372" s="128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</row>
    <row r="373" s="122" customFormat="1" spans="2:31">
      <c r="D373" s="181" t="s">
        <v>208</v>
      </c>
      <c r="E373" s="181" t="s">
        <v>1909</v>
      </c>
      <c r="F373" s="181">
        <v>1000</v>
      </c>
      <c r="G373" s="180">
        <f>_xlfn.XLOOKUP(D373,[1]价值表!D:D,[1]价值表!F:F)*F373</f>
        <v>2000</v>
      </c>
      <c r="H373" s="181"/>
      <c r="I373" s="173">
        <v>1000</v>
      </c>
      <c r="J373" s="173" t="str">
        <f>IFERROR(ROUND(I373*积分定价/G373*10,0)&amp;"折","")</f>
        <v>5折</v>
      </c>
      <c r="K373" s="15">
        <v>20</v>
      </c>
      <c r="L373" s="15"/>
      <c r="M373" s="181"/>
      <c r="N373" s="124"/>
      <c r="O373" s="124"/>
      <c r="P373" s="128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</row>
    <row r="374" s="122" customFormat="1" spans="2:31">
      <c r="D374" s="182" t="s">
        <v>276</v>
      </c>
      <c r="E374" s="183" t="s">
        <v>1913</v>
      </c>
      <c r="F374" s="183">
        <v>1</v>
      </c>
      <c r="G374" s="184">
        <f>_xlfn.XLOOKUP(D374,[1]价值表!D:D,[1]价值表!F:F)*F374</f>
        <v>4096</v>
      </c>
      <c r="H374" s="183"/>
      <c r="I374" s="152">
        <v>2000</v>
      </c>
      <c r="J374" s="173" t="str">
        <f>IFERROR(ROUND(I374*积分定价/G374*10,0)&amp;"折","")</f>
        <v>5折</v>
      </c>
      <c r="K374" s="152">
        <v>1</v>
      </c>
      <c r="L374" s="152"/>
      <c r="M374" s="185">
        <v>5000</v>
      </c>
      <c r="N374" s="124"/>
      <c r="O374" s="124"/>
      <c r="P374" s="128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</row>
    <row r="375" s="122" customFormat="1" spans="2:31">
      <c r="D375" s="186" t="s">
        <v>1914</v>
      </c>
      <c r="E375" s="183" t="s">
        <v>1913</v>
      </c>
      <c r="F375" s="186">
        <v>1</v>
      </c>
      <c r="G375" s="184">
        <f>_xlfn.XLOOKUP(D375,[1]价值表!D:D,[1]价值表!F:F)*F375</f>
        <v>8000</v>
      </c>
      <c r="H375" s="186"/>
      <c r="I375" s="152">
        <v>3000</v>
      </c>
      <c r="J375" s="173" t="str">
        <f>IFERROR(ROUND(I375*积分定价/G375*10,0)&amp;"折","")</f>
        <v>4折</v>
      </c>
      <c r="K375" s="152">
        <v>2</v>
      </c>
      <c r="L375" s="152" t="s">
        <v>1910</v>
      </c>
      <c r="M375" s="185"/>
      <c r="N375" s="124"/>
      <c r="O375" s="124"/>
      <c r="P375" s="128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</row>
    <row r="376" s="122" customFormat="1" spans="2:31">
      <c r="D376" s="185" t="s">
        <v>924</v>
      </c>
      <c r="E376" s="185" t="s">
        <v>1913</v>
      </c>
      <c r="F376" s="185">
        <v>20</v>
      </c>
      <c r="G376" s="184">
        <f>_xlfn.XLOOKUP(D376,[1]价值表!D:D,[1]价值表!F:F)*F376</f>
        <v>600</v>
      </c>
      <c r="H376" s="185"/>
      <c r="I376" s="15">
        <v>800</v>
      </c>
      <c r="J376" s="173" t="str">
        <f>IFERROR(ROUND(I376*积分定价/G376*10,0)&amp;"折","")</f>
        <v>13折</v>
      </c>
      <c r="K376" s="15">
        <v>2</v>
      </c>
      <c r="L376" s="15"/>
      <c r="M376" s="185"/>
      <c r="N376" s="124"/>
      <c r="O376" s="124" t="s">
        <v>1915</v>
      </c>
      <c r="P376" s="128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</row>
    <row r="377" s="122" customFormat="1" spans="2:31">
      <c r="D377" s="185" t="s">
        <v>925</v>
      </c>
      <c r="E377" s="185" t="s">
        <v>1913</v>
      </c>
      <c r="F377" s="185">
        <v>10</v>
      </c>
      <c r="G377" s="184">
        <f>_xlfn.XLOOKUP(D377,[1]价值表!D:D,[1]价值表!F:F)*F377</f>
        <v>500</v>
      </c>
      <c r="H377" s="185"/>
      <c r="I377" s="15">
        <v>600</v>
      </c>
      <c r="J377" s="173" t="str">
        <f>IFERROR(ROUND(I377*积分定价/G377*10,0)&amp;"折","")</f>
        <v>12折</v>
      </c>
      <c r="K377" s="15">
        <v>5</v>
      </c>
      <c r="L377" s="15"/>
      <c r="M377" s="185"/>
      <c r="N377" s="124"/>
      <c r="O377" s="124"/>
      <c r="P377" s="128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</row>
    <row r="378" s="122" customFormat="1" spans="2:31">
      <c r="D378" s="185" t="s">
        <v>237</v>
      </c>
      <c r="E378" s="185" t="s">
        <v>1913</v>
      </c>
      <c r="F378" s="185">
        <v>2000</v>
      </c>
      <c r="G378" s="184">
        <f>_xlfn.XLOOKUP(D378,[1]价值表!D:D,[1]价值表!F:F)*F378</f>
        <v>660</v>
      </c>
      <c r="H378" s="185"/>
      <c r="I378" s="15">
        <v>500</v>
      </c>
      <c r="J378" s="173" t="str">
        <f>IFERROR(ROUND(I378*积分定价/G378*10,0)&amp;"折","")</f>
        <v>8折</v>
      </c>
      <c r="K378" s="15">
        <v>5</v>
      </c>
      <c r="L378" s="15"/>
      <c r="M378" s="185"/>
      <c r="N378" s="124"/>
      <c r="O378" s="124"/>
      <c r="P378" s="128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</row>
    <row r="379" s="122" customFormat="1" spans="2:31">
      <c r="D379" s="185" t="s">
        <v>209</v>
      </c>
      <c r="E379" s="185" t="s">
        <v>1913</v>
      </c>
      <c r="F379" s="185">
        <v>500</v>
      </c>
      <c r="G379" s="184">
        <f>_xlfn.XLOOKUP(D379,[1]价值表!D:D,[1]价值表!F:F)*F379</f>
        <v>500</v>
      </c>
      <c r="H379" s="185"/>
      <c r="I379" s="15">
        <v>300</v>
      </c>
      <c r="J379" s="173" t="str">
        <f>IFERROR(ROUND(I379*积分定价/G379*10,0)&amp;"折","")</f>
        <v>6折</v>
      </c>
      <c r="K379" s="15">
        <v>20</v>
      </c>
      <c r="L379" s="15"/>
      <c r="M379" s="185"/>
      <c r="N379" s="124"/>
      <c r="O379" s="124"/>
      <c r="P379" s="128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</row>
    <row r="380" s="122" customFormat="1" spans="2:31">
      <c r="D380" s="185" t="s">
        <v>1755</v>
      </c>
      <c r="E380" s="185" t="s">
        <v>1913</v>
      </c>
      <c r="F380" s="185">
        <v>200</v>
      </c>
      <c r="G380" s="184">
        <f>_xlfn.XLOOKUP(D380,[1]价值表!D:D,[1]价值表!F:F)*F380</f>
        <v>600</v>
      </c>
      <c r="H380" s="185"/>
      <c r="I380" s="15">
        <v>600</v>
      </c>
      <c r="J380" s="173" t="str">
        <f>IFERROR(ROUND(I380*积分定价/G380*10,0)&amp;"折","")</f>
        <v>10折</v>
      </c>
      <c r="K380" s="15">
        <v>20</v>
      </c>
      <c r="L380" s="15"/>
      <c r="M380" s="185"/>
      <c r="N380" s="124"/>
      <c r="O380" s="124"/>
      <c r="P380" s="128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</row>
    <row r="381" s="122" customFormat="1" spans="2:31"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</row>
    <row r="382" s="122" customFormat="1" spans="2:31"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</row>
    <row r="383" s="122" customFormat="1" spans="2:31">
      <c r="B383" s="125"/>
      <c r="C383" s="125" t="s">
        <v>1916</v>
      </c>
      <c r="D383" s="142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</row>
    <row r="384" s="122" customFormat="1" spans="2:31">
      <c r="B384" s="124"/>
      <c r="C384" s="124"/>
      <c r="D384" s="127" t="s">
        <v>1917</v>
      </c>
      <c r="E384" s="124"/>
      <c r="F384" s="124"/>
      <c r="G384" s="124" t="s">
        <v>1918</v>
      </c>
      <c r="H384" s="130">
        <f>H386/30</f>
        <v>2.59256718268777</v>
      </c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</row>
    <row r="385" s="122" customFormat="1" spans="2:31">
      <c r="B385" s="124"/>
      <c r="C385" s="124"/>
      <c r="D385" s="78" t="s">
        <v>1816</v>
      </c>
      <c r="E385" s="78" t="s">
        <v>1919</v>
      </c>
      <c r="F385" s="78" t="s">
        <v>1920</v>
      </c>
      <c r="G385" s="124" t="s">
        <v>1921</v>
      </c>
      <c r="H385" s="124" t="s">
        <v>1922</v>
      </c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</row>
    <row r="386" s="122" customFormat="1" spans="2:31">
      <c r="B386" s="124"/>
      <c r="C386" s="124"/>
      <c r="D386" s="78" t="s">
        <v>1825</v>
      </c>
      <c r="E386" s="78">
        <v>1</v>
      </c>
      <c r="F386" s="78">
        <v>1000</v>
      </c>
      <c r="G386" s="124">
        <f>G389</f>
        <v>39.5</v>
      </c>
      <c r="H386" s="128" cm="1">
        <f t="array" ref="H386">SUMPRODUCT(TRANSPOSE($I$706:$P$706),$G$386:$G$393)/SUM($I$706:$P$706)</f>
        <v>77.7770154806332</v>
      </c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</row>
    <row r="387" s="122" customFormat="1" spans="2:31">
      <c r="B387" s="124"/>
      <c r="C387" s="124"/>
      <c r="D387" s="78" t="s">
        <v>1762</v>
      </c>
      <c r="E387" s="78">
        <v>2</v>
      </c>
      <c r="F387" s="78">
        <v>1000</v>
      </c>
      <c r="G387" s="124" cm="1">
        <f t="array" ref="G387">SUMPRODUCT($E$134:$E$138,$P$134:$P$138)/SUM($E$134:$E$138)</f>
        <v>320</v>
      </c>
      <c r="H387" s="128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</row>
    <row r="388" s="122" customFormat="1" spans="2:31">
      <c r="B388" s="124"/>
      <c r="C388" s="124"/>
      <c r="D388" s="78" t="s">
        <v>1757</v>
      </c>
      <c r="E388" s="78">
        <v>3</v>
      </c>
      <c r="F388" s="78">
        <v>1000</v>
      </c>
      <c r="G388" s="124"/>
      <c r="H388" s="128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</row>
    <row r="389" s="122" customFormat="1" spans="2:31">
      <c r="B389" s="124"/>
      <c r="C389" s="124"/>
      <c r="D389" s="78" t="s">
        <v>1760</v>
      </c>
      <c r="E389" s="78">
        <v>18</v>
      </c>
      <c r="F389" s="78">
        <v>1000</v>
      </c>
      <c r="G389" s="124">
        <f t="shared" ref="G389:G391" si="13">J157</f>
        <v>39.5</v>
      </c>
      <c r="H389" s="128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</row>
    <row r="390" s="122" customFormat="1" spans="2:31">
      <c r="B390" s="124"/>
      <c r="C390" s="124"/>
      <c r="D390" s="78" t="s">
        <v>1761</v>
      </c>
      <c r="E390" s="78">
        <v>8</v>
      </c>
      <c r="F390" s="78">
        <v>1000</v>
      </c>
      <c r="G390" s="124">
        <f t="shared" si="13"/>
        <v>181</v>
      </c>
      <c r="H390" s="128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</row>
    <row r="391" s="122" customFormat="1" spans="2:31">
      <c r="B391" s="124"/>
      <c r="C391" s="124"/>
      <c r="D391" s="78" t="s">
        <v>1758</v>
      </c>
      <c r="E391" s="78">
        <v>2</v>
      </c>
      <c r="F391" s="78">
        <v>1000</v>
      </c>
      <c r="G391" s="124">
        <f t="shared" si="13"/>
        <v>50</v>
      </c>
      <c r="H391" s="128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</row>
    <row r="392" s="122" customFormat="1" spans="2:31">
      <c r="B392" s="124"/>
      <c r="C392" s="124"/>
      <c r="D392" s="78" t="s">
        <v>1826</v>
      </c>
      <c r="E392" s="78">
        <v>0</v>
      </c>
      <c r="F392" s="78">
        <v>1000</v>
      </c>
      <c r="G392" s="124"/>
      <c r="H392" s="128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</row>
    <row r="393" s="122" customFormat="1" spans="2:31">
      <c r="B393" s="124"/>
      <c r="C393" s="124"/>
      <c r="D393" s="78" t="s">
        <v>1759</v>
      </c>
      <c r="E393" s="78">
        <v>6</v>
      </c>
      <c r="F393" s="78">
        <v>1000</v>
      </c>
      <c r="G393" s="129">
        <f>J155</f>
        <v>75.96</v>
      </c>
      <c r="H393" s="128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</row>
    <row r="394" s="122" customFormat="1" spans="2:31">
      <c r="B394" s="124"/>
      <c r="C394" s="124"/>
      <c r="D394" s="124"/>
      <c r="E394" s="124"/>
      <c r="F394" s="124"/>
      <c r="G394" s="124"/>
      <c r="H394" s="128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</row>
    <row r="395" s="122" customFormat="1" spans="2:31"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</row>
    <row r="396" s="122" customFormat="1" spans="2:31">
      <c r="B396" s="124"/>
      <c r="C396" s="124"/>
      <c r="D396" s="124" t="s">
        <v>1923</v>
      </c>
      <c r="E396" s="124" t="s">
        <v>1886</v>
      </c>
      <c r="F396" s="187" t="s">
        <v>1825</v>
      </c>
      <c r="G396" s="187" t="s">
        <v>1762</v>
      </c>
      <c r="H396" s="188" t="s">
        <v>1757</v>
      </c>
      <c r="I396" s="188" t="s">
        <v>1760</v>
      </c>
      <c r="J396" s="188" t="s">
        <v>1761</v>
      </c>
      <c r="K396" s="188" t="s">
        <v>1758</v>
      </c>
      <c r="L396" s="188" t="s">
        <v>1826</v>
      </c>
      <c r="M396" s="188" t="s">
        <v>1759</v>
      </c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</row>
    <row r="397" s="122" customFormat="1" spans="2:31">
      <c r="B397" s="124"/>
      <c r="C397" s="124"/>
      <c r="D397" s="124" t="s">
        <v>566</v>
      </c>
      <c r="E397" s="128">
        <f ca="1">COUNTIF(OFFSET($E$407:$E$706,0,MATCH($D397,$D$397:$D$400,0)-1),"&gt;0")</f>
        <v>29</v>
      </c>
      <c r="F397" s="189">
        <f ca="1" t="shared" ref="F397:M397" si="14">OFFSET($I$406,COUNTIF(OFFSET($E$407:$E$706,0,MATCH($D397,$D$397:$D$400,0)-1),"&gt;0"),MATCH(F$396,$I$406:$P$406,0)-1)</f>
        <v>8.35</v>
      </c>
      <c r="G397" s="189">
        <f ca="1" t="shared" si="14"/>
        <v>8.32</v>
      </c>
      <c r="H397" s="189">
        <f ca="1" t="shared" si="14"/>
        <v>25.51</v>
      </c>
      <c r="I397" s="189">
        <f ca="1" t="shared" si="14"/>
        <v>158.59</v>
      </c>
      <c r="J397" s="189">
        <f ca="1" t="shared" si="14"/>
        <v>65.71</v>
      </c>
      <c r="K397" s="189">
        <f ca="1" t="shared" si="14"/>
        <v>15.94</v>
      </c>
      <c r="L397" s="189">
        <f ca="1" t="shared" si="14"/>
        <v>0</v>
      </c>
      <c r="M397" s="189">
        <f ca="1" t="shared" si="14"/>
        <v>49.86</v>
      </c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</row>
    <row r="398" s="122" customFormat="1" spans="2:31">
      <c r="B398" s="124"/>
      <c r="C398" s="124"/>
      <c r="D398" s="124" t="s">
        <v>568</v>
      </c>
      <c r="E398" s="128">
        <f ca="1">COUNTIF(OFFSET($E$407:$E$706,0,MATCH($D398,$D$397:$D$400,0)-1),"&gt;0")</f>
        <v>46</v>
      </c>
      <c r="F398" s="189">
        <f ca="1" t="shared" ref="F398:M398" si="15">OFFSET($I$406,COUNTIF(OFFSET($E$407:$E$706,0,MATCH($D398,$D$397:$D$400,0)-1),"&gt;0"),MATCH(F$396,$I$406:$P$406,0)-1)</f>
        <v>13.46</v>
      </c>
      <c r="G398" s="189">
        <f ca="1" t="shared" si="15"/>
        <v>12.84</v>
      </c>
      <c r="H398" s="189">
        <f ca="1" t="shared" si="15"/>
        <v>39.84</v>
      </c>
      <c r="I398" s="189">
        <f ca="1" t="shared" si="15"/>
        <v>251.25</v>
      </c>
      <c r="J398" s="189">
        <f ca="1" t="shared" si="15"/>
        <v>105.28</v>
      </c>
      <c r="K398" s="189">
        <f ca="1" t="shared" si="15"/>
        <v>25.57</v>
      </c>
      <c r="L398" s="189">
        <f ca="1" t="shared" si="15"/>
        <v>0</v>
      </c>
      <c r="M398" s="189">
        <f ca="1" t="shared" si="15"/>
        <v>79.34</v>
      </c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</row>
    <row r="399" s="122" customFormat="1" spans="2:31">
      <c r="B399" s="124"/>
      <c r="C399" s="124"/>
      <c r="D399" s="124" t="s">
        <v>577</v>
      </c>
      <c r="E399" s="128">
        <f ca="1">COUNTIF(OFFSET($E$407:$E$706,0,MATCH($D399,$D$397:$D$400,0)-1),"&gt;0")</f>
        <v>71</v>
      </c>
      <c r="F399" s="189">
        <f ca="1" t="shared" ref="F399:M399" si="16">OFFSET($I$406,COUNTIF(OFFSET($E$407:$E$706,0,MATCH($D399,$D$397:$D$400,0)-1),"&gt;0"),MATCH(F$396,$I$406:$P$406,0)-1)</f>
        <v>20.68</v>
      </c>
      <c r="G399" s="189">
        <f ca="1" t="shared" si="16"/>
        <v>20.14</v>
      </c>
      <c r="H399" s="189">
        <f ca="1" t="shared" si="16"/>
        <v>61.06</v>
      </c>
      <c r="I399" s="189">
        <f ca="1" t="shared" si="16"/>
        <v>386.81</v>
      </c>
      <c r="J399" s="189">
        <f ca="1" t="shared" si="16"/>
        <v>162.3</v>
      </c>
      <c r="K399" s="189">
        <f ca="1" t="shared" si="16"/>
        <v>39.91</v>
      </c>
      <c r="L399" s="189">
        <f ca="1" t="shared" si="16"/>
        <v>0</v>
      </c>
      <c r="M399" s="189">
        <f ca="1" t="shared" si="16"/>
        <v>123.04</v>
      </c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</row>
    <row r="400" s="122" customFormat="1" spans="2:31">
      <c r="B400" s="124"/>
      <c r="C400" s="124"/>
      <c r="D400" s="124" t="s">
        <v>586</v>
      </c>
      <c r="E400" s="128">
        <f ca="1">COUNTIF(OFFSET($E$407:$E$706,0,MATCH($D400,$D$397:$D$400,0)-1),"&gt;0")</f>
        <v>141</v>
      </c>
      <c r="F400" s="189">
        <f ca="1" t="shared" ref="F400:M400" si="17">OFFSET($I$406,COUNTIF(OFFSET($E$407:$E$706,0,MATCH($D400,$D$397:$D$400,0)-1),"&gt;0"),MATCH(F$396,$I$406:$P$406,0)-1)</f>
        <v>40.52</v>
      </c>
      <c r="G400" s="189">
        <f ca="1" t="shared" si="17"/>
        <v>39.74</v>
      </c>
      <c r="H400" s="189">
        <f ca="1" t="shared" si="17"/>
        <v>121.4</v>
      </c>
      <c r="I400" s="189">
        <f ca="1" t="shared" si="17"/>
        <v>767.05</v>
      </c>
      <c r="J400" s="189">
        <f ca="1" t="shared" si="17"/>
        <v>323.1</v>
      </c>
      <c r="K400" s="189">
        <f ca="1" t="shared" si="17"/>
        <v>79.47</v>
      </c>
      <c r="L400" s="189">
        <f ca="1" t="shared" si="17"/>
        <v>0</v>
      </c>
      <c r="M400" s="189">
        <f ca="1" t="shared" si="17"/>
        <v>242.51</v>
      </c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</row>
    <row r="401" s="122" customFormat="1" spans="2:31"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</row>
    <row r="402" s="122" customFormat="1" spans="2:31"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</row>
    <row r="403" s="122" customFormat="1" spans="2:31"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</row>
    <row r="404" s="122" customFormat="1" spans="2:31"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</row>
    <row r="405" s="123" customFormat="1" spans="2:31">
      <c r="D405" s="190"/>
      <c r="E405" s="191" t="s">
        <v>1924</v>
      </c>
      <c r="F405" s="190"/>
      <c r="G405" s="190"/>
      <c r="H405" s="190"/>
      <c r="I405" s="191" t="s">
        <v>1816</v>
      </c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190"/>
      <c r="AB405" s="190"/>
      <c r="AC405" s="190"/>
      <c r="AD405" s="190"/>
      <c r="AE405" s="190"/>
    </row>
    <row r="406" s="122" customFormat="1" spans="2:31">
      <c r="D406" s="124" t="s">
        <v>1886</v>
      </c>
      <c r="E406" s="124" t="s">
        <v>566</v>
      </c>
      <c r="F406" s="124" t="s">
        <v>568</v>
      </c>
      <c r="G406" s="124" t="s">
        <v>577</v>
      </c>
      <c r="H406" s="124" t="s">
        <v>586</v>
      </c>
      <c r="I406" s="187" t="s">
        <v>1825</v>
      </c>
      <c r="J406" s="187" t="s">
        <v>1762</v>
      </c>
      <c r="K406" s="187" t="s">
        <v>1757</v>
      </c>
      <c r="L406" s="187" t="s">
        <v>1760</v>
      </c>
      <c r="M406" s="187" t="s">
        <v>1761</v>
      </c>
      <c r="N406" s="187" t="s">
        <v>1758</v>
      </c>
      <c r="O406" s="187" t="s">
        <v>1826</v>
      </c>
      <c r="P406" s="187" t="s">
        <v>1759</v>
      </c>
      <c r="Q406" s="124" t="s">
        <v>946</v>
      </c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</row>
    <row r="407" s="122" customFormat="1" spans="2:31">
      <c r="D407" s="124">
        <v>1</v>
      </c>
      <c r="E407" s="128">
        <f ca="1" t="shared" ref="E407:E470" si="18">IF(INT($D407*12/OFFSET($F$26,MATCH(E$406,$E$406:$H$406,0),0))+1&gt;7,"",INT($D407*12/OFFSET($F$26,MATCH(E$406,$E$406:$H$406,0),0))+1)</f>
        <v>1</v>
      </c>
      <c r="F407" s="128">
        <f ca="1" t="shared" ref="F407:F470" si="19">IF(INT($D407*12/OFFSET($F$26,MATCH(F$406,$E$406:$H$406,0),0))+1&gt;7,"",INT($D407*12/OFFSET($F$26,MATCH(F$406,$E$406:$H$406,0),0))+1)</f>
        <v>1</v>
      </c>
      <c r="G407" s="128">
        <f ca="1" t="shared" ref="G407:G470" si="20">IF(INT($D407*12/OFFSET($F$26,MATCH(G$406,$E$406:$H$406,0),0))+1&gt;7,"",INT($D407*12/OFFSET($F$26,MATCH(G$406,$E$406:$H$406,0),0))+1)</f>
        <v>1</v>
      </c>
      <c r="H407" s="128">
        <f ca="1" t="shared" ref="H407:H470" si="21">IF(INT($D407*12/OFFSET($F$26,MATCH(H$406,$E$406:$H$406,0),0))+1&gt;7,"",INT($D407*12/OFFSET($F$26,MATCH(H$406,$E$406:$H$406,0),0))+1)</f>
        <v>1</v>
      </c>
      <c r="I407" s="124">
        <v>0.27</v>
      </c>
      <c r="J407" s="124">
        <v>0.37</v>
      </c>
      <c r="K407" s="124">
        <v>0.9</v>
      </c>
      <c r="L407" s="124">
        <v>5.46</v>
      </c>
      <c r="M407" s="124">
        <v>2.3</v>
      </c>
      <c r="N407" s="124">
        <v>0.63</v>
      </c>
      <c r="O407" s="124">
        <v>0</v>
      </c>
      <c r="P407" s="124">
        <v>1.68</v>
      </c>
      <c r="Q407" s="124" cm="1">
        <f ca="1" t="array" ref="Q407">SUMPRODUCT(TRANSPOSE($I407:$P407),$F$162:$F$169)+SUMIFS($H$210:$H$241,$D$210:$D$241,"&lt;="&amp;N407)+SUMIF($D$310:$D$341,"&lt;="&amp;D407,$H$310:$H$341)</f>
        <v>312.58</v>
      </c>
      <c r="R407" s="124">
        <f ca="1" t="shared" ref="R407:R470" si="22">Q407/12/D407</f>
        <v>26.0483333333333</v>
      </c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</row>
    <row r="408" s="122" customFormat="1" spans="2:31">
      <c r="D408" s="124">
        <v>2</v>
      </c>
      <c r="E408" s="128">
        <f ca="1" t="shared" si="18"/>
        <v>1</v>
      </c>
      <c r="F408" s="128">
        <f ca="1" t="shared" si="19"/>
        <v>1</v>
      </c>
      <c r="G408" s="128">
        <f ca="1" t="shared" si="20"/>
        <v>1</v>
      </c>
      <c r="H408" s="128">
        <f ca="1" t="shared" si="21"/>
        <v>1</v>
      </c>
      <c r="I408" s="124">
        <v>0.5</v>
      </c>
      <c r="J408" s="124">
        <v>0.61</v>
      </c>
      <c r="K408" s="124">
        <v>1.81</v>
      </c>
      <c r="L408" s="124">
        <v>11.27</v>
      </c>
      <c r="M408" s="124">
        <v>4.04</v>
      </c>
      <c r="N408" s="124">
        <v>1.17</v>
      </c>
      <c r="O408" s="124">
        <v>0</v>
      </c>
      <c r="P408" s="124">
        <v>3.4</v>
      </c>
      <c r="Q408" s="124" cm="1">
        <f ca="1" t="array" ref="Q408">SUMPRODUCT(TRANSPOSE($I408:$P408),$F$162:$F$169)+SUMIFS($H$210:$H$241,$D$210:$D$241,"&lt;="&amp;N408)+SUMIF($D$310:$D$341,"&lt;="&amp;D408,$H$310:$H$341)</f>
        <v>695.6</v>
      </c>
      <c r="R408" s="124">
        <f ca="1" t="shared" si="22"/>
        <v>28.9833333333333</v>
      </c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</row>
    <row r="409" s="122" customFormat="1" spans="2:31">
      <c r="D409" s="124">
        <v>3</v>
      </c>
      <c r="E409" s="128">
        <f ca="1" t="shared" si="18"/>
        <v>1</v>
      </c>
      <c r="F409" s="128">
        <f ca="1" t="shared" si="19"/>
        <v>1</v>
      </c>
      <c r="G409" s="128">
        <f ca="1" t="shared" si="20"/>
        <v>1</v>
      </c>
      <c r="H409" s="128">
        <f ca="1" t="shared" si="21"/>
        <v>1</v>
      </c>
      <c r="I409" s="124">
        <v>0.86</v>
      </c>
      <c r="J409" s="124">
        <v>0.91</v>
      </c>
      <c r="K409" s="124">
        <v>2.74</v>
      </c>
      <c r="L409" s="124">
        <v>16.7</v>
      </c>
      <c r="M409" s="124">
        <v>6.05</v>
      </c>
      <c r="N409" s="124">
        <v>1.77</v>
      </c>
      <c r="O409" s="124">
        <v>0</v>
      </c>
      <c r="P409" s="124">
        <v>5.29</v>
      </c>
      <c r="Q409" s="124" cm="1">
        <f ca="1" t="array" ref="Q409">SUMPRODUCT(TRANSPOSE($I409:$P409),$F$162:$F$169)+SUMIFS($H$210:$H$241,$D$210:$D$241,"&lt;="&amp;N409)+SUMIF($D$310:$D$341,"&lt;="&amp;D409,$H$310:$H$341)</f>
        <v>998.94</v>
      </c>
      <c r="R409" s="124">
        <f ca="1" t="shared" si="22"/>
        <v>27.7483333333333</v>
      </c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</row>
    <row r="410" s="122" customFormat="1" spans="2:31">
      <c r="D410" s="124">
        <v>4</v>
      </c>
      <c r="E410" s="128">
        <f ca="1" t="shared" si="18"/>
        <v>1</v>
      </c>
      <c r="F410" s="128">
        <f ca="1" t="shared" si="19"/>
        <v>1</v>
      </c>
      <c r="G410" s="128">
        <f ca="1" t="shared" si="20"/>
        <v>1</v>
      </c>
      <c r="H410" s="128">
        <f ca="1" t="shared" si="21"/>
        <v>1</v>
      </c>
      <c r="I410" s="124">
        <v>1.17</v>
      </c>
      <c r="J410" s="124">
        <v>1.21</v>
      </c>
      <c r="K410" s="124">
        <v>3.67</v>
      </c>
      <c r="L410" s="124">
        <v>22.1</v>
      </c>
      <c r="M410" s="124">
        <v>8.29</v>
      </c>
      <c r="N410" s="124">
        <v>2.33</v>
      </c>
      <c r="O410" s="124">
        <v>0</v>
      </c>
      <c r="P410" s="124">
        <v>6.87</v>
      </c>
      <c r="Q410" s="124" cm="1">
        <f ca="1" t="array" ref="Q410">SUMPRODUCT(TRANSPOSE($I410:$P410),$F$162:$F$169)+SUMIFS($H$210:$H$241,$D$210:$D$241,"&lt;="&amp;N410)+SUMIF($D$310:$D$341,"&lt;="&amp;D410,$H$310:$H$341)</f>
        <v>1299.82</v>
      </c>
      <c r="R410" s="124">
        <f ca="1" t="shared" si="22"/>
        <v>27.0795833333333</v>
      </c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</row>
    <row r="411" s="122" customFormat="1" spans="2:31">
      <c r="D411" s="124">
        <v>5</v>
      </c>
      <c r="E411" s="128">
        <f ca="1" t="shared" si="18"/>
        <v>2</v>
      </c>
      <c r="F411" s="128">
        <f ca="1" t="shared" si="19"/>
        <v>1</v>
      </c>
      <c r="G411" s="128">
        <f ca="1" t="shared" si="20"/>
        <v>1</v>
      </c>
      <c r="H411" s="128">
        <f ca="1" t="shared" si="21"/>
        <v>1</v>
      </c>
      <c r="I411" s="124">
        <v>1.45</v>
      </c>
      <c r="J411" s="124">
        <v>1.55</v>
      </c>
      <c r="K411" s="124">
        <v>4.46</v>
      </c>
      <c r="L411" s="124">
        <v>27.77</v>
      </c>
      <c r="M411" s="124">
        <v>10.43</v>
      </c>
      <c r="N411" s="124">
        <v>2.87</v>
      </c>
      <c r="O411" s="124">
        <v>0</v>
      </c>
      <c r="P411" s="124">
        <v>8.76</v>
      </c>
      <c r="Q411" s="124" cm="1">
        <f ca="1" t="array" ref="Q411">SUMPRODUCT(TRANSPOSE($I411:$P411),$F$162:$F$169)+SUMIFS($H$210:$H$241,$D$210:$D$241,"&lt;="&amp;N411)+SUMIF($D$310:$D$341,"&lt;="&amp;D411,$H$310:$H$341)</f>
        <v>1605.81</v>
      </c>
      <c r="R411" s="124">
        <f ca="1" t="shared" si="22"/>
        <v>26.7635</v>
      </c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</row>
    <row r="412" s="122" customFormat="1" spans="2:31">
      <c r="D412" s="124">
        <v>6</v>
      </c>
      <c r="E412" s="128">
        <f ca="1" t="shared" si="18"/>
        <v>2</v>
      </c>
      <c r="F412" s="128">
        <f ca="1" t="shared" si="19"/>
        <v>1</v>
      </c>
      <c r="G412" s="128">
        <f ca="1" t="shared" si="20"/>
        <v>1</v>
      </c>
      <c r="H412" s="128">
        <f ca="1" t="shared" si="21"/>
        <v>1</v>
      </c>
      <c r="I412" s="124">
        <v>1.74</v>
      </c>
      <c r="J412" s="124">
        <v>1.8</v>
      </c>
      <c r="K412" s="124">
        <v>5.38</v>
      </c>
      <c r="L412" s="124">
        <v>33.33</v>
      </c>
      <c r="M412" s="124">
        <v>12.53</v>
      </c>
      <c r="N412" s="124">
        <v>3.49</v>
      </c>
      <c r="O412" s="124">
        <v>0</v>
      </c>
      <c r="P412" s="124">
        <v>10.42</v>
      </c>
      <c r="Q412" s="124" cm="1">
        <f ca="1" t="array" ref="Q412">SUMPRODUCT(TRANSPOSE($I412:$P412),$F$162:$F$169)+SUMIFS($H$210:$H$241,$D$210:$D$241,"&lt;="&amp;N412)+SUMIF($D$310:$D$341,"&lt;="&amp;D412,$H$310:$H$341)</f>
        <v>2002.67</v>
      </c>
      <c r="R412" s="124">
        <f ca="1" t="shared" si="22"/>
        <v>27.8148611111111</v>
      </c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</row>
    <row r="413" s="122" customFormat="1" spans="2:31">
      <c r="D413" s="124">
        <v>7</v>
      </c>
      <c r="E413" s="128">
        <f ca="1" t="shared" si="18"/>
        <v>2</v>
      </c>
      <c r="F413" s="128">
        <f ca="1" t="shared" si="19"/>
        <v>2</v>
      </c>
      <c r="G413" s="128">
        <f ca="1" t="shared" si="20"/>
        <v>1</v>
      </c>
      <c r="H413" s="128">
        <f ca="1" t="shared" si="21"/>
        <v>1</v>
      </c>
      <c r="I413" s="124">
        <v>1.97</v>
      </c>
      <c r="J413" s="124">
        <v>2.03</v>
      </c>
      <c r="K413" s="124">
        <v>6.32</v>
      </c>
      <c r="L413" s="124">
        <v>38.46</v>
      </c>
      <c r="M413" s="124">
        <v>15.09</v>
      </c>
      <c r="N413" s="124">
        <v>4.12</v>
      </c>
      <c r="O413" s="124">
        <v>0</v>
      </c>
      <c r="P413" s="124">
        <v>12.13</v>
      </c>
      <c r="Q413" s="124" cm="1">
        <f ca="1" t="array" ref="Q413">SUMPRODUCT(TRANSPOSE($I413:$P413),$F$162:$F$169)+SUMIFS($H$210:$H$241,$D$210:$D$241,"&lt;="&amp;N413)+SUMIF($D$310:$D$341,"&lt;="&amp;D413,$H$310:$H$341)</f>
        <v>2202.78</v>
      </c>
      <c r="R413" s="124">
        <f ca="1" t="shared" si="22"/>
        <v>26.2235714285714</v>
      </c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</row>
    <row r="414" s="122" customFormat="1" spans="2:31">
      <c r="D414" s="124">
        <v>8</v>
      </c>
      <c r="E414" s="128">
        <f ca="1" t="shared" si="18"/>
        <v>2</v>
      </c>
      <c r="F414" s="128">
        <f ca="1" t="shared" si="19"/>
        <v>2</v>
      </c>
      <c r="G414" s="128">
        <f ca="1" t="shared" si="20"/>
        <v>1</v>
      </c>
      <c r="H414" s="128">
        <f ca="1" t="shared" si="21"/>
        <v>1</v>
      </c>
      <c r="I414" s="124">
        <v>2.24</v>
      </c>
      <c r="J414" s="124">
        <v>2.28</v>
      </c>
      <c r="K414" s="124">
        <v>7.25</v>
      </c>
      <c r="L414" s="124">
        <v>43.85</v>
      </c>
      <c r="M414" s="124">
        <v>17.46</v>
      </c>
      <c r="N414" s="124">
        <v>4.61</v>
      </c>
      <c r="O414" s="124">
        <v>0</v>
      </c>
      <c r="P414" s="124">
        <v>13.74</v>
      </c>
      <c r="Q414" s="124" cm="1">
        <f ca="1" t="array" ref="Q414">SUMPRODUCT(TRANSPOSE($I414:$P414),$F$162:$F$169)+SUMIFS($H$210:$H$241,$D$210:$D$241,"&lt;="&amp;N414)+SUMIF($D$310:$D$341,"&lt;="&amp;D414,$H$310:$H$341)</f>
        <v>2496.64</v>
      </c>
      <c r="R414" s="124">
        <f ca="1" t="shared" si="22"/>
        <v>26.0066666666667</v>
      </c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</row>
    <row r="415" s="122" customFormat="1" spans="2:31">
      <c r="D415" s="124">
        <v>9</v>
      </c>
      <c r="E415" s="128">
        <f ca="1" t="shared" si="18"/>
        <v>3</v>
      </c>
      <c r="F415" s="128">
        <f ca="1" t="shared" si="19"/>
        <v>2</v>
      </c>
      <c r="G415" s="128">
        <f ca="1" t="shared" si="20"/>
        <v>1</v>
      </c>
      <c r="H415" s="128">
        <f ca="1" t="shared" si="21"/>
        <v>1</v>
      </c>
      <c r="I415" s="124">
        <v>2.44</v>
      </c>
      <c r="J415" s="124">
        <v>2.59</v>
      </c>
      <c r="K415" s="124">
        <v>8.04</v>
      </c>
      <c r="L415" s="124">
        <v>49.35</v>
      </c>
      <c r="M415" s="124">
        <v>19.79</v>
      </c>
      <c r="N415" s="124">
        <v>5.23</v>
      </c>
      <c r="O415" s="124">
        <v>0</v>
      </c>
      <c r="P415" s="124">
        <v>15.25</v>
      </c>
      <c r="Q415" s="124" cm="1">
        <f ca="1" t="array" ref="Q415">SUMPRODUCT(TRANSPOSE($I415:$P415),$F$162:$F$169)+SUMIFS($H$210:$H$241,$D$210:$D$241,"&lt;="&amp;N415)+SUMIF($D$310:$D$341,"&lt;="&amp;D415,$H$310:$H$341)</f>
        <v>2998.5</v>
      </c>
      <c r="R415" s="124">
        <f ca="1" t="shared" si="22"/>
        <v>27.7638888888889</v>
      </c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</row>
    <row r="416" s="122" customFormat="1" spans="2:31">
      <c r="D416" s="124">
        <v>10</v>
      </c>
      <c r="E416" s="128">
        <f ca="1" t="shared" si="18"/>
        <v>3</v>
      </c>
      <c r="F416" s="128">
        <f ca="1" t="shared" si="19"/>
        <v>2</v>
      </c>
      <c r="G416" s="128">
        <f ca="1" t="shared" si="20"/>
        <v>1</v>
      </c>
      <c r="H416" s="128">
        <f ca="1" t="shared" si="21"/>
        <v>1</v>
      </c>
      <c r="I416" s="124">
        <v>2.79</v>
      </c>
      <c r="J416" s="124">
        <v>2.87</v>
      </c>
      <c r="K416" s="124">
        <v>8.96</v>
      </c>
      <c r="L416" s="124">
        <v>54.8</v>
      </c>
      <c r="M416" s="124">
        <v>22.16</v>
      </c>
      <c r="N416" s="124">
        <v>5.76</v>
      </c>
      <c r="O416" s="124">
        <v>0</v>
      </c>
      <c r="P416" s="124">
        <v>16.86</v>
      </c>
      <c r="Q416" s="124" cm="1">
        <f ca="1" t="array" ref="Q416">SUMPRODUCT(TRANSPOSE($I416:$P416),$F$162:$F$169)+SUMIFS($H$210:$H$241,$D$210:$D$241,"&lt;="&amp;N416)+SUMIF($D$310:$D$341,"&lt;="&amp;D416,$H$310:$H$341)</f>
        <v>3301.96</v>
      </c>
      <c r="R416" s="124">
        <f ca="1" t="shared" si="22"/>
        <v>27.5163333333333</v>
      </c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</row>
    <row r="417" s="122" customFormat="1" spans="4:31">
      <c r="D417" s="124">
        <v>11</v>
      </c>
      <c r="E417" s="128">
        <f ca="1" t="shared" si="18"/>
        <v>3</v>
      </c>
      <c r="F417" s="128">
        <f ca="1" t="shared" si="19"/>
        <v>2</v>
      </c>
      <c r="G417" s="128">
        <f ca="1" t="shared" si="20"/>
        <v>2</v>
      </c>
      <c r="H417" s="128">
        <f ca="1" t="shared" si="21"/>
        <v>1</v>
      </c>
      <c r="I417" s="124">
        <v>3.1</v>
      </c>
      <c r="J417" s="124">
        <v>3.17</v>
      </c>
      <c r="K417" s="124">
        <v>9.85</v>
      </c>
      <c r="L417" s="124">
        <v>59.98</v>
      </c>
      <c r="M417" s="124">
        <v>24.52</v>
      </c>
      <c r="N417" s="124">
        <v>6.38</v>
      </c>
      <c r="O417" s="124">
        <v>0</v>
      </c>
      <c r="P417" s="124">
        <v>18.65</v>
      </c>
      <c r="Q417" s="124" cm="1">
        <f ca="1" t="array" ref="Q417">SUMPRODUCT(TRANSPOSE($I417:$P417),$F$162:$F$169)+SUMIFS($H$210:$H$241,$D$210:$D$241,"&lt;="&amp;N417)+SUMIF($D$310:$D$341,"&lt;="&amp;D417,$H$310:$H$341)</f>
        <v>3508.95</v>
      </c>
      <c r="R417" s="124">
        <f ca="1" t="shared" si="22"/>
        <v>26.5829545454545</v>
      </c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</row>
    <row r="418" s="122" customFormat="1" spans="4:31">
      <c r="D418" s="124">
        <v>12</v>
      </c>
      <c r="E418" s="128">
        <f ca="1" t="shared" si="18"/>
        <v>3</v>
      </c>
      <c r="F418" s="128">
        <f ca="1" t="shared" si="19"/>
        <v>2</v>
      </c>
      <c r="G418" s="128">
        <f ca="1" t="shared" si="20"/>
        <v>2</v>
      </c>
      <c r="H418" s="128">
        <f ca="1" t="shared" si="21"/>
        <v>1</v>
      </c>
      <c r="I418" s="124">
        <v>3.39</v>
      </c>
      <c r="J418" s="124">
        <v>3.43</v>
      </c>
      <c r="K418" s="124">
        <v>10.61</v>
      </c>
      <c r="L418" s="124">
        <v>65.47</v>
      </c>
      <c r="M418" s="124">
        <v>26.76</v>
      </c>
      <c r="N418" s="124">
        <v>6.88</v>
      </c>
      <c r="O418" s="124">
        <v>0</v>
      </c>
      <c r="P418" s="124">
        <v>20.57</v>
      </c>
      <c r="Q418" s="124" cm="1">
        <f ca="1" t="array" ref="Q418">SUMPRODUCT(TRANSPOSE($I418:$P418),$F$162:$F$169)+SUMIFS($H$210:$H$241,$D$210:$D$241,"&lt;="&amp;N418)+SUMIF($D$310:$D$341,"&lt;="&amp;D418,$H$310:$H$341)</f>
        <v>3806.47</v>
      </c>
      <c r="R418" s="124">
        <f ca="1" t="shared" si="22"/>
        <v>26.4338194444444</v>
      </c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</row>
    <row r="419" s="122" customFormat="1" spans="4:31">
      <c r="D419" s="124">
        <v>13</v>
      </c>
      <c r="E419" s="128">
        <f ca="1" t="shared" si="18"/>
        <v>4</v>
      </c>
      <c r="F419" s="128">
        <f ca="1" t="shared" si="19"/>
        <v>2</v>
      </c>
      <c r="G419" s="128">
        <f ca="1" t="shared" si="20"/>
        <v>2</v>
      </c>
      <c r="H419" s="128">
        <f ca="1" t="shared" si="21"/>
        <v>1</v>
      </c>
      <c r="I419" s="124">
        <v>3.71</v>
      </c>
      <c r="J419" s="124">
        <v>3.69</v>
      </c>
      <c r="K419" s="124">
        <v>11.58</v>
      </c>
      <c r="L419" s="124">
        <v>70.96</v>
      </c>
      <c r="M419" s="124">
        <v>29.16</v>
      </c>
      <c r="N419" s="124">
        <v>7.38</v>
      </c>
      <c r="O419" s="124">
        <v>0</v>
      </c>
      <c r="P419" s="124">
        <v>22.16</v>
      </c>
      <c r="Q419" s="124" cm="1">
        <f ca="1" t="array" ref="Q419">SUMPRODUCT(TRANSPOSE($I419:$P419),$F$162:$F$169)+SUMIFS($H$210:$H$241,$D$210:$D$241,"&lt;="&amp;N419)+SUMIF($D$310:$D$341,"&lt;="&amp;D419,$H$310:$H$341)</f>
        <v>4005.86</v>
      </c>
      <c r="R419" s="124">
        <f ca="1" t="shared" si="22"/>
        <v>25.6785897435897</v>
      </c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</row>
    <row r="420" s="122" customFormat="1" spans="4:31">
      <c r="D420" s="124">
        <v>14</v>
      </c>
      <c r="E420" s="128">
        <f ca="1" t="shared" si="18"/>
        <v>4</v>
      </c>
      <c r="F420" s="128">
        <f ca="1" t="shared" si="19"/>
        <v>3</v>
      </c>
      <c r="G420" s="128">
        <f ca="1" t="shared" si="20"/>
        <v>2</v>
      </c>
      <c r="H420" s="128">
        <f ca="1" t="shared" si="21"/>
        <v>1</v>
      </c>
      <c r="I420" s="124">
        <v>4</v>
      </c>
      <c r="J420" s="124">
        <v>3.96</v>
      </c>
      <c r="K420" s="124">
        <v>12.46</v>
      </c>
      <c r="L420" s="124">
        <v>76.51</v>
      </c>
      <c r="M420" s="124">
        <v>31.42</v>
      </c>
      <c r="N420" s="124">
        <v>7.94</v>
      </c>
      <c r="O420" s="124">
        <v>0</v>
      </c>
      <c r="P420" s="124">
        <v>23.83</v>
      </c>
      <c r="Q420" s="124" cm="1">
        <f ca="1" t="array" ref="Q420">SUMPRODUCT(TRANSPOSE($I420:$P420),$F$162:$F$169)+SUMIFS($H$210:$H$241,$D$210:$D$241,"&lt;="&amp;N420)+SUMIF($D$310:$D$341,"&lt;="&amp;D420,$H$310:$H$341)</f>
        <v>4205.73</v>
      </c>
      <c r="R420" s="124">
        <f ca="1" t="shared" si="22"/>
        <v>25.0341071428571</v>
      </c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</row>
    <row r="421" s="122" customFormat="1" spans="4:31">
      <c r="D421" s="124">
        <v>15</v>
      </c>
      <c r="E421" s="128">
        <f ca="1" t="shared" si="18"/>
        <v>4</v>
      </c>
      <c r="F421" s="128">
        <f ca="1" t="shared" si="19"/>
        <v>3</v>
      </c>
      <c r="G421" s="128">
        <f ca="1" t="shared" si="20"/>
        <v>2</v>
      </c>
      <c r="H421" s="128">
        <f ca="1" t="shared" si="21"/>
        <v>1</v>
      </c>
      <c r="I421" s="124">
        <v>4.33</v>
      </c>
      <c r="J421" s="124">
        <v>4.31</v>
      </c>
      <c r="K421" s="124">
        <v>13.35</v>
      </c>
      <c r="L421" s="124">
        <v>81.85</v>
      </c>
      <c r="M421" s="124">
        <v>33.77</v>
      </c>
      <c r="N421" s="124">
        <v>8.46</v>
      </c>
      <c r="O421" s="124">
        <v>0</v>
      </c>
      <c r="P421" s="124">
        <v>25.51</v>
      </c>
      <c r="Q421" s="124" cm="1">
        <f ca="1" t="array" ref="Q421">SUMPRODUCT(TRANSPOSE($I421:$P421),$F$162:$F$169)+SUMIFS($H$210:$H$241,$D$210:$D$241,"&lt;="&amp;N421)+SUMIF($D$310:$D$341,"&lt;="&amp;D421,$H$310:$H$341)</f>
        <v>4913.86</v>
      </c>
      <c r="R421" s="124">
        <f ca="1" t="shared" si="22"/>
        <v>27.2992222222222</v>
      </c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</row>
    <row r="422" s="122" customFormat="1" spans="4:31">
      <c r="D422" s="124">
        <v>16</v>
      </c>
      <c r="E422" s="128">
        <f ca="1" t="shared" si="18"/>
        <v>4</v>
      </c>
      <c r="F422" s="128">
        <f ca="1" t="shared" si="19"/>
        <v>3</v>
      </c>
      <c r="G422" s="128">
        <f ca="1" t="shared" si="20"/>
        <v>2</v>
      </c>
      <c r="H422" s="128">
        <f ca="1" t="shared" si="21"/>
        <v>1</v>
      </c>
      <c r="I422" s="124">
        <v>4.56</v>
      </c>
      <c r="J422" s="124">
        <v>4.64</v>
      </c>
      <c r="K422" s="124">
        <v>14.23</v>
      </c>
      <c r="L422" s="124">
        <v>87.36</v>
      </c>
      <c r="M422" s="124">
        <v>36.19</v>
      </c>
      <c r="N422" s="124">
        <v>8.95</v>
      </c>
      <c r="O422" s="124">
        <v>0</v>
      </c>
      <c r="P422" s="124">
        <v>27.37</v>
      </c>
      <c r="Q422" s="124" cm="1">
        <f ca="1" t="array" ref="Q422">SUMPRODUCT(TRANSPOSE($I422:$P422),$F$162:$F$169)+SUMIFS($H$210:$H$241,$D$210:$D$241,"&lt;="&amp;N422)+SUMIF($D$310:$D$341,"&lt;="&amp;D422,$H$310:$H$341)</f>
        <v>5118.92</v>
      </c>
      <c r="R422" s="124">
        <f ca="1" t="shared" si="22"/>
        <v>26.6610416666667</v>
      </c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</row>
    <row r="423" s="122" customFormat="1" spans="4:31">
      <c r="D423" s="124">
        <v>17</v>
      </c>
      <c r="E423" s="128">
        <f ca="1" t="shared" si="18"/>
        <v>4</v>
      </c>
      <c r="F423" s="128">
        <f ca="1" t="shared" si="19"/>
        <v>3</v>
      </c>
      <c r="G423" s="128">
        <f ca="1" t="shared" si="20"/>
        <v>2</v>
      </c>
      <c r="H423" s="128">
        <f ca="1" t="shared" si="21"/>
        <v>1</v>
      </c>
      <c r="I423" s="124">
        <v>4.87</v>
      </c>
      <c r="J423" s="124">
        <v>4.86</v>
      </c>
      <c r="K423" s="124">
        <v>15.1</v>
      </c>
      <c r="L423" s="124">
        <v>92.86</v>
      </c>
      <c r="M423" s="124">
        <v>38.64</v>
      </c>
      <c r="N423" s="124">
        <v>9.5</v>
      </c>
      <c r="O423" s="124">
        <v>0</v>
      </c>
      <c r="P423" s="124">
        <v>29.07</v>
      </c>
      <c r="Q423" s="124" cm="1">
        <f ca="1" t="array" ref="Q423">SUMPRODUCT(TRANSPOSE($I423:$P423),$F$162:$F$169)+SUMIFS($H$210:$H$241,$D$210:$D$241,"&lt;="&amp;N423)+SUMIF($D$310:$D$341,"&lt;="&amp;D423,$H$310:$H$341)</f>
        <v>5318.87</v>
      </c>
      <c r="R423" s="124">
        <f ca="1" t="shared" si="22"/>
        <v>26.0728921568627</v>
      </c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</row>
    <row r="424" s="122" customFormat="1" spans="4:31">
      <c r="D424" s="124">
        <v>18</v>
      </c>
      <c r="E424" s="128">
        <f ca="1" t="shared" si="18"/>
        <v>5</v>
      </c>
      <c r="F424" s="128">
        <f ca="1" t="shared" si="19"/>
        <v>3</v>
      </c>
      <c r="G424" s="128">
        <f ca="1" t="shared" si="20"/>
        <v>2</v>
      </c>
      <c r="H424" s="128">
        <f ca="1" t="shared" si="21"/>
        <v>1</v>
      </c>
      <c r="I424" s="124">
        <v>5.25</v>
      </c>
      <c r="J424" s="124">
        <v>5.17</v>
      </c>
      <c r="K424" s="124">
        <v>15.91</v>
      </c>
      <c r="L424" s="124">
        <v>98.4</v>
      </c>
      <c r="M424" s="124">
        <v>40.68</v>
      </c>
      <c r="N424" s="124">
        <v>10.15</v>
      </c>
      <c r="O424" s="124">
        <v>0</v>
      </c>
      <c r="P424" s="124">
        <v>30.88</v>
      </c>
      <c r="Q424" s="124" cm="1">
        <f ca="1" t="array" ref="Q424">SUMPRODUCT(TRANSPOSE($I424:$P424),$F$162:$F$169)+SUMIFS($H$210:$H$241,$D$210:$D$241,"&lt;="&amp;N424)+SUMIF($D$310:$D$341,"&lt;="&amp;D424,$H$310:$H$341)</f>
        <v>6027.68</v>
      </c>
      <c r="R424" s="124">
        <f ca="1" t="shared" si="22"/>
        <v>27.9059259259259</v>
      </c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</row>
    <row r="425" s="122" customFormat="1" spans="4:31">
      <c r="D425" s="124">
        <v>19</v>
      </c>
      <c r="E425" s="128">
        <f ca="1" t="shared" si="18"/>
        <v>5</v>
      </c>
      <c r="F425" s="128">
        <f ca="1" t="shared" si="19"/>
        <v>3</v>
      </c>
      <c r="G425" s="128">
        <f ca="1" t="shared" si="20"/>
        <v>2</v>
      </c>
      <c r="H425" s="128">
        <f ca="1" t="shared" si="21"/>
        <v>1</v>
      </c>
      <c r="I425" s="124">
        <v>5.49</v>
      </c>
      <c r="J425" s="124">
        <v>5.37</v>
      </c>
      <c r="K425" s="124">
        <v>16.85</v>
      </c>
      <c r="L425" s="124">
        <v>103.49</v>
      </c>
      <c r="M425" s="124">
        <v>43.08</v>
      </c>
      <c r="N425" s="124">
        <v>10.69</v>
      </c>
      <c r="O425" s="124">
        <v>0</v>
      </c>
      <c r="P425" s="124">
        <v>32.56</v>
      </c>
      <c r="Q425" s="124" cm="1">
        <f ca="1" t="array" ref="Q425">SUMPRODUCT(TRANSPOSE($I425:$P425),$F$162:$F$169)+SUMIFS($H$210:$H$241,$D$210:$D$241,"&lt;="&amp;N425)+SUMIF($D$310:$D$341,"&lt;="&amp;D425,$H$310:$H$341)</f>
        <v>6216.06</v>
      </c>
      <c r="R425" s="124">
        <f ca="1" t="shared" si="22"/>
        <v>27.2634210526316</v>
      </c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</row>
    <row r="426" s="122" customFormat="1" spans="4:31">
      <c r="D426" s="124">
        <v>20</v>
      </c>
      <c r="E426" s="128">
        <f ca="1" t="shared" si="18"/>
        <v>5</v>
      </c>
      <c r="F426" s="128">
        <f ca="1" t="shared" si="19"/>
        <v>4</v>
      </c>
      <c r="G426" s="128">
        <f ca="1" t="shared" si="20"/>
        <v>2</v>
      </c>
      <c r="H426" s="128">
        <f ca="1" t="shared" si="21"/>
        <v>1</v>
      </c>
      <c r="I426" s="124">
        <v>5.84</v>
      </c>
      <c r="J426" s="124">
        <v>5.67</v>
      </c>
      <c r="K426" s="124">
        <v>17.67</v>
      </c>
      <c r="L426" s="124">
        <v>108.99</v>
      </c>
      <c r="M426" s="124">
        <v>45.32</v>
      </c>
      <c r="N426" s="124">
        <v>11.24</v>
      </c>
      <c r="O426" s="124">
        <v>0</v>
      </c>
      <c r="P426" s="124">
        <v>34.39</v>
      </c>
      <c r="Q426" s="124" cm="1">
        <f ca="1" t="array" ref="Q426">SUMPRODUCT(TRANSPOSE($I426:$P426),$F$162:$F$169)+SUMIFS($H$210:$H$241,$D$210:$D$241,"&lt;="&amp;N426)+SUMIF($D$310:$D$341,"&lt;="&amp;D426,$H$310:$H$341)</f>
        <v>6522.19</v>
      </c>
      <c r="R426" s="124">
        <f ca="1" t="shared" si="22"/>
        <v>27.1757916666667</v>
      </c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</row>
    <row r="427" s="122" customFormat="1" spans="4:31">
      <c r="D427" s="124">
        <v>21</v>
      </c>
      <c r="E427" s="128">
        <f ca="1" t="shared" si="18"/>
        <v>5</v>
      </c>
      <c r="F427" s="128">
        <f ca="1" t="shared" si="19"/>
        <v>4</v>
      </c>
      <c r="G427" s="128">
        <f ca="1" t="shared" si="20"/>
        <v>3</v>
      </c>
      <c r="H427" s="128">
        <f ca="1" t="shared" si="21"/>
        <v>2</v>
      </c>
      <c r="I427" s="124">
        <v>6.12</v>
      </c>
      <c r="J427" s="124">
        <v>6</v>
      </c>
      <c r="K427" s="124">
        <v>18.56</v>
      </c>
      <c r="L427" s="124">
        <v>114.83</v>
      </c>
      <c r="M427" s="124">
        <v>47.48</v>
      </c>
      <c r="N427" s="124">
        <v>11.8</v>
      </c>
      <c r="O427" s="124">
        <v>0</v>
      </c>
      <c r="P427" s="124">
        <v>35.99</v>
      </c>
      <c r="Q427" s="124" cm="1">
        <f ca="1" t="array" ref="Q427">SUMPRODUCT(TRANSPOSE($I427:$P427),$F$162:$F$169)+SUMIFS($H$210:$H$241,$D$210:$D$241,"&lt;="&amp;N427)+SUMIF($D$310:$D$341,"&lt;="&amp;D427,$H$310:$H$341)</f>
        <v>6727.19</v>
      </c>
      <c r="R427" s="124">
        <f ca="1" t="shared" si="22"/>
        <v>26.6951984126984</v>
      </c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</row>
    <row r="428" s="122" customFormat="1" spans="4:31">
      <c r="D428" s="124">
        <v>22</v>
      </c>
      <c r="E428" s="128">
        <f ca="1" t="shared" si="18"/>
        <v>6</v>
      </c>
      <c r="F428" s="128">
        <f ca="1" t="shared" si="19"/>
        <v>4</v>
      </c>
      <c r="G428" s="128">
        <f ca="1" t="shared" si="20"/>
        <v>3</v>
      </c>
      <c r="H428" s="128">
        <f ca="1" t="shared" si="21"/>
        <v>2</v>
      </c>
      <c r="I428" s="124">
        <v>6.39</v>
      </c>
      <c r="J428" s="124">
        <v>6.21</v>
      </c>
      <c r="K428" s="124">
        <v>19.53</v>
      </c>
      <c r="L428" s="124">
        <v>120.3</v>
      </c>
      <c r="M428" s="124">
        <v>49.97</v>
      </c>
      <c r="N428" s="124">
        <v>12.25</v>
      </c>
      <c r="O428" s="124">
        <v>0</v>
      </c>
      <c r="P428" s="124">
        <v>37.73</v>
      </c>
      <c r="Q428" s="124" cm="1">
        <f ca="1" t="array" ref="Q428">SUMPRODUCT(TRANSPOSE($I428:$P428),$F$162:$F$169)+SUMIFS($H$210:$H$241,$D$210:$D$241,"&lt;="&amp;N428)+SUMIF($D$310:$D$341,"&lt;="&amp;D428,$H$310:$H$341)</f>
        <v>7320.28</v>
      </c>
      <c r="R428" s="124">
        <f ca="1" t="shared" si="22"/>
        <v>27.7283333333333</v>
      </c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</row>
    <row r="429" s="122" customFormat="1" spans="4:31">
      <c r="D429" s="124">
        <v>23</v>
      </c>
      <c r="E429" s="128">
        <f ca="1" t="shared" si="18"/>
        <v>6</v>
      </c>
      <c r="F429" s="128">
        <f ca="1" t="shared" si="19"/>
        <v>4</v>
      </c>
      <c r="G429" s="128">
        <f ca="1" t="shared" si="20"/>
        <v>3</v>
      </c>
      <c r="H429" s="128">
        <f ca="1" t="shared" si="21"/>
        <v>2</v>
      </c>
      <c r="I429" s="124">
        <v>6.64</v>
      </c>
      <c r="J429" s="124">
        <v>6.52</v>
      </c>
      <c r="K429" s="124">
        <v>20.38</v>
      </c>
      <c r="L429" s="124">
        <v>125.65</v>
      </c>
      <c r="M429" s="124">
        <v>52.19</v>
      </c>
      <c r="N429" s="124">
        <v>12.85</v>
      </c>
      <c r="O429" s="124">
        <v>0</v>
      </c>
      <c r="P429" s="124">
        <v>39.45</v>
      </c>
      <c r="Q429" s="124" cm="1">
        <f ca="1" t="array" ref="Q429">SUMPRODUCT(TRANSPOSE($I429:$P429),$F$162:$F$169)+SUMIFS($H$210:$H$241,$D$210:$D$241,"&lt;="&amp;N429)+SUMIF($D$310:$D$341,"&lt;="&amp;D429,$H$310:$H$341)</f>
        <v>7521.7</v>
      </c>
      <c r="R429" s="124">
        <f ca="1" t="shared" si="22"/>
        <v>27.2525362318841</v>
      </c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</row>
    <row r="430" s="122" customFormat="1" spans="4:31">
      <c r="D430" s="124">
        <v>24</v>
      </c>
      <c r="E430" s="128">
        <f ca="1" t="shared" si="18"/>
        <v>6</v>
      </c>
      <c r="F430" s="128">
        <f ca="1" t="shared" si="19"/>
        <v>4</v>
      </c>
      <c r="G430" s="128">
        <f ca="1" t="shared" si="20"/>
        <v>3</v>
      </c>
      <c r="H430" s="128">
        <f ca="1" t="shared" si="21"/>
        <v>2</v>
      </c>
      <c r="I430" s="124">
        <v>6.94</v>
      </c>
      <c r="J430" s="124">
        <v>6.8</v>
      </c>
      <c r="K430" s="124">
        <v>21.34</v>
      </c>
      <c r="L430" s="124">
        <v>131.2</v>
      </c>
      <c r="M430" s="124">
        <v>54.49</v>
      </c>
      <c r="N430" s="124">
        <v>13.32</v>
      </c>
      <c r="O430" s="124">
        <v>0</v>
      </c>
      <c r="P430" s="124">
        <v>41.14</v>
      </c>
      <c r="Q430" s="124" cm="1">
        <f ca="1" t="array" ref="Q430">SUMPRODUCT(TRANSPOSE($I430:$P430),$F$162:$F$169)+SUMIFS($H$210:$H$241,$D$210:$D$241,"&lt;="&amp;N430)+SUMIF($D$310:$D$341,"&lt;="&amp;D430,$H$310:$H$341)</f>
        <v>7719.79</v>
      </c>
      <c r="R430" s="124">
        <f ca="1" t="shared" si="22"/>
        <v>26.8048263888889</v>
      </c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</row>
    <row r="431" s="122" customFormat="1" spans="4:31">
      <c r="D431" s="124">
        <v>25</v>
      </c>
      <c r="E431" s="128">
        <f ca="1" t="shared" si="18"/>
        <v>6</v>
      </c>
      <c r="F431" s="128">
        <f ca="1" t="shared" si="19"/>
        <v>4</v>
      </c>
      <c r="G431" s="128">
        <f ca="1" t="shared" si="20"/>
        <v>3</v>
      </c>
      <c r="H431" s="128">
        <f ca="1" t="shared" si="21"/>
        <v>2</v>
      </c>
      <c r="I431" s="124">
        <v>7.2</v>
      </c>
      <c r="J431" s="124">
        <v>7.13</v>
      </c>
      <c r="K431" s="124">
        <v>22.17</v>
      </c>
      <c r="L431" s="124">
        <v>136.65</v>
      </c>
      <c r="M431" s="124">
        <v>56.69</v>
      </c>
      <c r="N431" s="124">
        <v>13.85</v>
      </c>
      <c r="O431" s="124">
        <v>0</v>
      </c>
      <c r="P431" s="124">
        <v>42.91</v>
      </c>
      <c r="Q431" s="124" cm="1">
        <f ca="1" t="array" ref="Q431">SUMPRODUCT(TRANSPOSE($I431:$P431),$F$162:$F$169)+SUMIFS($H$210:$H$241,$D$210:$D$241,"&lt;="&amp;N431)+SUMIF($D$310:$D$341,"&lt;="&amp;D431,$H$310:$H$341)</f>
        <v>8221.26</v>
      </c>
      <c r="R431" s="124">
        <f ca="1" t="shared" si="22"/>
        <v>27.4042</v>
      </c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</row>
    <row r="432" s="122" customFormat="1" spans="4:31">
      <c r="D432" s="124">
        <v>26</v>
      </c>
      <c r="E432" s="128">
        <f ca="1" t="shared" si="18"/>
        <v>7</v>
      </c>
      <c r="F432" s="128">
        <f ca="1" t="shared" si="19"/>
        <v>4</v>
      </c>
      <c r="G432" s="128">
        <f ca="1" t="shared" si="20"/>
        <v>3</v>
      </c>
      <c r="H432" s="128">
        <f ca="1" t="shared" si="21"/>
        <v>2</v>
      </c>
      <c r="I432" s="124">
        <v>7.41</v>
      </c>
      <c r="J432" s="124">
        <v>7.42</v>
      </c>
      <c r="K432" s="124">
        <v>23.05</v>
      </c>
      <c r="L432" s="124">
        <v>141.97</v>
      </c>
      <c r="M432" s="124">
        <v>58.91</v>
      </c>
      <c r="N432" s="124">
        <v>14.33</v>
      </c>
      <c r="O432" s="124">
        <v>0</v>
      </c>
      <c r="P432" s="124">
        <v>44.77</v>
      </c>
      <c r="Q432" s="124" cm="1">
        <f ca="1" t="array" ref="Q432">SUMPRODUCT(TRANSPOSE($I432:$P432),$F$162:$F$169)+SUMIFS($H$210:$H$241,$D$210:$D$241,"&lt;="&amp;N432)+SUMIF($D$310:$D$341,"&lt;="&amp;D432,$H$310:$H$341)</f>
        <v>8413.92</v>
      </c>
      <c r="R432" s="124">
        <f ca="1" t="shared" si="22"/>
        <v>26.9676923076923</v>
      </c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</row>
    <row r="433" s="122" customFormat="1" spans="4:31">
      <c r="D433" s="124">
        <v>27</v>
      </c>
      <c r="E433" s="128">
        <f ca="1" t="shared" si="18"/>
        <v>7</v>
      </c>
      <c r="F433" s="128">
        <f ca="1" t="shared" si="19"/>
        <v>5</v>
      </c>
      <c r="G433" s="128">
        <f ca="1" t="shared" si="20"/>
        <v>3</v>
      </c>
      <c r="H433" s="128">
        <f ca="1" t="shared" si="21"/>
        <v>2</v>
      </c>
      <c r="I433" s="124">
        <v>7.7</v>
      </c>
      <c r="J433" s="124">
        <v>7.68</v>
      </c>
      <c r="K433" s="124">
        <v>23.89</v>
      </c>
      <c r="L433" s="124">
        <v>147.51</v>
      </c>
      <c r="M433" s="124">
        <v>61.13</v>
      </c>
      <c r="N433" s="124">
        <v>14.85</v>
      </c>
      <c r="O433" s="124">
        <v>0</v>
      </c>
      <c r="P433" s="124">
        <v>46.45</v>
      </c>
      <c r="Q433" s="124" cm="1">
        <f ca="1" t="array" ref="Q433">SUMPRODUCT(TRANSPOSE($I433:$P433),$F$162:$F$169)+SUMIFS($H$210:$H$241,$D$210:$D$241,"&lt;="&amp;N433)+SUMIF($D$310:$D$341,"&lt;="&amp;D433,$H$310:$H$341)</f>
        <v>8609.8</v>
      </c>
      <c r="R433" s="124">
        <f ca="1" t="shared" si="22"/>
        <v>26.5734567901235</v>
      </c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</row>
    <row r="434" s="122" customFormat="1" spans="4:31">
      <c r="D434" s="124">
        <v>28</v>
      </c>
      <c r="E434" s="128">
        <f ca="1" t="shared" si="18"/>
        <v>7</v>
      </c>
      <c r="F434" s="128">
        <f ca="1" t="shared" si="19"/>
        <v>5</v>
      </c>
      <c r="G434" s="128">
        <f ca="1" t="shared" si="20"/>
        <v>3</v>
      </c>
      <c r="H434" s="128">
        <f ca="1" t="shared" si="21"/>
        <v>2</v>
      </c>
      <c r="I434" s="124">
        <v>8.05</v>
      </c>
      <c r="J434" s="124">
        <v>7.96</v>
      </c>
      <c r="K434" s="124">
        <v>24.75</v>
      </c>
      <c r="L434" s="124">
        <v>153</v>
      </c>
      <c r="M434" s="124">
        <v>63.45</v>
      </c>
      <c r="N434" s="124">
        <v>15.45</v>
      </c>
      <c r="O434" s="124">
        <v>0</v>
      </c>
      <c r="P434" s="124">
        <v>48.13</v>
      </c>
      <c r="Q434" s="124" cm="1">
        <f ca="1" t="array" ref="Q434">SUMPRODUCT(TRANSPOSE($I434:$P434),$F$162:$F$169)+SUMIFS($H$210:$H$241,$D$210:$D$241,"&lt;="&amp;N434)+SUMIF($D$310:$D$341,"&lt;="&amp;D434,$H$310:$H$341)</f>
        <v>9316.68</v>
      </c>
      <c r="R434" s="124">
        <f ca="1" t="shared" si="22"/>
        <v>27.7282142857143</v>
      </c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</row>
    <row r="435" s="122" customFormat="1" spans="4:31">
      <c r="D435" s="124">
        <v>29</v>
      </c>
      <c r="E435" s="128">
        <f ca="1" t="shared" si="18"/>
        <v>7</v>
      </c>
      <c r="F435" s="128">
        <f ca="1" t="shared" si="19"/>
        <v>5</v>
      </c>
      <c r="G435" s="128">
        <f ca="1" t="shared" si="20"/>
        <v>3</v>
      </c>
      <c r="H435" s="128">
        <f ca="1" t="shared" si="21"/>
        <v>2</v>
      </c>
      <c r="I435" s="124">
        <v>8.35</v>
      </c>
      <c r="J435" s="124">
        <v>8.32</v>
      </c>
      <c r="K435" s="124">
        <v>25.51</v>
      </c>
      <c r="L435" s="124">
        <v>158.59</v>
      </c>
      <c r="M435" s="124">
        <v>65.71</v>
      </c>
      <c r="N435" s="124">
        <v>15.94</v>
      </c>
      <c r="O435" s="124">
        <v>0</v>
      </c>
      <c r="P435" s="124">
        <v>49.86</v>
      </c>
      <c r="Q435" s="124" cm="1">
        <f ca="1" t="array" ref="Q435">SUMPRODUCT(TRANSPOSE($I435:$P435),$F$162:$F$169)+SUMIFS($H$210:$H$241,$D$210:$D$241,"&lt;="&amp;N435)+SUMIF($D$310:$D$341,"&lt;="&amp;D435,$H$310:$H$341)</f>
        <v>9523.61</v>
      </c>
      <c r="R435" s="124">
        <f ca="1" t="shared" si="22"/>
        <v>27.3666954022989</v>
      </c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</row>
    <row r="436" s="122" customFormat="1" spans="4:31">
      <c r="D436" s="124">
        <v>30</v>
      </c>
      <c r="E436" s="128" t="str">
        <f ca="1" t="shared" si="18"/>
        <v/>
      </c>
      <c r="F436" s="128">
        <f ca="1" t="shared" si="19"/>
        <v>5</v>
      </c>
      <c r="G436" s="128">
        <f ca="1" t="shared" si="20"/>
        <v>3</v>
      </c>
      <c r="H436" s="128">
        <f ca="1" t="shared" si="21"/>
        <v>2</v>
      </c>
      <c r="I436" s="124">
        <v>8.69</v>
      </c>
      <c r="J436" s="124">
        <v>8.65</v>
      </c>
      <c r="K436" s="124">
        <v>26.32</v>
      </c>
      <c r="L436" s="124">
        <v>164.05</v>
      </c>
      <c r="M436" s="124">
        <v>68.13</v>
      </c>
      <c r="N436" s="124">
        <v>16.49</v>
      </c>
      <c r="O436" s="124">
        <v>0</v>
      </c>
      <c r="P436" s="124">
        <v>51.57</v>
      </c>
      <c r="Q436" s="124" cm="1">
        <f ca="1" t="array" ref="Q436">SUMPRODUCT(TRANSPOSE($I436:$P436),$F$162:$F$169)+SUMIFS($H$210:$H$241,$D$210:$D$241,"&lt;="&amp;N436)+SUMIF($D$310:$D$341,"&lt;="&amp;D436,$H$310:$H$341)</f>
        <v>9935.02</v>
      </c>
      <c r="R436" s="124">
        <f ca="1" t="shared" si="22"/>
        <v>27.5972777777778</v>
      </c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</row>
    <row r="437" s="122" customFormat="1" spans="4:31">
      <c r="D437" s="124">
        <v>31</v>
      </c>
      <c r="E437" s="128" t="str">
        <f ca="1" t="shared" si="18"/>
        <v/>
      </c>
      <c r="F437" s="128">
        <f ca="1" t="shared" si="19"/>
        <v>5</v>
      </c>
      <c r="G437" s="128">
        <f ca="1" t="shared" si="20"/>
        <v>4</v>
      </c>
      <c r="H437" s="128">
        <f ca="1" t="shared" si="21"/>
        <v>2</v>
      </c>
      <c r="I437" s="124">
        <v>9.06</v>
      </c>
      <c r="J437" s="124">
        <v>8.89</v>
      </c>
      <c r="K437" s="124">
        <v>27.16</v>
      </c>
      <c r="L437" s="124">
        <v>169.73</v>
      </c>
      <c r="M437" s="124">
        <v>70.27</v>
      </c>
      <c r="N437" s="124">
        <v>17.1</v>
      </c>
      <c r="O437" s="124">
        <v>0</v>
      </c>
      <c r="P437" s="124">
        <v>53.18</v>
      </c>
      <c r="Q437" s="124" cm="1">
        <f ca="1" t="array" ref="Q437">SUMPRODUCT(TRANSPOSE($I437:$P437),$F$162:$F$169)+SUMIFS($H$210:$H$241,$D$210:$D$241,"&lt;="&amp;N437)+SUMIF($D$310:$D$341,"&lt;="&amp;D437,$H$310:$H$341)</f>
        <v>10136.03</v>
      </c>
      <c r="R437" s="124">
        <f ca="1" t="shared" si="22"/>
        <v>27.2473924731183</v>
      </c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</row>
    <row r="438" s="122" customFormat="1" spans="4:31">
      <c r="D438" s="124">
        <v>32</v>
      </c>
      <c r="E438" s="128" t="str">
        <f ca="1" t="shared" si="18"/>
        <v/>
      </c>
      <c r="F438" s="128">
        <f ca="1" t="shared" si="19"/>
        <v>5</v>
      </c>
      <c r="G438" s="128">
        <f ca="1" t="shared" si="20"/>
        <v>4</v>
      </c>
      <c r="H438" s="128">
        <f ca="1" t="shared" si="21"/>
        <v>2</v>
      </c>
      <c r="I438" s="124">
        <v>9.37</v>
      </c>
      <c r="J438" s="124">
        <v>9.09</v>
      </c>
      <c r="K438" s="124">
        <v>28.05</v>
      </c>
      <c r="L438" s="124">
        <v>175.23</v>
      </c>
      <c r="M438" s="124">
        <v>72.61</v>
      </c>
      <c r="N438" s="124">
        <v>17.66</v>
      </c>
      <c r="O438" s="124">
        <v>0</v>
      </c>
      <c r="P438" s="124">
        <v>54.95</v>
      </c>
      <c r="Q438" s="124" cm="1">
        <f ca="1" t="array" ref="Q438">SUMPRODUCT(TRANSPOSE($I438:$P438),$F$162:$F$169)+SUMIFS($H$210:$H$241,$D$210:$D$241,"&lt;="&amp;N438)+SUMIF($D$310:$D$341,"&lt;="&amp;D438,$H$310:$H$341)</f>
        <v>10332.5</v>
      </c>
      <c r="R438" s="124">
        <f ca="1" t="shared" si="22"/>
        <v>26.9075520833333</v>
      </c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</row>
    <row r="439" s="122" customFormat="1" spans="4:31">
      <c r="D439" s="124">
        <v>33</v>
      </c>
      <c r="E439" s="128" t="str">
        <f ca="1" t="shared" si="18"/>
        <v/>
      </c>
      <c r="F439" s="128">
        <f ca="1" t="shared" si="19"/>
        <v>6</v>
      </c>
      <c r="G439" s="128">
        <f ca="1" t="shared" si="20"/>
        <v>4</v>
      </c>
      <c r="H439" s="128">
        <f ca="1" t="shared" si="21"/>
        <v>2</v>
      </c>
      <c r="I439" s="124">
        <v>9.66</v>
      </c>
      <c r="J439" s="124">
        <v>9.41</v>
      </c>
      <c r="K439" s="124">
        <v>28.94</v>
      </c>
      <c r="L439" s="124">
        <v>180.72</v>
      </c>
      <c r="M439" s="124">
        <v>75</v>
      </c>
      <c r="N439" s="124">
        <v>18.2</v>
      </c>
      <c r="O439" s="124">
        <v>0</v>
      </c>
      <c r="P439" s="124">
        <v>56.58</v>
      </c>
      <c r="Q439" s="124" cm="1">
        <f ca="1" t="array" ref="Q439">SUMPRODUCT(TRANSPOSE($I439:$P439),$F$162:$F$169)+SUMIFS($H$210:$H$241,$D$210:$D$241,"&lt;="&amp;N439)+SUMIF($D$310:$D$341,"&lt;="&amp;D439,$H$310:$H$341)</f>
        <v>11038.58</v>
      </c>
      <c r="R439" s="124">
        <f ca="1" t="shared" si="22"/>
        <v>27.875202020202</v>
      </c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</row>
    <row r="440" s="122" customFormat="1" spans="4:31">
      <c r="D440" s="124">
        <v>34</v>
      </c>
      <c r="E440" s="128" t="str">
        <f ca="1" t="shared" si="18"/>
        <v/>
      </c>
      <c r="F440" s="128">
        <f ca="1" t="shared" si="19"/>
        <v>6</v>
      </c>
      <c r="G440" s="128">
        <f ca="1" t="shared" si="20"/>
        <v>4</v>
      </c>
      <c r="H440" s="128">
        <f ca="1" t="shared" si="21"/>
        <v>2</v>
      </c>
      <c r="I440" s="124">
        <v>9.99</v>
      </c>
      <c r="J440" s="124">
        <v>9.68</v>
      </c>
      <c r="K440" s="124">
        <v>29.77</v>
      </c>
      <c r="L440" s="124">
        <v>186.29</v>
      </c>
      <c r="M440" s="124">
        <v>77.12</v>
      </c>
      <c r="N440" s="124">
        <v>18.67</v>
      </c>
      <c r="O440" s="124">
        <v>0</v>
      </c>
      <c r="P440" s="124">
        <v>58.46</v>
      </c>
      <c r="Q440" s="124" cm="1">
        <f ca="1" t="array" ref="Q440">SUMPRODUCT(TRANSPOSE($I440:$P440),$F$162:$F$169)+SUMIFS($H$210:$H$241,$D$210:$D$241,"&lt;="&amp;N440)+SUMIF($D$310:$D$341,"&lt;="&amp;D440,$H$310:$H$341)</f>
        <v>11234.96</v>
      </c>
      <c r="R440" s="124">
        <f ca="1" t="shared" si="22"/>
        <v>27.5366666666667</v>
      </c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</row>
    <row r="441" s="122" customFormat="1" spans="4:31">
      <c r="D441" s="124">
        <v>35</v>
      </c>
      <c r="E441" s="128" t="str">
        <f ca="1" t="shared" si="18"/>
        <v/>
      </c>
      <c r="F441" s="128">
        <f ca="1" t="shared" si="19"/>
        <v>6</v>
      </c>
      <c r="G441" s="128">
        <f ca="1" t="shared" si="20"/>
        <v>4</v>
      </c>
      <c r="H441" s="128">
        <f ca="1" t="shared" si="21"/>
        <v>2</v>
      </c>
      <c r="I441" s="124">
        <v>10.27</v>
      </c>
      <c r="J441" s="124">
        <v>9.92</v>
      </c>
      <c r="K441" s="124">
        <v>30.52</v>
      </c>
      <c r="L441" s="124">
        <v>191.88</v>
      </c>
      <c r="M441" s="124">
        <v>79.32</v>
      </c>
      <c r="N441" s="124">
        <v>19.29</v>
      </c>
      <c r="O441" s="124">
        <v>0</v>
      </c>
      <c r="P441" s="124">
        <v>60.24</v>
      </c>
      <c r="Q441" s="124" cm="1">
        <f ca="1" t="array" ref="Q441">SUMPRODUCT(TRANSPOSE($I441:$P441),$F$162:$F$169)+SUMIFS($H$210:$H$241,$D$210:$D$241,"&lt;="&amp;N441)+SUMIF($D$310:$D$341,"&lt;="&amp;D441,$H$310:$H$341)</f>
        <v>11634.44</v>
      </c>
      <c r="R441" s="124">
        <f ca="1" t="shared" si="22"/>
        <v>27.7010476190476</v>
      </c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</row>
    <row r="442" s="122" customFormat="1" spans="4:31">
      <c r="D442" s="124">
        <v>36</v>
      </c>
      <c r="E442" s="128" t="str">
        <f ca="1" t="shared" si="18"/>
        <v/>
      </c>
      <c r="F442" s="128">
        <f ca="1" t="shared" si="19"/>
        <v>6</v>
      </c>
      <c r="G442" s="128">
        <f ca="1" t="shared" si="20"/>
        <v>4</v>
      </c>
      <c r="H442" s="128">
        <f ca="1" t="shared" si="21"/>
        <v>2</v>
      </c>
      <c r="I442" s="124">
        <v>10.58</v>
      </c>
      <c r="J442" s="124">
        <v>10.18</v>
      </c>
      <c r="K442" s="124">
        <v>31.51</v>
      </c>
      <c r="L442" s="124">
        <v>197.34</v>
      </c>
      <c r="M442" s="124">
        <v>81.51</v>
      </c>
      <c r="N442" s="124">
        <v>19.88</v>
      </c>
      <c r="O442" s="124">
        <v>0</v>
      </c>
      <c r="P442" s="124">
        <v>62.05</v>
      </c>
      <c r="Q442" s="124" cm="1">
        <f ca="1" t="array" ref="Q442">SUMPRODUCT(TRANSPOSE($I442:$P442),$F$162:$F$169)+SUMIFS($H$210:$H$241,$D$210:$D$241,"&lt;="&amp;N442)+SUMIF($D$310:$D$341,"&lt;="&amp;D442,$H$310:$H$341)</f>
        <v>11834.7</v>
      </c>
      <c r="R442" s="124">
        <f ca="1" t="shared" si="22"/>
        <v>27.3951388888889</v>
      </c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</row>
    <row r="443" s="122" customFormat="1" spans="4:31">
      <c r="D443" s="124">
        <v>37</v>
      </c>
      <c r="E443" s="128" t="str">
        <f ca="1" t="shared" si="18"/>
        <v/>
      </c>
      <c r="F443" s="128">
        <f ca="1" t="shared" si="19"/>
        <v>6</v>
      </c>
      <c r="G443" s="128">
        <f ca="1" t="shared" si="20"/>
        <v>4</v>
      </c>
      <c r="H443" s="128">
        <f ca="1" t="shared" si="21"/>
        <v>2</v>
      </c>
      <c r="I443" s="124">
        <v>10.95</v>
      </c>
      <c r="J443" s="124">
        <v>10.43</v>
      </c>
      <c r="K443" s="124">
        <v>32.23</v>
      </c>
      <c r="L443" s="124">
        <v>202.81</v>
      </c>
      <c r="M443" s="124">
        <v>83.94</v>
      </c>
      <c r="N443" s="124">
        <v>20.43</v>
      </c>
      <c r="O443" s="124">
        <v>0</v>
      </c>
      <c r="P443" s="124">
        <v>63.71</v>
      </c>
      <c r="Q443" s="124" cm="1">
        <f ca="1" t="array" ref="Q443">SUMPRODUCT(TRANSPOSE($I443:$P443),$F$162:$F$169)+SUMIFS($H$210:$H$241,$D$210:$D$241,"&lt;="&amp;N443)+SUMIF($D$310:$D$341,"&lt;="&amp;D443,$H$310:$H$341)</f>
        <v>12039.41</v>
      </c>
      <c r="R443" s="124">
        <f ca="1" t="shared" si="22"/>
        <v>27.1157882882883</v>
      </c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</row>
    <row r="444" s="122" customFormat="1" spans="4:31">
      <c r="D444" s="124">
        <v>38</v>
      </c>
      <c r="E444" s="128" t="str">
        <f ca="1" t="shared" si="18"/>
        <v/>
      </c>
      <c r="F444" s="128">
        <f ca="1" t="shared" si="19"/>
        <v>6</v>
      </c>
      <c r="G444" s="128">
        <f ca="1" t="shared" si="20"/>
        <v>4</v>
      </c>
      <c r="H444" s="128">
        <f ca="1" t="shared" si="21"/>
        <v>2</v>
      </c>
      <c r="I444" s="124">
        <v>11.15</v>
      </c>
      <c r="J444" s="124">
        <v>10.71</v>
      </c>
      <c r="K444" s="124">
        <v>33.13</v>
      </c>
      <c r="L444" s="124">
        <v>207.95</v>
      </c>
      <c r="M444" s="124">
        <v>86.3</v>
      </c>
      <c r="N444" s="124">
        <v>21.06</v>
      </c>
      <c r="O444" s="124">
        <v>0</v>
      </c>
      <c r="P444" s="124">
        <v>65.4</v>
      </c>
      <c r="Q444" s="124" cm="1">
        <f ca="1" t="array" ref="Q444">SUMPRODUCT(TRANSPOSE($I444:$P444),$F$162:$F$169)+SUMIFS($H$210:$H$241,$D$210:$D$241,"&lt;="&amp;N444)+SUMIF($D$310:$D$341,"&lt;="&amp;D444,$H$310:$H$341)</f>
        <v>12737.9</v>
      </c>
      <c r="R444" s="124">
        <f ca="1" t="shared" si="22"/>
        <v>27.9339912280702</v>
      </c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</row>
    <row r="445" s="122" customFormat="1" spans="4:31">
      <c r="D445" s="124">
        <v>39</v>
      </c>
      <c r="E445" s="128" t="str">
        <f ca="1" t="shared" si="18"/>
        <v/>
      </c>
      <c r="F445" s="128">
        <f ca="1" t="shared" si="19"/>
        <v>6</v>
      </c>
      <c r="G445" s="128">
        <f ca="1" t="shared" si="20"/>
        <v>4</v>
      </c>
      <c r="H445" s="128">
        <f ca="1" t="shared" si="21"/>
        <v>2</v>
      </c>
      <c r="I445" s="124">
        <v>11.45</v>
      </c>
      <c r="J445" s="124">
        <v>11.03</v>
      </c>
      <c r="K445" s="124">
        <v>34.05</v>
      </c>
      <c r="L445" s="124">
        <v>213.43</v>
      </c>
      <c r="M445" s="124">
        <v>88.66</v>
      </c>
      <c r="N445" s="124">
        <v>21.58</v>
      </c>
      <c r="O445" s="124">
        <v>0</v>
      </c>
      <c r="P445" s="124">
        <v>67.15</v>
      </c>
      <c r="Q445" s="124" cm="1">
        <f ca="1" t="array" ref="Q445">SUMPRODUCT(TRANSPOSE($I445:$P445),$F$162:$F$169)+SUMIFS($H$210:$H$241,$D$210:$D$241,"&lt;="&amp;N445)+SUMIF($D$310:$D$341,"&lt;="&amp;D445,$H$310:$H$341)</f>
        <v>12943.95</v>
      </c>
      <c r="R445" s="124">
        <f ca="1" t="shared" si="22"/>
        <v>27.6580128205128</v>
      </c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</row>
    <row r="446" s="122" customFormat="1" spans="4:31">
      <c r="D446" s="124">
        <v>40</v>
      </c>
      <c r="E446" s="128" t="str">
        <f ca="1" t="shared" si="18"/>
        <v/>
      </c>
      <c r="F446" s="128">
        <f ca="1" t="shared" si="19"/>
        <v>7</v>
      </c>
      <c r="G446" s="128">
        <f ca="1" t="shared" si="20"/>
        <v>4</v>
      </c>
      <c r="H446" s="128">
        <f ca="1" t="shared" si="21"/>
        <v>2</v>
      </c>
      <c r="I446" s="124">
        <v>11.8</v>
      </c>
      <c r="J446" s="124">
        <v>11.31</v>
      </c>
      <c r="K446" s="124">
        <v>34.8</v>
      </c>
      <c r="L446" s="124">
        <v>218.72</v>
      </c>
      <c r="M446" s="124">
        <v>91.01</v>
      </c>
      <c r="N446" s="124">
        <v>22.17</v>
      </c>
      <c r="O446" s="124">
        <v>0</v>
      </c>
      <c r="P446" s="124">
        <v>69.04</v>
      </c>
      <c r="Q446" s="124" cm="1">
        <f ca="1" t="array" ref="Q446">SUMPRODUCT(TRANSPOSE($I446:$P446),$F$162:$F$169)+SUMIFS($H$210:$H$241,$D$210:$D$241,"&lt;="&amp;N446)+SUMIF($D$310:$D$341,"&lt;="&amp;D446,$H$310:$H$341)</f>
        <v>13351.39</v>
      </c>
      <c r="R446" s="124">
        <f ca="1" t="shared" si="22"/>
        <v>27.8153958333333</v>
      </c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</row>
    <row r="447" s="122" customFormat="1" spans="4:31">
      <c r="D447" s="124">
        <v>41</v>
      </c>
      <c r="E447" s="128" t="str">
        <f ca="1" t="shared" si="18"/>
        <v/>
      </c>
      <c r="F447" s="128">
        <f ca="1" t="shared" si="19"/>
        <v>7</v>
      </c>
      <c r="G447" s="128">
        <f ca="1" t="shared" si="20"/>
        <v>5</v>
      </c>
      <c r="H447" s="128">
        <f ca="1" t="shared" si="21"/>
        <v>3</v>
      </c>
      <c r="I447" s="124">
        <v>12.09</v>
      </c>
      <c r="J447" s="124">
        <v>11.52</v>
      </c>
      <c r="K447" s="124">
        <v>35.61</v>
      </c>
      <c r="L447" s="124">
        <v>223.89</v>
      </c>
      <c r="M447" s="124">
        <v>93.25</v>
      </c>
      <c r="N447" s="124">
        <v>22.73</v>
      </c>
      <c r="O447" s="124">
        <v>0</v>
      </c>
      <c r="P447" s="124">
        <v>70.76</v>
      </c>
      <c r="Q447" s="124" cm="1">
        <f ca="1" t="array" ref="Q447">SUMPRODUCT(TRANSPOSE($I447:$P447),$F$162:$F$169)+SUMIFS($H$210:$H$241,$D$210:$D$241,"&lt;="&amp;N447)+SUMIF($D$310:$D$341,"&lt;="&amp;D447,$H$310:$H$341)</f>
        <v>13541.51</v>
      </c>
      <c r="R447" s="124">
        <f ca="1" t="shared" si="22"/>
        <v>27.5233943089431</v>
      </c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</row>
    <row r="448" s="122" customFormat="1" spans="4:31">
      <c r="D448" s="124">
        <v>42</v>
      </c>
      <c r="E448" s="128" t="str">
        <f ca="1" t="shared" si="18"/>
        <v/>
      </c>
      <c r="F448" s="128">
        <f ca="1" t="shared" si="19"/>
        <v>7</v>
      </c>
      <c r="G448" s="128">
        <f ca="1" t="shared" si="20"/>
        <v>5</v>
      </c>
      <c r="H448" s="128">
        <f ca="1" t="shared" si="21"/>
        <v>3</v>
      </c>
      <c r="I448" s="124">
        <v>12.38</v>
      </c>
      <c r="J448" s="124">
        <v>11.77</v>
      </c>
      <c r="K448" s="124">
        <v>36.37</v>
      </c>
      <c r="L448" s="124">
        <v>229.39</v>
      </c>
      <c r="M448" s="124">
        <v>95.58</v>
      </c>
      <c r="N448" s="124">
        <v>23.38</v>
      </c>
      <c r="O448" s="124">
        <v>0</v>
      </c>
      <c r="P448" s="124">
        <v>72.66</v>
      </c>
      <c r="Q448" s="124" cm="1">
        <f ca="1" t="array" ref="Q448">SUMPRODUCT(TRANSPOSE($I448:$P448),$F$162:$F$169)+SUMIFS($H$210:$H$241,$D$210:$D$241,"&lt;="&amp;N448)+SUMIF($D$310:$D$341,"&lt;="&amp;D448,$H$310:$H$341)</f>
        <v>13747.66</v>
      </c>
      <c r="R448" s="124">
        <f ca="1" t="shared" si="22"/>
        <v>27.2771031746032</v>
      </c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</row>
    <row r="449" s="122" customFormat="1" spans="4:31">
      <c r="D449" s="124">
        <v>43</v>
      </c>
      <c r="E449" s="128" t="str">
        <f ca="1" t="shared" si="18"/>
        <v/>
      </c>
      <c r="F449" s="128">
        <f ca="1" t="shared" si="19"/>
        <v>7</v>
      </c>
      <c r="G449" s="128">
        <f ca="1" t="shared" si="20"/>
        <v>5</v>
      </c>
      <c r="H449" s="128">
        <f ca="1" t="shared" si="21"/>
        <v>3</v>
      </c>
      <c r="I449" s="124">
        <v>12.68</v>
      </c>
      <c r="J449" s="124">
        <v>12.06</v>
      </c>
      <c r="K449" s="124">
        <v>37.13</v>
      </c>
      <c r="L449" s="124">
        <v>234.62</v>
      </c>
      <c r="M449" s="124">
        <v>97.99</v>
      </c>
      <c r="N449" s="124">
        <v>23.92</v>
      </c>
      <c r="O449" s="124">
        <v>0</v>
      </c>
      <c r="P449" s="124">
        <v>74.33</v>
      </c>
      <c r="Q449" s="124" cm="1">
        <f ca="1" t="array" ref="Q449">SUMPRODUCT(TRANSPOSE($I449:$P449),$F$162:$F$169)+SUMIFS($H$210:$H$241,$D$210:$D$241,"&lt;="&amp;N449)+SUMIF($D$310:$D$341,"&lt;="&amp;D449,$H$310:$H$341)</f>
        <v>13949.58</v>
      </c>
      <c r="R449" s="124">
        <f ca="1" t="shared" si="22"/>
        <v>27.0340697674419</v>
      </c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</row>
    <row r="450" s="122" customFormat="1" spans="4:31">
      <c r="D450" s="124">
        <v>44</v>
      </c>
      <c r="E450" s="128" t="str">
        <f ca="1" t="shared" si="18"/>
        <v/>
      </c>
      <c r="F450" s="128">
        <f ca="1" t="shared" si="19"/>
        <v>7</v>
      </c>
      <c r="G450" s="128">
        <f ca="1" t="shared" si="20"/>
        <v>5</v>
      </c>
      <c r="H450" s="128">
        <f ca="1" t="shared" si="21"/>
        <v>3</v>
      </c>
      <c r="I450" s="124">
        <v>12.95</v>
      </c>
      <c r="J450" s="124">
        <v>12.35</v>
      </c>
      <c r="K450" s="124">
        <v>37.9</v>
      </c>
      <c r="L450" s="124">
        <v>239.97</v>
      </c>
      <c r="M450" s="124">
        <v>100.49</v>
      </c>
      <c r="N450" s="124">
        <v>24.54</v>
      </c>
      <c r="O450" s="124">
        <v>0</v>
      </c>
      <c r="P450" s="124">
        <v>76.07</v>
      </c>
      <c r="Q450" s="124" cm="1">
        <f ca="1" t="array" ref="Q450">SUMPRODUCT(TRANSPOSE($I450:$P450),$F$162:$F$169)+SUMIFS($H$210:$H$241,$D$210:$D$241,"&lt;="&amp;N450)+SUMIF($D$310:$D$341,"&lt;="&amp;D450,$H$310:$H$341)</f>
        <v>14158.22</v>
      </c>
      <c r="R450" s="124">
        <f ca="1" t="shared" si="22"/>
        <v>26.8148106060606</v>
      </c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</row>
    <row r="451" s="122" customFormat="1" spans="4:31">
      <c r="D451" s="124">
        <v>45</v>
      </c>
      <c r="E451" s="128" t="str">
        <f ca="1" t="shared" si="18"/>
        <v/>
      </c>
      <c r="F451" s="128">
        <f ca="1" t="shared" si="19"/>
        <v>7</v>
      </c>
      <c r="G451" s="128">
        <f ca="1" t="shared" si="20"/>
        <v>5</v>
      </c>
      <c r="H451" s="128">
        <f ca="1" t="shared" si="21"/>
        <v>3</v>
      </c>
      <c r="I451" s="124">
        <v>13.29</v>
      </c>
      <c r="J451" s="124">
        <v>12.61</v>
      </c>
      <c r="K451" s="124">
        <v>38.85</v>
      </c>
      <c r="L451" s="124">
        <v>245.66</v>
      </c>
      <c r="M451" s="124">
        <v>102.82</v>
      </c>
      <c r="N451" s="124">
        <v>25.05</v>
      </c>
      <c r="O451" s="124">
        <v>0</v>
      </c>
      <c r="P451" s="124">
        <v>77.88</v>
      </c>
      <c r="Q451" s="124" cm="1">
        <f ca="1" t="array" ref="Q451">SUMPRODUCT(TRANSPOSE($I451:$P451),$F$162:$F$169)+SUMIFS($H$210:$H$241,$D$210:$D$241,"&lt;="&amp;N451)+SUMIF($D$310:$D$341,"&lt;="&amp;D451,$H$310:$H$341)</f>
        <v>15161.78</v>
      </c>
      <c r="R451" s="124">
        <f ca="1" t="shared" si="22"/>
        <v>28.0773703703704</v>
      </c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</row>
    <row r="452" s="122" customFormat="1" spans="4:31">
      <c r="D452" s="124">
        <v>46</v>
      </c>
      <c r="E452" s="128" t="str">
        <f ca="1" t="shared" si="18"/>
        <v/>
      </c>
      <c r="F452" s="128">
        <f ca="1" t="shared" si="19"/>
        <v>7</v>
      </c>
      <c r="G452" s="128">
        <f ca="1" t="shared" si="20"/>
        <v>5</v>
      </c>
      <c r="H452" s="128">
        <f ca="1" t="shared" si="21"/>
        <v>3</v>
      </c>
      <c r="I452" s="124">
        <v>13.46</v>
      </c>
      <c r="J452" s="124">
        <v>12.84</v>
      </c>
      <c r="K452" s="124">
        <v>39.84</v>
      </c>
      <c r="L452" s="124">
        <v>251.25</v>
      </c>
      <c r="M452" s="124">
        <v>105.28</v>
      </c>
      <c r="N452" s="124">
        <v>25.57</v>
      </c>
      <c r="O452" s="124">
        <v>0</v>
      </c>
      <c r="P452" s="124">
        <v>79.34</v>
      </c>
      <c r="Q452" s="124" cm="1">
        <f ca="1" t="array" ref="Q452">SUMPRODUCT(TRANSPOSE($I452:$P452),$F$162:$F$169)+SUMIFS($H$210:$H$241,$D$210:$D$241,"&lt;="&amp;N452)+SUMIF($D$310:$D$341,"&lt;="&amp;D452,$H$310:$H$341)</f>
        <v>15352.74</v>
      </c>
      <c r="R452" s="124">
        <f ca="1" t="shared" si="22"/>
        <v>27.8129347826087</v>
      </c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</row>
    <row r="453" s="122" customFormat="1" spans="4:31">
      <c r="D453" s="124">
        <v>47</v>
      </c>
      <c r="E453" s="128" t="str">
        <f ca="1" t="shared" si="18"/>
        <v/>
      </c>
      <c r="F453" s="128" t="str">
        <f ca="1" t="shared" si="19"/>
        <v/>
      </c>
      <c r="G453" s="128">
        <f ca="1" t="shared" si="20"/>
        <v>5</v>
      </c>
      <c r="H453" s="128">
        <f ca="1" t="shared" si="21"/>
        <v>3</v>
      </c>
      <c r="I453" s="124">
        <v>13.72</v>
      </c>
      <c r="J453" s="124">
        <v>13.03</v>
      </c>
      <c r="K453" s="124">
        <v>40.72</v>
      </c>
      <c r="L453" s="124">
        <v>257.01</v>
      </c>
      <c r="M453" s="124">
        <v>107.5</v>
      </c>
      <c r="N453" s="124">
        <v>26.14</v>
      </c>
      <c r="O453" s="124">
        <v>0</v>
      </c>
      <c r="P453" s="124">
        <v>80.94</v>
      </c>
      <c r="Q453" s="124" cm="1">
        <f ca="1" t="array" ref="Q453">SUMPRODUCT(TRANSPOSE($I453:$P453),$F$162:$F$169)+SUMIFS($H$210:$H$241,$D$210:$D$241,"&lt;="&amp;N453)+SUMIF($D$310:$D$341,"&lt;="&amp;D453,$H$310:$H$341)</f>
        <v>15543.94</v>
      </c>
      <c r="R453" s="124">
        <f ca="1" t="shared" si="22"/>
        <v>27.5601773049645</v>
      </c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</row>
    <row r="454" s="122" customFormat="1" spans="4:31">
      <c r="D454" s="124">
        <v>48</v>
      </c>
      <c r="E454" s="128" t="str">
        <f ca="1" t="shared" si="18"/>
        <v/>
      </c>
      <c r="F454" s="128" t="str">
        <f ca="1" t="shared" si="19"/>
        <v/>
      </c>
      <c r="G454" s="128">
        <f ca="1" t="shared" si="20"/>
        <v>5</v>
      </c>
      <c r="H454" s="128">
        <f ca="1" t="shared" si="21"/>
        <v>3</v>
      </c>
      <c r="I454" s="124">
        <v>13.96</v>
      </c>
      <c r="J454" s="124">
        <v>13.22</v>
      </c>
      <c r="K454" s="124">
        <v>41.68</v>
      </c>
      <c r="L454" s="124">
        <v>262.48</v>
      </c>
      <c r="M454" s="124">
        <v>109.75</v>
      </c>
      <c r="N454" s="124">
        <v>26.74</v>
      </c>
      <c r="O454" s="124">
        <v>0</v>
      </c>
      <c r="P454" s="124">
        <v>82.51</v>
      </c>
      <c r="Q454" s="124" cm="1">
        <f ca="1" t="array" ref="Q454">SUMPRODUCT(TRANSPOSE($I454:$P454),$F$162:$F$169)+SUMIFS($H$210:$H$241,$D$210:$D$241,"&lt;="&amp;N454)+SUMIF($D$310:$D$341,"&lt;="&amp;D454,$H$310:$H$341)</f>
        <v>15733.16</v>
      </c>
      <c r="R454" s="124">
        <f ca="1" t="shared" si="22"/>
        <v>27.3145138888889</v>
      </c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</row>
    <row r="455" s="122" customFormat="1" spans="4:31">
      <c r="D455" s="124">
        <v>49</v>
      </c>
      <c r="E455" s="128" t="str">
        <f ca="1" t="shared" si="18"/>
        <v/>
      </c>
      <c r="F455" s="128" t="str">
        <f ca="1" t="shared" si="19"/>
        <v/>
      </c>
      <c r="G455" s="128">
        <f ca="1" t="shared" si="20"/>
        <v>5</v>
      </c>
      <c r="H455" s="128">
        <f ca="1" t="shared" si="21"/>
        <v>3</v>
      </c>
      <c r="I455" s="124">
        <v>14.22</v>
      </c>
      <c r="J455" s="124">
        <v>13.45</v>
      </c>
      <c r="K455" s="124">
        <v>42.61</v>
      </c>
      <c r="L455" s="124">
        <v>268.03</v>
      </c>
      <c r="M455" s="124">
        <v>112.09</v>
      </c>
      <c r="N455" s="124">
        <v>27.19</v>
      </c>
      <c r="O455" s="124">
        <v>0</v>
      </c>
      <c r="P455" s="124">
        <v>84.26</v>
      </c>
      <c r="Q455" s="124" cm="1">
        <f ca="1" t="array" ref="Q455">SUMPRODUCT(TRANSPOSE($I455:$P455),$F$162:$F$169)+SUMIFS($H$210:$H$241,$D$210:$D$241,"&lt;="&amp;N455)+SUMIF($D$310:$D$341,"&lt;="&amp;D455,$H$310:$H$341)</f>
        <v>15924.91</v>
      </c>
      <c r="R455" s="124">
        <f ca="1" t="shared" si="22"/>
        <v>27.0831802721088</v>
      </c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</row>
    <row r="456" s="122" customFormat="1" spans="4:31">
      <c r="D456" s="124">
        <v>50</v>
      </c>
      <c r="E456" s="128" t="str">
        <f ca="1" t="shared" si="18"/>
        <v/>
      </c>
      <c r="F456" s="128" t="str">
        <f ca="1" t="shared" si="19"/>
        <v/>
      </c>
      <c r="G456" s="128">
        <f ca="1" t="shared" si="20"/>
        <v>5</v>
      </c>
      <c r="H456" s="128">
        <f ca="1" t="shared" si="21"/>
        <v>3</v>
      </c>
      <c r="I456" s="124">
        <v>14.53</v>
      </c>
      <c r="J456" s="124">
        <v>13.84</v>
      </c>
      <c r="K456" s="124">
        <v>43.42</v>
      </c>
      <c r="L456" s="124">
        <v>273.35</v>
      </c>
      <c r="M456" s="124">
        <v>114.56</v>
      </c>
      <c r="N456" s="124">
        <v>27.71</v>
      </c>
      <c r="O456" s="124">
        <v>0</v>
      </c>
      <c r="P456" s="124">
        <v>85.98</v>
      </c>
      <c r="Q456" s="124" cm="1">
        <f ca="1" t="array" ref="Q456">SUMPRODUCT(TRANSPOSE($I456:$P456),$F$162:$F$169)+SUMIFS($H$210:$H$241,$D$210:$D$241,"&lt;="&amp;N456)+SUMIF($D$310:$D$341,"&lt;="&amp;D456,$H$310:$H$341)</f>
        <v>16339.28</v>
      </c>
      <c r="R456" s="124">
        <f ca="1" t="shared" si="22"/>
        <v>27.2321333333333</v>
      </c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</row>
    <row r="457" s="122" customFormat="1" spans="4:31">
      <c r="D457" s="124">
        <v>51</v>
      </c>
      <c r="E457" s="128" t="str">
        <f ca="1" t="shared" si="18"/>
        <v/>
      </c>
      <c r="F457" s="128" t="str">
        <f ca="1" t="shared" si="19"/>
        <v/>
      </c>
      <c r="G457" s="128">
        <f ca="1" t="shared" si="20"/>
        <v>6</v>
      </c>
      <c r="H457" s="128">
        <f ca="1" t="shared" si="21"/>
        <v>3</v>
      </c>
      <c r="I457" s="124">
        <v>14.77</v>
      </c>
      <c r="J457" s="124">
        <v>14.11</v>
      </c>
      <c r="K457" s="124">
        <v>44.37</v>
      </c>
      <c r="L457" s="124">
        <v>278.89</v>
      </c>
      <c r="M457" s="124">
        <v>116.8</v>
      </c>
      <c r="N457" s="124">
        <v>28.28</v>
      </c>
      <c r="O457" s="124">
        <v>0</v>
      </c>
      <c r="P457" s="124">
        <v>87.9</v>
      </c>
      <c r="Q457" s="124" cm="1">
        <f ca="1" t="array" ref="Q457">SUMPRODUCT(TRANSPOSE($I457:$P457),$F$162:$F$169)+SUMIFS($H$210:$H$241,$D$210:$D$241,"&lt;="&amp;N457)+SUMIF($D$310:$D$341,"&lt;="&amp;D457,$H$310:$H$341)</f>
        <v>16539.3</v>
      </c>
      <c r="R457" s="124">
        <f ca="1" t="shared" si="22"/>
        <v>27.025</v>
      </c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</row>
    <row r="458" s="122" customFormat="1" spans="4:31">
      <c r="D458" s="124">
        <v>52</v>
      </c>
      <c r="E458" s="128" t="str">
        <f ca="1" t="shared" si="18"/>
        <v/>
      </c>
      <c r="F458" s="128" t="str">
        <f ca="1" t="shared" si="19"/>
        <v/>
      </c>
      <c r="G458" s="128">
        <f ca="1" t="shared" si="20"/>
        <v>6</v>
      </c>
      <c r="H458" s="128">
        <f ca="1" t="shared" si="21"/>
        <v>3</v>
      </c>
      <c r="I458" s="124">
        <v>14.98</v>
      </c>
      <c r="J458" s="124">
        <v>14.35</v>
      </c>
      <c r="K458" s="124">
        <v>45.15</v>
      </c>
      <c r="L458" s="124">
        <v>284.25</v>
      </c>
      <c r="M458" s="124">
        <v>118.84</v>
      </c>
      <c r="N458" s="124">
        <v>28.81</v>
      </c>
      <c r="O458" s="124">
        <v>0</v>
      </c>
      <c r="P458" s="124">
        <v>89.73</v>
      </c>
      <c r="Q458" s="124" cm="1">
        <f ca="1" t="array" ref="Q458">SUMPRODUCT(TRANSPOSE($I458:$P458),$F$162:$F$169)+SUMIFS($H$210:$H$241,$D$210:$D$241,"&lt;="&amp;N458)+SUMIF($D$310:$D$341,"&lt;="&amp;D458,$H$310:$H$341)</f>
        <v>16725.03</v>
      </c>
      <c r="R458" s="124">
        <f ca="1" t="shared" si="22"/>
        <v>26.8029326923077</v>
      </c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</row>
    <row r="459" s="122" customFormat="1" spans="4:31">
      <c r="D459" s="124">
        <v>53</v>
      </c>
      <c r="E459" s="128" t="str">
        <f ca="1" t="shared" si="18"/>
        <v/>
      </c>
      <c r="F459" s="128" t="str">
        <f ca="1" t="shared" si="19"/>
        <v/>
      </c>
      <c r="G459" s="128">
        <f ca="1" t="shared" si="20"/>
        <v>6</v>
      </c>
      <c r="H459" s="128">
        <f ca="1" t="shared" si="21"/>
        <v>3</v>
      </c>
      <c r="I459" s="124">
        <v>15.3</v>
      </c>
      <c r="J459" s="124">
        <v>14.67</v>
      </c>
      <c r="K459" s="124">
        <v>45.96</v>
      </c>
      <c r="L459" s="124">
        <v>289.4</v>
      </c>
      <c r="M459" s="124">
        <v>121.04</v>
      </c>
      <c r="N459" s="124">
        <v>29.39</v>
      </c>
      <c r="O459" s="124">
        <v>0</v>
      </c>
      <c r="P459" s="124">
        <v>91.68</v>
      </c>
      <c r="Q459" s="124" cm="1">
        <f ca="1" t="array" ref="Q459">SUMPRODUCT(TRANSPOSE($I459:$P459),$F$162:$F$169)+SUMIFS($H$210:$H$241,$D$210:$D$241,"&lt;="&amp;N459)+SUMIF($D$310:$D$341,"&lt;="&amp;D459,$H$310:$H$341)</f>
        <v>16929.98</v>
      </c>
      <c r="R459" s="124">
        <f ca="1" t="shared" si="22"/>
        <v>26.619465408805</v>
      </c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</row>
    <row r="460" s="122" customFormat="1" spans="4:31">
      <c r="D460" s="124">
        <v>54</v>
      </c>
      <c r="E460" s="128" t="str">
        <f ca="1" t="shared" si="18"/>
        <v/>
      </c>
      <c r="F460" s="128" t="str">
        <f ca="1" t="shared" si="19"/>
        <v/>
      </c>
      <c r="G460" s="128">
        <f ca="1" t="shared" si="20"/>
        <v>6</v>
      </c>
      <c r="H460" s="128">
        <f ca="1" t="shared" si="21"/>
        <v>3</v>
      </c>
      <c r="I460" s="124">
        <v>15.63</v>
      </c>
      <c r="J460" s="124">
        <v>14.99</v>
      </c>
      <c r="K460" s="124">
        <v>46.9</v>
      </c>
      <c r="L460" s="124">
        <v>294.9</v>
      </c>
      <c r="M460" s="124">
        <v>123.23</v>
      </c>
      <c r="N460" s="124">
        <v>29.95</v>
      </c>
      <c r="O460" s="124">
        <v>0</v>
      </c>
      <c r="P460" s="124">
        <v>93.39</v>
      </c>
      <c r="Q460" s="124" cm="1">
        <f ca="1" t="array" ref="Q460">SUMPRODUCT(TRANSPOSE($I460:$P460),$F$162:$F$169)+SUMIFS($H$210:$H$241,$D$210:$D$241,"&lt;="&amp;N460)+SUMIF($D$310:$D$341,"&lt;="&amp;D460,$H$310:$H$341)</f>
        <v>17135.04</v>
      </c>
      <c r="R460" s="124">
        <f ca="1" t="shared" si="22"/>
        <v>26.442962962963</v>
      </c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</row>
    <row r="461" s="122" customFormat="1" spans="4:31">
      <c r="D461" s="124">
        <v>55</v>
      </c>
      <c r="E461" s="128" t="str">
        <f ca="1" t="shared" si="18"/>
        <v/>
      </c>
      <c r="F461" s="128" t="str">
        <f ca="1" t="shared" si="19"/>
        <v/>
      </c>
      <c r="G461" s="128">
        <f ca="1" t="shared" si="20"/>
        <v>6</v>
      </c>
      <c r="H461" s="128">
        <f ca="1" t="shared" si="21"/>
        <v>3</v>
      </c>
      <c r="I461" s="124">
        <v>15.94</v>
      </c>
      <c r="J461" s="124">
        <v>15.35</v>
      </c>
      <c r="K461" s="124">
        <v>47.69</v>
      </c>
      <c r="L461" s="124">
        <v>300.26</v>
      </c>
      <c r="M461" s="124">
        <v>125.53</v>
      </c>
      <c r="N461" s="124">
        <v>30.34</v>
      </c>
      <c r="O461" s="124">
        <v>0</v>
      </c>
      <c r="P461" s="124">
        <v>95.07</v>
      </c>
      <c r="Q461" s="124" cm="1">
        <f ca="1" t="array" ref="Q461">SUMPRODUCT(TRANSPOSE($I461:$P461),$F$162:$F$169)+SUMIFS($H$210:$H$241,$D$210:$D$241,"&lt;="&amp;N461)+SUMIF($D$310:$D$341,"&lt;="&amp;D461,$H$310:$H$341)</f>
        <v>18235.62</v>
      </c>
      <c r="R461" s="124">
        <f ca="1" t="shared" si="22"/>
        <v>27.6297272727273</v>
      </c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</row>
    <row r="462" s="122" customFormat="1" spans="4:31">
      <c r="D462" s="124">
        <v>56</v>
      </c>
      <c r="E462" s="128" t="str">
        <f ca="1" t="shared" si="18"/>
        <v/>
      </c>
      <c r="F462" s="128" t="str">
        <f ca="1" t="shared" si="19"/>
        <v/>
      </c>
      <c r="G462" s="128">
        <f ca="1" t="shared" si="20"/>
        <v>6</v>
      </c>
      <c r="H462" s="128">
        <f ca="1" t="shared" si="21"/>
        <v>3</v>
      </c>
      <c r="I462" s="124">
        <v>16.26</v>
      </c>
      <c r="J462" s="124">
        <v>15.64</v>
      </c>
      <c r="K462" s="124">
        <v>48.44</v>
      </c>
      <c r="L462" s="124">
        <v>305.77</v>
      </c>
      <c r="M462" s="124">
        <v>127.88</v>
      </c>
      <c r="N462" s="124">
        <v>30.84</v>
      </c>
      <c r="O462" s="124">
        <v>0</v>
      </c>
      <c r="P462" s="124">
        <v>96.79</v>
      </c>
      <c r="Q462" s="124" cm="1">
        <f ca="1" t="array" ref="Q462">SUMPRODUCT(TRANSPOSE($I462:$P462),$F$162:$F$169)+SUMIFS($H$210:$H$241,$D$210:$D$241,"&lt;="&amp;N462)+SUMIF($D$310:$D$341,"&lt;="&amp;D462,$H$310:$H$341)</f>
        <v>18438.39</v>
      </c>
      <c r="R462" s="124">
        <f ca="1" t="shared" si="22"/>
        <v>27.4380803571429</v>
      </c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</row>
    <row r="463" s="122" customFormat="1" spans="4:31">
      <c r="D463" s="124">
        <v>57</v>
      </c>
      <c r="E463" s="128" t="str">
        <f ca="1" t="shared" si="18"/>
        <v/>
      </c>
      <c r="F463" s="128" t="str">
        <f ca="1" t="shared" si="19"/>
        <v/>
      </c>
      <c r="G463" s="128">
        <f ca="1" t="shared" si="20"/>
        <v>6</v>
      </c>
      <c r="H463" s="128">
        <f ca="1" t="shared" si="21"/>
        <v>3</v>
      </c>
      <c r="I463" s="124">
        <v>16.5</v>
      </c>
      <c r="J463" s="124">
        <v>15.91</v>
      </c>
      <c r="K463" s="124">
        <v>49.22</v>
      </c>
      <c r="L463" s="124">
        <v>311.46</v>
      </c>
      <c r="M463" s="124">
        <v>130.25</v>
      </c>
      <c r="N463" s="124">
        <v>31.4</v>
      </c>
      <c r="O463" s="124">
        <v>0</v>
      </c>
      <c r="P463" s="124">
        <v>98.55</v>
      </c>
      <c r="Q463" s="124" cm="1">
        <f ca="1" t="array" ref="Q463">SUMPRODUCT(TRANSPOSE($I463:$P463),$F$162:$F$169)+SUMIFS($H$210:$H$241,$D$210:$D$241,"&lt;="&amp;N463)+SUMIF($D$310:$D$341,"&lt;="&amp;D463,$H$310:$H$341)</f>
        <v>18640.9</v>
      </c>
      <c r="R463" s="124">
        <f ca="1" t="shared" si="22"/>
        <v>27.2527777777778</v>
      </c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</row>
    <row r="464" s="122" customFormat="1" spans="4:31">
      <c r="D464" s="124">
        <v>58</v>
      </c>
      <c r="E464" s="128" t="str">
        <f ca="1" t="shared" si="18"/>
        <v/>
      </c>
      <c r="F464" s="128" t="str">
        <f ca="1" t="shared" si="19"/>
        <v/>
      </c>
      <c r="G464" s="128">
        <f ca="1" t="shared" si="20"/>
        <v>6</v>
      </c>
      <c r="H464" s="128">
        <f ca="1" t="shared" si="21"/>
        <v>3</v>
      </c>
      <c r="I464" s="124">
        <v>16.88</v>
      </c>
      <c r="J464" s="124">
        <v>16.19</v>
      </c>
      <c r="K464" s="124">
        <v>50.14</v>
      </c>
      <c r="L464" s="124">
        <v>316.79</v>
      </c>
      <c r="M464" s="124">
        <v>132.3</v>
      </c>
      <c r="N464" s="124">
        <v>31.9</v>
      </c>
      <c r="O464" s="124">
        <v>0</v>
      </c>
      <c r="P464" s="124">
        <v>100.51</v>
      </c>
      <c r="Q464" s="124" cm="1">
        <f ca="1" t="array" ref="Q464">SUMPRODUCT(TRANSPOSE($I464:$P464),$F$162:$F$169)+SUMIFS($H$210:$H$241,$D$210:$D$241,"&lt;="&amp;N464)+SUMIF($D$310:$D$341,"&lt;="&amp;D464,$H$310:$H$341)</f>
        <v>18839.01</v>
      </c>
      <c r="R464" s="124">
        <f ca="1" t="shared" si="22"/>
        <v>27.0675431034483</v>
      </c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</row>
    <row r="465" s="122" customFormat="1" spans="4:31">
      <c r="D465" s="124">
        <v>59</v>
      </c>
      <c r="E465" s="128" t="str">
        <f ca="1" t="shared" si="18"/>
        <v/>
      </c>
      <c r="F465" s="128" t="str">
        <f ca="1" t="shared" si="19"/>
        <v/>
      </c>
      <c r="G465" s="128">
        <f ca="1" t="shared" si="20"/>
        <v>6</v>
      </c>
      <c r="H465" s="128">
        <f ca="1" t="shared" si="21"/>
        <v>3</v>
      </c>
      <c r="I465" s="124">
        <v>17.19</v>
      </c>
      <c r="J465" s="124">
        <v>16.45</v>
      </c>
      <c r="K465" s="124">
        <v>51.06</v>
      </c>
      <c r="L465" s="124">
        <v>322.35</v>
      </c>
      <c r="M465" s="124">
        <v>134.67</v>
      </c>
      <c r="N465" s="124">
        <v>32.4</v>
      </c>
      <c r="O465" s="124">
        <v>0</v>
      </c>
      <c r="P465" s="124">
        <v>102.3</v>
      </c>
      <c r="Q465" s="124" cm="1">
        <f ca="1" t="array" ref="Q465">SUMPRODUCT(TRANSPOSE($I465:$P465),$F$162:$F$169)+SUMIFS($H$210:$H$241,$D$210:$D$241,"&lt;="&amp;N465)+SUMIF($D$310:$D$341,"&lt;="&amp;D465,$H$310:$H$341)</f>
        <v>19040.05</v>
      </c>
      <c r="R465" s="124">
        <f ca="1" t="shared" si="22"/>
        <v>26.8927259887006</v>
      </c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</row>
    <row r="466" s="122" customFormat="1" spans="4:31">
      <c r="D466" s="124">
        <v>60</v>
      </c>
      <c r="E466" s="128" t="str">
        <f ca="1" t="shared" si="18"/>
        <v/>
      </c>
      <c r="F466" s="128" t="str">
        <f ca="1" t="shared" si="19"/>
        <v/>
      </c>
      <c r="G466" s="128">
        <f ca="1" t="shared" si="20"/>
        <v>6</v>
      </c>
      <c r="H466" s="128">
        <f ca="1" t="shared" si="21"/>
        <v>3</v>
      </c>
      <c r="I466" s="124">
        <v>17.52</v>
      </c>
      <c r="J466" s="124">
        <v>16.72</v>
      </c>
      <c r="K466" s="124">
        <v>51.92</v>
      </c>
      <c r="L466" s="124">
        <v>327.89</v>
      </c>
      <c r="M466" s="124">
        <v>137</v>
      </c>
      <c r="N466" s="124">
        <v>33.01</v>
      </c>
      <c r="O466" s="124">
        <v>0</v>
      </c>
      <c r="P466" s="124">
        <v>103.82</v>
      </c>
      <c r="Q466" s="124" cm="1">
        <f ca="1" t="array" ref="Q466">SUMPRODUCT(TRANSPOSE($I466:$P466),$F$162:$F$169)+SUMIFS($H$210:$H$241,$D$210:$D$241,"&lt;="&amp;N466)+SUMIF($D$310:$D$341,"&lt;="&amp;D466,$H$310:$H$341)</f>
        <v>19544.42</v>
      </c>
      <c r="R466" s="124">
        <f ca="1" t="shared" si="22"/>
        <v>27.1450277777778</v>
      </c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</row>
    <row r="467" s="122" customFormat="1" spans="4:31">
      <c r="D467" s="124">
        <v>61</v>
      </c>
      <c r="E467" s="128" t="str">
        <f ca="1" t="shared" si="18"/>
        <v/>
      </c>
      <c r="F467" s="128" t="str">
        <f ca="1" t="shared" si="19"/>
        <v/>
      </c>
      <c r="G467" s="128">
        <f ca="1" t="shared" si="20"/>
        <v>7</v>
      </c>
      <c r="H467" s="128">
        <f ca="1" t="shared" si="21"/>
        <v>4</v>
      </c>
      <c r="I467" s="124">
        <v>17.78</v>
      </c>
      <c r="J467" s="124">
        <v>17.02</v>
      </c>
      <c r="K467" s="124">
        <v>52.69</v>
      </c>
      <c r="L467" s="124">
        <v>333.45</v>
      </c>
      <c r="M467" s="124">
        <v>139.24</v>
      </c>
      <c r="N467" s="124">
        <v>33.59</v>
      </c>
      <c r="O467" s="124">
        <v>0</v>
      </c>
      <c r="P467" s="124">
        <v>105.64</v>
      </c>
      <c r="Q467" s="124" cm="1">
        <f ca="1" t="array" ref="Q467">SUMPRODUCT(TRANSPOSE($I467:$P467),$F$162:$F$169)+SUMIFS($H$210:$H$241,$D$210:$D$241,"&lt;="&amp;N467)+SUMIF($D$310:$D$341,"&lt;="&amp;D467,$H$310:$H$341)</f>
        <v>19748.04</v>
      </c>
      <c r="R467" s="124">
        <f ca="1" t="shared" si="22"/>
        <v>26.9781967213115</v>
      </c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</row>
    <row r="468" s="122" customFormat="1" spans="4:31">
      <c r="D468" s="124">
        <v>62</v>
      </c>
      <c r="E468" s="128" t="str">
        <f ca="1" t="shared" si="18"/>
        <v/>
      </c>
      <c r="F468" s="128" t="str">
        <f ca="1" t="shared" si="19"/>
        <v/>
      </c>
      <c r="G468" s="128">
        <f ca="1" t="shared" si="20"/>
        <v>7</v>
      </c>
      <c r="H468" s="128">
        <f ca="1" t="shared" si="21"/>
        <v>4</v>
      </c>
      <c r="I468" s="124">
        <v>18.09</v>
      </c>
      <c r="J468" s="124">
        <v>17.34</v>
      </c>
      <c r="K468" s="124">
        <v>53.47</v>
      </c>
      <c r="L468" s="124">
        <v>338.84</v>
      </c>
      <c r="M468" s="124">
        <v>141.55</v>
      </c>
      <c r="N468" s="124">
        <v>34.17</v>
      </c>
      <c r="O468" s="124">
        <v>0</v>
      </c>
      <c r="P468" s="124">
        <v>107.45</v>
      </c>
      <c r="Q468" s="124" cm="1">
        <f ca="1" t="array" ref="Q468">SUMPRODUCT(TRANSPOSE($I468:$P468),$F$162:$F$169)+SUMIFS($H$210:$H$241,$D$210:$D$241,"&lt;="&amp;N468)+SUMIF($D$310:$D$341,"&lt;="&amp;D468,$H$310:$H$341)</f>
        <v>19956.1</v>
      </c>
      <c r="R468" s="124">
        <f ca="1" t="shared" si="22"/>
        <v>26.8227150537634</v>
      </c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</row>
    <row r="469" s="122" customFormat="1" spans="4:31">
      <c r="D469" s="124">
        <v>63</v>
      </c>
      <c r="E469" s="128" t="str">
        <f ca="1" t="shared" si="18"/>
        <v/>
      </c>
      <c r="F469" s="128" t="str">
        <f ca="1" t="shared" si="19"/>
        <v/>
      </c>
      <c r="G469" s="128">
        <f ca="1" t="shared" si="20"/>
        <v>7</v>
      </c>
      <c r="H469" s="128">
        <f ca="1" t="shared" si="21"/>
        <v>4</v>
      </c>
      <c r="I469" s="124">
        <v>18.37</v>
      </c>
      <c r="J469" s="124">
        <v>17.7</v>
      </c>
      <c r="K469" s="124">
        <v>54.23</v>
      </c>
      <c r="L469" s="124">
        <v>344.26</v>
      </c>
      <c r="M469" s="124">
        <v>143.84</v>
      </c>
      <c r="N469" s="124">
        <v>34.74</v>
      </c>
      <c r="O469" s="124">
        <v>0</v>
      </c>
      <c r="P469" s="124">
        <v>109</v>
      </c>
      <c r="Q469" s="124" cm="1">
        <f ca="1" t="array" ref="Q469">SUMPRODUCT(TRANSPOSE($I469:$P469),$F$162:$F$169)+SUMIFS($H$210:$H$241,$D$210:$D$241,"&lt;="&amp;N469)+SUMIF($D$310:$D$341,"&lt;="&amp;D469,$H$310:$H$341)</f>
        <v>20163.1</v>
      </c>
      <c r="R469" s="124">
        <f ca="1" t="shared" si="22"/>
        <v>26.6707671957672</v>
      </c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</row>
    <row r="470" s="122" customFormat="1" spans="4:31">
      <c r="D470" s="124">
        <v>64</v>
      </c>
      <c r="E470" s="128" t="str">
        <f ca="1" t="shared" si="18"/>
        <v/>
      </c>
      <c r="F470" s="128" t="str">
        <f ca="1" t="shared" si="19"/>
        <v/>
      </c>
      <c r="G470" s="128">
        <f ca="1" t="shared" si="20"/>
        <v>7</v>
      </c>
      <c r="H470" s="128">
        <f ca="1" t="shared" si="21"/>
        <v>4</v>
      </c>
      <c r="I470" s="124">
        <v>18.64</v>
      </c>
      <c r="J470" s="124">
        <v>18.06</v>
      </c>
      <c r="K470" s="124">
        <v>54.97</v>
      </c>
      <c r="L470" s="124">
        <v>349.57</v>
      </c>
      <c r="M470" s="124">
        <v>146.17</v>
      </c>
      <c r="N470" s="124">
        <v>35.37</v>
      </c>
      <c r="O470" s="124">
        <v>0</v>
      </c>
      <c r="P470" s="124">
        <v>110.9</v>
      </c>
      <c r="Q470" s="124" cm="1">
        <f ca="1" t="array" ref="Q470">SUMPRODUCT(TRANSPOSE($I470:$P470),$F$162:$F$169)+SUMIFS($H$210:$H$241,$D$210:$D$241,"&lt;="&amp;N470)+SUMIF($D$310:$D$341,"&lt;="&amp;D470,$H$310:$H$341)</f>
        <v>21076.35</v>
      </c>
      <c r="R470" s="124">
        <f ca="1" t="shared" si="22"/>
        <v>27.4431640625</v>
      </c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</row>
    <row r="471" s="122" customFormat="1" spans="4:31">
      <c r="D471" s="124">
        <v>65</v>
      </c>
      <c r="E471" s="128" t="str">
        <f ca="1" t="shared" ref="E471:E534" si="23">IF(INT($D471*12/OFFSET($F$26,MATCH(E$406,$E$406:$H$406,0),0))+1&gt;7,"",INT($D471*12/OFFSET($F$26,MATCH(E$406,$E$406:$H$406,0),0))+1)</f>
        <v/>
      </c>
      <c r="F471" s="128" t="str">
        <f ca="1" t="shared" ref="F471:F534" si="24">IF(INT($D471*12/OFFSET($F$26,MATCH(F$406,$E$406:$H$406,0),0))+1&gt;7,"",INT($D471*12/OFFSET($F$26,MATCH(F$406,$E$406:$H$406,0),0))+1)</f>
        <v/>
      </c>
      <c r="G471" s="128">
        <f ca="1" t="shared" ref="G471:G534" si="25">IF(INT($D471*12/OFFSET($F$26,MATCH(G$406,$E$406:$H$406,0),0))+1&gt;7,"",INT($D471*12/OFFSET($F$26,MATCH(G$406,$E$406:$H$406,0),0))+1)</f>
        <v>7</v>
      </c>
      <c r="H471" s="128">
        <f ca="1" t="shared" ref="H471:H534" si="26">IF(INT($D471*12/OFFSET($F$26,MATCH(H$406,$E$406:$H$406,0),0))+1&gt;7,"",INT($D471*12/OFFSET($F$26,MATCH(H$406,$E$406:$H$406,0),0))+1)</f>
        <v>4</v>
      </c>
      <c r="I471" s="124">
        <v>18.92</v>
      </c>
      <c r="J471" s="124">
        <v>18.33</v>
      </c>
      <c r="K471" s="124">
        <v>55.93</v>
      </c>
      <c r="L471" s="124">
        <v>354.95</v>
      </c>
      <c r="M471" s="124">
        <v>148.41</v>
      </c>
      <c r="N471" s="124">
        <v>36.07</v>
      </c>
      <c r="O471" s="124">
        <v>0</v>
      </c>
      <c r="P471" s="124">
        <v>112.6</v>
      </c>
      <c r="Q471" s="124" cm="1">
        <f ca="1" t="array" ref="Q471">SUMPRODUCT(TRANSPOSE($I471:$P471),$F$162:$F$169)+SUMIFS($H$210:$H$241,$D$210:$D$241,"&lt;="&amp;N471)+SUMIF($D$310:$D$341,"&lt;="&amp;D471,$H$310:$H$341)</f>
        <v>21280.85</v>
      </c>
      <c r="R471" s="124">
        <f ca="1" t="shared" ref="R471:R534" si="27">Q471/12/D471</f>
        <v>27.283141025641</v>
      </c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</row>
    <row r="472" s="122" customFormat="1" spans="4:31">
      <c r="D472" s="124">
        <v>66</v>
      </c>
      <c r="E472" s="128" t="str">
        <f ca="1" t="shared" si="23"/>
        <v/>
      </c>
      <c r="F472" s="128" t="str">
        <f ca="1" t="shared" si="24"/>
        <v/>
      </c>
      <c r="G472" s="128">
        <f ca="1" t="shared" si="25"/>
        <v>7</v>
      </c>
      <c r="H472" s="128">
        <f ca="1" t="shared" si="26"/>
        <v>4</v>
      </c>
      <c r="I472" s="124">
        <v>19.25</v>
      </c>
      <c r="J472" s="124">
        <v>18.66</v>
      </c>
      <c r="K472" s="124">
        <v>56.78</v>
      </c>
      <c r="L472" s="124">
        <v>360.23</v>
      </c>
      <c r="M472" s="124">
        <v>150.69</v>
      </c>
      <c r="N472" s="124">
        <v>36.6</v>
      </c>
      <c r="O472" s="124">
        <v>0</v>
      </c>
      <c r="P472" s="124">
        <v>114.28</v>
      </c>
      <c r="Q472" s="124" cm="1">
        <f ca="1" t="array" ref="Q472">SUMPRODUCT(TRANSPOSE($I472:$P472),$F$162:$F$169)+SUMIFS($H$210:$H$241,$D$210:$D$241,"&lt;="&amp;N472)+SUMIF($D$310:$D$341,"&lt;="&amp;D472,$H$310:$H$341)</f>
        <v>21485.13</v>
      </c>
      <c r="R472" s="124">
        <f ca="1" t="shared" si="27"/>
        <v>27.1276893939394</v>
      </c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</row>
    <row r="473" s="122" customFormat="1" spans="4:31">
      <c r="D473" s="124">
        <v>67</v>
      </c>
      <c r="E473" s="128" t="str">
        <f ca="1" t="shared" si="23"/>
        <v/>
      </c>
      <c r="F473" s="128" t="str">
        <f ca="1" t="shared" si="24"/>
        <v/>
      </c>
      <c r="G473" s="128">
        <f ca="1" t="shared" si="25"/>
        <v>7</v>
      </c>
      <c r="H473" s="128">
        <f ca="1" t="shared" si="26"/>
        <v>4</v>
      </c>
      <c r="I473" s="124">
        <v>19.54</v>
      </c>
      <c r="J473" s="124">
        <v>18.99</v>
      </c>
      <c r="K473" s="124">
        <v>57.7</v>
      </c>
      <c r="L473" s="124">
        <v>365.57</v>
      </c>
      <c r="M473" s="124">
        <v>152.94</v>
      </c>
      <c r="N473" s="124">
        <v>37.32</v>
      </c>
      <c r="O473" s="124">
        <v>0</v>
      </c>
      <c r="P473" s="124">
        <v>115.95</v>
      </c>
      <c r="Q473" s="124" cm="1">
        <f ca="1" t="array" ref="Q473">SUMPRODUCT(TRANSPOSE($I473:$P473),$F$162:$F$169)+SUMIFS($H$210:$H$241,$D$210:$D$241,"&lt;="&amp;N473)+SUMIF($D$310:$D$341,"&lt;="&amp;D473,$H$310:$H$341)</f>
        <v>21696.65</v>
      </c>
      <c r="R473" s="124">
        <f ca="1" t="shared" si="27"/>
        <v>26.9858830845771</v>
      </c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</row>
    <row r="474" s="122" customFormat="1" spans="4:31">
      <c r="D474" s="124">
        <v>68</v>
      </c>
      <c r="E474" s="128" t="str">
        <f ca="1" t="shared" si="23"/>
        <v/>
      </c>
      <c r="F474" s="128" t="str">
        <f ca="1" t="shared" si="24"/>
        <v/>
      </c>
      <c r="G474" s="128">
        <f ca="1" t="shared" si="25"/>
        <v>7</v>
      </c>
      <c r="H474" s="128">
        <f ca="1" t="shared" si="26"/>
        <v>4</v>
      </c>
      <c r="I474" s="124">
        <v>19.8</v>
      </c>
      <c r="J474" s="124">
        <v>19.27</v>
      </c>
      <c r="K474" s="124">
        <v>58.48</v>
      </c>
      <c r="L474" s="124">
        <v>371.05</v>
      </c>
      <c r="M474" s="124">
        <v>155.33</v>
      </c>
      <c r="N474" s="124">
        <v>37.95</v>
      </c>
      <c r="O474" s="124">
        <v>0</v>
      </c>
      <c r="P474" s="124">
        <v>117.75</v>
      </c>
      <c r="Q474" s="124" cm="1">
        <f ca="1" t="array" ref="Q474">SUMPRODUCT(TRANSPOSE($I474:$P474),$F$162:$F$169)+SUMIFS($H$210:$H$241,$D$210:$D$241,"&lt;="&amp;N474)+SUMIF($D$310:$D$341,"&lt;="&amp;D474,$H$310:$H$341)</f>
        <v>21903.5</v>
      </c>
      <c r="R474" s="124">
        <f ca="1" t="shared" si="27"/>
        <v>26.8425245098039</v>
      </c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</row>
    <row r="475" s="122" customFormat="1" spans="4:31">
      <c r="D475" s="124">
        <v>69</v>
      </c>
      <c r="E475" s="128" t="str">
        <f ca="1" t="shared" si="23"/>
        <v/>
      </c>
      <c r="F475" s="128" t="str">
        <f ca="1" t="shared" si="24"/>
        <v/>
      </c>
      <c r="G475" s="128">
        <f ca="1" t="shared" si="25"/>
        <v>7</v>
      </c>
      <c r="H475" s="128">
        <f ca="1" t="shared" si="26"/>
        <v>4</v>
      </c>
      <c r="I475" s="124">
        <v>20.09</v>
      </c>
      <c r="J475" s="124">
        <v>19.54</v>
      </c>
      <c r="K475" s="124">
        <v>59.33</v>
      </c>
      <c r="L475" s="124">
        <v>376.34</v>
      </c>
      <c r="M475" s="124">
        <v>157.81</v>
      </c>
      <c r="N475" s="124">
        <v>38.67</v>
      </c>
      <c r="O475" s="124">
        <v>0</v>
      </c>
      <c r="P475" s="124">
        <v>119.39</v>
      </c>
      <c r="Q475" s="124" cm="1">
        <f ca="1" t="array" ref="Q475">SUMPRODUCT(TRANSPOSE($I475:$P475),$F$162:$F$169)+SUMIFS($H$210:$H$241,$D$210:$D$241,"&lt;="&amp;N475)+SUMIF($D$310:$D$341,"&lt;="&amp;D475,$H$310:$H$341)</f>
        <v>22113.94</v>
      </c>
      <c r="R475" s="124">
        <f ca="1" t="shared" si="27"/>
        <v>26.7076570048309</v>
      </c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</row>
    <row r="476" s="122" customFormat="1" spans="4:31">
      <c r="D476" s="124">
        <v>70</v>
      </c>
      <c r="E476" s="128" t="str">
        <f ca="1" t="shared" si="23"/>
        <v/>
      </c>
      <c r="F476" s="128" t="str">
        <f ca="1" t="shared" si="24"/>
        <v/>
      </c>
      <c r="G476" s="128">
        <f ca="1" t="shared" si="25"/>
        <v>7</v>
      </c>
      <c r="H476" s="128">
        <f ca="1" t="shared" si="26"/>
        <v>4</v>
      </c>
      <c r="I476" s="124">
        <v>20.38</v>
      </c>
      <c r="J476" s="124">
        <v>19.83</v>
      </c>
      <c r="K476" s="124">
        <v>60.23</v>
      </c>
      <c r="L476" s="124">
        <v>381.67</v>
      </c>
      <c r="M476" s="124">
        <v>160.01</v>
      </c>
      <c r="N476" s="124">
        <v>39.31</v>
      </c>
      <c r="O476" s="124">
        <v>0</v>
      </c>
      <c r="P476" s="124">
        <v>121.14</v>
      </c>
      <c r="Q476" s="124" cm="1">
        <f ca="1" t="array" ref="Q476">SUMPRODUCT(TRANSPOSE($I476:$P476),$F$162:$F$169)+SUMIFS($H$210:$H$241,$D$210:$D$241,"&lt;="&amp;N476)+SUMIF($D$310:$D$341,"&lt;="&amp;D476,$H$310:$H$341)</f>
        <v>22616.99</v>
      </c>
      <c r="R476" s="124">
        <f ca="1" t="shared" si="27"/>
        <v>26.9249880952381</v>
      </c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</row>
    <row r="477" s="122" customFormat="1" spans="4:31">
      <c r="D477" s="124">
        <v>71</v>
      </c>
      <c r="E477" s="128" t="str">
        <f ca="1" t="shared" si="23"/>
        <v/>
      </c>
      <c r="F477" s="128" t="str">
        <f ca="1" t="shared" si="24"/>
        <v/>
      </c>
      <c r="G477" s="128">
        <f ca="1" t="shared" si="25"/>
        <v>7</v>
      </c>
      <c r="H477" s="128">
        <f ca="1" t="shared" si="26"/>
        <v>4</v>
      </c>
      <c r="I477" s="124">
        <v>20.68</v>
      </c>
      <c r="J477" s="124">
        <v>20.14</v>
      </c>
      <c r="K477" s="124">
        <v>61.06</v>
      </c>
      <c r="L477" s="124">
        <v>386.81</v>
      </c>
      <c r="M477" s="124">
        <v>162.3</v>
      </c>
      <c r="N477" s="124">
        <v>39.91</v>
      </c>
      <c r="O477" s="124">
        <v>0</v>
      </c>
      <c r="P477" s="124">
        <v>123.04</v>
      </c>
      <c r="Q477" s="124" cm="1">
        <f ca="1" t="array" ref="Q477">SUMPRODUCT(TRANSPOSE($I477:$P477),$F$162:$F$169)+SUMIFS($H$210:$H$241,$D$210:$D$241,"&lt;="&amp;N477)+SUMIF($D$310:$D$341,"&lt;="&amp;D477,$H$310:$H$341)</f>
        <v>22822.54</v>
      </c>
      <c r="R477" s="124">
        <f ca="1" t="shared" si="27"/>
        <v>26.7870187793427</v>
      </c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</row>
    <row r="478" s="122" customFormat="1" spans="4:31">
      <c r="D478" s="124">
        <v>72</v>
      </c>
      <c r="E478" s="128" t="str">
        <f ca="1" t="shared" si="23"/>
        <v/>
      </c>
      <c r="F478" s="128" t="str">
        <f ca="1" t="shared" si="24"/>
        <v/>
      </c>
      <c r="G478" s="128" t="str">
        <f ca="1" t="shared" si="25"/>
        <v/>
      </c>
      <c r="H478" s="128">
        <f ca="1" t="shared" si="26"/>
        <v>4</v>
      </c>
      <c r="I478" s="124">
        <v>20.91</v>
      </c>
      <c r="J478" s="124">
        <v>20.41</v>
      </c>
      <c r="K478" s="124">
        <v>61.9</v>
      </c>
      <c r="L478" s="124">
        <v>392.36</v>
      </c>
      <c r="M478" s="124">
        <v>164.47</v>
      </c>
      <c r="N478" s="124">
        <v>40.47</v>
      </c>
      <c r="O478" s="124">
        <v>0</v>
      </c>
      <c r="P478" s="124">
        <v>124.73</v>
      </c>
      <c r="Q478" s="124" cm="1">
        <f ca="1" t="array" ref="Q478">SUMPRODUCT(TRANSPOSE($I478:$P478),$F$162:$F$169)+SUMIFS($H$210:$H$241,$D$210:$D$241,"&lt;="&amp;N478)+SUMIF($D$310:$D$341,"&lt;="&amp;D478,$H$310:$H$341)</f>
        <v>23717.38</v>
      </c>
      <c r="R478" s="124">
        <f ca="1" t="shared" si="27"/>
        <v>27.4506712962963</v>
      </c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</row>
    <row r="479" s="122" customFormat="1" spans="4:31">
      <c r="D479" s="124">
        <v>73</v>
      </c>
      <c r="E479" s="128" t="str">
        <f ca="1" t="shared" si="23"/>
        <v/>
      </c>
      <c r="F479" s="128" t="str">
        <f ca="1" t="shared" si="24"/>
        <v/>
      </c>
      <c r="G479" s="128" t="str">
        <f ca="1" t="shared" si="25"/>
        <v/>
      </c>
      <c r="H479" s="128">
        <f ca="1" t="shared" si="26"/>
        <v>4</v>
      </c>
      <c r="I479" s="124">
        <v>21.22</v>
      </c>
      <c r="J479" s="124">
        <v>20.65</v>
      </c>
      <c r="K479" s="124">
        <v>62.75</v>
      </c>
      <c r="L479" s="124">
        <v>397.61</v>
      </c>
      <c r="M479" s="124">
        <v>166.85</v>
      </c>
      <c r="N479" s="124">
        <v>41.08</v>
      </c>
      <c r="O479" s="124">
        <v>0</v>
      </c>
      <c r="P479" s="124">
        <v>126.59</v>
      </c>
      <c r="Q479" s="124" cm="1">
        <f ca="1" t="array" ref="Q479">SUMPRODUCT(TRANSPOSE($I479:$P479),$F$162:$F$169)+SUMIFS($H$210:$H$241,$D$210:$D$241,"&lt;="&amp;N479)+SUMIF($D$310:$D$341,"&lt;="&amp;D479,$H$310:$H$341)</f>
        <v>23919.84</v>
      </c>
      <c r="R479" s="124">
        <f ca="1" t="shared" si="27"/>
        <v>27.3057534246575</v>
      </c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</row>
    <row r="480" s="122" customFormat="1" spans="4:31">
      <c r="D480" s="124">
        <v>74</v>
      </c>
      <c r="E480" s="128" t="str">
        <f ca="1" t="shared" si="23"/>
        <v/>
      </c>
      <c r="F480" s="128" t="str">
        <f ca="1" t="shared" si="24"/>
        <v/>
      </c>
      <c r="G480" s="128" t="str">
        <f ca="1" t="shared" si="25"/>
        <v/>
      </c>
      <c r="H480" s="128">
        <f ca="1" t="shared" si="26"/>
        <v>4</v>
      </c>
      <c r="I480" s="124">
        <v>21.51</v>
      </c>
      <c r="J480" s="124">
        <v>20.99</v>
      </c>
      <c r="K480" s="124">
        <v>63.55</v>
      </c>
      <c r="L480" s="124">
        <v>403.08</v>
      </c>
      <c r="M480" s="124">
        <v>169.07</v>
      </c>
      <c r="N480" s="124">
        <v>41.53</v>
      </c>
      <c r="O480" s="124">
        <v>0</v>
      </c>
      <c r="P480" s="124">
        <v>128.44</v>
      </c>
      <c r="Q480" s="124" cm="1">
        <f ca="1" t="array" ref="Q480">SUMPRODUCT(TRANSPOSE($I480:$P480),$F$162:$F$169)+SUMIFS($H$210:$H$241,$D$210:$D$241,"&lt;="&amp;N480)+SUMIF($D$310:$D$341,"&lt;="&amp;D480,$H$310:$H$341)</f>
        <v>24121.39</v>
      </c>
      <c r="R480" s="124">
        <f ca="1" t="shared" si="27"/>
        <v>27.1637274774775</v>
      </c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</row>
    <row r="481" s="122" customFormat="1" spans="4:31">
      <c r="D481" s="124">
        <v>75</v>
      </c>
      <c r="E481" s="128" t="str">
        <f ca="1" t="shared" si="23"/>
        <v/>
      </c>
      <c r="F481" s="128" t="str">
        <f ca="1" t="shared" si="24"/>
        <v/>
      </c>
      <c r="G481" s="128" t="str">
        <f ca="1" t="shared" si="25"/>
        <v/>
      </c>
      <c r="H481" s="128">
        <f ca="1" t="shared" si="26"/>
        <v>4</v>
      </c>
      <c r="I481" s="124">
        <v>21.79</v>
      </c>
      <c r="J481" s="124">
        <v>21.19</v>
      </c>
      <c r="K481" s="124">
        <v>64.43</v>
      </c>
      <c r="L481" s="124">
        <v>408.47</v>
      </c>
      <c r="M481" s="124">
        <v>171.2</v>
      </c>
      <c r="N481" s="124">
        <v>42.15</v>
      </c>
      <c r="O481" s="124">
        <v>0</v>
      </c>
      <c r="P481" s="124">
        <v>130.23</v>
      </c>
      <c r="Q481" s="124" cm="1">
        <f ca="1" t="array" ref="Q481">SUMPRODUCT(TRANSPOSE($I481:$P481),$F$162:$F$169)+SUMIFS($H$210:$H$241,$D$210:$D$241,"&lt;="&amp;N481)+SUMIF($D$310:$D$341,"&lt;="&amp;D481,$H$310:$H$341)</f>
        <v>24313.23</v>
      </c>
      <c r="R481" s="124">
        <f ca="1" t="shared" si="27"/>
        <v>27.0147</v>
      </c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</row>
    <row r="482" s="122" customFormat="1" spans="4:31">
      <c r="D482" s="124">
        <v>76</v>
      </c>
      <c r="E482" s="128" t="str">
        <f ca="1" t="shared" si="23"/>
        <v/>
      </c>
      <c r="F482" s="128" t="str">
        <f ca="1" t="shared" si="24"/>
        <v/>
      </c>
      <c r="G482" s="128" t="str">
        <f ca="1" t="shared" si="25"/>
        <v/>
      </c>
      <c r="H482" s="128">
        <f ca="1" t="shared" si="26"/>
        <v>4</v>
      </c>
      <c r="I482" s="124">
        <v>22.02</v>
      </c>
      <c r="J482" s="124">
        <v>21.5</v>
      </c>
      <c r="K482" s="124">
        <v>65.27</v>
      </c>
      <c r="L482" s="124">
        <v>413.45</v>
      </c>
      <c r="M482" s="124">
        <v>173.78</v>
      </c>
      <c r="N482" s="124">
        <v>42.76</v>
      </c>
      <c r="O482" s="124">
        <v>0</v>
      </c>
      <c r="P482" s="124">
        <v>131.95</v>
      </c>
      <c r="Q482" s="124" cm="1">
        <f ca="1" t="array" ref="Q482">SUMPRODUCT(TRANSPOSE($I482:$P482),$F$162:$F$169)+SUMIFS($H$210:$H$241,$D$210:$D$241,"&lt;="&amp;N482)+SUMIF($D$310:$D$341,"&lt;="&amp;D482,$H$310:$H$341)</f>
        <v>24519.45</v>
      </c>
      <c r="R482" s="124">
        <f ca="1" t="shared" si="27"/>
        <v>26.8853618421053</v>
      </c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</row>
    <row r="483" s="122" customFormat="1" spans="4:31">
      <c r="D483" s="124">
        <v>77</v>
      </c>
      <c r="E483" s="128" t="str">
        <f ca="1" t="shared" si="23"/>
        <v/>
      </c>
      <c r="F483" s="128" t="str">
        <f ca="1" t="shared" si="24"/>
        <v/>
      </c>
      <c r="G483" s="128" t="str">
        <f ca="1" t="shared" si="25"/>
        <v/>
      </c>
      <c r="H483" s="128">
        <f ca="1" t="shared" si="26"/>
        <v>4</v>
      </c>
      <c r="I483" s="124">
        <v>22.29</v>
      </c>
      <c r="J483" s="124">
        <v>21.74</v>
      </c>
      <c r="K483" s="124">
        <v>66.13</v>
      </c>
      <c r="L483" s="124">
        <v>418.82</v>
      </c>
      <c r="M483" s="124">
        <v>176.16</v>
      </c>
      <c r="N483" s="124">
        <v>43.35</v>
      </c>
      <c r="O483" s="124">
        <v>0</v>
      </c>
      <c r="P483" s="124">
        <v>133.59</v>
      </c>
      <c r="Q483" s="124" cm="1">
        <f ca="1" t="array" ref="Q483">SUMPRODUCT(TRANSPOSE($I483:$P483),$F$162:$F$169)+SUMIFS($H$210:$H$241,$D$210:$D$241,"&lt;="&amp;N483)+SUMIF($D$310:$D$341,"&lt;="&amp;D483,$H$310:$H$341)</f>
        <v>24717.69</v>
      </c>
      <c r="R483" s="124">
        <f ca="1" t="shared" si="27"/>
        <v>26.7507467532468</v>
      </c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</row>
    <row r="484" s="122" customFormat="1" spans="4:31">
      <c r="D484" s="124">
        <v>78</v>
      </c>
      <c r="E484" s="128" t="str">
        <f ca="1" t="shared" si="23"/>
        <v/>
      </c>
      <c r="F484" s="128" t="str">
        <f ca="1" t="shared" si="24"/>
        <v/>
      </c>
      <c r="G484" s="128" t="str">
        <f ca="1" t="shared" si="25"/>
        <v/>
      </c>
      <c r="H484" s="128">
        <f ca="1" t="shared" si="26"/>
        <v>4</v>
      </c>
      <c r="I484" s="124">
        <v>22.51</v>
      </c>
      <c r="J484" s="124">
        <v>22.02</v>
      </c>
      <c r="K484" s="124">
        <v>67.01</v>
      </c>
      <c r="L484" s="124">
        <v>424.18</v>
      </c>
      <c r="M484" s="124">
        <v>178.4</v>
      </c>
      <c r="N484" s="124">
        <v>43.9</v>
      </c>
      <c r="O484" s="124">
        <v>0</v>
      </c>
      <c r="P484" s="124">
        <v>135.24</v>
      </c>
      <c r="Q484" s="124" cm="1">
        <f ca="1" t="array" ref="Q484">SUMPRODUCT(TRANSPOSE($I484:$P484),$F$162:$F$169)+SUMIFS($H$210:$H$241,$D$210:$D$241,"&lt;="&amp;N484)+SUMIF($D$310:$D$341,"&lt;="&amp;D484,$H$310:$H$341)</f>
        <v>24911.94</v>
      </c>
      <c r="R484" s="124">
        <f ca="1" t="shared" si="27"/>
        <v>26.6153205128205</v>
      </c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</row>
    <row r="485" s="122" customFormat="1" spans="4:31">
      <c r="D485" s="124">
        <v>79</v>
      </c>
      <c r="E485" s="128" t="str">
        <f ca="1" t="shared" si="23"/>
        <v/>
      </c>
      <c r="F485" s="128" t="str">
        <f ca="1" t="shared" si="24"/>
        <v/>
      </c>
      <c r="G485" s="128" t="str">
        <f ca="1" t="shared" si="25"/>
        <v/>
      </c>
      <c r="H485" s="128">
        <f ca="1" t="shared" si="26"/>
        <v>4</v>
      </c>
      <c r="I485" s="124">
        <v>22.76</v>
      </c>
      <c r="J485" s="124">
        <v>22.31</v>
      </c>
      <c r="K485" s="124">
        <v>67.86</v>
      </c>
      <c r="L485" s="124">
        <v>429.6</v>
      </c>
      <c r="M485" s="124">
        <v>180.73</v>
      </c>
      <c r="N485" s="124">
        <v>44.39</v>
      </c>
      <c r="O485" s="124">
        <v>0</v>
      </c>
      <c r="P485" s="124">
        <v>136.99</v>
      </c>
      <c r="Q485" s="124" cm="1">
        <f ca="1" t="array" ref="Q485">SUMPRODUCT(TRANSPOSE($I485:$P485),$F$162:$F$169)+SUMIFS($H$210:$H$241,$D$210:$D$241,"&lt;="&amp;N485)+SUMIF($D$310:$D$341,"&lt;="&amp;D485,$H$310:$H$341)</f>
        <v>25109.64</v>
      </c>
      <c r="R485" s="124">
        <f ca="1" t="shared" si="27"/>
        <v>26.4869620253165</v>
      </c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</row>
    <row r="486" s="122" customFormat="1" spans="4:31">
      <c r="D486" s="124">
        <v>80</v>
      </c>
      <c r="E486" s="128" t="str">
        <f ca="1" t="shared" si="23"/>
        <v/>
      </c>
      <c r="F486" s="128" t="str">
        <f ca="1" t="shared" si="24"/>
        <v/>
      </c>
      <c r="G486" s="128" t="str">
        <f ca="1" t="shared" si="25"/>
        <v/>
      </c>
      <c r="H486" s="128">
        <f ca="1" t="shared" si="26"/>
        <v>4</v>
      </c>
      <c r="I486" s="124">
        <v>23.07</v>
      </c>
      <c r="J486" s="124">
        <v>22.58</v>
      </c>
      <c r="K486" s="124">
        <v>68.66</v>
      </c>
      <c r="L486" s="124">
        <v>435.22</v>
      </c>
      <c r="M486" s="124">
        <v>182.79</v>
      </c>
      <c r="N486" s="124">
        <v>44.92</v>
      </c>
      <c r="O486" s="124">
        <v>0</v>
      </c>
      <c r="P486" s="124">
        <v>138.73</v>
      </c>
      <c r="Q486" s="124" cm="1">
        <f ca="1" t="array" ref="Q486">SUMPRODUCT(TRANSPOSE($I486:$P486),$F$162:$F$169)+SUMIFS($H$210:$H$241,$D$210:$D$241,"&lt;="&amp;N486)+SUMIF($D$310:$D$341,"&lt;="&amp;D486,$H$310:$H$341)</f>
        <v>25605.48</v>
      </c>
      <c r="R486" s="124">
        <f ca="1" t="shared" si="27"/>
        <v>26.672375</v>
      </c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</row>
    <row r="487" s="122" customFormat="1" spans="4:31">
      <c r="D487" s="124">
        <v>81</v>
      </c>
      <c r="E487" s="128" t="str">
        <f ca="1" t="shared" si="23"/>
        <v/>
      </c>
      <c r="F487" s="128" t="str">
        <f ca="1" t="shared" si="24"/>
        <v/>
      </c>
      <c r="G487" s="128" t="str">
        <f ca="1" t="shared" si="25"/>
        <v/>
      </c>
      <c r="H487" s="128">
        <f ca="1" t="shared" si="26"/>
        <v>4</v>
      </c>
      <c r="I487" s="124">
        <v>23.28</v>
      </c>
      <c r="J487" s="124">
        <v>22.83</v>
      </c>
      <c r="K487" s="124">
        <v>69.52</v>
      </c>
      <c r="L487" s="124">
        <v>440.94</v>
      </c>
      <c r="M487" s="124">
        <v>185.17</v>
      </c>
      <c r="N487" s="124">
        <v>45.54</v>
      </c>
      <c r="O487" s="124">
        <v>0</v>
      </c>
      <c r="P487" s="124">
        <v>140.38</v>
      </c>
      <c r="Q487" s="124" cm="1">
        <f ca="1" t="array" ref="Q487">SUMPRODUCT(TRANSPOSE($I487:$P487),$F$162:$F$169)+SUMIFS($H$210:$H$241,$D$210:$D$241,"&lt;="&amp;N487)+SUMIF($D$310:$D$341,"&lt;="&amp;D487,$H$310:$H$341)</f>
        <v>26606.83</v>
      </c>
      <c r="R487" s="124">
        <f ca="1" t="shared" si="27"/>
        <v>27.3732818930041</v>
      </c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</row>
    <row r="488" s="122" customFormat="1" spans="4:31">
      <c r="D488" s="124">
        <v>82</v>
      </c>
      <c r="E488" s="128" t="str">
        <f ca="1" t="shared" si="23"/>
        <v/>
      </c>
      <c r="F488" s="128" t="str">
        <f ca="1" t="shared" si="24"/>
        <v/>
      </c>
      <c r="G488" s="128" t="str">
        <f ca="1" t="shared" si="25"/>
        <v/>
      </c>
      <c r="H488" s="128">
        <f ca="1" t="shared" si="26"/>
        <v>5</v>
      </c>
      <c r="I488" s="124">
        <v>23.55</v>
      </c>
      <c r="J488" s="124">
        <v>23.14</v>
      </c>
      <c r="K488" s="124">
        <v>70.4</v>
      </c>
      <c r="L488" s="124">
        <v>446.2</v>
      </c>
      <c r="M488" s="124">
        <v>187.48</v>
      </c>
      <c r="N488" s="124">
        <v>46.07</v>
      </c>
      <c r="O488" s="124">
        <v>0</v>
      </c>
      <c r="P488" s="124">
        <v>142.2</v>
      </c>
      <c r="Q488" s="124" cm="1">
        <f ca="1" t="array" ref="Q488">SUMPRODUCT(TRANSPOSE($I488:$P488),$F$162:$F$169)+SUMIFS($H$210:$H$241,$D$210:$D$241,"&lt;="&amp;N488)+SUMIF($D$310:$D$341,"&lt;="&amp;D488,$H$310:$H$341)</f>
        <v>26808.2</v>
      </c>
      <c r="R488" s="124">
        <f ca="1" t="shared" si="27"/>
        <v>27.2441056910569</v>
      </c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</row>
    <row r="489" s="122" customFormat="1" spans="4:31">
      <c r="D489" s="124">
        <v>83</v>
      </c>
      <c r="E489" s="128" t="str">
        <f ca="1" t="shared" si="23"/>
        <v/>
      </c>
      <c r="F489" s="128" t="str">
        <f ca="1" t="shared" si="24"/>
        <v/>
      </c>
      <c r="G489" s="128" t="str">
        <f ca="1" t="shared" si="25"/>
        <v/>
      </c>
      <c r="H489" s="128">
        <f ca="1" t="shared" si="26"/>
        <v>5</v>
      </c>
      <c r="I489" s="124">
        <v>23.86</v>
      </c>
      <c r="J489" s="124">
        <v>23.49</v>
      </c>
      <c r="K489" s="124">
        <v>71.25</v>
      </c>
      <c r="L489" s="124">
        <v>451.58</v>
      </c>
      <c r="M489" s="124">
        <v>189.63</v>
      </c>
      <c r="N489" s="124">
        <v>46.65</v>
      </c>
      <c r="O489" s="124">
        <v>0</v>
      </c>
      <c r="P489" s="124">
        <v>143.67</v>
      </c>
      <c r="Q489" s="124" cm="1">
        <f ca="1" t="array" ref="Q489">SUMPRODUCT(TRANSPOSE($I489:$P489),$F$162:$F$169)+SUMIFS($H$210:$H$241,$D$210:$D$241,"&lt;="&amp;N489)+SUMIF($D$310:$D$341,"&lt;="&amp;D489,$H$310:$H$341)</f>
        <v>27011.42</v>
      </c>
      <c r="R489" s="124">
        <f ca="1" t="shared" si="27"/>
        <v>27.1198995983936</v>
      </c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</row>
    <row r="490" s="122" customFormat="1" spans="4:31">
      <c r="D490" s="124">
        <v>84</v>
      </c>
      <c r="E490" s="128" t="str">
        <f ca="1" t="shared" si="23"/>
        <v/>
      </c>
      <c r="F490" s="128" t="str">
        <f ca="1" t="shared" si="24"/>
        <v/>
      </c>
      <c r="G490" s="128" t="str">
        <f ca="1" t="shared" si="25"/>
        <v/>
      </c>
      <c r="H490" s="128">
        <f ca="1" t="shared" si="26"/>
        <v>5</v>
      </c>
      <c r="I490" s="124">
        <v>24.23</v>
      </c>
      <c r="J490" s="124">
        <v>23.66</v>
      </c>
      <c r="K490" s="124">
        <v>72.09</v>
      </c>
      <c r="L490" s="124">
        <v>457.08</v>
      </c>
      <c r="M490" s="124">
        <v>191.97</v>
      </c>
      <c r="N490" s="124">
        <v>47.11</v>
      </c>
      <c r="O490" s="124">
        <v>0</v>
      </c>
      <c r="P490" s="124">
        <v>145.28</v>
      </c>
      <c r="Q490" s="124" cm="1">
        <f ca="1" t="array" ref="Q490">SUMPRODUCT(TRANSPOSE($I490:$P490),$F$162:$F$169)+SUMIFS($H$210:$H$241,$D$210:$D$241,"&lt;="&amp;N490)+SUMIF($D$310:$D$341,"&lt;="&amp;D490,$H$310:$H$341)</f>
        <v>27201.13</v>
      </c>
      <c r="R490" s="124">
        <f ca="1" t="shared" si="27"/>
        <v>26.985248015873</v>
      </c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</row>
    <row r="491" s="122" customFormat="1" spans="4:31">
      <c r="D491" s="124">
        <v>85</v>
      </c>
      <c r="E491" s="128" t="str">
        <f ca="1" t="shared" si="23"/>
        <v/>
      </c>
      <c r="F491" s="128" t="str">
        <f ca="1" t="shared" si="24"/>
        <v/>
      </c>
      <c r="G491" s="128" t="str">
        <f ca="1" t="shared" si="25"/>
        <v/>
      </c>
      <c r="H491" s="128">
        <f ca="1" t="shared" si="26"/>
        <v>5</v>
      </c>
      <c r="I491" s="124">
        <v>24.55</v>
      </c>
      <c r="J491" s="124">
        <v>23.88</v>
      </c>
      <c r="K491" s="124">
        <v>72.83</v>
      </c>
      <c r="L491" s="124">
        <v>462.75</v>
      </c>
      <c r="M491" s="124">
        <v>194.02</v>
      </c>
      <c r="N491" s="124">
        <v>47.74</v>
      </c>
      <c r="O491" s="124">
        <v>0</v>
      </c>
      <c r="P491" s="124">
        <v>147.18</v>
      </c>
      <c r="Q491" s="124" cm="1">
        <f ca="1" t="array" ref="Q491">SUMPRODUCT(TRANSPOSE($I491:$P491),$F$162:$F$169)+SUMIFS($H$210:$H$241,$D$210:$D$241,"&lt;="&amp;N491)+SUMIF($D$310:$D$341,"&lt;="&amp;D491,$H$310:$H$341)</f>
        <v>27399.48</v>
      </c>
      <c r="R491" s="124">
        <f ca="1" t="shared" si="27"/>
        <v>26.8622352941176</v>
      </c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</row>
    <row r="492" s="122" customFormat="1" spans="4:31">
      <c r="D492" s="124">
        <v>86</v>
      </c>
      <c r="E492" s="128" t="str">
        <f ca="1" t="shared" si="23"/>
        <v/>
      </c>
      <c r="F492" s="128" t="str">
        <f ca="1" t="shared" si="24"/>
        <v/>
      </c>
      <c r="G492" s="128" t="str">
        <f ca="1" t="shared" si="25"/>
        <v/>
      </c>
      <c r="H492" s="128">
        <f ca="1" t="shared" si="26"/>
        <v>5</v>
      </c>
      <c r="I492" s="124">
        <v>24.81</v>
      </c>
      <c r="J492" s="124">
        <v>24.15</v>
      </c>
      <c r="K492" s="124">
        <v>73.7</v>
      </c>
      <c r="L492" s="124">
        <v>468.42</v>
      </c>
      <c r="M492" s="124">
        <v>196.24</v>
      </c>
      <c r="N492" s="124">
        <v>48.23</v>
      </c>
      <c r="O492" s="124">
        <v>0</v>
      </c>
      <c r="P492" s="124">
        <v>148.84</v>
      </c>
      <c r="Q492" s="124" cm="1">
        <f ca="1" t="array" ref="Q492">SUMPRODUCT(TRANSPOSE($I492:$P492),$F$162:$F$169)+SUMIFS($H$210:$H$241,$D$210:$D$241,"&lt;="&amp;N492)+SUMIF($D$310:$D$341,"&lt;="&amp;D492,$H$310:$H$341)</f>
        <v>27594.44</v>
      </c>
      <c r="R492" s="124">
        <f ca="1" t="shared" si="27"/>
        <v>26.7387984496124</v>
      </c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</row>
    <row r="493" s="122" customFormat="1" spans="4:31">
      <c r="D493" s="124">
        <v>87</v>
      </c>
      <c r="E493" s="128" t="str">
        <f ca="1" t="shared" si="23"/>
        <v/>
      </c>
      <c r="F493" s="128" t="str">
        <f ca="1" t="shared" si="24"/>
        <v/>
      </c>
      <c r="G493" s="128" t="str">
        <f ca="1" t="shared" si="25"/>
        <v/>
      </c>
      <c r="H493" s="128">
        <f ca="1" t="shared" si="26"/>
        <v>5</v>
      </c>
      <c r="I493" s="124">
        <v>25.14</v>
      </c>
      <c r="J493" s="124">
        <v>24.41</v>
      </c>
      <c r="K493" s="124">
        <v>74.61</v>
      </c>
      <c r="L493" s="124">
        <v>474.06</v>
      </c>
      <c r="M493" s="124">
        <v>198.64</v>
      </c>
      <c r="N493" s="124">
        <v>48.73</v>
      </c>
      <c r="O493" s="124">
        <v>0</v>
      </c>
      <c r="P493" s="124">
        <v>150.4</v>
      </c>
      <c r="Q493" s="124" cm="1">
        <f ca="1" t="array" ref="Q493">SUMPRODUCT(TRANSPOSE($I493:$P493),$F$162:$F$169)+SUMIFS($H$210:$H$241,$D$210:$D$241,"&lt;="&amp;N493)+SUMIF($D$310:$D$341,"&lt;="&amp;D493,$H$310:$H$341)</f>
        <v>27795.5</v>
      </c>
      <c r="R493" s="124">
        <f ca="1" t="shared" si="27"/>
        <v>26.6240421455939</v>
      </c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</row>
    <row r="494" s="122" customFormat="1" spans="4:31">
      <c r="D494" s="124">
        <v>88</v>
      </c>
      <c r="E494" s="128" t="str">
        <f ca="1" t="shared" si="23"/>
        <v/>
      </c>
      <c r="F494" s="128" t="str">
        <f ca="1" t="shared" si="24"/>
        <v/>
      </c>
      <c r="G494" s="128" t="str">
        <f ca="1" t="shared" si="25"/>
        <v/>
      </c>
      <c r="H494" s="128">
        <f ca="1" t="shared" si="26"/>
        <v>5</v>
      </c>
      <c r="I494" s="124">
        <v>25.42</v>
      </c>
      <c r="J494" s="124">
        <v>24.75</v>
      </c>
      <c r="K494" s="124">
        <v>75.61</v>
      </c>
      <c r="L494" s="124">
        <v>479.6</v>
      </c>
      <c r="M494" s="124">
        <v>200.94</v>
      </c>
      <c r="N494" s="124">
        <v>49.35</v>
      </c>
      <c r="O494" s="124">
        <v>0</v>
      </c>
      <c r="P494" s="124">
        <v>151.98</v>
      </c>
      <c r="Q494" s="124" cm="1">
        <f ca="1" t="array" ref="Q494">SUMPRODUCT(TRANSPOSE($I494:$P494),$F$162:$F$169)+SUMIFS($H$210:$H$241,$D$210:$D$241,"&lt;="&amp;N494)+SUMIF($D$310:$D$341,"&lt;="&amp;D494,$H$310:$H$341)</f>
        <v>28004.78</v>
      </c>
      <c r="R494" s="124">
        <f ca="1" t="shared" si="27"/>
        <v>26.519678030303</v>
      </c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</row>
    <row r="495" s="122" customFormat="1" spans="4:31">
      <c r="D495" s="124">
        <v>89</v>
      </c>
      <c r="E495" s="128" t="str">
        <f ca="1" t="shared" si="23"/>
        <v/>
      </c>
      <c r="F495" s="128" t="str">
        <f ca="1" t="shared" si="24"/>
        <v/>
      </c>
      <c r="G495" s="128" t="str">
        <f ca="1" t="shared" si="25"/>
        <v/>
      </c>
      <c r="H495" s="128">
        <f ca="1" t="shared" si="26"/>
        <v>5</v>
      </c>
      <c r="I495" s="124">
        <v>25.73</v>
      </c>
      <c r="J495" s="124">
        <v>25.02</v>
      </c>
      <c r="K495" s="124">
        <v>76.5</v>
      </c>
      <c r="L495" s="124">
        <v>485.08</v>
      </c>
      <c r="M495" s="124">
        <v>203.32</v>
      </c>
      <c r="N495" s="124">
        <v>49.81</v>
      </c>
      <c r="O495" s="124">
        <v>0</v>
      </c>
      <c r="P495" s="124">
        <v>153.65</v>
      </c>
      <c r="Q495" s="124" cm="1">
        <f ca="1" t="array" ref="Q495">SUMPRODUCT(TRANSPOSE($I495:$P495),$F$162:$F$169)+SUMIFS($H$210:$H$241,$D$210:$D$241,"&lt;="&amp;N495)+SUMIF($D$310:$D$341,"&lt;="&amp;D495,$H$310:$H$341)</f>
        <v>28202.95</v>
      </c>
      <c r="R495" s="124">
        <f ca="1" t="shared" si="27"/>
        <v>26.4072565543071</v>
      </c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</row>
    <row r="496" s="122" customFormat="1" spans="4:31">
      <c r="D496" s="124">
        <v>90</v>
      </c>
      <c r="E496" s="128" t="str">
        <f ca="1" t="shared" si="23"/>
        <v/>
      </c>
      <c r="F496" s="128" t="str">
        <f ca="1" t="shared" si="24"/>
        <v/>
      </c>
      <c r="G496" s="128" t="str">
        <f ca="1" t="shared" si="25"/>
        <v/>
      </c>
      <c r="H496" s="128">
        <f ca="1" t="shared" si="26"/>
        <v>5</v>
      </c>
      <c r="I496" s="124">
        <v>26.04</v>
      </c>
      <c r="J496" s="124">
        <v>25.38</v>
      </c>
      <c r="K496" s="124">
        <v>77.4</v>
      </c>
      <c r="L496" s="124">
        <v>490.62</v>
      </c>
      <c r="M496" s="124">
        <v>205.58</v>
      </c>
      <c r="N496" s="124">
        <v>50.43</v>
      </c>
      <c r="O496" s="124">
        <v>0</v>
      </c>
      <c r="P496" s="124">
        <v>155.25</v>
      </c>
      <c r="Q496" s="124" cm="1">
        <f ca="1" t="array" ref="Q496">SUMPRODUCT(TRANSPOSE($I496:$P496),$F$162:$F$169)+SUMIFS($H$210:$H$241,$D$210:$D$241,"&lt;="&amp;N496)+SUMIF($D$310:$D$341,"&lt;="&amp;D496,$H$310:$H$341)</f>
        <v>29514.95</v>
      </c>
      <c r="R496" s="124">
        <f ca="1" t="shared" si="27"/>
        <v>27.3286574074074</v>
      </c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</row>
    <row r="497" s="122" customFormat="1" spans="4:31">
      <c r="D497" s="124">
        <v>91</v>
      </c>
      <c r="E497" s="128" t="str">
        <f ca="1" t="shared" si="23"/>
        <v/>
      </c>
      <c r="F497" s="128" t="str">
        <f ca="1" t="shared" si="24"/>
        <v/>
      </c>
      <c r="G497" s="128" t="str">
        <f ca="1" t="shared" si="25"/>
        <v/>
      </c>
      <c r="H497" s="128">
        <f ca="1" t="shared" si="26"/>
        <v>5</v>
      </c>
      <c r="I497" s="124">
        <v>26.29</v>
      </c>
      <c r="J497" s="124">
        <v>25.64</v>
      </c>
      <c r="K497" s="124">
        <v>78.24</v>
      </c>
      <c r="L497" s="124">
        <v>496.1</v>
      </c>
      <c r="M497" s="124">
        <v>207.95</v>
      </c>
      <c r="N497" s="124">
        <v>50.98</v>
      </c>
      <c r="O497" s="124">
        <v>0</v>
      </c>
      <c r="P497" s="124">
        <v>156.97</v>
      </c>
      <c r="Q497" s="124" cm="1">
        <f ca="1" t="array" ref="Q497">SUMPRODUCT(TRANSPOSE($I497:$P497),$F$162:$F$169)+SUMIFS($H$210:$H$241,$D$210:$D$241,"&lt;="&amp;N497)+SUMIF($D$310:$D$341,"&lt;="&amp;D497,$H$310:$H$341)</f>
        <v>29713.92</v>
      </c>
      <c r="R497" s="124">
        <f ca="1" t="shared" si="27"/>
        <v>27.2105494505495</v>
      </c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</row>
    <row r="498" s="122" customFormat="1" spans="4:31">
      <c r="D498" s="124">
        <v>92</v>
      </c>
      <c r="E498" s="128" t="str">
        <f ca="1" t="shared" si="23"/>
        <v/>
      </c>
      <c r="F498" s="128" t="str">
        <f ca="1" t="shared" si="24"/>
        <v/>
      </c>
      <c r="G498" s="128" t="str">
        <f ca="1" t="shared" si="25"/>
        <v/>
      </c>
      <c r="H498" s="128">
        <f ca="1" t="shared" si="26"/>
        <v>5</v>
      </c>
      <c r="I498" s="124">
        <v>26.56</v>
      </c>
      <c r="J498" s="124">
        <v>25.95</v>
      </c>
      <c r="K498" s="124">
        <v>79.17</v>
      </c>
      <c r="L498" s="124">
        <v>501.48</v>
      </c>
      <c r="M498" s="124">
        <v>210.19</v>
      </c>
      <c r="N498" s="124">
        <v>51.54</v>
      </c>
      <c r="O498" s="124">
        <v>0</v>
      </c>
      <c r="P498" s="124">
        <v>158.58</v>
      </c>
      <c r="Q498" s="124" cm="1">
        <f ca="1" t="array" ref="Q498">SUMPRODUCT(TRANSPOSE($I498:$P498),$F$162:$F$169)+SUMIFS($H$210:$H$241,$D$210:$D$241,"&lt;="&amp;N498)+SUMIF($D$310:$D$341,"&lt;="&amp;D498,$H$310:$H$341)</f>
        <v>29913.93</v>
      </c>
      <c r="R498" s="124">
        <f ca="1" t="shared" si="27"/>
        <v>27.0959510869565</v>
      </c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</row>
    <row r="499" s="122" customFormat="1" spans="4:31">
      <c r="D499" s="124">
        <v>93</v>
      </c>
      <c r="E499" s="128" t="str">
        <f ca="1" t="shared" si="23"/>
        <v/>
      </c>
      <c r="F499" s="128" t="str">
        <f ca="1" t="shared" si="24"/>
        <v/>
      </c>
      <c r="G499" s="128" t="str">
        <f ca="1" t="shared" si="25"/>
        <v/>
      </c>
      <c r="H499" s="128">
        <f ca="1" t="shared" si="26"/>
        <v>5</v>
      </c>
      <c r="I499" s="124">
        <v>26.75</v>
      </c>
      <c r="J499" s="124">
        <v>26.28</v>
      </c>
      <c r="K499" s="124">
        <v>80.12</v>
      </c>
      <c r="L499" s="124">
        <v>506.78</v>
      </c>
      <c r="M499" s="124">
        <v>212.19</v>
      </c>
      <c r="N499" s="124">
        <v>52.18</v>
      </c>
      <c r="O499" s="124">
        <v>0</v>
      </c>
      <c r="P499" s="124">
        <v>160.53</v>
      </c>
      <c r="Q499" s="124" cm="1">
        <f ca="1" t="array" ref="Q499">SUMPRODUCT(TRANSPOSE($I499:$P499),$F$162:$F$169)+SUMIFS($H$210:$H$241,$D$210:$D$241,"&lt;="&amp;N499)+SUMIF($D$310:$D$341,"&lt;="&amp;D499,$H$310:$H$341)</f>
        <v>30112.88</v>
      </c>
      <c r="R499" s="124">
        <f ca="1" t="shared" si="27"/>
        <v>26.9828673835125</v>
      </c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</row>
    <row r="500" s="122" customFormat="1" spans="4:31">
      <c r="D500" s="124">
        <v>94</v>
      </c>
      <c r="E500" s="128" t="str">
        <f ca="1" t="shared" si="23"/>
        <v/>
      </c>
      <c r="F500" s="128" t="str">
        <f ca="1" t="shared" si="24"/>
        <v/>
      </c>
      <c r="G500" s="128" t="str">
        <f ca="1" t="shared" si="25"/>
        <v/>
      </c>
      <c r="H500" s="128">
        <f ca="1" t="shared" si="26"/>
        <v>5</v>
      </c>
      <c r="I500" s="124">
        <v>27.08</v>
      </c>
      <c r="J500" s="124">
        <v>26.64</v>
      </c>
      <c r="K500" s="124">
        <v>80.99</v>
      </c>
      <c r="L500" s="124">
        <v>512.17</v>
      </c>
      <c r="M500" s="124">
        <v>214.46</v>
      </c>
      <c r="N500" s="124">
        <v>52.76</v>
      </c>
      <c r="O500" s="124">
        <v>0</v>
      </c>
      <c r="P500" s="124">
        <v>162.26</v>
      </c>
      <c r="Q500" s="124" cm="1">
        <f ca="1" t="array" ref="Q500">SUMPRODUCT(TRANSPOSE($I500:$P500),$F$162:$F$169)+SUMIFS($H$210:$H$241,$D$210:$D$241,"&lt;="&amp;N500)+SUMIF($D$310:$D$341,"&lt;="&amp;D500,$H$310:$H$341)</f>
        <v>30324.06</v>
      </c>
      <c r="R500" s="124">
        <f ca="1" t="shared" si="27"/>
        <v>26.8830319148936</v>
      </c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</row>
    <row r="501" s="122" customFormat="1" spans="4:31">
      <c r="D501" s="124">
        <v>95</v>
      </c>
      <c r="E501" s="128" t="str">
        <f ca="1" t="shared" si="23"/>
        <v/>
      </c>
      <c r="F501" s="128" t="str">
        <f ca="1" t="shared" si="24"/>
        <v/>
      </c>
      <c r="G501" s="128" t="str">
        <f ca="1" t="shared" si="25"/>
        <v/>
      </c>
      <c r="H501" s="128">
        <f ca="1" t="shared" si="26"/>
        <v>5</v>
      </c>
      <c r="I501" s="124">
        <v>27.43</v>
      </c>
      <c r="J501" s="124">
        <v>26.84</v>
      </c>
      <c r="K501" s="124">
        <v>81.94</v>
      </c>
      <c r="L501" s="124">
        <v>517.23</v>
      </c>
      <c r="M501" s="124">
        <v>216.98</v>
      </c>
      <c r="N501" s="124">
        <v>53.36</v>
      </c>
      <c r="O501" s="124">
        <v>0</v>
      </c>
      <c r="P501" s="124">
        <v>163.97</v>
      </c>
      <c r="Q501" s="124" cm="1">
        <f ca="1" t="array" ref="Q501">SUMPRODUCT(TRANSPOSE($I501:$P501),$F$162:$F$169)+SUMIFS($H$210:$H$241,$D$210:$D$241,"&lt;="&amp;N501)+SUMIF($D$310:$D$341,"&lt;="&amp;D501,$H$310:$H$341)</f>
        <v>30523.97</v>
      </c>
      <c r="R501" s="124">
        <f ca="1" t="shared" si="27"/>
        <v>26.7754122807018</v>
      </c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</row>
    <row r="502" s="122" customFormat="1" spans="4:31">
      <c r="D502" s="124">
        <v>96</v>
      </c>
      <c r="E502" s="128" t="str">
        <f ca="1" t="shared" si="23"/>
        <v/>
      </c>
      <c r="F502" s="128" t="str">
        <f ca="1" t="shared" si="24"/>
        <v/>
      </c>
      <c r="G502" s="128" t="str">
        <f ca="1" t="shared" si="25"/>
        <v/>
      </c>
      <c r="H502" s="128">
        <f ca="1" t="shared" si="26"/>
        <v>5</v>
      </c>
      <c r="I502" s="124">
        <v>27.74</v>
      </c>
      <c r="J502" s="124">
        <v>27.06</v>
      </c>
      <c r="K502" s="124">
        <v>82.73</v>
      </c>
      <c r="L502" s="124">
        <v>522.57</v>
      </c>
      <c r="M502" s="124">
        <v>219.15</v>
      </c>
      <c r="N502" s="124">
        <v>53.91</v>
      </c>
      <c r="O502" s="124">
        <v>0</v>
      </c>
      <c r="P502" s="124">
        <v>165.92</v>
      </c>
      <c r="Q502" s="124" cm="1">
        <f ca="1" t="array" ref="Q502">SUMPRODUCT(TRANSPOSE($I502:$P502),$F$162:$F$169)+SUMIFS($H$210:$H$241,$D$210:$D$241,"&lt;="&amp;N502)+SUMIF($D$310:$D$341,"&lt;="&amp;D502,$H$310:$H$341)</f>
        <v>30718.07</v>
      </c>
      <c r="R502" s="124">
        <f ca="1" t="shared" si="27"/>
        <v>26.6649913194444</v>
      </c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</row>
    <row r="503" s="122" customFormat="1" spans="4:31">
      <c r="D503" s="124">
        <v>97</v>
      </c>
      <c r="E503" s="128" t="str">
        <f ca="1" t="shared" si="23"/>
        <v/>
      </c>
      <c r="F503" s="128" t="str">
        <f ca="1" t="shared" si="24"/>
        <v/>
      </c>
      <c r="G503" s="128" t="str">
        <f ca="1" t="shared" si="25"/>
        <v/>
      </c>
      <c r="H503" s="128">
        <f ca="1" t="shared" si="26"/>
        <v>5</v>
      </c>
      <c r="I503" s="124">
        <v>28.04</v>
      </c>
      <c r="J503" s="124">
        <v>27.28</v>
      </c>
      <c r="K503" s="124">
        <v>83.52</v>
      </c>
      <c r="L503" s="124">
        <v>528</v>
      </c>
      <c r="M503" s="124">
        <v>221.49</v>
      </c>
      <c r="N503" s="124">
        <v>54.49</v>
      </c>
      <c r="O503" s="124">
        <v>0</v>
      </c>
      <c r="P503" s="124">
        <v>167.6</v>
      </c>
      <c r="Q503" s="124" cm="1">
        <f ca="1" t="array" ref="Q503">SUMPRODUCT(TRANSPOSE($I503:$P503),$F$162:$F$169)+SUMIFS($H$210:$H$241,$D$210:$D$241,"&lt;="&amp;N503)+SUMIF($D$310:$D$341,"&lt;="&amp;D503,$H$310:$H$341)</f>
        <v>30915.35</v>
      </c>
      <c r="R503" s="124">
        <f ca="1" t="shared" si="27"/>
        <v>26.5595790378007</v>
      </c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</row>
    <row r="504" s="122" customFormat="1" spans="4:31">
      <c r="D504" s="124">
        <v>98</v>
      </c>
      <c r="E504" s="128" t="str">
        <f ca="1" t="shared" si="23"/>
        <v/>
      </c>
      <c r="F504" s="128" t="str">
        <f ca="1" t="shared" si="24"/>
        <v/>
      </c>
      <c r="G504" s="128" t="str">
        <f ca="1" t="shared" si="25"/>
        <v/>
      </c>
      <c r="H504" s="128">
        <f ca="1" t="shared" si="26"/>
        <v>5</v>
      </c>
      <c r="I504" s="124">
        <v>28.37</v>
      </c>
      <c r="J504" s="124">
        <v>27.56</v>
      </c>
      <c r="K504" s="124">
        <v>84.35</v>
      </c>
      <c r="L504" s="124">
        <v>533.63</v>
      </c>
      <c r="M504" s="124">
        <v>223.79</v>
      </c>
      <c r="N504" s="124">
        <v>55.06</v>
      </c>
      <c r="O504" s="124">
        <v>0</v>
      </c>
      <c r="P504" s="124">
        <v>169.14</v>
      </c>
      <c r="Q504" s="124" cm="1">
        <f ca="1" t="array" ref="Q504">SUMPRODUCT(TRANSPOSE($I504:$P504),$F$162:$F$169)+SUMIFS($H$210:$H$241,$D$210:$D$241,"&lt;="&amp;N504)+SUMIF($D$310:$D$341,"&lt;="&amp;D504,$H$310:$H$341)</f>
        <v>32019.09</v>
      </c>
      <c r="R504" s="124">
        <f ca="1" t="shared" si="27"/>
        <v>27.2271173469388</v>
      </c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</row>
    <row r="505" s="122" customFormat="1" spans="4:31">
      <c r="D505" s="124">
        <v>99</v>
      </c>
      <c r="E505" s="128" t="str">
        <f ca="1" t="shared" si="23"/>
        <v/>
      </c>
      <c r="F505" s="128" t="str">
        <f ca="1" t="shared" si="24"/>
        <v/>
      </c>
      <c r="G505" s="128" t="str">
        <f ca="1" t="shared" si="25"/>
        <v/>
      </c>
      <c r="H505" s="128">
        <f ca="1" t="shared" si="26"/>
        <v>5</v>
      </c>
      <c r="I505" s="124">
        <v>28.66</v>
      </c>
      <c r="J505" s="124">
        <v>27.81</v>
      </c>
      <c r="K505" s="124">
        <v>85.12</v>
      </c>
      <c r="L505" s="124">
        <v>538.99</v>
      </c>
      <c r="M505" s="124">
        <v>226.24</v>
      </c>
      <c r="N505" s="124">
        <v>55.6</v>
      </c>
      <c r="O505" s="124">
        <v>0</v>
      </c>
      <c r="P505" s="124">
        <v>170.86</v>
      </c>
      <c r="Q505" s="124" cm="1">
        <f ca="1" t="array" ref="Q505">SUMPRODUCT(TRANSPOSE($I505:$P505),$F$162:$F$169)+SUMIFS($H$210:$H$241,$D$210:$D$241,"&lt;="&amp;N505)+SUMIF($D$310:$D$341,"&lt;="&amp;D505,$H$310:$H$341)</f>
        <v>32219.36</v>
      </c>
      <c r="R505" s="124">
        <f ca="1" t="shared" si="27"/>
        <v>27.1206734006734</v>
      </c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</row>
    <row r="506" s="122" customFormat="1" spans="4:31">
      <c r="D506" s="124">
        <v>100</v>
      </c>
      <c r="E506" s="128" t="str">
        <f ca="1" t="shared" si="23"/>
        <v/>
      </c>
      <c r="F506" s="128" t="str">
        <f ca="1" t="shared" si="24"/>
        <v/>
      </c>
      <c r="G506" s="128" t="str">
        <f ca="1" t="shared" si="25"/>
        <v/>
      </c>
      <c r="H506" s="128">
        <f ca="1" t="shared" si="26"/>
        <v>5</v>
      </c>
      <c r="I506" s="124">
        <v>28.95</v>
      </c>
      <c r="J506" s="124">
        <v>28.11</v>
      </c>
      <c r="K506" s="124">
        <v>85.82</v>
      </c>
      <c r="L506" s="124">
        <v>544.57</v>
      </c>
      <c r="M506" s="124">
        <v>228.85</v>
      </c>
      <c r="N506" s="124">
        <v>56.13</v>
      </c>
      <c r="O506" s="124">
        <v>0</v>
      </c>
      <c r="P506" s="124">
        <v>172.4</v>
      </c>
      <c r="Q506" s="124" cm="1">
        <f ca="1" t="array" ref="Q506">SUMPRODUCT(TRANSPOSE($I506:$P506),$F$162:$F$169)+SUMIFS($H$210:$H$241,$D$210:$D$241,"&lt;="&amp;N506)+SUMIF($D$310:$D$341,"&lt;="&amp;D506,$H$310:$H$341)</f>
        <v>32828.35</v>
      </c>
      <c r="R506" s="124">
        <f ca="1" t="shared" si="27"/>
        <v>27.3569583333333</v>
      </c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</row>
    <row r="507" s="122" customFormat="1" spans="4:31">
      <c r="D507" s="124">
        <v>101</v>
      </c>
      <c r="E507" s="128" t="str">
        <f ca="1" t="shared" si="23"/>
        <v/>
      </c>
      <c r="F507" s="128" t="str">
        <f ca="1" t="shared" si="24"/>
        <v/>
      </c>
      <c r="G507" s="128" t="str">
        <f ca="1" t="shared" si="25"/>
        <v/>
      </c>
      <c r="H507" s="128">
        <f ca="1" t="shared" si="26"/>
        <v>5</v>
      </c>
      <c r="I507" s="124">
        <v>29.25</v>
      </c>
      <c r="J507" s="124">
        <v>28.46</v>
      </c>
      <c r="K507" s="124">
        <v>86.65</v>
      </c>
      <c r="L507" s="124">
        <v>549.74</v>
      </c>
      <c r="M507" s="124">
        <v>231.2</v>
      </c>
      <c r="N507" s="124">
        <v>56.66</v>
      </c>
      <c r="O507" s="124">
        <v>0</v>
      </c>
      <c r="P507" s="124">
        <v>174.01</v>
      </c>
      <c r="Q507" s="124" cm="1">
        <f ca="1" t="array" ref="Q507">SUMPRODUCT(TRANSPOSE($I507:$P507),$F$162:$F$169)+SUMIFS($H$210:$H$241,$D$210:$D$241,"&lt;="&amp;N507)+SUMIF($D$310:$D$341,"&lt;="&amp;D507,$H$310:$H$341)</f>
        <v>33033.01</v>
      </c>
      <c r="R507" s="124">
        <f ca="1" t="shared" si="27"/>
        <v>27.2549587458746</v>
      </c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</row>
    <row r="508" s="122" customFormat="1" spans="4:31">
      <c r="D508" s="124">
        <v>102</v>
      </c>
      <c r="E508" s="128" t="str">
        <f ca="1" t="shared" si="23"/>
        <v/>
      </c>
      <c r="F508" s="128" t="str">
        <f ca="1" t="shared" si="24"/>
        <v/>
      </c>
      <c r="G508" s="128" t="str">
        <f ca="1" t="shared" si="25"/>
        <v/>
      </c>
      <c r="H508" s="128">
        <f ca="1" t="shared" si="26"/>
        <v>6</v>
      </c>
      <c r="I508" s="124">
        <v>29.54</v>
      </c>
      <c r="J508" s="124">
        <v>28.81</v>
      </c>
      <c r="K508" s="124">
        <v>87.5</v>
      </c>
      <c r="L508" s="124">
        <v>555.55</v>
      </c>
      <c r="M508" s="124">
        <v>233.34</v>
      </c>
      <c r="N508" s="124">
        <v>57.18</v>
      </c>
      <c r="O508" s="124">
        <v>0</v>
      </c>
      <c r="P508" s="124">
        <v>175.64</v>
      </c>
      <c r="Q508" s="124" cm="1">
        <f ca="1" t="array" ref="Q508">SUMPRODUCT(TRANSPOSE($I508:$P508),$F$162:$F$169)+SUMIFS($H$210:$H$241,$D$210:$D$241,"&lt;="&amp;N508)+SUMIF($D$310:$D$341,"&lt;="&amp;D508,$H$310:$H$341)</f>
        <v>33238.04</v>
      </c>
      <c r="R508" s="124">
        <f ca="1" t="shared" si="27"/>
        <v>27.1552614379085</v>
      </c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</row>
    <row r="509" s="122" customFormat="1" spans="4:31">
      <c r="D509" s="124">
        <v>103</v>
      </c>
      <c r="E509" s="128" t="str">
        <f ca="1" t="shared" si="23"/>
        <v/>
      </c>
      <c r="F509" s="128" t="str">
        <f ca="1" t="shared" si="24"/>
        <v/>
      </c>
      <c r="G509" s="128" t="str">
        <f ca="1" t="shared" si="25"/>
        <v/>
      </c>
      <c r="H509" s="128">
        <f ca="1" t="shared" si="26"/>
        <v>6</v>
      </c>
      <c r="I509" s="124">
        <v>29.87</v>
      </c>
      <c r="J509" s="124">
        <v>29.09</v>
      </c>
      <c r="K509" s="124">
        <v>88.41</v>
      </c>
      <c r="L509" s="124">
        <v>561.14</v>
      </c>
      <c r="M509" s="124">
        <v>235.52</v>
      </c>
      <c r="N509" s="124">
        <v>57.84</v>
      </c>
      <c r="O509" s="124">
        <v>0</v>
      </c>
      <c r="P509" s="124">
        <v>177.29</v>
      </c>
      <c r="Q509" s="124" cm="1">
        <f ca="1" t="array" ref="Q509">SUMPRODUCT(TRANSPOSE($I509:$P509),$F$162:$F$169)+SUMIFS($H$210:$H$241,$D$210:$D$241,"&lt;="&amp;N509)+SUMIF($D$310:$D$341,"&lt;="&amp;D509,$H$310:$H$341)</f>
        <v>33444.09</v>
      </c>
      <c r="R509" s="124">
        <f ca="1" t="shared" si="27"/>
        <v>27.0583252427184</v>
      </c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</row>
    <row r="510" s="122" customFormat="1" spans="4:31">
      <c r="D510" s="124">
        <v>104</v>
      </c>
      <c r="E510" s="128" t="str">
        <f ca="1" t="shared" si="23"/>
        <v/>
      </c>
      <c r="F510" s="128" t="str">
        <f ca="1" t="shared" si="24"/>
        <v/>
      </c>
      <c r="G510" s="128" t="str">
        <f ca="1" t="shared" si="25"/>
        <v/>
      </c>
      <c r="H510" s="128">
        <f ca="1" t="shared" si="26"/>
        <v>6</v>
      </c>
      <c r="I510" s="124">
        <v>30.07</v>
      </c>
      <c r="J510" s="124">
        <v>29.37</v>
      </c>
      <c r="K510" s="124">
        <v>89.31</v>
      </c>
      <c r="L510" s="124">
        <v>566.79</v>
      </c>
      <c r="M510" s="124">
        <v>237.65</v>
      </c>
      <c r="N510" s="124">
        <v>58.35</v>
      </c>
      <c r="O510" s="124">
        <v>0</v>
      </c>
      <c r="P510" s="124">
        <v>178.91</v>
      </c>
      <c r="Q510" s="124" cm="1">
        <f ca="1" t="array" ref="Q510">SUMPRODUCT(TRANSPOSE($I510:$P510),$F$162:$F$169)+SUMIFS($H$210:$H$241,$D$210:$D$241,"&lt;="&amp;N510)+SUMIF($D$310:$D$341,"&lt;="&amp;D510,$H$310:$H$341)</f>
        <v>33635.16</v>
      </c>
      <c r="R510" s="124">
        <f ca="1" t="shared" si="27"/>
        <v>26.95125</v>
      </c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</row>
    <row r="511" s="122" customFormat="1" spans="4:31">
      <c r="D511" s="124">
        <v>105</v>
      </c>
      <c r="E511" s="128" t="str">
        <f ca="1" t="shared" si="23"/>
        <v/>
      </c>
      <c r="F511" s="128" t="str">
        <f ca="1" t="shared" si="24"/>
        <v/>
      </c>
      <c r="G511" s="128" t="str">
        <f ca="1" t="shared" si="25"/>
        <v/>
      </c>
      <c r="H511" s="128">
        <f ca="1" t="shared" si="26"/>
        <v>6</v>
      </c>
      <c r="I511" s="124">
        <v>30.3</v>
      </c>
      <c r="J511" s="124">
        <v>29.72</v>
      </c>
      <c r="K511" s="124">
        <v>90.18</v>
      </c>
      <c r="L511" s="124">
        <v>571.97</v>
      </c>
      <c r="M511" s="124">
        <v>239.99</v>
      </c>
      <c r="N511" s="124">
        <v>58.89</v>
      </c>
      <c r="O511" s="124">
        <v>0</v>
      </c>
      <c r="P511" s="124">
        <v>180.57</v>
      </c>
      <c r="Q511" s="124" cm="1">
        <f ca="1" t="array" ref="Q511">SUMPRODUCT(TRANSPOSE($I511:$P511),$F$162:$F$169)+SUMIFS($H$210:$H$241,$D$210:$D$241,"&lt;="&amp;N511)+SUMIF($D$310:$D$341,"&lt;="&amp;D511,$H$310:$H$341)</f>
        <v>33837.22</v>
      </c>
      <c r="R511" s="124">
        <f ca="1" t="shared" si="27"/>
        <v>26.8549365079365</v>
      </c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</row>
    <row r="512" s="122" customFormat="1" spans="4:31">
      <c r="D512" s="124">
        <v>106</v>
      </c>
      <c r="E512" s="128" t="str">
        <f ca="1" t="shared" si="23"/>
        <v/>
      </c>
      <c r="F512" s="128" t="str">
        <f ca="1" t="shared" si="24"/>
        <v/>
      </c>
      <c r="G512" s="128" t="str">
        <f ca="1" t="shared" si="25"/>
        <v/>
      </c>
      <c r="H512" s="128">
        <f ca="1" t="shared" si="26"/>
        <v>6</v>
      </c>
      <c r="I512" s="124">
        <v>30.58</v>
      </c>
      <c r="J512" s="124">
        <v>30.01</v>
      </c>
      <c r="K512" s="124">
        <v>91</v>
      </c>
      <c r="L512" s="124">
        <v>577.54</v>
      </c>
      <c r="M512" s="124">
        <v>242.18</v>
      </c>
      <c r="N512" s="124">
        <v>59.45</v>
      </c>
      <c r="O512" s="124">
        <v>0</v>
      </c>
      <c r="P512" s="124">
        <v>182.27</v>
      </c>
      <c r="Q512" s="124" cm="1">
        <f ca="1" t="array" ref="Q512">SUMPRODUCT(TRANSPOSE($I512:$P512),$F$162:$F$169)+SUMIFS($H$210:$H$241,$D$210:$D$241,"&lt;="&amp;N512)+SUMIF($D$310:$D$341,"&lt;="&amp;D512,$H$310:$H$341)</f>
        <v>34037.37</v>
      </c>
      <c r="R512" s="124">
        <f ca="1" t="shared" si="27"/>
        <v>26.7589386792453</v>
      </c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</row>
    <row r="513" s="122" customFormat="1" spans="4:31">
      <c r="D513" s="124">
        <v>107</v>
      </c>
      <c r="E513" s="128" t="str">
        <f ca="1" t="shared" si="23"/>
        <v/>
      </c>
      <c r="F513" s="128" t="str">
        <f ca="1" t="shared" si="24"/>
        <v/>
      </c>
      <c r="G513" s="128" t="str">
        <f ca="1" t="shared" si="25"/>
        <v/>
      </c>
      <c r="H513" s="128">
        <f ca="1" t="shared" si="26"/>
        <v>6</v>
      </c>
      <c r="I513" s="124">
        <v>30.93</v>
      </c>
      <c r="J513" s="124">
        <v>30.3</v>
      </c>
      <c r="K513" s="124">
        <v>91.79</v>
      </c>
      <c r="L513" s="124">
        <v>582.76</v>
      </c>
      <c r="M513" s="124">
        <v>244.62</v>
      </c>
      <c r="N513" s="124">
        <v>60.05</v>
      </c>
      <c r="O513" s="124">
        <v>0</v>
      </c>
      <c r="P513" s="124">
        <v>183.94</v>
      </c>
      <c r="Q513" s="124" cm="1">
        <f ca="1" t="array" ref="Q513">SUMPRODUCT(TRANSPOSE($I513:$P513),$F$162:$F$169)+SUMIFS($H$210:$H$241,$D$210:$D$241,"&lt;="&amp;N513)+SUMIF($D$310:$D$341,"&lt;="&amp;D513,$H$310:$H$341)</f>
        <v>35145.44</v>
      </c>
      <c r="R513" s="124">
        <f ca="1" t="shared" si="27"/>
        <v>27.3718380062305</v>
      </c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</row>
    <row r="514" s="122" customFormat="1" spans="4:31">
      <c r="D514" s="124">
        <v>108</v>
      </c>
      <c r="E514" s="128" t="str">
        <f ca="1" t="shared" si="23"/>
        <v/>
      </c>
      <c r="F514" s="128" t="str">
        <f ca="1" t="shared" si="24"/>
        <v/>
      </c>
      <c r="G514" s="128" t="str">
        <f ca="1" t="shared" si="25"/>
        <v/>
      </c>
      <c r="H514" s="128">
        <f ca="1" t="shared" si="26"/>
        <v>6</v>
      </c>
      <c r="I514" s="124">
        <v>31.23</v>
      </c>
      <c r="J514" s="124">
        <v>30.53</v>
      </c>
      <c r="K514" s="124">
        <v>92.71</v>
      </c>
      <c r="L514" s="124">
        <v>588.25</v>
      </c>
      <c r="M514" s="124">
        <v>246.96</v>
      </c>
      <c r="N514" s="124">
        <v>60.65</v>
      </c>
      <c r="O514" s="124">
        <v>0</v>
      </c>
      <c r="P514" s="124">
        <v>185.63</v>
      </c>
      <c r="Q514" s="124" cm="1">
        <f ca="1" t="array" ref="Q514">SUMPRODUCT(TRANSPOSE($I514:$P514),$F$162:$F$169)+SUMIFS($H$210:$H$241,$D$210:$D$241,"&lt;="&amp;N514)+SUMIF($D$310:$D$341,"&lt;="&amp;D514,$H$310:$H$341)</f>
        <v>35345.43</v>
      </c>
      <c r="R514" s="124">
        <f ca="1" t="shared" si="27"/>
        <v>27.2727083333333</v>
      </c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</row>
    <row r="515" s="122" customFormat="1" spans="4:31">
      <c r="D515" s="124">
        <v>109</v>
      </c>
      <c r="E515" s="128" t="str">
        <f ca="1" t="shared" si="23"/>
        <v/>
      </c>
      <c r="F515" s="128" t="str">
        <f ca="1" t="shared" si="24"/>
        <v/>
      </c>
      <c r="G515" s="128" t="str">
        <f ca="1" t="shared" si="25"/>
        <v/>
      </c>
      <c r="H515" s="128">
        <f ca="1" t="shared" si="26"/>
        <v>6</v>
      </c>
      <c r="I515" s="124">
        <v>31.52</v>
      </c>
      <c r="J515" s="124">
        <v>30.79</v>
      </c>
      <c r="K515" s="124">
        <v>93.6</v>
      </c>
      <c r="L515" s="124">
        <v>594.06</v>
      </c>
      <c r="M515" s="124">
        <v>249.08</v>
      </c>
      <c r="N515" s="124">
        <v>61.25</v>
      </c>
      <c r="O515" s="124">
        <v>0</v>
      </c>
      <c r="P515" s="124">
        <v>187.39</v>
      </c>
      <c r="Q515" s="124" cm="1">
        <f ca="1" t="array" ref="Q515">SUMPRODUCT(TRANSPOSE($I515:$P515),$F$162:$F$169)+SUMIFS($H$210:$H$241,$D$210:$D$241,"&lt;="&amp;N515)+SUMIF($D$310:$D$341,"&lt;="&amp;D515,$H$310:$H$341)</f>
        <v>35546.39</v>
      </c>
      <c r="R515" s="124">
        <f ca="1" t="shared" si="27"/>
        <v>27.1761391437309</v>
      </c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</row>
    <row r="516" s="122" customFormat="1" spans="4:31">
      <c r="D516" s="124">
        <v>110</v>
      </c>
      <c r="E516" s="128" t="str">
        <f ca="1" t="shared" si="23"/>
        <v/>
      </c>
      <c r="F516" s="128" t="str">
        <f ca="1" t="shared" si="24"/>
        <v/>
      </c>
      <c r="G516" s="128" t="str">
        <f ca="1" t="shared" si="25"/>
        <v/>
      </c>
      <c r="H516" s="128">
        <f ca="1" t="shared" si="26"/>
        <v>6</v>
      </c>
      <c r="I516" s="124">
        <v>31.81</v>
      </c>
      <c r="J516" s="124">
        <v>31.07</v>
      </c>
      <c r="K516" s="124">
        <v>94.54</v>
      </c>
      <c r="L516" s="124">
        <v>599.28</v>
      </c>
      <c r="M516" s="124">
        <v>251.33</v>
      </c>
      <c r="N516" s="124">
        <v>61.81</v>
      </c>
      <c r="O516" s="124">
        <v>0</v>
      </c>
      <c r="P516" s="124">
        <v>189.13</v>
      </c>
      <c r="Q516" s="124" cm="1">
        <f ca="1" t="array" ref="Q516">SUMPRODUCT(TRANSPOSE($I516:$P516),$F$162:$F$169)+SUMIFS($H$210:$H$241,$D$210:$D$241,"&lt;="&amp;N516)+SUMIF($D$310:$D$341,"&lt;="&amp;D516,$H$310:$H$341)</f>
        <v>36144.48</v>
      </c>
      <c r="R516" s="124">
        <f ca="1" t="shared" si="27"/>
        <v>27.3821818181818</v>
      </c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</row>
    <row r="517" s="122" customFormat="1" spans="4:31">
      <c r="D517" s="124">
        <v>111</v>
      </c>
      <c r="E517" s="128" t="str">
        <f ca="1" t="shared" si="23"/>
        <v/>
      </c>
      <c r="F517" s="128" t="str">
        <f ca="1" t="shared" si="24"/>
        <v/>
      </c>
      <c r="G517" s="128" t="str">
        <f ca="1" t="shared" si="25"/>
        <v/>
      </c>
      <c r="H517" s="128">
        <f ca="1" t="shared" si="26"/>
        <v>6</v>
      </c>
      <c r="I517" s="124">
        <v>32.06</v>
      </c>
      <c r="J517" s="124">
        <v>31.4</v>
      </c>
      <c r="K517" s="124">
        <v>95.43</v>
      </c>
      <c r="L517" s="124">
        <v>604.36</v>
      </c>
      <c r="M517" s="124">
        <v>253.87</v>
      </c>
      <c r="N517" s="124">
        <v>62.47</v>
      </c>
      <c r="O517" s="124">
        <v>0</v>
      </c>
      <c r="P517" s="124">
        <v>190.92</v>
      </c>
      <c r="Q517" s="124" cm="1">
        <f ca="1" t="array" ref="Q517">SUMPRODUCT(TRANSPOSE($I517:$P517),$F$162:$F$169)+SUMIFS($H$210:$H$241,$D$210:$D$241,"&lt;="&amp;N517)+SUMIF($D$310:$D$341,"&lt;="&amp;D517,$H$310:$H$341)</f>
        <v>36356.97</v>
      </c>
      <c r="R517" s="124">
        <f ca="1" t="shared" si="27"/>
        <v>27.2950225225225</v>
      </c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</row>
    <row r="518" s="122" customFormat="1" spans="4:31">
      <c r="D518" s="124">
        <v>112</v>
      </c>
      <c r="E518" s="128" t="str">
        <f ca="1" t="shared" si="23"/>
        <v/>
      </c>
      <c r="F518" s="128" t="str">
        <f ca="1" t="shared" si="24"/>
        <v/>
      </c>
      <c r="G518" s="128" t="str">
        <f ca="1" t="shared" si="25"/>
        <v/>
      </c>
      <c r="H518" s="128">
        <f ca="1" t="shared" si="26"/>
        <v>6</v>
      </c>
      <c r="I518" s="124">
        <v>32.31</v>
      </c>
      <c r="J518" s="124">
        <v>31.65</v>
      </c>
      <c r="K518" s="124">
        <v>96.29</v>
      </c>
      <c r="L518" s="124">
        <v>609.7</v>
      </c>
      <c r="M518" s="124">
        <v>256.4</v>
      </c>
      <c r="N518" s="124">
        <v>62.96</v>
      </c>
      <c r="O518" s="124">
        <v>0</v>
      </c>
      <c r="P518" s="124">
        <v>192.57</v>
      </c>
      <c r="Q518" s="124" cm="1">
        <f ca="1" t="array" ref="Q518">SUMPRODUCT(TRANSPOSE($I518:$P518),$F$162:$F$169)+SUMIFS($H$210:$H$241,$D$210:$D$241,"&lt;="&amp;N518)+SUMIF($D$310:$D$341,"&lt;="&amp;D518,$H$310:$H$341)</f>
        <v>36553.77</v>
      </c>
      <c r="R518" s="124">
        <f ca="1" t="shared" si="27"/>
        <v>27.1977455357143</v>
      </c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</row>
    <row r="519" s="122" customFormat="1" spans="4:31">
      <c r="D519" s="124">
        <v>113</v>
      </c>
      <c r="E519" s="128" t="str">
        <f ca="1" t="shared" si="23"/>
        <v/>
      </c>
      <c r="F519" s="128" t="str">
        <f ca="1" t="shared" si="24"/>
        <v/>
      </c>
      <c r="G519" s="128" t="str">
        <f ca="1" t="shared" si="25"/>
        <v/>
      </c>
      <c r="H519" s="128">
        <f ca="1" t="shared" si="26"/>
        <v>6</v>
      </c>
      <c r="I519" s="124">
        <v>32.56</v>
      </c>
      <c r="J519" s="124">
        <v>31.97</v>
      </c>
      <c r="K519" s="124">
        <v>97.21</v>
      </c>
      <c r="L519" s="124">
        <v>615.16</v>
      </c>
      <c r="M519" s="124">
        <v>258.62</v>
      </c>
      <c r="N519" s="124">
        <v>63.53</v>
      </c>
      <c r="O519" s="124">
        <v>0</v>
      </c>
      <c r="P519" s="124">
        <v>194.21</v>
      </c>
      <c r="Q519" s="124" cm="1">
        <f ca="1" t="array" ref="Q519">SUMPRODUCT(TRANSPOSE($I519:$P519),$F$162:$F$169)+SUMIFS($H$210:$H$241,$D$210:$D$241,"&lt;="&amp;N519)+SUMIF($D$310:$D$341,"&lt;="&amp;D519,$H$310:$H$341)</f>
        <v>36754.91</v>
      </c>
      <c r="R519" s="124">
        <f ca="1" t="shared" si="27"/>
        <v>27.1053908554572</v>
      </c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</row>
    <row r="520" s="122" customFormat="1" spans="4:31">
      <c r="D520" s="124">
        <v>114</v>
      </c>
      <c r="E520" s="128" t="str">
        <f ca="1" t="shared" si="23"/>
        <v/>
      </c>
      <c r="F520" s="128" t="str">
        <f ca="1" t="shared" si="24"/>
        <v/>
      </c>
      <c r="G520" s="128" t="str">
        <f ca="1" t="shared" si="25"/>
        <v/>
      </c>
      <c r="H520" s="128">
        <f ca="1" t="shared" si="26"/>
        <v>6</v>
      </c>
      <c r="I520" s="124">
        <v>32.81</v>
      </c>
      <c r="J520" s="124">
        <v>32.18</v>
      </c>
      <c r="K520" s="124">
        <v>98.21</v>
      </c>
      <c r="L520" s="124">
        <v>620.33</v>
      </c>
      <c r="M520" s="124">
        <v>260.87</v>
      </c>
      <c r="N520" s="124">
        <v>63.99</v>
      </c>
      <c r="O520" s="124">
        <v>0</v>
      </c>
      <c r="P520" s="124">
        <v>196.29</v>
      </c>
      <c r="Q520" s="124" cm="1">
        <f ca="1" t="array" ref="Q520">SUMPRODUCT(TRANSPOSE($I520:$P520),$F$162:$F$169)+SUMIFS($H$210:$H$241,$D$210:$D$241,"&lt;="&amp;N520)+SUMIF($D$310:$D$341,"&lt;="&amp;D520,$H$310:$H$341)</f>
        <v>36942.24</v>
      </c>
      <c r="R520" s="124">
        <f ca="1" t="shared" si="27"/>
        <v>27.0045614035088</v>
      </c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</row>
    <row r="521" s="122" customFormat="1" spans="4:31">
      <c r="D521" s="124">
        <v>115</v>
      </c>
      <c r="E521" s="128" t="str">
        <f ca="1" t="shared" si="23"/>
        <v/>
      </c>
      <c r="F521" s="128" t="str">
        <f ca="1" t="shared" si="24"/>
        <v/>
      </c>
      <c r="G521" s="128" t="str">
        <f ca="1" t="shared" si="25"/>
        <v/>
      </c>
      <c r="H521" s="128">
        <f ca="1" t="shared" si="26"/>
        <v>6</v>
      </c>
      <c r="I521" s="124">
        <v>33.13</v>
      </c>
      <c r="J521" s="124">
        <v>32.49</v>
      </c>
      <c r="K521" s="124">
        <v>99.06</v>
      </c>
      <c r="L521" s="124">
        <v>625.66</v>
      </c>
      <c r="M521" s="124">
        <v>263.48</v>
      </c>
      <c r="N521" s="124">
        <v>64.52</v>
      </c>
      <c r="O521" s="124">
        <v>0</v>
      </c>
      <c r="P521" s="124">
        <v>197.89</v>
      </c>
      <c r="Q521" s="124" cm="1">
        <f ca="1" t="array" ref="Q521">SUMPRODUCT(TRANSPOSE($I521:$P521),$F$162:$F$169)+SUMIFS($H$210:$H$241,$D$210:$D$241,"&lt;="&amp;N521)+SUMIF($D$310:$D$341,"&lt;="&amp;D521,$H$310:$H$341)</f>
        <v>37151.89</v>
      </c>
      <c r="R521" s="124">
        <f ca="1" t="shared" si="27"/>
        <v>26.9216594202899</v>
      </c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</row>
    <row r="522" s="122" customFormat="1" spans="4:31">
      <c r="D522" s="124">
        <v>116</v>
      </c>
      <c r="E522" s="128" t="str">
        <f ca="1" t="shared" si="23"/>
        <v/>
      </c>
      <c r="F522" s="128" t="str">
        <f ca="1" t="shared" si="24"/>
        <v/>
      </c>
      <c r="G522" s="128" t="str">
        <f ca="1" t="shared" si="25"/>
        <v/>
      </c>
      <c r="H522" s="128">
        <f ca="1" t="shared" si="26"/>
        <v>6</v>
      </c>
      <c r="I522" s="124">
        <v>33.4</v>
      </c>
      <c r="J522" s="124">
        <v>32.82</v>
      </c>
      <c r="K522" s="124">
        <v>99.92</v>
      </c>
      <c r="L522" s="124">
        <v>631.06</v>
      </c>
      <c r="M522" s="124">
        <v>265.68</v>
      </c>
      <c r="N522" s="124">
        <v>65.06</v>
      </c>
      <c r="O522" s="124">
        <v>0</v>
      </c>
      <c r="P522" s="124">
        <v>199.56</v>
      </c>
      <c r="Q522" s="124" cm="1">
        <f ca="1" t="array" ref="Q522">SUMPRODUCT(TRANSPOSE($I522:$P522),$F$162:$F$169)+SUMIFS($H$210:$H$241,$D$210:$D$241,"&lt;="&amp;N522)+SUMIF($D$310:$D$341,"&lt;="&amp;D522,$H$310:$H$341)</f>
        <v>37352.76</v>
      </c>
      <c r="R522" s="124">
        <f ca="1" t="shared" si="27"/>
        <v>26.8338793103448</v>
      </c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</row>
    <row r="523" s="122" customFormat="1" spans="4:31">
      <c r="D523" s="124">
        <v>117</v>
      </c>
      <c r="E523" s="128" t="str">
        <f ca="1" t="shared" si="23"/>
        <v/>
      </c>
      <c r="F523" s="128" t="str">
        <f ca="1" t="shared" si="24"/>
        <v/>
      </c>
      <c r="G523" s="128" t="str">
        <f ca="1" t="shared" si="25"/>
        <v/>
      </c>
      <c r="H523" s="128">
        <f ca="1" t="shared" si="26"/>
        <v>6</v>
      </c>
      <c r="I523" s="124">
        <v>33.66</v>
      </c>
      <c r="J523" s="124">
        <v>33.06</v>
      </c>
      <c r="K523" s="124">
        <v>100.67</v>
      </c>
      <c r="L523" s="124">
        <v>636.5</v>
      </c>
      <c r="M523" s="124">
        <v>268.14</v>
      </c>
      <c r="N523" s="124">
        <v>65.6</v>
      </c>
      <c r="O523" s="124">
        <v>0</v>
      </c>
      <c r="P523" s="124">
        <v>201.19</v>
      </c>
      <c r="Q523" s="124" cm="1">
        <f ca="1" t="array" ref="Q523">SUMPRODUCT(TRANSPOSE($I523:$P523),$F$162:$F$169)+SUMIFS($H$210:$H$241,$D$210:$D$241,"&lt;="&amp;N523)+SUMIF($D$310:$D$341,"&lt;="&amp;D523,$H$310:$H$341)</f>
        <v>37550.59</v>
      </c>
      <c r="R523" s="124">
        <f ca="1" t="shared" si="27"/>
        <v>26.7454344729345</v>
      </c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</row>
    <row r="524" s="122" customFormat="1" spans="4:31">
      <c r="D524" s="124">
        <v>118</v>
      </c>
      <c r="E524" s="128" t="str">
        <f ca="1" t="shared" si="23"/>
        <v/>
      </c>
      <c r="F524" s="128" t="str">
        <f ca="1" t="shared" si="24"/>
        <v/>
      </c>
      <c r="G524" s="128" t="str">
        <f ca="1" t="shared" si="25"/>
        <v/>
      </c>
      <c r="H524" s="128">
        <f ca="1" t="shared" si="26"/>
        <v>6</v>
      </c>
      <c r="I524" s="124">
        <v>33.89</v>
      </c>
      <c r="J524" s="124">
        <v>33.33</v>
      </c>
      <c r="K524" s="124">
        <v>101.47</v>
      </c>
      <c r="L524" s="124">
        <v>641.91</v>
      </c>
      <c r="M524" s="124">
        <v>270.45</v>
      </c>
      <c r="N524" s="124">
        <v>66.25</v>
      </c>
      <c r="O524" s="124">
        <v>0</v>
      </c>
      <c r="P524" s="124">
        <v>202.95</v>
      </c>
      <c r="Q524" s="124" cm="1">
        <f ca="1" t="array" ref="Q524">SUMPRODUCT(TRANSPOSE($I524:$P524),$F$162:$F$169)+SUMIFS($H$210:$H$241,$D$210:$D$241,"&lt;="&amp;N524)+SUMIF($D$310:$D$341,"&lt;="&amp;D524,$H$310:$H$341)</f>
        <v>37752.8</v>
      </c>
      <c r="R524" s="124">
        <f ca="1" t="shared" si="27"/>
        <v>26.661581920904</v>
      </c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</row>
    <row r="525" s="122" customFormat="1" spans="4:31">
      <c r="D525" s="124">
        <v>119</v>
      </c>
      <c r="E525" s="128" t="str">
        <f ca="1" t="shared" si="23"/>
        <v/>
      </c>
      <c r="F525" s="128" t="str">
        <f ca="1" t="shared" si="24"/>
        <v/>
      </c>
      <c r="G525" s="128" t="str">
        <f ca="1" t="shared" si="25"/>
        <v/>
      </c>
      <c r="H525" s="128">
        <f ca="1" t="shared" si="26"/>
        <v>6</v>
      </c>
      <c r="I525" s="124">
        <v>34.1</v>
      </c>
      <c r="J525" s="124">
        <v>33.67</v>
      </c>
      <c r="K525" s="124">
        <v>102.18</v>
      </c>
      <c r="L525" s="124">
        <v>647.6</v>
      </c>
      <c r="M525" s="124">
        <v>272.61</v>
      </c>
      <c r="N525" s="124">
        <v>66.89</v>
      </c>
      <c r="O525" s="124">
        <v>0</v>
      </c>
      <c r="P525" s="124">
        <v>204.68</v>
      </c>
      <c r="Q525" s="124" cm="1">
        <f ca="1" t="array" ref="Q525">SUMPRODUCT(TRANSPOSE($I525:$P525),$F$162:$F$169)+SUMIFS($H$210:$H$241,$D$210:$D$241,"&lt;="&amp;N525)+SUMIF($D$310:$D$341,"&lt;="&amp;D525,$H$310:$H$341)</f>
        <v>37959.23</v>
      </c>
      <c r="R525" s="124">
        <f ca="1" t="shared" si="27"/>
        <v>26.582093837535</v>
      </c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</row>
    <row r="526" s="122" customFormat="1" spans="4:31">
      <c r="D526" s="124">
        <v>120</v>
      </c>
      <c r="E526" s="128" t="str">
        <f ca="1" t="shared" si="23"/>
        <v/>
      </c>
      <c r="F526" s="128" t="str">
        <f ca="1" t="shared" si="24"/>
        <v/>
      </c>
      <c r="G526" s="128" t="str">
        <f ca="1" t="shared" si="25"/>
        <v/>
      </c>
      <c r="H526" s="128">
        <f ca="1" t="shared" si="26"/>
        <v>6</v>
      </c>
      <c r="I526" s="124">
        <v>34.35</v>
      </c>
      <c r="J526" s="124">
        <v>33.92</v>
      </c>
      <c r="K526" s="124">
        <v>103.08</v>
      </c>
      <c r="L526" s="124">
        <v>652.88</v>
      </c>
      <c r="M526" s="124">
        <v>275.24</v>
      </c>
      <c r="N526" s="124">
        <v>67.6</v>
      </c>
      <c r="O526" s="124">
        <v>0</v>
      </c>
      <c r="P526" s="124">
        <v>206.06</v>
      </c>
      <c r="Q526" s="124" cm="1">
        <f ca="1" t="array" ref="Q526">SUMPRODUCT(TRANSPOSE($I526:$P526),$F$162:$F$169)+SUMIFS($H$210:$H$241,$D$210:$D$241,"&lt;="&amp;N526)+SUMIF($D$310:$D$341,"&lt;="&amp;D526,$H$310:$H$341)</f>
        <v>38565.96</v>
      </c>
      <c r="R526" s="124">
        <f ca="1" t="shared" si="27"/>
        <v>26.7819166666667</v>
      </c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</row>
    <row r="527" s="122" customFormat="1" spans="4:31">
      <c r="D527" s="124">
        <v>121</v>
      </c>
      <c r="E527" s="128" t="str">
        <f ca="1" t="shared" si="23"/>
        <v/>
      </c>
      <c r="F527" s="128" t="str">
        <f ca="1" t="shared" si="24"/>
        <v/>
      </c>
      <c r="G527" s="128" t="str">
        <f ca="1" t="shared" si="25"/>
        <v/>
      </c>
      <c r="H527" s="128">
        <f ca="1" t="shared" si="26"/>
        <v>6</v>
      </c>
      <c r="I527" s="124">
        <v>34.64</v>
      </c>
      <c r="J527" s="124">
        <v>34.25</v>
      </c>
      <c r="K527" s="124">
        <v>104</v>
      </c>
      <c r="L527" s="124">
        <v>658.57</v>
      </c>
      <c r="M527" s="124">
        <v>277.45</v>
      </c>
      <c r="N527" s="124">
        <v>68.14</v>
      </c>
      <c r="O527" s="124">
        <v>0</v>
      </c>
      <c r="P527" s="124">
        <v>207.67</v>
      </c>
      <c r="Q527" s="124" cm="1">
        <f ca="1" t="array" ref="Q527">SUMPRODUCT(TRANSPOSE($I527:$P527),$F$162:$F$169)+SUMIFS($H$210:$H$241,$D$210:$D$241,"&lt;="&amp;N527)+SUMIF($D$310:$D$341,"&lt;="&amp;D527,$H$310:$H$341)</f>
        <v>38770.32</v>
      </c>
      <c r="R527" s="124">
        <f ca="1" t="shared" si="27"/>
        <v>26.7013223140496</v>
      </c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</row>
    <row r="528" s="122" customFormat="1" spans="4:31">
      <c r="D528" s="124">
        <v>122</v>
      </c>
      <c r="E528" s="128" t="str">
        <f ca="1" t="shared" si="23"/>
        <v/>
      </c>
      <c r="F528" s="128" t="str">
        <f ca="1" t="shared" si="24"/>
        <v/>
      </c>
      <c r="G528" s="128" t="str">
        <f ca="1" t="shared" si="25"/>
        <v/>
      </c>
      <c r="H528" s="128">
        <f ca="1" t="shared" si="26"/>
        <v>7</v>
      </c>
      <c r="I528" s="124">
        <v>35</v>
      </c>
      <c r="J528" s="124">
        <v>34.44</v>
      </c>
      <c r="K528" s="124">
        <v>104.87</v>
      </c>
      <c r="L528" s="124">
        <v>664.05</v>
      </c>
      <c r="M528" s="124">
        <v>279.69</v>
      </c>
      <c r="N528" s="124">
        <v>68.76</v>
      </c>
      <c r="O528" s="124">
        <v>0</v>
      </c>
      <c r="P528" s="124">
        <v>209.45</v>
      </c>
      <c r="Q528" s="124" cm="1">
        <f ca="1" t="array" ref="Q528">SUMPRODUCT(TRANSPOSE($I528:$P528),$F$162:$F$169)+SUMIFS($H$210:$H$241,$D$210:$D$241,"&lt;="&amp;N528)+SUMIF($D$310:$D$341,"&lt;="&amp;D528,$H$310:$H$341)</f>
        <v>38968.7</v>
      </c>
      <c r="R528" s="124">
        <f ca="1" t="shared" si="27"/>
        <v>26.6179644808743</v>
      </c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</row>
    <row r="529" s="122" customFormat="1" spans="4:31">
      <c r="D529" s="124">
        <v>123</v>
      </c>
      <c r="E529" s="128" t="str">
        <f ca="1" t="shared" si="23"/>
        <v/>
      </c>
      <c r="F529" s="128" t="str">
        <f ca="1" t="shared" si="24"/>
        <v/>
      </c>
      <c r="G529" s="128" t="str">
        <f ca="1" t="shared" si="25"/>
        <v/>
      </c>
      <c r="H529" s="128">
        <f ca="1" t="shared" si="26"/>
        <v>7</v>
      </c>
      <c r="I529" s="124">
        <v>35.34</v>
      </c>
      <c r="J529" s="124">
        <v>34.72</v>
      </c>
      <c r="K529" s="124">
        <v>105.75</v>
      </c>
      <c r="L529" s="124">
        <v>669.21</v>
      </c>
      <c r="M529" s="124">
        <v>281.98</v>
      </c>
      <c r="N529" s="124">
        <v>69.33</v>
      </c>
      <c r="O529" s="124">
        <v>0</v>
      </c>
      <c r="P529" s="124">
        <v>211.29</v>
      </c>
      <c r="Q529" s="124" cm="1">
        <f ca="1" t="array" ref="Q529">SUMPRODUCT(TRANSPOSE($I529:$P529),$F$162:$F$169)+SUMIFS($H$210:$H$241,$D$210:$D$241,"&lt;="&amp;N529)+SUMIF($D$310:$D$341,"&lt;="&amp;D529,$H$310:$H$341)</f>
        <v>39171.29</v>
      </c>
      <c r="R529" s="124">
        <f ca="1" t="shared" si="27"/>
        <v>26.5388143631436</v>
      </c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</row>
    <row r="530" s="122" customFormat="1" spans="4:31">
      <c r="D530" s="124">
        <v>124</v>
      </c>
      <c r="E530" s="128" t="str">
        <f ca="1" t="shared" si="23"/>
        <v/>
      </c>
      <c r="F530" s="128" t="str">
        <f ca="1" t="shared" si="24"/>
        <v/>
      </c>
      <c r="G530" s="128" t="str">
        <f ca="1" t="shared" si="25"/>
        <v/>
      </c>
      <c r="H530" s="128">
        <f ca="1" t="shared" si="26"/>
        <v>7</v>
      </c>
      <c r="I530" s="124">
        <v>35.61</v>
      </c>
      <c r="J530" s="124">
        <v>35.04</v>
      </c>
      <c r="K530" s="124">
        <v>106.56</v>
      </c>
      <c r="L530" s="124">
        <v>674.58</v>
      </c>
      <c r="M530" s="124">
        <v>284.13</v>
      </c>
      <c r="N530" s="124">
        <v>70.09</v>
      </c>
      <c r="O530" s="124">
        <v>0</v>
      </c>
      <c r="P530" s="124">
        <v>213.12</v>
      </c>
      <c r="Q530" s="124" cm="1">
        <f ca="1" t="array" ref="Q530">SUMPRODUCT(TRANSPOSE($I530:$P530),$F$162:$F$169)+SUMIFS($H$210:$H$241,$D$210:$D$241,"&lt;="&amp;N530)+SUMIF($D$310:$D$341,"&lt;="&amp;D530,$H$310:$H$341)</f>
        <v>40382.37</v>
      </c>
      <c r="R530" s="124">
        <f ca="1" t="shared" si="27"/>
        <v>27.138689516129</v>
      </c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</row>
    <row r="531" s="122" customFormat="1" spans="4:31">
      <c r="D531" s="124">
        <v>125</v>
      </c>
      <c r="E531" s="128" t="str">
        <f ca="1" t="shared" si="23"/>
        <v/>
      </c>
      <c r="F531" s="128" t="str">
        <f ca="1" t="shared" si="24"/>
        <v/>
      </c>
      <c r="G531" s="128" t="str">
        <f ca="1" t="shared" si="25"/>
        <v/>
      </c>
      <c r="H531" s="128">
        <f ca="1" t="shared" si="26"/>
        <v>7</v>
      </c>
      <c r="I531" s="124">
        <v>35.87</v>
      </c>
      <c r="J531" s="124">
        <v>35.31</v>
      </c>
      <c r="K531" s="124">
        <v>107.45</v>
      </c>
      <c r="L531" s="124">
        <v>679.93</v>
      </c>
      <c r="M531" s="124">
        <v>286.49</v>
      </c>
      <c r="N531" s="124">
        <v>70.73</v>
      </c>
      <c r="O531" s="124">
        <v>0</v>
      </c>
      <c r="P531" s="124">
        <v>214.81</v>
      </c>
      <c r="Q531" s="124" cm="1">
        <f ca="1" t="array" ref="Q531">SUMPRODUCT(TRANSPOSE($I531:$P531),$F$162:$F$169)+SUMIFS($H$210:$H$241,$D$210:$D$241,"&lt;="&amp;N531)+SUMIF($D$310:$D$341,"&lt;="&amp;D531,$H$310:$H$341)</f>
        <v>40585.46</v>
      </c>
      <c r="R531" s="124">
        <f ca="1" t="shared" si="27"/>
        <v>27.0569733333333</v>
      </c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</row>
    <row r="532" s="122" customFormat="1" spans="4:31">
      <c r="D532" s="124">
        <v>126</v>
      </c>
      <c r="E532" s="128" t="str">
        <f ca="1" t="shared" si="23"/>
        <v/>
      </c>
      <c r="F532" s="128" t="str">
        <f ca="1" t="shared" si="24"/>
        <v/>
      </c>
      <c r="G532" s="128" t="str">
        <f ca="1" t="shared" si="25"/>
        <v/>
      </c>
      <c r="H532" s="128">
        <f ca="1" t="shared" si="26"/>
        <v>7</v>
      </c>
      <c r="I532" s="124">
        <v>36.12</v>
      </c>
      <c r="J532" s="124">
        <v>35.67</v>
      </c>
      <c r="K532" s="124">
        <v>108.26</v>
      </c>
      <c r="L532" s="124">
        <v>685.34</v>
      </c>
      <c r="M532" s="124">
        <v>288.86</v>
      </c>
      <c r="N532" s="124">
        <v>71.23</v>
      </c>
      <c r="O532" s="124">
        <v>0</v>
      </c>
      <c r="P532" s="124">
        <v>216.4</v>
      </c>
      <c r="Q532" s="124" cm="1">
        <f ca="1" t="array" ref="Q532">SUMPRODUCT(TRANSPOSE($I532:$P532),$F$162:$F$169)+SUMIFS($H$210:$H$241,$D$210:$D$241,"&lt;="&amp;N532)+SUMIF($D$310:$D$341,"&lt;="&amp;D532,$H$310:$H$341)</f>
        <v>40789.8</v>
      </c>
      <c r="R532" s="124">
        <f ca="1" t="shared" si="27"/>
        <v>26.977380952381</v>
      </c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</row>
    <row r="533" s="122" customFormat="1" spans="4:31">
      <c r="D533" s="124">
        <v>127</v>
      </c>
      <c r="E533" s="128" t="str">
        <f ca="1" t="shared" si="23"/>
        <v/>
      </c>
      <c r="F533" s="128" t="str">
        <f ca="1" t="shared" si="24"/>
        <v/>
      </c>
      <c r="G533" s="128" t="str">
        <f ca="1" t="shared" si="25"/>
        <v/>
      </c>
      <c r="H533" s="128">
        <f ca="1" t="shared" si="26"/>
        <v>7</v>
      </c>
      <c r="I533" s="124">
        <v>36.46</v>
      </c>
      <c r="J533" s="124">
        <v>35.95</v>
      </c>
      <c r="K533" s="124">
        <v>109.17</v>
      </c>
      <c r="L533" s="124">
        <v>690.79</v>
      </c>
      <c r="M533" s="124">
        <v>291.23</v>
      </c>
      <c r="N533" s="124">
        <v>71.69</v>
      </c>
      <c r="O533" s="124">
        <v>0</v>
      </c>
      <c r="P533" s="124">
        <v>218.07</v>
      </c>
      <c r="Q533" s="124" cm="1">
        <f ca="1" t="array" ref="Q533">SUMPRODUCT(TRANSPOSE($I533:$P533),$F$162:$F$169)+SUMIFS($H$210:$H$241,$D$210:$D$241,"&lt;="&amp;N533)+SUMIF($D$310:$D$341,"&lt;="&amp;D533,$H$310:$H$341)</f>
        <v>40989.92</v>
      </c>
      <c r="R533" s="124">
        <f ca="1" t="shared" si="27"/>
        <v>26.8962729658793</v>
      </c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</row>
    <row r="534" s="122" customFormat="1" spans="4:31">
      <c r="D534" s="124">
        <v>128</v>
      </c>
      <c r="E534" s="128" t="str">
        <f ca="1" t="shared" si="23"/>
        <v/>
      </c>
      <c r="F534" s="128" t="str">
        <f ca="1" t="shared" si="24"/>
        <v/>
      </c>
      <c r="G534" s="128" t="str">
        <f ca="1" t="shared" si="25"/>
        <v/>
      </c>
      <c r="H534" s="128">
        <f ca="1" t="shared" si="26"/>
        <v>7</v>
      </c>
      <c r="I534" s="124">
        <v>36.8</v>
      </c>
      <c r="J534" s="124">
        <v>36.17</v>
      </c>
      <c r="K534" s="124">
        <v>110</v>
      </c>
      <c r="L534" s="124">
        <v>696.16</v>
      </c>
      <c r="M534" s="124">
        <v>293.72</v>
      </c>
      <c r="N534" s="124">
        <v>72.16</v>
      </c>
      <c r="O534" s="124">
        <v>0</v>
      </c>
      <c r="P534" s="124">
        <v>219.69</v>
      </c>
      <c r="Q534" s="124" cm="1">
        <f ca="1" t="array" ref="Q534">SUMPRODUCT(TRANSPOSE($I534:$P534),$F$162:$F$169)+SUMIFS($H$210:$H$241,$D$210:$D$241,"&lt;="&amp;N534)+SUMIF($D$310:$D$341,"&lt;="&amp;D534,$H$310:$H$341)</f>
        <v>41186.19</v>
      </c>
      <c r="R534" s="124">
        <f ca="1" t="shared" si="27"/>
        <v>26.81392578125</v>
      </c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</row>
    <row r="535" s="122" customFormat="1" spans="4:31">
      <c r="D535" s="124">
        <v>129</v>
      </c>
      <c r="E535" s="128" t="str">
        <f ca="1" t="shared" ref="E535:E598" si="28">IF(INT($D535*12/OFFSET($F$26,MATCH(E$406,$E$406:$H$406,0),0))+1&gt;7,"",INT($D535*12/OFFSET($F$26,MATCH(E$406,$E$406:$H$406,0),0))+1)</f>
        <v/>
      </c>
      <c r="F535" s="128" t="str">
        <f ca="1" t="shared" ref="F535:F598" si="29">IF(INT($D535*12/OFFSET($F$26,MATCH(F$406,$E$406:$H$406,0),0))+1&gt;7,"",INT($D535*12/OFFSET($F$26,MATCH(F$406,$E$406:$H$406,0),0))+1)</f>
        <v/>
      </c>
      <c r="G535" s="128" t="str">
        <f ca="1" t="shared" ref="G535:G598" si="30">IF(INT($D535*12/OFFSET($F$26,MATCH(G$406,$E$406:$H$406,0),0))+1&gt;7,"",INT($D535*12/OFFSET($F$26,MATCH(G$406,$E$406:$H$406,0),0))+1)</f>
        <v/>
      </c>
      <c r="H535" s="128">
        <f ca="1" t="shared" ref="H535:H598" si="31">IF(INT($D535*12/OFFSET($F$26,MATCH(H$406,$E$406:$H$406,0),0))+1&gt;7,"",INT($D535*12/OFFSET($F$26,MATCH(H$406,$E$406:$H$406,0),0))+1)</f>
        <v>7</v>
      </c>
      <c r="I535" s="124">
        <v>37.12</v>
      </c>
      <c r="J535" s="124">
        <v>36.43</v>
      </c>
      <c r="K535" s="124">
        <v>110.88</v>
      </c>
      <c r="L535" s="124">
        <v>701.69</v>
      </c>
      <c r="M535" s="124">
        <v>296.07</v>
      </c>
      <c r="N535" s="124">
        <v>72.71</v>
      </c>
      <c r="O535" s="124">
        <v>0</v>
      </c>
      <c r="P535" s="124">
        <v>221.4</v>
      </c>
      <c r="Q535" s="124" cm="1">
        <f ca="1" t="array" ref="Q535">SUMPRODUCT(TRANSPOSE($I535:$P535),$F$162:$F$169)+SUMIFS($H$210:$H$241,$D$210:$D$241,"&lt;="&amp;N535)+SUMIF($D$310:$D$341,"&lt;="&amp;D535,$H$310:$H$341)</f>
        <v>41388.55</v>
      </c>
      <c r="R535" s="124">
        <f ca="1" t="shared" ref="R535:R598" si="32">Q535/12/D535</f>
        <v>26.7367894056848</v>
      </c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</row>
    <row r="536" s="122" customFormat="1" spans="4:31">
      <c r="D536" s="124">
        <v>130</v>
      </c>
      <c r="E536" s="128" t="str">
        <f ca="1" t="shared" si="28"/>
        <v/>
      </c>
      <c r="F536" s="128" t="str">
        <f ca="1" t="shared" si="29"/>
        <v/>
      </c>
      <c r="G536" s="128" t="str">
        <f ca="1" t="shared" si="30"/>
        <v/>
      </c>
      <c r="H536" s="128">
        <f ca="1" t="shared" si="31"/>
        <v>7</v>
      </c>
      <c r="I536" s="124">
        <v>37.42</v>
      </c>
      <c r="J536" s="124">
        <v>36.69</v>
      </c>
      <c r="K536" s="124">
        <v>111.74</v>
      </c>
      <c r="L536" s="124">
        <v>706.83</v>
      </c>
      <c r="M536" s="124">
        <v>298.61</v>
      </c>
      <c r="N536" s="124">
        <v>73.25</v>
      </c>
      <c r="O536" s="124">
        <v>0</v>
      </c>
      <c r="P536" s="124">
        <v>223.35</v>
      </c>
      <c r="Q536" s="124" cm="1">
        <f ca="1" t="array" ref="Q536">SUMPRODUCT(TRANSPOSE($I536:$P536),$F$162:$F$169)+SUMIFS($H$210:$H$241,$D$210:$D$241,"&lt;="&amp;N536)+SUMIF($D$310:$D$341,"&lt;="&amp;D536,$H$310:$H$341)</f>
        <v>41992.9</v>
      </c>
      <c r="R536" s="124">
        <f ca="1" t="shared" si="32"/>
        <v>26.9185256410256</v>
      </c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</row>
    <row r="537" s="122" customFormat="1" spans="4:31">
      <c r="D537" s="124">
        <v>131</v>
      </c>
      <c r="E537" s="128" t="str">
        <f ca="1" t="shared" si="28"/>
        <v/>
      </c>
      <c r="F537" s="128" t="str">
        <f ca="1" t="shared" si="29"/>
        <v/>
      </c>
      <c r="G537" s="128" t="str">
        <f ca="1" t="shared" si="30"/>
        <v/>
      </c>
      <c r="H537" s="128">
        <f ca="1" t="shared" si="31"/>
        <v>7</v>
      </c>
      <c r="I537" s="124">
        <v>37.69</v>
      </c>
      <c r="J537" s="124">
        <v>36.94</v>
      </c>
      <c r="K537" s="124">
        <v>112.65</v>
      </c>
      <c r="L537" s="124">
        <v>712.38</v>
      </c>
      <c r="M537" s="124">
        <v>300.74</v>
      </c>
      <c r="N537" s="124">
        <v>73.81</v>
      </c>
      <c r="O537" s="124">
        <v>0</v>
      </c>
      <c r="P537" s="124">
        <v>225.31</v>
      </c>
      <c r="Q537" s="124" cm="1">
        <f ca="1" t="array" ref="Q537">SUMPRODUCT(TRANSPOSE($I537:$P537),$F$162:$F$169)+SUMIFS($H$210:$H$241,$D$210:$D$241,"&lt;="&amp;N537)+SUMIF($D$310:$D$341,"&lt;="&amp;D537,$H$310:$H$341)</f>
        <v>42189.71</v>
      </c>
      <c r="R537" s="124">
        <f ca="1" t="shared" si="32"/>
        <v>26.838237913486</v>
      </c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</row>
    <row r="538" s="122" customFormat="1" spans="4:31">
      <c r="D538" s="124">
        <v>132</v>
      </c>
      <c r="E538" s="128" t="str">
        <f ca="1" t="shared" si="28"/>
        <v/>
      </c>
      <c r="F538" s="128" t="str">
        <f ca="1" t="shared" si="29"/>
        <v/>
      </c>
      <c r="G538" s="128" t="str">
        <f ca="1" t="shared" si="30"/>
        <v/>
      </c>
      <c r="H538" s="128">
        <f ca="1" t="shared" si="31"/>
        <v>7</v>
      </c>
      <c r="I538" s="124">
        <v>37.97</v>
      </c>
      <c r="J538" s="124">
        <v>37.21</v>
      </c>
      <c r="K538" s="124">
        <v>113.55</v>
      </c>
      <c r="L538" s="124">
        <v>717.72</v>
      </c>
      <c r="M538" s="124">
        <v>303.12</v>
      </c>
      <c r="N538" s="124">
        <v>74.34</v>
      </c>
      <c r="O538" s="124">
        <v>0</v>
      </c>
      <c r="P538" s="124">
        <v>227.06</v>
      </c>
      <c r="Q538" s="124" cm="1">
        <f ca="1" t="array" ref="Q538">SUMPRODUCT(TRANSPOSE($I538:$P538),$F$162:$F$169)+SUMIFS($H$210:$H$241,$D$210:$D$241,"&lt;="&amp;N538)+SUMIF($D$310:$D$341,"&lt;="&amp;D538,$H$310:$H$341)</f>
        <v>42389.36</v>
      </c>
      <c r="R538" s="124">
        <f ca="1" t="shared" si="32"/>
        <v>26.7609595959596</v>
      </c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</row>
    <row r="539" s="122" customFormat="1" spans="4:31">
      <c r="D539" s="124">
        <v>133</v>
      </c>
      <c r="E539" s="128" t="str">
        <f ca="1" t="shared" si="28"/>
        <v/>
      </c>
      <c r="F539" s="128" t="str">
        <f ca="1" t="shared" si="29"/>
        <v/>
      </c>
      <c r="G539" s="128" t="str">
        <f ca="1" t="shared" si="30"/>
        <v/>
      </c>
      <c r="H539" s="128">
        <f ca="1" t="shared" si="31"/>
        <v>7</v>
      </c>
      <c r="I539" s="124">
        <v>38.27</v>
      </c>
      <c r="J539" s="124">
        <v>37.49</v>
      </c>
      <c r="K539" s="124">
        <v>114.41</v>
      </c>
      <c r="L539" s="124">
        <v>723.28</v>
      </c>
      <c r="M539" s="124">
        <v>305.42</v>
      </c>
      <c r="N539" s="124">
        <v>74.85</v>
      </c>
      <c r="O539" s="124">
        <v>0</v>
      </c>
      <c r="P539" s="124">
        <v>228.82</v>
      </c>
      <c r="Q539" s="124" cm="1">
        <f ca="1" t="array" ref="Q539">SUMPRODUCT(TRANSPOSE($I539:$P539),$F$162:$F$169)+SUMIFS($H$210:$H$241,$D$210:$D$241,"&lt;="&amp;N539)+SUMIF($D$310:$D$341,"&lt;="&amp;D539,$H$310:$H$341)</f>
        <v>42590.32</v>
      </c>
      <c r="R539" s="124">
        <f ca="1" t="shared" si="32"/>
        <v>26.685664160401</v>
      </c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</row>
    <row r="540" s="122" customFormat="1" spans="4:31">
      <c r="D540" s="124">
        <v>134</v>
      </c>
      <c r="E540" s="128" t="str">
        <f ca="1" t="shared" si="28"/>
        <v/>
      </c>
      <c r="F540" s="128" t="str">
        <f ca="1" t="shared" si="29"/>
        <v/>
      </c>
      <c r="G540" s="128" t="str">
        <f ca="1" t="shared" si="30"/>
        <v/>
      </c>
      <c r="H540" s="128">
        <f ca="1" t="shared" si="31"/>
        <v>7</v>
      </c>
      <c r="I540" s="124">
        <v>38.57</v>
      </c>
      <c r="J540" s="124">
        <v>37.74</v>
      </c>
      <c r="K540" s="124">
        <v>115.26</v>
      </c>
      <c r="L540" s="124">
        <v>728.64</v>
      </c>
      <c r="M540" s="124">
        <v>307.65</v>
      </c>
      <c r="N540" s="124">
        <v>75.57</v>
      </c>
      <c r="O540" s="124">
        <v>0</v>
      </c>
      <c r="P540" s="124">
        <v>230.91</v>
      </c>
      <c r="Q540" s="124" cm="1">
        <f ca="1" t="array" ref="Q540">SUMPRODUCT(TRANSPOSE($I540:$P540),$F$162:$F$169)+SUMIFS($H$210:$H$241,$D$210:$D$241,"&lt;="&amp;N540)+SUMIF($D$310:$D$341,"&lt;="&amp;D540,$H$310:$H$341)</f>
        <v>42798.66</v>
      </c>
      <c r="R540" s="124">
        <f ca="1" t="shared" si="32"/>
        <v>26.6160820895522</v>
      </c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</row>
    <row r="541" s="122" customFormat="1" spans="4:31">
      <c r="D541" s="124">
        <v>135</v>
      </c>
      <c r="E541" s="128" t="str">
        <f ca="1" t="shared" si="28"/>
        <v/>
      </c>
      <c r="F541" s="128" t="str">
        <f ca="1" t="shared" si="29"/>
        <v/>
      </c>
      <c r="G541" s="128" t="str">
        <f ca="1" t="shared" si="30"/>
        <v/>
      </c>
      <c r="H541" s="128">
        <f ca="1" t="shared" si="31"/>
        <v>7</v>
      </c>
      <c r="I541" s="124">
        <v>38.87</v>
      </c>
      <c r="J541" s="124">
        <v>38.05</v>
      </c>
      <c r="K541" s="124">
        <v>116.06</v>
      </c>
      <c r="L541" s="124">
        <v>734.2</v>
      </c>
      <c r="M541" s="124">
        <v>309.91</v>
      </c>
      <c r="N541" s="124">
        <v>76.07</v>
      </c>
      <c r="O541" s="124">
        <v>0</v>
      </c>
      <c r="P541" s="124">
        <v>232.6</v>
      </c>
      <c r="Q541" s="124" cm="1">
        <f ca="1" t="array" ref="Q541">SUMPRODUCT(TRANSPOSE($I541:$P541),$F$162:$F$169)+SUMIFS($H$210:$H$241,$D$210:$D$241,"&lt;="&amp;N541)+SUMIF($D$310:$D$341,"&lt;="&amp;D541,$H$310:$H$341)</f>
        <v>43000.35</v>
      </c>
      <c r="R541" s="124">
        <f ca="1" t="shared" si="32"/>
        <v>26.5434259259259</v>
      </c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</row>
    <row r="542" s="122" customFormat="1" spans="4:31">
      <c r="D542" s="124">
        <v>136</v>
      </c>
      <c r="E542" s="128" t="str">
        <f ca="1" t="shared" si="28"/>
        <v/>
      </c>
      <c r="F542" s="128" t="str">
        <f ca="1" t="shared" si="29"/>
        <v/>
      </c>
      <c r="G542" s="128" t="str">
        <f ca="1" t="shared" si="30"/>
        <v/>
      </c>
      <c r="H542" s="128">
        <f ca="1" t="shared" si="31"/>
        <v>7</v>
      </c>
      <c r="I542" s="124">
        <v>39.14</v>
      </c>
      <c r="J542" s="124">
        <v>38.35</v>
      </c>
      <c r="K542" s="124">
        <v>117.06</v>
      </c>
      <c r="L542" s="124">
        <v>739.53</v>
      </c>
      <c r="M542" s="124">
        <v>312.18</v>
      </c>
      <c r="N542" s="124">
        <v>76.66</v>
      </c>
      <c r="O542" s="124">
        <v>0</v>
      </c>
      <c r="P542" s="124">
        <v>234.09</v>
      </c>
      <c r="Q542" s="124" cm="1">
        <f ca="1" t="array" ref="Q542">SUMPRODUCT(TRANSPOSE($I542:$P542),$F$162:$F$169)+SUMIFS($H$210:$H$241,$D$210:$D$241,"&lt;="&amp;N542)+SUMIF($D$310:$D$341,"&lt;="&amp;D542,$H$310:$H$341)</f>
        <v>43199.79</v>
      </c>
      <c r="R542" s="124">
        <f ca="1" t="shared" si="32"/>
        <v>26.4704595588235</v>
      </c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</row>
    <row r="543" s="122" customFormat="1" spans="4:31">
      <c r="D543" s="124">
        <v>137</v>
      </c>
      <c r="E543" s="128" t="str">
        <f ca="1" t="shared" si="28"/>
        <v/>
      </c>
      <c r="F543" s="128" t="str">
        <f ca="1" t="shared" si="29"/>
        <v/>
      </c>
      <c r="G543" s="128" t="str">
        <f ca="1" t="shared" si="30"/>
        <v/>
      </c>
      <c r="H543" s="128">
        <f ca="1" t="shared" si="31"/>
        <v>7</v>
      </c>
      <c r="I543" s="124">
        <v>39.51</v>
      </c>
      <c r="J543" s="124">
        <v>38.59</v>
      </c>
      <c r="K543" s="124">
        <v>118.03</v>
      </c>
      <c r="L543" s="124">
        <v>744.83</v>
      </c>
      <c r="M543" s="124">
        <v>314.48</v>
      </c>
      <c r="N543" s="124">
        <v>77.13</v>
      </c>
      <c r="O543" s="124">
        <v>0</v>
      </c>
      <c r="P543" s="124">
        <v>235.89</v>
      </c>
      <c r="Q543" s="124" cm="1">
        <f ca="1" t="array" ref="Q543">SUMPRODUCT(TRANSPOSE($I543:$P543),$F$162:$F$169)+SUMIFS($H$210:$H$241,$D$210:$D$241,"&lt;="&amp;N543)+SUMIF($D$310:$D$341,"&lt;="&amp;D543,$H$310:$H$341)</f>
        <v>43396.09</v>
      </c>
      <c r="R543" s="124">
        <f ca="1" t="shared" si="32"/>
        <v>26.3966484184915</v>
      </c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</row>
    <row r="544" s="122" customFormat="1" spans="4:31">
      <c r="D544" s="124">
        <v>138</v>
      </c>
      <c r="E544" s="128" t="str">
        <f ca="1" t="shared" si="28"/>
        <v/>
      </c>
      <c r="F544" s="128" t="str">
        <f ca="1" t="shared" si="29"/>
        <v/>
      </c>
      <c r="G544" s="128" t="str">
        <f ca="1" t="shared" si="30"/>
        <v/>
      </c>
      <c r="H544" s="128">
        <f ca="1" t="shared" si="31"/>
        <v>7</v>
      </c>
      <c r="I544" s="124">
        <v>39.74</v>
      </c>
      <c r="J544" s="124">
        <v>38.88</v>
      </c>
      <c r="K544" s="124">
        <v>118.87</v>
      </c>
      <c r="L544" s="124">
        <v>750.29</v>
      </c>
      <c r="M544" s="124">
        <v>316.76</v>
      </c>
      <c r="N544" s="124">
        <v>77.72</v>
      </c>
      <c r="O544" s="124">
        <v>0</v>
      </c>
      <c r="P544" s="124">
        <v>237.59</v>
      </c>
      <c r="Q544" s="124" cm="1">
        <f ca="1" t="array" ref="Q544">SUMPRODUCT(TRANSPOSE($I544:$P544),$F$162:$F$169)+SUMIFS($H$210:$H$241,$D$210:$D$241,"&lt;="&amp;N544)+SUMIF($D$310:$D$341,"&lt;="&amp;D544,$H$310:$H$341)</f>
        <v>43596.39</v>
      </c>
      <c r="R544" s="124">
        <f ca="1" t="shared" si="32"/>
        <v>26.3263224637681</v>
      </c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</row>
    <row r="545" s="122" customFormat="1" spans="4:31">
      <c r="D545" s="124">
        <v>139</v>
      </c>
      <c r="E545" s="128" t="str">
        <f ca="1" t="shared" si="28"/>
        <v/>
      </c>
      <c r="F545" s="128" t="str">
        <f ca="1" t="shared" si="29"/>
        <v/>
      </c>
      <c r="G545" s="128" t="str">
        <f ca="1" t="shared" si="30"/>
        <v/>
      </c>
      <c r="H545" s="128">
        <f ca="1" t="shared" si="31"/>
        <v>7</v>
      </c>
      <c r="I545" s="124">
        <v>40</v>
      </c>
      <c r="J545" s="124">
        <v>39.24</v>
      </c>
      <c r="K545" s="124">
        <v>119.74</v>
      </c>
      <c r="L545" s="124">
        <v>755.83</v>
      </c>
      <c r="M545" s="124">
        <v>319.08</v>
      </c>
      <c r="N545" s="124">
        <v>78.25</v>
      </c>
      <c r="O545" s="124">
        <v>0</v>
      </c>
      <c r="P545" s="124">
        <v>239.16</v>
      </c>
      <c r="Q545" s="124" cm="1">
        <f ca="1" t="array" ref="Q545">SUMPRODUCT(TRANSPOSE($I545:$P545),$F$162:$F$169)+SUMIFS($H$210:$H$241,$D$210:$D$241,"&lt;="&amp;N545)+SUMIF($D$310:$D$341,"&lt;="&amp;D545,$H$310:$H$341)</f>
        <v>43802.56</v>
      </c>
      <c r="R545" s="124">
        <f ca="1" t="shared" si="32"/>
        <v>26.2605275779376</v>
      </c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</row>
    <row r="546" s="122" customFormat="1" spans="4:31">
      <c r="D546" s="124">
        <v>140</v>
      </c>
      <c r="E546" s="128" t="str">
        <f ca="1" t="shared" si="28"/>
        <v/>
      </c>
      <c r="F546" s="128" t="str">
        <f ca="1" t="shared" si="29"/>
        <v/>
      </c>
      <c r="G546" s="128" t="str">
        <f ca="1" t="shared" si="30"/>
        <v/>
      </c>
      <c r="H546" s="128">
        <f ca="1" t="shared" si="31"/>
        <v>7</v>
      </c>
      <c r="I546" s="124">
        <v>40.24</v>
      </c>
      <c r="J546" s="124">
        <v>39.53</v>
      </c>
      <c r="K546" s="124">
        <v>120.6</v>
      </c>
      <c r="L546" s="124">
        <v>761.45</v>
      </c>
      <c r="M546" s="124">
        <v>320.98</v>
      </c>
      <c r="N546" s="124">
        <v>78.86</v>
      </c>
      <c r="O546" s="124">
        <v>0</v>
      </c>
      <c r="P546" s="124">
        <v>240.79</v>
      </c>
      <c r="Q546" s="124" cm="1">
        <f ca="1" t="array" ref="Q546">SUMPRODUCT(TRANSPOSE($I546:$P546),$F$162:$F$169)+SUMIFS($H$210:$H$241,$D$210:$D$241,"&lt;="&amp;N546)+SUMIF($D$310:$D$341,"&lt;="&amp;D546,$H$310:$H$341)</f>
        <v>44395.69</v>
      </c>
      <c r="R546" s="124">
        <f ca="1" t="shared" si="32"/>
        <v>26.426005952381</v>
      </c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</row>
    <row r="547" s="122" customFormat="1" spans="4:31">
      <c r="D547" s="124">
        <v>141</v>
      </c>
      <c r="E547" s="128" t="str">
        <f ca="1" t="shared" si="28"/>
        <v/>
      </c>
      <c r="F547" s="128" t="str">
        <f ca="1" t="shared" si="29"/>
        <v/>
      </c>
      <c r="G547" s="128" t="str">
        <f ca="1" t="shared" si="30"/>
        <v/>
      </c>
      <c r="H547" s="128">
        <f ca="1" t="shared" si="31"/>
        <v>7</v>
      </c>
      <c r="I547" s="124">
        <v>40.52</v>
      </c>
      <c r="J547" s="124">
        <v>39.74</v>
      </c>
      <c r="K547" s="124">
        <v>121.4</v>
      </c>
      <c r="L547" s="124">
        <v>767.05</v>
      </c>
      <c r="M547" s="124">
        <v>323.1</v>
      </c>
      <c r="N547" s="124">
        <v>79.47</v>
      </c>
      <c r="O547" s="124">
        <v>0</v>
      </c>
      <c r="P547" s="124">
        <v>242.51</v>
      </c>
      <c r="Q547" s="124" cm="1">
        <f ca="1" t="array" ref="Q547">SUMPRODUCT(TRANSPOSE($I547:$P547),$F$162:$F$169)+SUMIFS($H$210:$H$241,$D$210:$D$241,"&lt;="&amp;N547)+SUMIF($D$310:$D$341,"&lt;="&amp;D547,$H$310:$H$341)</f>
        <v>44589.11</v>
      </c>
      <c r="R547" s="124">
        <f ca="1" t="shared" si="32"/>
        <v>26.352901891253</v>
      </c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</row>
    <row r="548" s="122" customFormat="1" spans="4:31">
      <c r="D548" s="124">
        <v>142</v>
      </c>
      <c r="E548" s="128" t="str">
        <f ca="1" t="shared" si="28"/>
        <v/>
      </c>
      <c r="F548" s="128" t="str">
        <f ca="1" t="shared" si="29"/>
        <v/>
      </c>
      <c r="G548" s="128" t="str">
        <f ca="1" t="shared" si="30"/>
        <v/>
      </c>
      <c r="H548" s="128" t="str">
        <f ca="1" t="shared" si="31"/>
        <v/>
      </c>
      <c r="I548" s="124">
        <v>40.81</v>
      </c>
      <c r="J548" s="124">
        <v>40.02</v>
      </c>
      <c r="K548" s="124">
        <v>122.4</v>
      </c>
      <c r="L548" s="124">
        <v>772.71</v>
      </c>
      <c r="M548" s="124">
        <v>325.45</v>
      </c>
      <c r="N548" s="124">
        <v>79.96</v>
      </c>
      <c r="O548" s="124">
        <v>0</v>
      </c>
      <c r="P548" s="124">
        <v>244.14</v>
      </c>
      <c r="Q548" s="124" cm="1">
        <f ca="1" t="array" ref="Q548">SUMPRODUCT(TRANSPOSE($I548:$P548),$F$162:$F$169)+SUMIFS($H$210:$H$241,$D$210:$D$241,"&lt;="&amp;N548)+SUMIF($D$310:$D$341,"&lt;="&amp;D548,$H$310:$H$341)</f>
        <v>44789.39</v>
      </c>
      <c r="R548" s="124">
        <f ca="1" t="shared" si="32"/>
        <v>26.284853286385</v>
      </c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</row>
    <row r="549" s="122" customFormat="1" spans="4:31">
      <c r="D549" s="124">
        <v>143</v>
      </c>
      <c r="E549" s="128" t="str">
        <f ca="1" t="shared" si="28"/>
        <v/>
      </c>
      <c r="F549" s="128" t="str">
        <f ca="1" t="shared" si="29"/>
        <v/>
      </c>
      <c r="G549" s="128" t="str">
        <f ca="1" t="shared" si="30"/>
        <v/>
      </c>
      <c r="H549" s="128" t="str">
        <f ca="1" t="shared" si="31"/>
        <v/>
      </c>
      <c r="I549" s="124">
        <v>41.1</v>
      </c>
      <c r="J549" s="124">
        <v>40.23</v>
      </c>
      <c r="K549" s="124">
        <v>123.28</v>
      </c>
      <c r="L549" s="124">
        <v>778.21</v>
      </c>
      <c r="M549" s="124">
        <v>327.78</v>
      </c>
      <c r="N549" s="124">
        <v>80.44</v>
      </c>
      <c r="O549" s="124">
        <v>0</v>
      </c>
      <c r="P549" s="124">
        <v>245.85</v>
      </c>
      <c r="Q549" s="124" cm="1">
        <f ca="1" t="array" ref="Q549">SUMPRODUCT(TRANSPOSE($I549:$P549),$F$162:$F$169)+SUMIFS($H$210:$H$241,$D$210:$D$241,"&lt;="&amp;N549)+SUMIF($D$310:$D$341,"&lt;="&amp;D549,$H$310:$H$341)</f>
        <v>45980.95</v>
      </c>
      <c r="R549" s="124">
        <f ca="1" t="shared" si="32"/>
        <v>26.7954254079254</v>
      </c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</row>
    <row r="550" s="122" customFormat="1" spans="4:31">
      <c r="D550" s="124">
        <v>144</v>
      </c>
      <c r="E550" s="128" t="str">
        <f ca="1" t="shared" si="28"/>
        <v/>
      </c>
      <c r="F550" s="128" t="str">
        <f ca="1" t="shared" si="29"/>
        <v/>
      </c>
      <c r="G550" s="128" t="str">
        <f ca="1" t="shared" si="30"/>
        <v/>
      </c>
      <c r="H550" s="128" t="str">
        <f ca="1" t="shared" si="31"/>
        <v/>
      </c>
      <c r="I550" s="124">
        <v>41.38</v>
      </c>
      <c r="J550" s="124">
        <v>40.52</v>
      </c>
      <c r="K550" s="124">
        <v>124.09</v>
      </c>
      <c r="L550" s="124">
        <v>783.61</v>
      </c>
      <c r="M550" s="124">
        <v>330.08</v>
      </c>
      <c r="N550" s="124">
        <v>81.08</v>
      </c>
      <c r="O550" s="124">
        <v>0</v>
      </c>
      <c r="P550" s="124">
        <v>247.48</v>
      </c>
      <c r="Q550" s="124" cm="1">
        <f ca="1" t="array" ref="Q550">SUMPRODUCT(TRANSPOSE($I550:$P550),$F$162:$F$169)+SUMIFS($H$210:$H$241,$D$210:$D$241,"&lt;="&amp;N550)+SUMIF($D$310:$D$341,"&lt;="&amp;D550,$H$310:$H$341)</f>
        <v>46185.38</v>
      </c>
      <c r="R550" s="124">
        <f ca="1" t="shared" si="32"/>
        <v>26.727650462963</v>
      </c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</row>
    <row r="551" s="122" customFormat="1" spans="4:31">
      <c r="D551" s="124">
        <v>145</v>
      </c>
      <c r="E551" s="128" t="str">
        <f ca="1" t="shared" si="28"/>
        <v/>
      </c>
      <c r="F551" s="128" t="str">
        <f ca="1" t="shared" si="29"/>
        <v/>
      </c>
      <c r="G551" s="128" t="str">
        <f ca="1" t="shared" si="30"/>
        <v/>
      </c>
      <c r="H551" s="128" t="str">
        <f ca="1" t="shared" si="31"/>
        <v/>
      </c>
      <c r="I551" s="124">
        <v>41.62</v>
      </c>
      <c r="J551" s="124">
        <v>40.78</v>
      </c>
      <c r="K551" s="124">
        <v>124.97</v>
      </c>
      <c r="L551" s="124">
        <v>789.19</v>
      </c>
      <c r="M551" s="124">
        <v>332.19</v>
      </c>
      <c r="N551" s="124">
        <v>81.69</v>
      </c>
      <c r="O551" s="124">
        <v>0</v>
      </c>
      <c r="P551" s="124">
        <v>249.26</v>
      </c>
      <c r="Q551" s="124" cm="1">
        <f ca="1" t="array" ref="Q551">SUMPRODUCT(TRANSPOSE($I551:$P551),$F$162:$F$169)+SUMIFS($H$210:$H$241,$D$210:$D$241,"&lt;="&amp;N551)+SUMIF($D$310:$D$341,"&lt;="&amp;D551,$H$310:$H$341)</f>
        <v>46382.01</v>
      </c>
      <c r="R551" s="124">
        <f ca="1" t="shared" si="32"/>
        <v>26.6563275862069</v>
      </c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</row>
    <row r="552" s="122" customFormat="1" spans="4:31">
      <c r="D552" s="124">
        <v>146</v>
      </c>
      <c r="E552" s="128" t="str">
        <f ca="1" t="shared" si="28"/>
        <v/>
      </c>
      <c r="F552" s="128" t="str">
        <f ca="1" t="shared" si="29"/>
        <v/>
      </c>
      <c r="G552" s="128" t="str">
        <f ca="1" t="shared" si="30"/>
        <v/>
      </c>
      <c r="H552" s="128" t="str">
        <f ca="1" t="shared" si="31"/>
        <v/>
      </c>
      <c r="I552" s="124">
        <v>41.85</v>
      </c>
      <c r="J552" s="124">
        <v>41.01</v>
      </c>
      <c r="K552" s="124">
        <v>125.76</v>
      </c>
      <c r="L552" s="124">
        <v>794.55</v>
      </c>
      <c r="M552" s="124">
        <v>334.32</v>
      </c>
      <c r="N552" s="124">
        <v>82.23</v>
      </c>
      <c r="O552" s="124">
        <v>0</v>
      </c>
      <c r="P552" s="124">
        <v>251.16</v>
      </c>
      <c r="Q552" s="124" cm="1">
        <f ca="1" t="array" ref="Q552">SUMPRODUCT(TRANSPOSE($I552:$P552),$F$162:$F$169)+SUMIFS($H$210:$H$241,$D$210:$D$241,"&lt;="&amp;N552)+SUMIF($D$310:$D$341,"&lt;="&amp;D552,$H$310:$H$341)</f>
        <v>46571.26</v>
      </c>
      <c r="R552" s="124">
        <f ca="1" t="shared" si="32"/>
        <v>26.5817694063927</v>
      </c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</row>
    <row r="553" s="122" customFormat="1" spans="4:31">
      <c r="D553" s="124">
        <v>147</v>
      </c>
      <c r="E553" s="128" t="str">
        <f ca="1" t="shared" si="28"/>
        <v/>
      </c>
      <c r="F553" s="128" t="str">
        <f ca="1" t="shared" si="29"/>
        <v/>
      </c>
      <c r="G553" s="128" t="str">
        <f ca="1" t="shared" si="30"/>
        <v/>
      </c>
      <c r="H553" s="128" t="str">
        <f ca="1" t="shared" si="31"/>
        <v/>
      </c>
      <c r="I553" s="124">
        <v>42.16</v>
      </c>
      <c r="J553" s="124">
        <v>41.36</v>
      </c>
      <c r="K553" s="124">
        <v>126.57</v>
      </c>
      <c r="L553" s="124">
        <v>800.07</v>
      </c>
      <c r="M553" s="124">
        <v>336.54</v>
      </c>
      <c r="N553" s="124">
        <v>82.76</v>
      </c>
      <c r="O553" s="124">
        <v>0</v>
      </c>
      <c r="P553" s="124">
        <v>252.72</v>
      </c>
      <c r="Q553" s="124" cm="1">
        <f ca="1" t="array" ref="Q553">SUMPRODUCT(TRANSPOSE($I553:$P553),$F$162:$F$169)+SUMIFS($H$210:$H$241,$D$210:$D$241,"&lt;="&amp;N553)+SUMIF($D$310:$D$341,"&lt;="&amp;D553,$H$310:$H$341)</f>
        <v>46776.12</v>
      </c>
      <c r="R553" s="124">
        <f ca="1" t="shared" si="32"/>
        <v>26.517074829932</v>
      </c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</row>
    <row r="554" s="122" customFormat="1" spans="4:31">
      <c r="D554" s="124">
        <v>148</v>
      </c>
      <c r="E554" s="128" t="str">
        <f ca="1" t="shared" si="28"/>
        <v/>
      </c>
      <c r="F554" s="128" t="str">
        <f ca="1" t="shared" si="29"/>
        <v/>
      </c>
      <c r="G554" s="128" t="str">
        <f ca="1" t="shared" si="30"/>
        <v/>
      </c>
      <c r="H554" s="128" t="str">
        <f ca="1" t="shared" si="31"/>
        <v/>
      </c>
      <c r="I554" s="124">
        <v>42.42</v>
      </c>
      <c r="J554" s="124">
        <v>41.66</v>
      </c>
      <c r="K554" s="124">
        <v>127.33</v>
      </c>
      <c r="L554" s="124">
        <v>805.41</v>
      </c>
      <c r="M554" s="124">
        <v>338.91</v>
      </c>
      <c r="N554" s="124">
        <v>83.37</v>
      </c>
      <c r="O554" s="124">
        <v>0</v>
      </c>
      <c r="P554" s="124">
        <v>254.62</v>
      </c>
      <c r="Q554" s="124" cm="1">
        <f ca="1" t="array" ref="Q554">SUMPRODUCT(TRANSPOSE($I554:$P554),$F$162:$F$169)+SUMIFS($H$210:$H$241,$D$210:$D$241,"&lt;="&amp;N554)+SUMIF($D$310:$D$341,"&lt;="&amp;D554,$H$310:$H$341)</f>
        <v>46983.17</v>
      </c>
      <c r="R554" s="124">
        <f ca="1" t="shared" si="32"/>
        <v>26.4544876126126</v>
      </c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</row>
    <row r="555" s="122" customFormat="1" spans="4:31">
      <c r="D555" s="124">
        <v>149</v>
      </c>
      <c r="E555" s="128" t="str">
        <f ca="1" t="shared" si="28"/>
        <v/>
      </c>
      <c r="F555" s="128" t="str">
        <f ca="1" t="shared" si="29"/>
        <v/>
      </c>
      <c r="G555" s="128" t="str">
        <f ca="1" t="shared" si="30"/>
        <v/>
      </c>
      <c r="H555" s="128" t="str">
        <f ca="1" t="shared" si="31"/>
        <v/>
      </c>
      <c r="I555" s="124">
        <v>42.71</v>
      </c>
      <c r="J555" s="124">
        <v>41.88</v>
      </c>
      <c r="K555" s="124">
        <v>128.24</v>
      </c>
      <c r="L555" s="124">
        <v>810.8</v>
      </c>
      <c r="M555" s="124">
        <v>341.28</v>
      </c>
      <c r="N555" s="124">
        <v>84.02</v>
      </c>
      <c r="O555" s="124">
        <v>0</v>
      </c>
      <c r="P555" s="124">
        <v>256.4</v>
      </c>
      <c r="Q555" s="124" cm="1">
        <f ca="1" t="array" ref="Q555">SUMPRODUCT(TRANSPOSE($I555:$P555),$F$162:$F$169)+SUMIFS($H$210:$H$241,$D$210:$D$241,"&lt;="&amp;N555)+SUMIF($D$310:$D$341,"&lt;="&amp;D555,$H$310:$H$341)</f>
        <v>47184.9</v>
      </c>
      <c r="R555" s="124">
        <f ca="1" t="shared" si="32"/>
        <v>26.3897651006711</v>
      </c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</row>
    <row r="556" s="122" customFormat="1" spans="4:31">
      <c r="D556" s="124">
        <v>150</v>
      </c>
      <c r="E556" s="128" t="str">
        <f ca="1" t="shared" si="28"/>
        <v/>
      </c>
      <c r="F556" s="128" t="str">
        <f ca="1" t="shared" si="29"/>
        <v/>
      </c>
      <c r="G556" s="128" t="str">
        <f ca="1" t="shared" si="30"/>
        <v/>
      </c>
      <c r="H556" s="128" t="str">
        <f ca="1" t="shared" si="31"/>
        <v/>
      </c>
      <c r="I556" s="124">
        <v>42.97</v>
      </c>
      <c r="J556" s="124">
        <v>42.2</v>
      </c>
      <c r="K556" s="124">
        <v>129.17</v>
      </c>
      <c r="L556" s="124">
        <v>816.29</v>
      </c>
      <c r="M556" s="124">
        <v>343.34</v>
      </c>
      <c r="N556" s="124">
        <v>84.53</v>
      </c>
      <c r="O556" s="124">
        <v>0</v>
      </c>
      <c r="P556" s="124">
        <v>257.86</v>
      </c>
      <c r="Q556" s="124" cm="1">
        <f ca="1" t="array" ref="Q556">SUMPRODUCT(TRANSPOSE($I556:$P556),$F$162:$F$169)+SUMIFS($H$210:$H$241,$D$210:$D$241,"&lt;="&amp;N556)+SUMIF($D$310:$D$341,"&lt;="&amp;D556,$H$310:$H$341)</f>
        <v>47877.86</v>
      </c>
      <c r="R556" s="124">
        <f ca="1" t="shared" si="32"/>
        <v>26.5988111111111</v>
      </c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</row>
    <row r="557" s="122" customFormat="1" spans="4:31">
      <c r="D557" s="124">
        <v>151</v>
      </c>
      <c r="E557" s="128" t="str">
        <f ca="1" t="shared" si="28"/>
        <v/>
      </c>
      <c r="F557" s="128" t="str">
        <f ca="1" t="shared" si="29"/>
        <v/>
      </c>
      <c r="G557" s="128" t="str">
        <f ca="1" t="shared" si="30"/>
        <v/>
      </c>
      <c r="H557" s="128" t="str">
        <f ca="1" t="shared" si="31"/>
        <v/>
      </c>
      <c r="I557" s="124">
        <v>43.24</v>
      </c>
      <c r="J557" s="124">
        <v>42.56</v>
      </c>
      <c r="K557" s="124">
        <v>130.06</v>
      </c>
      <c r="L557" s="124">
        <v>821.34</v>
      </c>
      <c r="M557" s="124">
        <v>345.71</v>
      </c>
      <c r="N557" s="124">
        <v>85.02</v>
      </c>
      <c r="O557" s="124">
        <v>0</v>
      </c>
      <c r="P557" s="124">
        <v>259.71</v>
      </c>
      <c r="Q557" s="124" cm="1">
        <f ca="1" t="array" ref="Q557">SUMPRODUCT(TRANSPOSE($I557:$P557),$F$162:$F$169)+SUMIFS($H$210:$H$241,$D$210:$D$241,"&lt;="&amp;N557)+SUMIF($D$310:$D$341,"&lt;="&amp;D557,$H$310:$H$341)</f>
        <v>48081.96</v>
      </c>
      <c r="R557" s="124">
        <f ca="1" t="shared" si="32"/>
        <v>26.535298013245</v>
      </c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</row>
    <row r="558" s="122" customFormat="1" spans="4:31">
      <c r="D558" s="124">
        <v>152</v>
      </c>
      <c r="E558" s="128" t="str">
        <f ca="1" t="shared" si="28"/>
        <v/>
      </c>
      <c r="F558" s="128" t="str">
        <f ca="1" t="shared" si="29"/>
        <v/>
      </c>
      <c r="G558" s="128" t="str">
        <f ca="1" t="shared" si="30"/>
        <v/>
      </c>
      <c r="H558" s="128" t="str">
        <f ca="1" t="shared" si="31"/>
        <v/>
      </c>
      <c r="I558" s="124">
        <v>43.52</v>
      </c>
      <c r="J558" s="124">
        <v>42.78</v>
      </c>
      <c r="K558" s="124">
        <v>130.92</v>
      </c>
      <c r="L558" s="124">
        <v>826.81</v>
      </c>
      <c r="M558" s="124">
        <v>348.12</v>
      </c>
      <c r="N558" s="124">
        <v>85.61</v>
      </c>
      <c r="O558" s="124">
        <v>0</v>
      </c>
      <c r="P558" s="124">
        <v>261.39</v>
      </c>
      <c r="Q558" s="124" cm="1">
        <f ca="1" t="array" ref="Q558">SUMPRODUCT(TRANSPOSE($I558:$P558),$F$162:$F$169)+SUMIFS($H$210:$H$241,$D$210:$D$241,"&lt;="&amp;N558)+SUMIF($D$310:$D$341,"&lt;="&amp;D558,$H$310:$H$341)</f>
        <v>48280.89</v>
      </c>
      <c r="R558" s="124">
        <f ca="1" t="shared" si="32"/>
        <v>26.4697861842105</v>
      </c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</row>
    <row r="559" s="122" customFormat="1" spans="4:31">
      <c r="D559" s="124">
        <v>153</v>
      </c>
      <c r="E559" s="128" t="str">
        <f ca="1" t="shared" si="28"/>
        <v/>
      </c>
      <c r="F559" s="128" t="str">
        <f ca="1" t="shared" si="29"/>
        <v/>
      </c>
      <c r="G559" s="128" t="str">
        <f ca="1" t="shared" si="30"/>
        <v/>
      </c>
      <c r="H559" s="128" t="str">
        <f ca="1" t="shared" si="31"/>
        <v/>
      </c>
      <c r="I559" s="124">
        <v>43.86</v>
      </c>
      <c r="J559" s="124">
        <v>43.05</v>
      </c>
      <c r="K559" s="124">
        <v>131.77</v>
      </c>
      <c r="L559" s="124">
        <v>832.04</v>
      </c>
      <c r="M559" s="124">
        <v>350.62</v>
      </c>
      <c r="N559" s="124">
        <v>86.15</v>
      </c>
      <c r="O559" s="124">
        <v>0</v>
      </c>
      <c r="P559" s="124">
        <v>263.34</v>
      </c>
      <c r="Q559" s="124" cm="1">
        <f ca="1" t="array" ref="Q559">SUMPRODUCT(TRANSPOSE($I559:$P559),$F$162:$F$169)+SUMIFS($H$210:$H$241,$D$210:$D$241,"&lt;="&amp;N559)+SUMIF($D$310:$D$341,"&lt;="&amp;D559,$H$310:$H$341)</f>
        <v>48488.14</v>
      </c>
      <c r="R559" s="124">
        <f ca="1" t="shared" si="32"/>
        <v>26.4096623093682</v>
      </c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</row>
    <row r="560" s="122" customFormat="1" spans="4:31">
      <c r="D560" s="124">
        <v>154</v>
      </c>
      <c r="E560" s="128" t="str">
        <f ca="1" t="shared" si="28"/>
        <v/>
      </c>
      <c r="F560" s="128" t="str">
        <f ca="1" t="shared" si="29"/>
        <v/>
      </c>
      <c r="G560" s="128" t="str">
        <f ca="1" t="shared" si="30"/>
        <v/>
      </c>
      <c r="H560" s="128" t="str">
        <f ca="1" t="shared" si="31"/>
        <v/>
      </c>
      <c r="I560" s="124">
        <v>44.1</v>
      </c>
      <c r="J560" s="124">
        <v>43.32</v>
      </c>
      <c r="K560" s="124">
        <v>132.68</v>
      </c>
      <c r="L560" s="124">
        <v>837.5</v>
      </c>
      <c r="M560" s="124">
        <v>352.93</v>
      </c>
      <c r="N560" s="124">
        <v>86.67</v>
      </c>
      <c r="O560" s="124">
        <v>0</v>
      </c>
      <c r="P560" s="124">
        <v>264.99</v>
      </c>
      <c r="Q560" s="124" cm="1">
        <f ca="1" t="array" ref="Q560">SUMPRODUCT(TRANSPOSE($I560:$P560),$F$162:$F$169)+SUMIFS($H$210:$H$241,$D$210:$D$241,"&lt;="&amp;N560)+SUMIF($D$310:$D$341,"&lt;="&amp;D560,$H$310:$H$341)</f>
        <v>48683.64</v>
      </c>
      <c r="R560" s="124">
        <f ca="1" t="shared" si="32"/>
        <v>26.343961038961</v>
      </c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</row>
    <row r="561" s="122" customFormat="1" spans="4:31">
      <c r="D561" s="124">
        <v>155</v>
      </c>
      <c r="E561" s="128" t="str">
        <f ca="1" t="shared" si="28"/>
        <v/>
      </c>
      <c r="F561" s="128" t="str">
        <f ca="1" t="shared" si="29"/>
        <v/>
      </c>
      <c r="G561" s="128" t="str">
        <f ca="1" t="shared" si="30"/>
        <v/>
      </c>
      <c r="H561" s="128" t="str">
        <f ca="1" t="shared" si="31"/>
        <v/>
      </c>
      <c r="I561" s="124">
        <v>44.43</v>
      </c>
      <c r="J561" s="124">
        <v>43.61</v>
      </c>
      <c r="K561" s="124">
        <v>133.51</v>
      </c>
      <c r="L561" s="124">
        <v>842.87</v>
      </c>
      <c r="M561" s="124">
        <v>355.19</v>
      </c>
      <c r="N561" s="124">
        <v>87.18</v>
      </c>
      <c r="O561" s="124">
        <v>0</v>
      </c>
      <c r="P561" s="124">
        <v>266.82</v>
      </c>
      <c r="Q561" s="124" cm="1">
        <f ca="1" t="array" ref="Q561">SUMPRODUCT(TRANSPOSE($I561:$P561),$F$162:$F$169)+SUMIFS($H$210:$H$241,$D$210:$D$241,"&lt;="&amp;N561)+SUMIF($D$310:$D$341,"&lt;="&amp;D561,$H$310:$H$341)</f>
        <v>48884.97</v>
      </c>
      <c r="R561" s="124">
        <f ca="1" t="shared" si="32"/>
        <v>26.2822419354839</v>
      </c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</row>
    <row r="562" s="122" customFormat="1" spans="4:31">
      <c r="D562" s="124">
        <v>156</v>
      </c>
      <c r="E562" s="128" t="str">
        <f ca="1" t="shared" si="28"/>
        <v/>
      </c>
      <c r="F562" s="128" t="str">
        <f ca="1" t="shared" si="29"/>
        <v/>
      </c>
      <c r="G562" s="128" t="str">
        <f ca="1" t="shared" si="30"/>
        <v/>
      </c>
      <c r="H562" s="128" t="str">
        <f ca="1" t="shared" si="31"/>
        <v/>
      </c>
      <c r="I562" s="124">
        <v>44.68</v>
      </c>
      <c r="J562" s="124">
        <v>43.87</v>
      </c>
      <c r="K562" s="124">
        <v>134.43</v>
      </c>
      <c r="L562" s="124">
        <v>848.41</v>
      </c>
      <c r="M562" s="124">
        <v>357.44</v>
      </c>
      <c r="N562" s="124">
        <v>87.59</v>
      </c>
      <c r="O562" s="124">
        <v>0</v>
      </c>
      <c r="P562" s="124">
        <v>268.51</v>
      </c>
      <c r="Q562" s="124" cm="1">
        <f ca="1" t="array" ref="Q562">SUMPRODUCT(TRANSPOSE($I562:$P562),$F$162:$F$169)+SUMIFS($H$210:$H$241,$D$210:$D$241,"&lt;="&amp;N562)+SUMIF($D$310:$D$341,"&lt;="&amp;D562,$H$310:$H$341)</f>
        <v>49074.21</v>
      </c>
      <c r="R562" s="124">
        <f ca="1" t="shared" si="32"/>
        <v>26.2148557692308</v>
      </c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</row>
    <row r="563" s="122" customFormat="1" spans="4:31">
      <c r="D563" s="124">
        <v>157</v>
      </c>
      <c r="E563" s="128" t="str">
        <f ca="1" t="shared" si="28"/>
        <v/>
      </c>
      <c r="F563" s="128" t="str">
        <f ca="1" t="shared" si="29"/>
        <v/>
      </c>
      <c r="G563" s="128" t="str">
        <f ca="1" t="shared" si="30"/>
        <v/>
      </c>
      <c r="H563" s="128" t="str">
        <f ca="1" t="shared" si="31"/>
        <v/>
      </c>
      <c r="I563" s="124">
        <v>44.95</v>
      </c>
      <c r="J563" s="124">
        <v>44.15</v>
      </c>
      <c r="K563" s="124">
        <v>135.46</v>
      </c>
      <c r="L563" s="124">
        <v>853.83</v>
      </c>
      <c r="M563" s="124">
        <v>359.87</v>
      </c>
      <c r="N563" s="124">
        <v>88.16</v>
      </c>
      <c r="O563" s="124">
        <v>0</v>
      </c>
      <c r="P563" s="124">
        <v>270.33</v>
      </c>
      <c r="Q563" s="124" cm="1">
        <f ca="1" t="array" ref="Q563">SUMPRODUCT(TRANSPOSE($I563:$P563),$F$162:$F$169)+SUMIFS($H$210:$H$241,$D$210:$D$241,"&lt;="&amp;N563)+SUMIF($D$310:$D$341,"&lt;="&amp;D563,$H$310:$H$341)</f>
        <v>49279.18</v>
      </c>
      <c r="R563" s="124">
        <f ca="1" t="shared" si="32"/>
        <v>26.1566772823779</v>
      </c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</row>
    <row r="564" s="122" customFormat="1" spans="4:31">
      <c r="D564" s="124">
        <v>158</v>
      </c>
      <c r="E564" s="128" t="str">
        <f ca="1" t="shared" si="28"/>
        <v/>
      </c>
      <c r="F564" s="128" t="str">
        <f ca="1" t="shared" si="29"/>
        <v/>
      </c>
      <c r="G564" s="128" t="str">
        <f ca="1" t="shared" si="30"/>
        <v/>
      </c>
      <c r="H564" s="128" t="str">
        <f ca="1" t="shared" si="31"/>
        <v/>
      </c>
      <c r="I564" s="124">
        <v>45.32</v>
      </c>
      <c r="J564" s="124">
        <v>44.4</v>
      </c>
      <c r="K564" s="124">
        <v>136.38</v>
      </c>
      <c r="L564" s="124">
        <v>859.35</v>
      </c>
      <c r="M564" s="124">
        <v>362.01</v>
      </c>
      <c r="N564" s="124">
        <v>88.75</v>
      </c>
      <c r="O564" s="124">
        <v>0</v>
      </c>
      <c r="P564" s="124">
        <v>272.2</v>
      </c>
      <c r="Q564" s="124" cm="1">
        <f ca="1" t="array" ref="Q564">SUMPRODUCT(TRANSPOSE($I564:$P564),$F$162:$F$169)+SUMIFS($H$210:$H$241,$D$210:$D$241,"&lt;="&amp;N564)+SUMIF($D$310:$D$341,"&lt;="&amp;D564,$H$310:$H$341)</f>
        <v>49481.45</v>
      </c>
      <c r="R564" s="124">
        <f ca="1" t="shared" si="32"/>
        <v>26.0978111814346</v>
      </c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</row>
    <row r="565" s="122" customFormat="1" spans="4:31">
      <c r="D565" s="124">
        <v>159</v>
      </c>
      <c r="E565" s="128" t="str">
        <f ca="1" t="shared" si="28"/>
        <v/>
      </c>
      <c r="F565" s="128" t="str">
        <f ca="1" t="shared" si="29"/>
        <v/>
      </c>
      <c r="G565" s="128" t="str">
        <f ca="1" t="shared" si="30"/>
        <v/>
      </c>
      <c r="H565" s="128" t="str">
        <f ca="1" t="shared" si="31"/>
        <v/>
      </c>
      <c r="I565" s="124">
        <v>45.61</v>
      </c>
      <c r="J565" s="124">
        <v>44.66</v>
      </c>
      <c r="K565" s="124">
        <v>137.26</v>
      </c>
      <c r="L565" s="124">
        <v>864.59</v>
      </c>
      <c r="M565" s="124">
        <v>364.28</v>
      </c>
      <c r="N565" s="124">
        <v>89.35</v>
      </c>
      <c r="O565" s="124">
        <v>0</v>
      </c>
      <c r="P565" s="124">
        <v>273.97</v>
      </c>
      <c r="Q565" s="124" cm="1">
        <f ca="1" t="array" ref="Q565">SUMPRODUCT(TRANSPOSE($I565:$P565),$F$162:$F$169)+SUMIFS($H$210:$H$241,$D$210:$D$241,"&lt;="&amp;N565)+SUMIF($D$310:$D$341,"&lt;="&amp;D565,$H$310:$H$341)</f>
        <v>49680.57</v>
      </c>
      <c r="R565" s="124">
        <f ca="1" t="shared" si="32"/>
        <v>26.038034591195</v>
      </c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</row>
    <row r="566" s="122" customFormat="1" spans="4:31">
      <c r="D566" s="124">
        <v>160</v>
      </c>
      <c r="E566" s="128" t="str">
        <f ca="1" t="shared" si="28"/>
        <v/>
      </c>
      <c r="F566" s="128" t="str">
        <f ca="1" t="shared" si="29"/>
        <v/>
      </c>
      <c r="G566" s="128" t="str">
        <f ca="1" t="shared" si="30"/>
        <v/>
      </c>
      <c r="H566" s="128" t="str">
        <f ca="1" t="shared" si="31"/>
        <v/>
      </c>
      <c r="I566" s="124">
        <v>45.94</v>
      </c>
      <c r="J566" s="124">
        <v>44.97</v>
      </c>
      <c r="K566" s="124">
        <v>138.11</v>
      </c>
      <c r="L566" s="124">
        <v>869.97</v>
      </c>
      <c r="M566" s="124">
        <v>366.53</v>
      </c>
      <c r="N566" s="124">
        <v>89.92</v>
      </c>
      <c r="O566" s="124">
        <v>0</v>
      </c>
      <c r="P566" s="124">
        <v>275.69</v>
      </c>
      <c r="Q566" s="124" cm="1">
        <f ca="1" t="array" ref="Q566">SUMPRODUCT(TRANSPOSE($I566:$P566),$F$162:$F$169)+SUMIFS($H$210:$H$241,$D$210:$D$241,"&lt;="&amp;N566)+SUMIF($D$310:$D$341,"&lt;="&amp;D566,$H$310:$H$341)</f>
        <v>50385.54</v>
      </c>
      <c r="R566" s="124">
        <f ca="1" t="shared" si="32"/>
        <v>26.24246875</v>
      </c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</row>
    <row r="567" s="122" customFormat="1" spans="4:31">
      <c r="D567" s="124">
        <v>161</v>
      </c>
      <c r="E567" s="128" t="str">
        <f ca="1" t="shared" si="28"/>
        <v/>
      </c>
      <c r="F567" s="128" t="str">
        <f ca="1" t="shared" si="29"/>
        <v/>
      </c>
      <c r="G567" s="128" t="str">
        <f ca="1" t="shared" si="30"/>
        <v/>
      </c>
      <c r="H567" s="128" t="str">
        <f ca="1" t="shared" si="31"/>
        <v/>
      </c>
      <c r="I567" s="124">
        <v>46.15</v>
      </c>
      <c r="J567" s="124">
        <v>45.31</v>
      </c>
      <c r="K567" s="124">
        <v>138.94</v>
      </c>
      <c r="L567" s="124">
        <v>875.6</v>
      </c>
      <c r="M567" s="124">
        <v>368.89</v>
      </c>
      <c r="N567" s="124">
        <v>90.48</v>
      </c>
      <c r="O567" s="124">
        <v>0</v>
      </c>
      <c r="P567" s="124">
        <v>277.3</v>
      </c>
      <c r="Q567" s="124" cm="1">
        <f ca="1" t="array" ref="Q567">SUMPRODUCT(TRANSPOSE($I567:$P567),$F$162:$F$169)+SUMIFS($H$210:$H$241,$D$210:$D$241,"&lt;="&amp;N567)+SUMIF($D$310:$D$341,"&lt;="&amp;D567,$H$310:$H$341)</f>
        <v>51691.05</v>
      </c>
      <c r="R567" s="124">
        <f ca="1" t="shared" si="32"/>
        <v>26.755201863354</v>
      </c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</row>
    <row r="568" s="122" customFormat="1" spans="4:31">
      <c r="D568" s="124">
        <v>162</v>
      </c>
      <c r="E568" s="128" t="str">
        <f ca="1" t="shared" si="28"/>
        <v/>
      </c>
      <c r="F568" s="128" t="str">
        <f ca="1" t="shared" si="29"/>
        <v/>
      </c>
      <c r="G568" s="128" t="str">
        <f ca="1" t="shared" si="30"/>
        <v/>
      </c>
      <c r="H568" s="128" t="str">
        <f ca="1" t="shared" si="31"/>
        <v/>
      </c>
      <c r="I568" s="124">
        <v>46.4</v>
      </c>
      <c r="J568" s="124">
        <v>45.63</v>
      </c>
      <c r="K568" s="124">
        <v>139.71</v>
      </c>
      <c r="L568" s="124">
        <v>880.99</v>
      </c>
      <c r="M568" s="124">
        <v>371.31</v>
      </c>
      <c r="N568" s="124">
        <v>91.02</v>
      </c>
      <c r="O568" s="124">
        <v>0</v>
      </c>
      <c r="P568" s="124">
        <v>279.12</v>
      </c>
      <c r="Q568" s="124" cm="1">
        <f ca="1" t="array" ref="Q568">SUMPRODUCT(TRANSPOSE($I568:$P568),$F$162:$F$169)+SUMIFS($H$210:$H$241,$D$210:$D$241,"&lt;="&amp;N568)+SUMIF($D$310:$D$341,"&lt;="&amp;D568,$H$310:$H$341)</f>
        <v>51896.97</v>
      </c>
      <c r="R568" s="124">
        <f ca="1" t="shared" si="32"/>
        <v>26.6959722222222</v>
      </c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</row>
    <row r="569" s="122" customFormat="1" spans="4:31">
      <c r="D569" s="124">
        <v>163</v>
      </c>
      <c r="E569" s="128" t="str">
        <f ca="1" t="shared" si="28"/>
        <v/>
      </c>
      <c r="F569" s="128" t="str">
        <f ca="1" t="shared" si="29"/>
        <v/>
      </c>
      <c r="G569" s="128" t="str">
        <f ca="1" t="shared" si="30"/>
        <v/>
      </c>
      <c r="H569" s="128" t="str">
        <f ca="1" t="shared" si="31"/>
        <v/>
      </c>
      <c r="I569" s="124">
        <v>46.64</v>
      </c>
      <c r="J569" s="124">
        <v>45.87</v>
      </c>
      <c r="K569" s="124">
        <v>140.8</v>
      </c>
      <c r="L569" s="124">
        <v>886.33</v>
      </c>
      <c r="M569" s="124">
        <v>373.55</v>
      </c>
      <c r="N569" s="124">
        <v>91.58</v>
      </c>
      <c r="O569" s="124">
        <v>0</v>
      </c>
      <c r="P569" s="124">
        <v>280.81</v>
      </c>
      <c r="Q569" s="124" cm="1">
        <f ca="1" t="array" ref="Q569">SUMPRODUCT(TRANSPOSE($I569:$P569),$F$162:$F$169)+SUMIFS($H$210:$H$241,$D$210:$D$241,"&lt;="&amp;N569)+SUMIF($D$310:$D$341,"&lt;="&amp;D569,$H$310:$H$341)</f>
        <v>52088.96</v>
      </c>
      <c r="R569" s="124">
        <f ca="1" t="shared" si="32"/>
        <v>26.6303476482618</v>
      </c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</row>
    <row r="570" s="122" customFormat="1" spans="4:31">
      <c r="D570" s="124">
        <v>164</v>
      </c>
      <c r="E570" s="128" t="str">
        <f ca="1" t="shared" si="28"/>
        <v/>
      </c>
      <c r="F570" s="128" t="str">
        <f ca="1" t="shared" si="29"/>
        <v/>
      </c>
      <c r="G570" s="128" t="str">
        <f ca="1" t="shared" si="30"/>
        <v/>
      </c>
      <c r="H570" s="128" t="str">
        <f ca="1" t="shared" si="31"/>
        <v/>
      </c>
      <c r="I570" s="124">
        <v>46.94</v>
      </c>
      <c r="J570" s="124">
        <v>46.14</v>
      </c>
      <c r="K570" s="124">
        <v>141.6</v>
      </c>
      <c r="L570" s="124">
        <v>891.79</v>
      </c>
      <c r="M570" s="124">
        <v>375.88</v>
      </c>
      <c r="N570" s="124">
        <v>92.01</v>
      </c>
      <c r="O570" s="124">
        <v>0</v>
      </c>
      <c r="P570" s="124">
        <v>282.65</v>
      </c>
      <c r="Q570" s="124" cm="1">
        <f ca="1" t="array" ref="Q570">SUMPRODUCT(TRANSPOSE($I570:$P570),$F$162:$F$169)+SUMIFS($H$210:$H$241,$D$210:$D$241,"&lt;="&amp;N570)+SUMIF($D$310:$D$341,"&lt;="&amp;D570,$H$310:$H$341)</f>
        <v>52285.55</v>
      </c>
      <c r="R570" s="124">
        <f ca="1" t="shared" si="32"/>
        <v>26.5678607723577</v>
      </c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</row>
    <row r="571" s="122" customFormat="1" spans="4:31">
      <c r="D571" s="124">
        <v>165</v>
      </c>
      <c r="E571" s="128" t="str">
        <f ca="1" t="shared" si="28"/>
        <v/>
      </c>
      <c r="F571" s="128" t="str">
        <f ca="1" t="shared" si="29"/>
        <v/>
      </c>
      <c r="G571" s="128" t="str">
        <f ca="1" t="shared" si="30"/>
        <v/>
      </c>
      <c r="H571" s="128" t="str">
        <f ca="1" t="shared" si="31"/>
        <v/>
      </c>
      <c r="I571" s="124">
        <v>47.23</v>
      </c>
      <c r="J571" s="124">
        <v>46.33</v>
      </c>
      <c r="K571" s="124">
        <v>142.49</v>
      </c>
      <c r="L571" s="124">
        <v>897.34</v>
      </c>
      <c r="M571" s="124">
        <v>378.2</v>
      </c>
      <c r="N571" s="124">
        <v>92.62</v>
      </c>
      <c r="O571" s="124">
        <v>0</v>
      </c>
      <c r="P571" s="124">
        <v>284.31</v>
      </c>
      <c r="Q571" s="124" cm="1">
        <f ca="1" t="array" ref="Q571">SUMPRODUCT(TRANSPOSE($I571:$P571),$F$162:$F$169)+SUMIFS($H$210:$H$241,$D$210:$D$241,"&lt;="&amp;N571)+SUMIF($D$310:$D$341,"&lt;="&amp;D571,$H$310:$H$341)</f>
        <v>52481.31</v>
      </c>
      <c r="R571" s="124">
        <f ca="1" t="shared" si="32"/>
        <v>26.5057121212121</v>
      </c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</row>
    <row r="572" s="122" customFormat="1" spans="4:31">
      <c r="D572" s="124">
        <v>166</v>
      </c>
      <c r="E572" s="128" t="str">
        <f ca="1" t="shared" si="28"/>
        <v/>
      </c>
      <c r="F572" s="128" t="str">
        <f ca="1" t="shared" si="29"/>
        <v/>
      </c>
      <c r="G572" s="128" t="str">
        <f ca="1" t="shared" si="30"/>
        <v/>
      </c>
      <c r="H572" s="128" t="str">
        <f ca="1" t="shared" si="31"/>
        <v/>
      </c>
      <c r="I572" s="124">
        <v>47.52</v>
      </c>
      <c r="J572" s="124">
        <v>46.7</v>
      </c>
      <c r="K572" s="124">
        <v>143.43</v>
      </c>
      <c r="L572" s="124">
        <v>902.98</v>
      </c>
      <c r="M572" s="124">
        <v>380.48</v>
      </c>
      <c r="N572" s="124">
        <v>93.16</v>
      </c>
      <c r="O572" s="124">
        <v>0</v>
      </c>
      <c r="P572" s="124">
        <v>285.92</v>
      </c>
      <c r="Q572" s="124" cm="1">
        <f ca="1" t="array" ref="Q572">SUMPRODUCT(TRANSPOSE($I572:$P572),$F$162:$F$169)+SUMIFS($H$210:$H$241,$D$210:$D$241,"&lt;="&amp;N572)+SUMIF($D$310:$D$341,"&lt;="&amp;D572,$H$310:$H$341)</f>
        <v>52690.92</v>
      </c>
      <c r="R572" s="124">
        <f ca="1" t="shared" si="32"/>
        <v>26.451265060241</v>
      </c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</row>
    <row r="573" s="122" customFormat="1" spans="4:31">
      <c r="D573" s="124">
        <v>167</v>
      </c>
      <c r="E573" s="128" t="str">
        <f ca="1" t="shared" si="28"/>
        <v/>
      </c>
      <c r="F573" s="128" t="str">
        <f ca="1" t="shared" si="29"/>
        <v/>
      </c>
      <c r="G573" s="128" t="str">
        <f ca="1" t="shared" si="30"/>
        <v/>
      </c>
      <c r="H573" s="128" t="str">
        <f ca="1" t="shared" si="31"/>
        <v/>
      </c>
      <c r="I573" s="124">
        <v>47.73</v>
      </c>
      <c r="J573" s="124">
        <v>47</v>
      </c>
      <c r="K573" s="124">
        <v>144.28</v>
      </c>
      <c r="L573" s="124">
        <v>908.54</v>
      </c>
      <c r="M573" s="124">
        <v>382.77</v>
      </c>
      <c r="N573" s="124">
        <v>93.75</v>
      </c>
      <c r="O573" s="124">
        <v>0</v>
      </c>
      <c r="P573" s="124">
        <v>287.63</v>
      </c>
      <c r="Q573" s="124" cm="1">
        <f ca="1" t="array" ref="Q573">SUMPRODUCT(TRANSPOSE($I573:$P573),$F$162:$F$169)+SUMIFS($H$210:$H$241,$D$210:$D$241,"&lt;="&amp;N573)+SUMIF($D$310:$D$341,"&lt;="&amp;D573,$H$310:$H$341)</f>
        <v>52892.58</v>
      </c>
      <c r="R573" s="124">
        <f ca="1" t="shared" si="32"/>
        <v>26.393502994012</v>
      </c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</row>
    <row r="574" s="122" customFormat="1" spans="4:31">
      <c r="D574" s="124">
        <v>168</v>
      </c>
      <c r="E574" s="128" t="str">
        <f ca="1" t="shared" si="28"/>
        <v/>
      </c>
      <c r="F574" s="128" t="str">
        <f ca="1" t="shared" si="29"/>
        <v/>
      </c>
      <c r="G574" s="128" t="str">
        <f ca="1" t="shared" si="30"/>
        <v/>
      </c>
      <c r="H574" s="128" t="str">
        <f ca="1" t="shared" si="31"/>
        <v/>
      </c>
      <c r="I574" s="124">
        <v>47.97</v>
      </c>
      <c r="J574" s="124">
        <v>47.27</v>
      </c>
      <c r="K574" s="124">
        <v>145.23</v>
      </c>
      <c r="L574" s="124">
        <v>913.99</v>
      </c>
      <c r="M574" s="124">
        <v>384.97</v>
      </c>
      <c r="N574" s="124">
        <v>94.42</v>
      </c>
      <c r="O574" s="124">
        <v>0</v>
      </c>
      <c r="P574" s="124">
        <v>289.39</v>
      </c>
      <c r="Q574" s="124" cm="1">
        <f ca="1" t="array" ref="Q574">SUMPRODUCT(TRANSPOSE($I574:$P574),$F$162:$F$169)+SUMIFS($H$210:$H$241,$D$210:$D$241,"&lt;="&amp;N574)+SUMIF($D$310:$D$341,"&lt;="&amp;D574,$H$310:$H$341)</f>
        <v>53093.94</v>
      </c>
      <c r="R574" s="124">
        <f ca="1" t="shared" si="32"/>
        <v>26.3362797619048</v>
      </c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</row>
    <row r="575" s="122" customFormat="1" spans="4:31">
      <c r="D575" s="124">
        <v>169</v>
      </c>
      <c r="E575" s="128" t="str">
        <f ca="1" t="shared" si="28"/>
        <v/>
      </c>
      <c r="F575" s="128" t="str">
        <f ca="1" t="shared" si="29"/>
        <v/>
      </c>
      <c r="G575" s="128" t="str">
        <f ca="1" t="shared" si="30"/>
        <v/>
      </c>
      <c r="H575" s="128" t="str">
        <f ca="1" t="shared" si="31"/>
        <v/>
      </c>
      <c r="I575" s="124">
        <v>48.3</v>
      </c>
      <c r="J575" s="124">
        <v>47.6</v>
      </c>
      <c r="K575" s="124">
        <v>145.97</v>
      </c>
      <c r="L575" s="124">
        <v>919.58</v>
      </c>
      <c r="M575" s="124">
        <v>387.27</v>
      </c>
      <c r="N575" s="124">
        <v>94.96</v>
      </c>
      <c r="O575" s="124">
        <v>0</v>
      </c>
      <c r="P575" s="124">
        <v>291.05</v>
      </c>
      <c r="Q575" s="124" cm="1">
        <f ca="1" t="array" ref="Q575">SUMPRODUCT(TRANSPOSE($I575:$P575),$F$162:$F$169)+SUMIFS($H$210:$H$241,$D$210:$D$241,"&lt;="&amp;N575)+SUMIF($D$310:$D$341,"&lt;="&amp;D575,$H$310:$H$341)</f>
        <v>53302.1</v>
      </c>
      <c r="R575" s="124">
        <f ca="1" t="shared" si="32"/>
        <v>26.2830867850099</v>
      </c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</row>
    <row r="576" s="122" customFormat="1" spans="4:31">
      <c r="D576" s="124">
        <v>170</v>
      </c>
      <c r="E576" s="128" t="str">
        <f ca="1" t="shared" si="28"/>
        <v/>
      </c>
      <c r="F576" s="128" t="str">
        <f ca="1" t="shared" si="29"/>
        <v/>
      </c>
      <c r="G576" s="128" t="str">
        <f ca="1" t="shared" si="30"/>
        <v/>
      </c>
      <c r="H576" s="128" t="str">
        <f ca="1" t="shared" si="31"/>
        <v/>
      </c>
      <c r="I576" s="124">
        <v>48.65</v>
      </c>
      <c r="J576" s="124">
        <v>47.9</v>
      </c>
      <c r="K576" s="124">
        <v>146.77</v>
      </c>
      <c r="L576" s="124">
        <v>924.94</v>
      </c>
      <c r="M576" s="124">
        <v>389.47</v>
      </c>
      <c r="N576" s="124">
        <v>95.58</v>
      </c>
      <c r="O576" s="124">
        <v>0</v>
      </c>
      <c r="P576" s="124">
        <v>292.89</v>
      </c>
      <c r="Q576" s="124" cm="1">
        <f ca="1" t="array" ref="Q576">SUMPRODUCT(TRANSPOSE($I576:$P576),$F$162:$F$169)+SUMIFS($H$210:$H$241,$D$210:$D$241,"&lt;="&amp;N576)+SUMIF($D$310:$D$341,"&lt;="&amp;D576,$H$310:$H$341)</f>
        <v>54009.44</v>
      </c>
      <c r="R576" s="124">
        <f ca="1" t="shared" si="32"/>
        <v>26.4752156862745</v>
      </c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</row>
    <row r="577" s="122" customFormat="1" spans="4:31">
      <c r="D577" s="124">
        <v>171</v>
      </c>
      <c r="E577" s="128" t="str">
        <f ca="1" t="shared" si="28"/>
        <v/>
      </c>
      <c r="F577" s="128" t="str">
        <f ca="1" t="shared" si="29"/>
        <v/>
      </c>
      <c r="G577" s="128" t="str">
        <f ca="1" t="shared" si="30"/>
        <v/>
      </c>
      <c r="H577" s="128" t="str">
        <f ca="1" t="shared" si="31"/>
        <v/>
      </c>
      <c r="I577" s="124">
        <v>48.89</v>
      </c>
      <c r="J577" s="124">
        <v>48.13</v>
      </c>
      <c r="K577" s="124">
        <v>147.54</v>
      </c>
      <c r="L577" s="124">
        <v>930.39</v>
      </c>
      <c r="M577" s="124">
        <v>391.91</v>
      </c>
      <c r="N577" s="124">
        <v>96.09</v>
      </c>
      <c r="O577" s="124">
        <v>0</v>
      </c>
      <c r="P577" s="124">
        <v>294.74</v>
      </c>
      <c r="Q577" s="124" cm="1">
        <f ca="1" t="array" ref="Q577">SUMPRODUCT(TRANSPOSE($I577:$P577),$F$162:$F$169)+SUMIFS($H$210:$H$241,$D$210:$D$241,"&lt;="&amp;N577)+SUMIF($D$310:$D$341,"&lt;="&amp;D577,$H$310:$H$341)</f>
        <v>54205.79</v>
      </c>
      <c r="R577" s="124">
        <f ca="1" t="shared" si="32"/>
        <v>26.4160769980507</v>
      </c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</row>
    <row r="578" s="122" customFormat="1" spans="4:31">
      <c r="D578" s="124">
        <v>172</v>
      </c>
      <c r="E578" s="128" t="str">
        <f ca="1" t="shared" si="28"/>
        <v/>
      </c>
      <c r="F578" s="128" t="str">
        <f ca="1" t="shared" si="29"/>
        <v/>
      </c>
      <c r="G578" s="128" t="str">
        <f ca="1" t="shared" si="30"/>
        <v/>
      </c>
      <c r="H578" s="128" t="str">
        <f ca="1" t="shared" si="31"/>
        <v/>
      </c>
      <c r="I578" s="124">
        <v>49.29</v>
      </c>
      <c r="J578" s="124">
        <v>48.33</v>
      </c>
      <c r="K578" s="124">
        <v>148.39</v>
      </c>
      <c r="L578" s="124">
        <v>935.74</v>
      </c>
      <c r="M578" s="124">
        <v>394.28</v>
      </c>
      <c r="N578" s="124">
        <v>96.57</v>
      </c>
      <c r="O578" s="124">
        <v>0</v>
      </c>
      <c r="P578" s="124">
        <v>296.4</v>
      </c>
      <c r="Q578" s="124" cm="1">
        <f ca="1" t="array" ref="Q578">SUMPRODUCT(TRANSPOSE($I578:$P578),$F$162:$F$169)+SUMIFS($H$210:$H$241,$D$210:$D$241,"&lt;="&amp;N578)+SUMIF($D$310:$D$341,"&lt;="&amp;D578,$H$310:$H$341)</f>
        <v>54400.8</v>
      </c>
      <c r="R578" s="124">
        <f ca="1" t="shared" si="32"/>
        <v>26.356976744186</v>
      </c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</row>
    <row r="579" s="122" customFormat="1" spans="4:31">
      <c r="D579" s="124">
        <v>173</v>
      </c>
      <c r="E579" s="128" t="str">
        <f ca="1" t="shared" si="28"/>
        <v/>
      </c>
      <c r="F579" s="128" t="str">
        <f ca="1" t="shared" si="29"/>
        <v/>
      </c>
      <c r="G579" s="128" t="str">
        <f ca="1" t="shared" si="30"/>
        <v/>
      </c>
      <c r="H579" s="128" t="str">
        <f ca="1" t="shared" si="31"/>
        <v/>
      </c>
      <c r="I579" s="124">
        <v>49.6</v>
      </c>
      <c r="J579" s="124">
        <v>48.7</v>
      </c>
      <c r="K579" s="124">
        <v>149.21</v>
      </c>
      <c r="L579" s="124">
        <v>941.01</v>
      </c>
      <c r="M579" s="124">
        <v>396.55</v>
      </c>
      <c r="N579" s="124">
        <v>97.32</v>
      </c>
      <c r="O579" s="124">
        <v>0</v>
      </c>
      <c r="P579" s="124">
        <v>298.1</v>
      </c>
      <c r="Q579" s="124" cm="1">
        <f ca="1" t="array" ref="Q579">SUMPRODUCT(TRANSPOSE($I579:$P579),$F$162:$F$169)+SUMIFS($H$210:$H$241,$D$210:$D$241,"&lt;="&amp;N579)+SUMIF($D$310:$D$341,"&lt;="&amp;D579,$H$310:$H$341)</f>
        <v>54618.95</v>
      </c>
      <c r="R579" s="124">
        <f ca="1" t="shared" si="32"/>
        <v>26.3097061657033</v>
      </c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</row>
    <row r="580" s="122" customFormat="1" spans="4:31">
      <c r="D580" s="124">
        <v>174</v>
      </c>
      <c r="E580" s="128" t="str">
        <f ca="1" t="shared" si="28"/>
        <v/>
      </c>
      <c r="F580" s="128" t="str">
        <f ca="1" t="shared" si="29"/>
        <v/>
      </c>
      <c r="G580" s="128" t="str">
        <f ca="1" t="shared" si="30"/>
        <v/>
      </c>
      <c r="H580" s="128" t="str">
        <f ca="1" t="shared" si="31"/>
        <v/>
      </c>
      <c r="I580" s="124">
        <v>49.89</v>
      </c>
      <c r="J580" s="124">
        <v>48.98</v>
      </c>
      <c r="K580" s="124">
        <v>150.13</v>
      </c>
      <c r="L580" s="124">
        <v>946.36</v>
      </c>
      <c r="M580" s="124">
        <v>398.75</v>
      </c>
      <c r="N580" s="124">
        <v>97.86</v>
      </c>
      <c r="O580" s="124">
        <v>0</v>
      </c>
      <c r="P580" s="124">
        <v>299.81</v>
      </c>
      <c r="Q580" s="124" cm="1">
        <f ca="1" t="array" ref="Q580">SUMPRODUCT(TRANSPOSE($I580:$P580),$F$162:$F$169)+SUMIFS($H$210:$H$241,$D$210:$D$241,"&lt;="&amp;N580)+SUMIF($D$310:$D$341,"&lt;="&amp;D580,$H$310:$H$341)</f>
        <v>54815.76</v>
      </c>
      <c r="R580" s="124">
        <f ca="1" t="shared" si="32"/>
        <v>26.2527586206897</v>
      </c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</row>
    <row r="581" s="122" customFormat="1" spans="4:31">
      <c r="D581" s="124">
        <v>175</v>
      </c>
      <c r="E581" s="128" t="str">
        <f ca="1" t="shared" si="28"/>
        <v/>
      </c>
      <c r="F581" s="128" t="str">
        <f ca="1" t="shared" si="29"/>
        <v/>
      </c>
      <c r="G581" s="128" t="str">
        <f ca="1" t="shared" si="30"/>
        <v/>
      </c>
      <c r="H581" s="128" t="str">
        <f ca="1" t="shared" si="31"/>
        <v/>
      </c>
      <c r="I581" s="124">
        <v>50.19</v>
      </c>
      <c r="J581" s="124">
        <v>49.26</v>
      </c>
      <c r="K581" s="124">
        <v>150.96</v>
      </c>
      <c r="L581" s="124">
        <v>952.01</v>
      </c>
      <c r="M581" s="124">
        <v>400.91</v>
      </c>
      <c r="N581" s="124">
        <v>98.43</v>
      </c>
      <c r="O581" s="124">
        <v>0</v>
      </c>
      <c r="P581" s="124">
        <v>301.7</v>
      </c>
      <c r="Q581" s="124" cm="1">
        <f ca="1" t="array" ref="Q581">SUMPRODUCT(TRANSPOSE($I581:$P581),$F$162:$F$169)+SUMIFS($H$210:$H$241,$D$210:$D$241,"&lt;="&amp;N581)+SUMIF($D$310:$D$341,"&lt;="&amp;D581,$H$310:$H$341)</f>
        <v>55018.55</v>
      </c>
      <c r="R581" s="124">
        <f ca="1" t="shared" si="32"/>
        <v>26.1993095238095</v>
      </c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</row>
    <row r="582" s="122" customFormat="1" spans="4:31">
      <c r="D582" s="124">
        <v>176</v>
      </c>
      <c r="E582" s="128" t="str">
        <f ca="1" t="shared" si="28"/>
        <v/>
      </c>
      <c r="F582" s="128" t="str">
        <f ca="1" t="shared" si="29"/>
        <v/>
      </c>
      <c r="G582" s="128" t="str">
        <f ca="1" t="shared" si="30"/>
        <v/>
      </c>
      <c r="H582" s="128" t="str">
        <f ca="1" t="shared" si="31"/>
        <v/>
      </c>
      <c r="I582" s="124">
        <v>50.49</v>
      </c>
      <c r="J582" s="124">
        <v>49.59</v>
      </c>
      <c r="K582" s="124">
        <v>151.65</v>
      </c>
      <c r="L582" s="124">
        <v>957.38</v>
      </c>
      <c r="M582" s="124">
        <v>403.25</v>
      </c>
      <c r="N582" s="124">
        <v>98.91</v>
      </c>
      <c r="O582" s="124">
        <v>0</v>
      </c>
      <c r="P582" s="124">
        <v>303.51</v>
      </c>
      <c r="Q582" s="124" cm="1">
        <f ca="1" t="array" ref="Q582">SUMPRODUCT(TRANSPOSE($I582:$P582),$F$162:$F$169)+SUMIFS($H$210:$H$241,$D$210:$D$241,"&lt;="&amp;N582)+SUMIF($D$310:$D$341,"&lt;="&amp;D582,$H$310:$H$341)</f>
        <v>55222.66</v>
      </c>
      <c r="R582" s="124">
        <f ca="1" t="shared" si="32"/>
        <v>26.1470928030303</v>
      </c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</row>
    <row r="583" s="122" customFormat="1" spans="4:31">
      <c r="D583" s="124">
        <v>177</v>
      </c>
      <c r="E583" s="128" t="str">
        <f ca="1" t="shared" si="28"/>
        <v/>
      </c>
      <c r="F583" s="128" t="str">
        <f ca="1" t="shared" si="29"/>
        <v/>
      </c>
      <c r="G583" s="128" t="str">
        <f ca="1" t="shared" si="30"/>
        <v/>
      </c>
      <c r="H583" s="128" t="str">
        <f ca="1" t="shared" si="31"/>
        <v/>
      </c>
      <c r="I583" s="124">
        <v>50.8</v>
      </c>
      <c r="J583" s="124">
        <v>49.88</v>
      </c>
      <c r="K583" s="124">
        <v>152.43</v>
      </c>
      <c r="L583" s="124">
        <v>963.13</v>
      </c>
      <c r="M583" s="124">
        <v>405.45</v>
      </c>
      <c r="N583" s="124">
        <v>99.49</v>
      </c>
      <c r="O583" s="124">
        <v>0</v>
      </c>
      <c r="P583" s="124">
        <v>305.22</v>
      </c>
      <c r="Q583" s="124" cm="1">
        <f ca="1" t="array" ref="Q583">SUMPRODUCT(TRANSPOSE($I583:$P583),$F$162:$F$169)+SUMIFS($H$210:$H$241,$D$210:$D$241,"&lt;="&amp;N583)+SUMIF($D$310:$D$341,"&lt;="&amp;D583,$H$310:$H$341)</f>
        <v>55427.47</v>
      </c>
      <c r="R583" s="124">
        <f ca="1" t="shared" si="32"/>
        <v>26.0957956685499</v>
      </c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</row>
    <row r="584" s="122" customFormat="1" spans="4:31">
      <c r="D584" s="124">
        <v>178</v>
      </c>
      <c r="E584" s="128" t="str">
        <f ca="1" t="shared" si="28"/>
        <v/>
      </c>
      <c r="F584" s="128" t="str">
        <f ca="1" t="shared" si="29"/>
        <v/>
      </c>
      <c r="G584" s="128" t="str">
        <f ca="1" t="shared" si="30"/>
        <v/>
      </c>
      <c r="H584" s="128" t="str">
        <f ca="1" t="shared" si="31"/>
        <v/>
      </c>
      <c r="I584" s="124">
        <v>51.08</v>
      </c>
      <c r="J584" s="124">
        <v>50.19</v>
      </c>
      <c r="K584" s="124">
        <v>153.48</v>
      </c>
      <c r="L584" s="124">
        <v>968.41</v>
      </c>
      <c r="M584" s="124">
        <v>407.81</v>
      </c>
      <c r="N584" s="124">
        <v>100.05</v>
      </c>
      <c r="O584" s="124">
        <v>0</v>
      </c>
      <c r="P584" s="124">
        <v>306.85</v>
      </c>
      <c r="Q584" s="124" cm="1">
        <f ca="1" t="array" ref="Q584">SUMPRODUCT(TRANSPOSE($I584:$P584),$F$162:$F$169)+SUMIFS($H$210:$H$241,$D$210:$D$241,"&lt;="&amp;N584)+SUMIF($D$310:$D$341,"&lt;="&amp;D584,$H$310:$H$341)</f>
        <v>56730.2</v>
      </c>
      <c r="R584" s="124">
        <f ca="1" t="shared" si="32"/>
        <v>26.5590823970037</v>
      </c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</row>
    <row r="585" s="122" customFormat="1" spans="4:31">
      <c r="D585" s="124">
        <v>179</v>
      </c>
      <c r="E585" s="128" t="str">
        <f ca="1" t="shared" si="28"/>
        <v/>
      </c>
      <c r="F585" s="128" t="str">
        <f ca="1" t="shared" si="29"/>
        <v/>
      </c>
      <c r="G585" s="128" t="str">
        <f ca="1" t="shared" si="30"/>
        <v/>
      </c>
      <c r="H585" s="128" t="str">
        <f ca="1" t="shared" si="31"/>
        <v/>
      </c>
      <c r="I585" s="124">
        <v>51.34</v>
      </c>
      <c r="J585" s="124">
        <v>50.48</v>
      </c>
      <c r="K585" s="124">
        <v>154.33</v>
      </c>
      <c r="L585" s="124">
        <v>973.91</v>
      </c>
      <c r="M585" s="124">
        <v>410.18</v>
      </c>
      <c r="N585" s="124">
        <v>100.63</v>
      </c>
      <c r="O585" s="124">
        <v>0</v>
      </c>
      <c r="P585" s="124">
        <v>308.52</v>
      </c>
      <c r="Q585" s="124" cm="1">
        <f ca="1" t="array" ref="Q585">SUMPRODUCT(TRANSPOSE($I585:$P585),$F$162:$F$169)+SUMIFS($H$210:$H$241,$D$210:$D$241,"&lt;="&amp;N585)+SUMIF($D$310:$D$341,"&lt;="&amp;D585,$H$310:$H$341)</f>
        <v>56933.82</v>
      </c>
      <c r="R585" s="124">
        <f ca="1" t="shared" si="32"/>
        <v>26.5055027932961</v>
      </c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</row>
    <row r="586" s="122" customFormat="1" spans="4:31">
      <c r="D586" s="124">
        <v>180</v>
      </c>
      <c r="E586" s="128" t="str">
        <f ca="1" t="shared" si="28"/>
        <v/>
      </c>
      <c r="F586" s="128" t="str">
        <f ca="1" t="shared" si="29"/>
        <v/>
      </c>
      <c r="G586" s="128" t="str">
        <f ca="1" t="shared" si="30"/>
        <v/>
      </c>
      <c r="H586" s="128" t="str">
        <f ca="1" t="shared" si="31"/>
        <v/>
      </c>
      <c r="I586" s="124">
        <v>51.62</v>
      </c>
      <c r="J586" s="124">
        <v>50.74</v>
      </c>
      <c r="K586" s="124">
        <v>155.21</v>
      </c>
      <c r="L586" s="124">
        <v>979.18</v>
      </c>
      <c r="M586" s="124">
        <v>412.42</v>
      </c>
      <c r="N586" s="124">
        <v>101.18</v>
      </c>
      <c r="O586" s="124">
        <v>0</v>
      </c>
      <c r="P586" s="124">
        <v>310.3</v>
      </c>
      <c r="Q586" s="124" cm="1">
        <f ca="1" t="array" ref="Q586">SUMPRODUCT(TRANSPOSE($I586:$P586),$F$162:$F$169)+SUMIFS($H$210:$H$241,$D$210:$D$241,"&lt;="&amp;N586)+SUMIF($D$310:$D$341,"&lt;="&amp;D586,$H$310:$H$341)</f>
        <v>57629.6</v>
      </c>
      <c r="R586" s="124">
        <f ca="1" t="shared" si="32"/>
        <v>26.6803703703704</v>
      </c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</row>
    <row r="587" s="122" customFormat="1" spans="4:31">
      <c r="D587" s="124">
        <v>181</v>
      </c>
      <c r="E587" s="128" t="str">
        <f ca="1" t="shared" si="28"/>
        <v/>
      </c>
      <c r="F587" s="128" t="str">
        <f ca="1" t="shared" si="29"/>
        <v/>
      </c>
      <c r="G587" s="128" t="str">
        <f ca="1" t="shared" si="30"/>
        <v/>
      </c>
      <c r="H587" s="128" t="str">
        <f ca="1" t="shared" si="31"/>
        <v/>
      </c>
      <c r="I587" s="124">
        <v>51.94</v>
      </c>
      <c r="J587" s="124">
        <v>51.03</v>
      </c>
      <c r="K587" s="124">
        <v>156.2</v>
      </c>
      <c r="L587" s="124">
        <v>984.58</v>
      </c>
      <c r="M587" s="124">
        <v>414.55</v>
      </c>
      <c r="N587" s="124">
        <v>101.64</v>
      </c>
      <c r="O587" s="124">
        <v>0</v>
      </c>
      <c r="P587" s="124">
        <v>312.03</v>
      </c>
      <c r="Q587" s="124" cm="1">
        <f ca="1" t="array" ref="Q587">SUMPRODUCT(TRANSPOSE($I587:$P587),$F$162:$F$169)+SUMIFS($H$210:$H$241,$D$210:$D$241,"&lt;="&amp;N587)+SUMIF($D$310:$D$341,"&lt;="&amp;D587,$H$310:$H$341)</f>
        <v>57823.88</v>
      </c>
      <c r="R587" s="124">
        <f ca="1" t="shared" si="32"/>
        <v>26.6224125230203</v>
      </c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</row>
    <row r="588" s="122" customFormat="1" spans="4:31">
      <c r="D588" s="124">
        <v>182</v>
      </c>
      <c r="E588" s="128" t="str">
        <f ca="1" t="shared" si="28"/>
        <v/>
      </c>
      <c r="F588" s="128" t="str">
        <f ca="1" t="shared" si="29"/>
        <v/>
      </c>
      <c r="G588" s="128" t="str">
        <f ca="1" t="shared" si="30"/>
        <v/>
      </c>
      <c r="H588" s="128" t="str">
        <f ca="1" t="shared" si="31"/>
        <v/>
      </c>
      <c r="I588" s="124">
        <v>52.2</v>
      </c>
      <c r="J588" s="124">
        <v>51.39</v>
      </c>
      <c r="K588" s="124">
        <v>157.1</v>
      </c>
      <c r="L588" s="124">
        <v>990.15</v>
      </c>
      <c r="M588" s="124">
        <v>416.8</v>
      </c>
      <c r="N588" s="124">
        <v>102.25</v>
      </c>
      <c r="O588" s="124">
        <v>0</v>
      </c>
      <c r="P588" s="124">
        <v>313.62</v>
      </c>
      <c r="Q588" s="124" cm="1">
        <f ca="1" t="array" ref="Q588">SUMPRODUCT(TRANSPOSE($I588:$P588),$F$162:$F$169)+SUMIFS($H$210:$H$241,$D$210:$D$241,"&lt;="&amp;N588)+SUMIF($D$310:$D$341,"&lt;="&amp;D588,$H$310:$H$341)</f>
        <v>58032.82</v>
      </c>
      <c r="R588" s="124">
        <f ca="1" t="shared" si="32"/>
        <v>26.571804029304</v>
      </c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</row>
    <row r="589" s="122" customFormat="1" spans="4:31">
      <c r="D589" s="124">
        <v>183</v>
      </c>
      <c r="E589" s="128" t="str">
        <f ca="1" t="shared" si="28"/>
        <v/>
      </c>
      <c r="F589" s="128" t="str">
        <f ca="1" t="shared" si="29"/>
        <v/>
      </c>
      <c r="G589" s="128" t="str">
        <f ca="1" t="shared" si="30"/>
        <v/>
      </c>
      <c r="H589" s="128" t="str">
        <f ca="1" t="shared" si="31"/>
        <v/>
      </c>
      <c r="I589" s="124">
        <v>52.63</v>
      </c>
      <c r="J589" s="124">
        <v>51.74</v>
      </c>
      <c r="K589" s="124">
        <v>157.91</v>
      </c>
      <c r="L589" s="124">
        <v>995.63</v>
      </c>
      <c r="M589" s="124">
        <v>419.06</v>
      </c>
      <c r="N589" s="124">
        <v>102.82</v>
      </c>
      <c r="O589" s="124">
        <v>0</v>
      </c>
      <c r="P589" s="124">
        <v>315.15</v>
      </c>
      <c r="Q589" s="124" cm="1">
        <f ca="1" t="array" ref="Q589">SUMPRODUCT(TRANSPOSE($I589:$P589),$F$162:$F$169)+SUMIFS($H$210:$H$241,$D$210:$D$241,"&lt;="&amp;N589)+SUMIF($D$310:$D$341,"&lt;="&amp;D589,$H$310:$H$341)</f>
        <v>58245.95</v>
      </c>
      <c r="R589" s="124">
        <f ca="1" t="shared" si="32"/>
        <v>26.5236566484517</v>
      </c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</row>
    <row r="590" s="122" customFormat="1" spans="4:31">
      <c r="D590" s="124">
        <v>184</v>
      </c>
      <c r="E590" s="128" t="str">
        <f ca="1" t="shared" si="28"/>
        <v/>
      </c>
      <c r="F590" s="128" t="str">
        <f ca="1" t="shared" si="29"/>
        <v/>
      </c>
      <c r="G590" s="128" t="str">
        <f ca="1" t="shared" si="30"/>
        <v/>
      </c>
      <c r="H590" s="128" t="str">
        <f ca="1" t="shared" si="31"/>
        <v/>
      </c>
      <c r="I590" s="124">
        <v>52.91</v>
      </c>
      <c r="J590" s="124">
        <v>52</v>
      </c>
      <c r="K590" s="124">
        <v>158.69</v>
      </c>
      <c r="L590" s="124">
        <v>1001.12</v>
      </c>
      <c r="M590" s="124">
        <v>421.2</v>
      </c>
      <c r="N590" s="124">
        <v>103.41</v>
      </c>
      <c r="O590" s="124">
        <v>0</v>
      </c>
      <c r="P590" s="124">
        <v>317.03</v>
      </c>
      <c r="Q590" s="124" cm="1">
        <f ca="1" t="array" ref="Q590">SUMPRODUCT(TRANSPOSE($I590:$P590),$F$162:$F$169)+SUMIFS($H$210:$H$241,$D$210:$D$241,"&lt;="&amp;N590)+SUMIF($D$310:$D$341,"&lt;="&amp;D590,$H$310:$H$341)</f>
        <v>58444.53</v>
      </c>
      <c r="R590" s="124">
        <f ca="1" t="shared" si="32"/>
        <v>26.4694429347826</v>
      </c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</row>
    <row r="591" s="122" customFormat="1" spans="4:31">
      <c r="D591" s="124">
        <v>185</v>
      </c>
      <c r="E591" s="128" t="str">
        <f ca="1" t="shared" si="28"/>
        <v/>
      </c>
      <c r="F591" s="128" t="str">
        <f ca="1" t="shared" si="29"/>
        <v/>
      </c>
      <c r="G591" s="128" t="str">
        <f ca="1" t="shared" si="30"/>
        <v/>
      </c>
      <c r="H591" s="128" t="str">
        <f ca="1" t="shared" si="31"/>
        <v/>
      </c>
      <c r="I591" s="124">
        <v>53.17</v>
      </c>
      <c r="J591" s="124">
        <v>52.36</v>
      </c>
      <c r="K591" s="124">
        <v>159.6</v>
      </c>
      <c r="L591" s="124">
        <v>1006.45</v>
      </c>
      <c r="M591" s="124">
        <v>423.35</v>
      </c>
      <c r="N591" s="124">
        <v>103.99</v>
      </c>
      <c r="O591" s="124">
        <v>0</v>
      </c>
      <c r="P591" s="124">
        <v>318.81</v>
      </c>
      <c r="Q591" s="124" cm="1">
        <f ca="1" t="array" ref="Q591">SUMPRODUCT(TRANSPOSE($I591:$P591),$F$162:$F$169)+SUMIFS($H$210:$H$241,$D$210:$D$241,"&lt;="&amp;N591)+SUMIF($D$310:$D$341,"&lt;="&amp;D591,$H$310:$H$341)</f>
        <v>58649.16</v>
      </c>
      <c r="R591" s="124">
        <f ca="1" t="shared" si="32"/>
        <v>26.4185405405405</v>
      </c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</row>
    <row r="592" s="122" customFormat="1" spans="4:31">
      <c r="D592" s="124">
        <v>186</v>
      </c>
      <c r="E592" s="128" t="str">
        <f ca="1" t="shared" si="28"/>
        <v/>
      </c>
      <c r="F592" s="128" t="str">
        <f ca="1" t="shared" si="29"/>
        <v/>
      </c>
      <c r="G592" s="128" t="str">
        <f ca="1" t="shared" si="30"/>
        <v/>
      </c>
      <c r="H592" s="128" t="str">
        <f ca="1" t="shared" si="31"/>
        <v/>
      </c>
      <c r="I592" s="124">
        <v>53.48</v>
      </c>
      <c r="J592" s="124">
        <v>52.64</v>
      </c>
      <c r="K592" s="124">
        <v>160.46</v>
      </c>
      <c r="L592" s="124">
        <v>1011.79</v>
      </c>
      <c r="M592" s="124">
        <v>425.65</v>
      </c>
      <c r="N592" s="124">
        <v>104.5</v>
      </c>
      <c r="O592" s="124">
        <v>0</v>
      </c>
      <c r="P592" s="124">
        <v>320.58</v>
      </c>
      <c r="Q592" s="124" cm="1">
        <f ca="1" t="array" ref="Q592">SUMPRODUCT(TRANSPOSE($I592:$P592),$F$162:$F$169)+SUMIFS($H$210:$H$241,$D$210:$D$241,"&lt;="&amp;N592)+SUMIF($D$310:$D$341,"&lt;="&amp;D592,$H$310:$H$341)</f>
        <v>58848.53</v>
      </c>
      <c r="R592" s="124">
        <f ca="1" t="shared" si="32"/>
        <v>26.3658288530466</v>
      </c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</row>
    <row r="593" s="122" customFormat="1" spans="4:31">
      <c r="D593" s="124">
        <v>187</v>
      </c>
      <c r="E593" s="128" t="str">
        <f ca="1" t="shared" si="28"/>
        <v/>
      </c>
      <c r="F593" s="128" t="str">
        <f ca="1" t="shared" si="29"/>
        <v/>
      </c>
      <c r="G593" s="128" t="str">
        <f ca="1" t="shared" si="30"/>
        <v/>
      </c>
      <c r="H593" s="128" t="str">
        <f ca="1" t="shared" si="31"/>
        <v/>
      </c>
      <c r="I593" s="124">
        <v>53.72</v>
      </c>
      <c r="J593" s="124">
        <v>52.98</v>
      </c>
      <c r="K593" s="124">
        <v>161.37</v>
      </c>
      <c r="L593" s="124">
        <v>1017.14</v>
      </c>
      <c r="M593" s="124">
        <v>427.84</v>
      </c>
      <c r="N593" s="124">
        <v>105</v>
      </c>
      <c r="O593" s="124">
        <v>0</v>
      </c>
      <c r="P593" s="124">
        <v>322.22</v>
      </c>
      <c r="Q593" s="124" cm="1">
        <f ca="1" t="array" ref="Q593">SUMPRODUCT(TRANSPOSE($I593:$P593),$F$162:$F$169)+SUMIFS($H$210:$H$241,$D$210:$D$241,"&lt;="&amp;N593)+SUMIF($D$310:$D$341,"&lt;="&amp;D593,$H$310:$H$341)</f>
        <v>59045.82</v>
      </c>
      <c r="R593" s="124">
        <f ca="1" t="shared" si="32"/>
        <v>26.3127540106952</v>
      </c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</row>
    <row r="594" s="122" customFormat="1" spans="4:31">
      <c r="D594" s="124">
        <v>188</v>
      </c>
      <c r="E594" s="128" t="str">
        <f ca="1" t="shared" si="28"/>
        <v/>
      </c>
      <c r="F594" s="128" t="str">
        <f ca="1" t="shared" si="29"/>
        <v/>
      </c>
      <c r="G594" s="128" t="str">
        <f ca="1" t="shared" si="30"/>
        <v/>
      </c>
      <c r="H594" s="128" t="str">
        <f ca="1" t="shared" si="31"/>
        <v/>
      </c>
      <c r="I594" s="124">
        <v>54.01</v>
      </c>
      <c r="J594" s="124">
        <v>53.21</v>
      </c>
      <c r="K594" s="124">
        <v>162.28</v>
      </c>
      <c r="L594" s="124">
        <v>1022.53</v>
      </c>
      <c r="M594" s="124">
        <v>430.03</v>
      </c>
      <c r="N594" s="124">
        <v>105.63</v>
      </c>
      <c r="O594" s="124">
        <v>0</v>
      </c>
      <c r="P594" s="124">
        <v>324.02</v>
      </c>
      <c r="Q594" s="124" cm="1">
        <f ca="1" t="array" ref="Q594">SUMPRODUCT(TRANSPOSE($I594:$P594),$F$162:$F$169)+SUMIFS($H$210:$H$241,$D$210:$D$241,"&lt;="&amp;N594)+SUMIF($D$310:$D$341,"&lt;="&amp;D594,$H$310:$H$341)</f>
        <v>59243.27</v>
      </c>
      <c r="R594" s="124">
        <f ca="1" t="shared" si="32"/>
        <v>26.2603147163121</v>
      </c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</row>
    <row r="595" s="122" customFormat="1" spans="4:31">
      <c r="D595" s="124">
        <v>189</v>
      </c>
      <c r="E595" s="128" t="str">
        <f ca="1" t="shared" si="28"/>
        <v/>
      </c>
      <c r="F595" s="128" t="str">
        <f ca="1" t="shared" si="29"/>
        <v/>
      </c>
      <c r="G595" s="128" t="str">
        <f ca="1" t="shared" si="30"/>
        <v/>
      </c>
      <c r="H595" s="128" t="str">
        <f ca="1" t="shared" si="31"/>
        <v/>
      </c>
      <c r="I595" s="124">
        <v>54.35</v>
      </c>
      <c r="J595" s="124">
        <v>53.49</v>
      </c>
      <c r="K595" s="124">
        <v>163.12</v>
      </c>
      <c r="L595" s="124">
        <v>1027.91</v>
      </c>
      <c r="M595" s="124">
        <v>432.1</v>
      </c>
      <c r="N595" s="124">
        <v>106.3</v>
      </c>
      <c r="O595" s="124">
        <v>0</v>
      </c>
      <c r="P595" s="124">
        <v>325.8</v>
      </c>
      <c r="Q595" s="124" cm="1">
        <f ca="1" t="array" ref="Q595">SUMPRODUCT(TRANSPOSE($I595:$P595),$F$162:$F$169)+SUMIFS($H$210:$H$241,$D$210:$D$241,"&lt;="&amp;N595)+SUMIF($D$310:$D$341,"&lt;="&amp;D595,$H$310:$H$341)</f>
        <v>59446.9</v>
      </c>
      <c r="R595" s="124">
        <f ca="1" t="shared" si="32"/>
        <v>26.2111552028219</v>
      </c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</row>
    <row r="596" s="122" customFormat="1" spans="4:31">
      <c r="D596" s="124">
        <v>190</v>
      </c>
      <c r="E596" s="128" t="str">
        <f ca="1" t="shared" si="28"/>
        <v/>
      </c>
      <c r="F596" s="128" t="str">
        <f ca="1" t="shared" si="29"/>
        <v/>
      </c>
      <c r="G596" s="128" t="str">
        <f ca="1" t="shared" si="30"/>
        <v/>
      </c>
      <c r="H596" s="128" t="str">
        <f ca="1" t="shared" si="31"/>
        <v/>
      </c>
      <c r="I596" s="124">
        <v>54.62</v>
      </c>
      <c r="J596" s="124">
        <v>53.78</v>
      </c>
      <c r="K596" s="124">
        <v>163.98</v>
      </c>
      <c r="L596" s="124">
        <v>1033.33</v>
      </c>
      <c r="M596" s="124">
        <v>434.6</v>
      </c>
      <c r="N596" s="124">
        <v>106.9</v>
      </c>
      <c r="O596" s="124">
        <v>0</v>
      </c>
      <c r="P596" s="124">
        <v>327.53</v>
      </c>
      <c r="Q596" s="124" cm="1">
        <f ca="1" t="array" ref="Q596">SUMPRODUCT(TRANSPOSE($I596:$P596),$F$162:$F$169)+SUMIFS($H$210:$H$241,$D$210:$D$241,"&lt;="&amp;N596)+SUMIF($D$310:$D$341,"&lt;="&amp;D596,$H$310:$H$341)</f>
        <v>60155.13</v>
      </c>
      <c r="R596" s="124">
        <f ca="1" t="shared" si="32"/>
        <v>26.3838289473684</v>
      </c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</row>
    <row r="597" s="122" customFormat="1" spans="4:31">
      <c r="D597" s="124">
        <v>191</v>
      </c>
      <c r="E597" s="128" t="str">
        <f ca="1" t="shared" si="28"/>
        <v/>
      </c>
      <c r="F597" s="128" t="str">
        <f ca="1" t="shared" si="29"/>
        <v/>
      </c>
      <c r="G597" s="128" t="str">
        <f ca="1" t="shared" si="30"/>
        <v/>
      </c>
      <c r="H597" s="128" t="str">
        <f ca="1" t="shared" si="31"/>
        <v/>
      </c>
      <c r="I597" s="124">
        <v>54.9</v>
      </c>
      <c r="J597" s="124">
        <v>54.1</v>
      </c>
      <c r="K597" s="124">
        <v>164.85</v>
      </c>
      <c r="L597" s="124">
        <v>1038.85</v>
      </c>
      <c r="M597" s="124">
        <v>436.76</v>
      </c>
      <c r="N597" s="124">
        <v>107.57</v>
      </c>
      <c r="O597" s="124">
        <v>0</v>
      </c>
      <c r="P597" s="124">
        <v>329.36</v>
      </c>
      <c r="Q597" s="124" cm="1">
        <f ca="1" t="array" ref="Q597">SUMPRODUCT(TRANSPOSE($I597:$P597),$F$162:$F$169)+SUMIFS($H$210:$H$241,$D$210:$D$241,"&lt;="&amp;N597)+SUMIF($D$310:$D$341,"&lt;="&amp;D597,$H$310:$H$341)</f>
        <v>60363.96</v>
      </c>
      <c r="R597" s="124">
        <f ca="1" t="shared" si="32"/>
        <v>26.3368062827225</v>
      </c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</row>
    <row r="598" s="122" customFormat="1" spans="4:31">
      <c r="D598" s="124">
        <v>192</v>
      </c>
      <c r="E598" s="128" t="str">
        <f ca="1" t="shared" si="28"/>
        <v/>
      </c>
      <c r="F598" s="128" t="str">
        <f ca="1" t="shared" si="29"/>
        <v/>
      </c>
      <c r="G598" s="128" t="str">
        <f ca="1" t="shared" si="30"/>
        <v/>
      </c>
      <c r="H598" s="128" t="str">
        <f ca="1" t="shared" si="31"/>
        <v/>
      </c>
      <c r="I598" s="124">
        <v>55.19</v>
      </c>
      <c r="J598" s="124">
        <v>54.33</v>
      </c>
      <c r="K598" s="124">
        <v>165.72</v>
      </c>
      <c r="L598" s="124">
        <v>1044.15</v>
      </c>
      <c r="M598" s="124">
        <v>438.92</v>
      </c>
      <c r="N598" s="124">
        <v>108.21</v>
      </c>
      <c r="O598" s="124">
        <v>0</v>
      </c>
      <c r="P598" s="124">
        <v>331.22</v>
      </c>
      <c r="Q598" s="124" cm="1">
        <f ca="1" t="array" ref="Q598">SUMPRODUCT(TRANSPOSE($I598:$P598),$F$162:$F$169)+SUMIFS($H$210:$H$241,$D$210:$D$241,"&lt;="&amp;N598)+SUMIF($D$310:$D$341,"&lt;="&amp;D598,$H$310:$H$341)</f>
        <v>60560.92</v>
      </c>
      <c r="R598" s="124">
        <f ca="1" t="shared" si="32"/>
        <v>26.2851215277778</v>
      </c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</row>
    <row r="599" s="122" customFormat="1" spans="4:31">
      <c r="D599" s="124">
        <v>193</v>
      </c>
      <c r="E599" s="128" t="str">
        <f ca="1" t="shared" ref="E599:E662" si="33">IF(INT($D599*12/OFFSET($F$26,MATCH(E$406,$E$406:$H$406,0),0))+1&gt;7,"",INT($D599*12/OFFSET($F$26,MATCH(E$406,$E$406:$H$406,0),0))+1)</f>
        <v/>
      </c>
      <c r="F599" s="128" t="str">
        <f ca="1" t="shared" ref="F599:F662" si="34">IF(INT($D599*12/OFFSET($F$26,MATCH(F$406,$E$406:$H$406,0),0))+1&gt;7,"",INT($D599*12/OFFSET($F$26,MATCH(F$406,$E$406:$H$406,0),0))+1)</f>
        <v/>
      </c>
      <c r="G599" s="128" t="str">
        <f ca="1" t="shared" ref="G599:G662" si="35">IF(INT($D599*12/OFFSET($F$26,MATCH(G$406,$E$406:$H$406,0),0))+1&gt;7,"",INT($D599*12/OFFSET($F$26,MATCH(G$406,$E$406:$H$406,0),0))+1)</f>
        <v/>
      </c>
      <c r="H599" s="128" t="str">
        <f ca="1" t="shared" ref="H599:H662" si="36">IF(INT($D599*12/OFFSET($F$26,MATCH(H$406,$E$406:$H$406,0),0))+1&gt;7,"",INT($D599*12/OFFSET($F$26,MATCH(H$406,$E$406:$H$406,0),0))+1)</f>
        <v/>
      </c>
      <c r="I599" s="124">
        <v>55.4</v>
      </c>
      <c r="J599" s="124">
        <v>54.69</v>
      </c>
      <c r="K599" s="124">
        <v>166.58</v>
      </c>
      <c r="L599" s="124">
        <v>1049.67</v>
      </c>
      <c r="M599" s="124">
        <v>441.1</v>
      </c>
      <c r="N599" s="124">
        <v>108.89</v>
      </c>
      <c r="O599" s="124">
        <v>0</v>
      </c>
      <c r="P599" s="124">
        <v>332.88</v>
      </c>
      <c r="Q599" s="124" cm="1">
        <f ca="1" t="array" ref="Q599">SUMPRODUCT(TRANSPOSE($I599:$P599),$F$162:$F$169)+SUMIFS($H$210:$H$241,$D$210:$D$241,"&lt;="&amp;N599)+SUMIF($D$310:$D$341,"&lt;="&amp;D599,$H$310:$H$341)</f>
        <v>60769.38</v>
      </c>
      <c r="R599" s="124">
        <f ca="1" t="shared" ref="R599:R662" si="37">Q599/12/D599</f>
        <v>26.2389378238342</v>
      </c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</row>
    <row r="600" s="122" customFormat="1" spans="4:31">
      <c r="D600" s="124">
        <v>194</v>
      </c>
      <c r="E600" s="128" t="str">
        <f ca="1" t="shared" si="33"/>
        <v/>
      </c>
      <c r="F600" s="128" t="str">
        <f ca="1" t="shared" si="34"/>
        <v/>
      </c>
      <c r="G600" s="128" t="str">
        <f ca="1" t="shared" si="35"/>
        <v/>
      </c>
      <c r="H600" s="128" t="str">
        <f ca="1" t="shared" si="36"/>
        <v/>
      </c>
      <c r="I600" s="124">
        <v>55.68</v>
      </c>
      <c r="J600" s="124">
        <v>54.96</v>
      </c>
      <c r="K600" s="124">
        <v>167.53</v>
      </c>
      <c r="L600" s="124">
        <v>1055.31</v>
      </c>
      <c r="M600" s="124">
        <v>443.46</v>
      </c>
      <c r="N600" s="124">
        <v>109.56</v>
      </c>
      <c r="O600" s="124">
        <v>0</v>
      </c>
      <c r="P600" s="124">
        <v>334.56</v>
      </c>
      <c r="Q600" s="124" cm="1">
        <f ca="1" t="array" ref="Q600">SUMPRODUCT(TRANSPOSE($I600:$P600),$F$162:$F$169)+SUMIFS($H$210:$H$241,$D$210:$D$241,"&lt;="&amp;N600)+SUMIF($D$310:$D$341,"&lt;="&amp;D600,$H$310:$H$341)</f>
        <v>60977.76</v>
      </c>
      <c r="R600" s="124">
        <f ca="1" t="shared" si="37"/>
        <v>26.1931958762887</v>
      </c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</row>
    <row r="601" s="122" customFormat="1" spans="4:31">
      <c r="D601" s="124">
        <v>195</v>
      </c>
      <c r="E601" s="128" t="str">
        <f ca="1" t="shared" si="33"/>
        <v/>
      </c>
      <c r="F601" s="128" t="str">
        <f ca="1" t="shared" si="34"/>
        <v/>
      </c>
      <c r="G601" s="128" t="str">
        <f ca="1" t="shared" si="35"/>
        <v/>
      </c>
      <c r="H601" s="128" t="str">
        <f ca="1" t="shared" si="36"/>
        <v/>
      </c>
      <c r="I601" s="124">
        <v>55.91</v>
      </c>
      <c r="J601" s="124">
        <v>55.3</v>
      </c>
      <c r="K601" s="124">
        <v>168.39</v>
      </c>
      <c r="L601" s="124">
        <v>1060.67</v>
      </c>
      <c r="M601" s="124">
        <v>445.77</v>
      </c>
      <c r="N601" s="124">
        <v>110.12</v>
      </c>
      <c r="O601" s="124">
        <v>0</v>
      </c>
      <c r="P601" s="124">
        <v>336.17</v>
      </c>
      <c r="Q601" s="124" cm="1">
        <f ca="1" t="array" ref="Q601">SUMPRODUCT(TRANSPOSE($I601:$P601),$F$162:$F$169)+SUMIFS($H$210:$H$241,$D$210:$D$241,"&lt;="&amp;N601)+SUMIF($D$310:$D$341,"&lt;="&amp;D601,$H$310:$H$341)</f>
        <v>61180.32</v>
      </c>
      <c r="R601" s="124">
        <f ca="1" t="shared" si="37"/>
        <v>26.1454358974359</v>
      </c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</row>
    <row r="602" s="122" customFormat="1" spans="4:31">
      <c r="D602" s="124">
        <v>196</v>
      </c>
      <c r="E602" s="128" t="str">
        <f ca="1" t="shared" si="33"/>
        <v/>
      </c>
      <c r="F602" s="128" t="str">
        <f ca="1" t="shared" si="34"/>
        <v/>
      </c>
      <c r="G602" s="128" t="str">
        <f ca="1" t="shared" si="35"/>
        <v/>
      </c>
      <c r="H602" s="128" t="str">
        <f ca="1" t="shared" si="36"/>
        <v/>
      </c>
      <c r="I602" s="124">
        <v>56.15</v>
      </c>
      <c r="J602" s="124">
        <v>55.6</v>
      </c>
      <c r="K602" s="124">
        <v>169.31</v>
      </c>
      <c r="L602" s="124">
        <v>1066.35</v>
      </c>
      <c r="M602" s="124">
        <v>448.1</v>
      </c>
      <c r="N602" s="124">
        <v>110.73</v>
      </c>
      <c r="O602" s="124">
        <v>0</v>
      </c>
      <c r="P602" s="124">
        <v>337.59</v>
      </c>
      <c r="Q602" s="124" cm="1">
        <f ca="1" t="array" ref="Q602">SUMPRODUCT(TRANSPOSE($I602:$P602),$F$162:$F$169)+SUMIFS($H$210:$H$241,$D$210:$D$241,"&lt;="&amp;N602)+SUMIF($D$310:$D$341,"&lt;="&amp;D602,$H$310:$H$341)</f>
        <v>61383.49</v>
      </c>
      <c r="R602" s="124">
        <f ca="1" t="shared" si="37"/>
        <v>26.0984226190476</v>
      </c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</row>
    <row r="603" s="122" customFormat="1" spans="4:31">
      <c r="D603" s="124">
        <v>197</v>
      </c>
      <c r="E603" s="128" t="str">
        <f ca="1" t="shared" si="33"/>
        <v/>
      </c>
      <c r="F603" s="128" t="str">
        <f ca="1" t="shared" si="34"/>
        <v/>
      </c>
      <c r="G603" s="128" t="str">
        <f ca="1" t="shared" si="35"/>
        <v/>
      </c>
      <c r="H603" s="128" t="str">
        <f ca="1" t="shared" si="36"/>
        <v/>
      </c>
      <c r="I603" s="124">
        <v>56.4</v>
      </c>
      <c r="J603" s="124">
        <v>55.81</v>
      </c>
      <c r="K603" s="124">
        <v>170.21</v>
      </c>
      <c r="L603" s="124">
        <v>1071.97</v>
      </c>
      <c r="M603" s="124">
        <v>450.4</v>
      </c>
      <c r="N603" s="124">
        <v>111.16</v>
      </c>
      <c r="O603" s="124">
        <v>0</v>
      </c>
      <c r="P603" s="124">
        <v>339.25</v>
      </c>
      <c r="Q603" s="124" cm="1">
        <f ca="1" t="array" ref="Q603">SUMPRODUCT(TRANSPOSE($I603:$P603),$F$162:$F$169)+SUMIFS($H$210:$H$241,$D$210:$D$241,"&lt;="&amp;N603)+SUMIF($D$310:$D$341,"&lt;="&amp;D603,$H$310:$H$341)</f>
        <v>61570.45</v>
      </c>
      <c r="R603" s="124">
        <f ca="1" t="shared" si="37"/>
        <v>26.0450296108291</v>
      </c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</row>
    <row r="604" s="122" customFormat="1" spans="4:31">
      <c r="D604" s="124">
        <v>198</v>
      </c>
      <c r="E604" s="128" t="str">
        <f ca="1" t="shared" si="33"/>
        <v/>
      </c>
      <c r="F604" s="128" t="str">
        <f ca="1" t="shared" si="34"/>
        <v/>
      </c>
      <c r="G604" s="128" t="str">
        <f ca="1" t="shared" si="35"/>
        <v/>
      </c>
      <c r="H604" s="128" t="str">
        <f ca="1" t="shared" si="36"/>
        <v/>
      </c>
      <c r="I604" s="124">
        <v>56.72</v>
      </c>
      <c r="J604" s="124">
        <v>56.1</v>
      </c>
      <c r="K604" s="124">
        <v>171</v>
      </c>
      <c r="L604" s="124">
        <v>1077.6</v>
      </c>
      <c r="M604" s="124">
        <v>452.68</v>
      </c>
      <c r="N604" s="124">
        <v>111.76</v>
      </c>
      <c r="O604" s="124">
        <v>0</v>
      </c>
      <c r="P604" s="124">
        <v>341.06</v>
      </c>
      <c r="Q604" s="124" cm="1">
        <f ca="1" t="array" ref="Q604">SUMPRODUCT(TRANSPOSE($I604:$P604),$F$162:$F$169)+SUMIFS($H$210:$H$241,$D$210:$D$241,"&lt;="&amp;N604)+SUMIF($D$310:$D$341,"&lt;="&amp;D604,$H$310:$H$341)</f>
        <v>61778.66</v>
      </c>
      <c r="R604" s="124">
        <f ca="1" t="shared" si="37"/>
        <v>26.0011195286195</v>
      </c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</row>
    <row r="605" s="122" customFormat="1" spans="4:31">
      <c r="D605" s="124">
        <v>199</v>
      </c>
      <c r="E605" s="128" t="str">
        <f ca="1" t="shared" si="33"/>
        <v/>
      </c>
      <c r="F605" s="128" t="str">
        <f ca="1" t="shared" si="34"/>
        <v/>
      </c>
      <c r="G605" s="128" t="str">
        <f ca="1" t="shared" si="35"/>
        <v/>
      </c>
      <c r="H605" s="128" t="str">
        <f ca="1" t="shared" si="36"/>
        <v/>
      </c>
      <c r="I605" s="124">
        <v>56.93</v>
      </c>
      <c r="J605" s="124">
        <v>56.37</v>
      </c>
      <c r="K605" s="124">
        <v>171.87</v>
      </c>
      <c r="L605" s="124">
        <v>1082.99</v>
      </c>
      <c r="M605" s="124">
        <v>455.03</v>
      </c>
      <c r="N605" s="124">
        <v>112.31</v>
      </c>
      <c r="O605" s="124">
        <v>0</v>
      </c>
      <c r="P605" s="124">
        <v>342.7</v>
      </c>
      <c r="Q605" s="124" cm="1">
        <f ca="1" t="array" ref="Q605">SUMPRODUCT(TRANSPOSE($I605:$P605),$F$162:$F$169)+SUMIFS($H$210:$H$241,$D$210:$D$241,"&lt;="&amp;N605)+SUMIF($D$310:$D$341,"&lt;="&amp;D605,$H$310:$H$341)</f>
        <v>61974.35</v>
      </c>
      <c r="R605" s="124">
        <f ca="1" t="shared" si="37"/>
        <v>25.9524078726968</v>
      </c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</row>
    <row r="606" s="122" customFormat="1" spans="4:31">
      <c r="D606" s="124">
        <v>200</v>
      </c>
      <c r="E606" s="128" t="str">
        <f ca="1" t="shared" si="33"/>
        <v/>
      </c>
      <c r="F606" s="128" t="str">
        <f ca="1" t="shared" si="34"/>
        <v/>
      </c>
      <c r="G606" s="128" t="str">
        <f ca="1" t="shared" si="35"/>
        <v/>
      </c>
      <c r="H606" s="128" t="str">
        <f ca="1" t="shared" si="36"/>
        <v/>
      </c>
      <c r="I606" s="124">
        <v>57.21</v>
      </c>
      <c r="J606" s="124">
        <v>56.67</v>
      </c>
      <c r="K606" s="124">
        <v>172.71</v>
      </c>
      <c r="L606" s="124">
        <v>1088.58</v>
      </c>
      <c r="M606" s="124">
        <v>457.3</v>
      </c>
      <c r="N606" s="124">
        <v>112.89</v>
      </c>
      <c r="O606" s="124">
        <v>0</v>
      </c>
      <c r="P606" s="124">
        <v>344.3</v>
      </c>
      <c r="Q606" s="124" cm="1">
        <f ca="1" t="array" ref="Q606">SUMPRODUCT(TRANSPOSE($I606:$P606),$F$162:$F$169)+SUMIFS($H$210:$H$241,$D$210:$D$241,"&lt;="&amp;N606)+SUMIF($D$310:$D$341,"&lt;="&amp;D606,$H$310:$H$341)</f>
        <v>62677.6</v>
      </c>
      <c r="R606" s="124">
        <f ca="1" t="shared" si="37"/>
        <v>26.1156666666667</v>
      </c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</row>
    <row r="607" s="122" customFormat="1" spans="4:31">
      <c r="D607" s="124">
        <v>201</v>
      </c>
      <c r="E607" s="128" t="str">
        <f ca="1" t="shared" si="33"/>
        <v/>
      </c>
      <c r="F607" s="128" t="str">
        <f ca="1" t="shared" si="34"/>
        <v/>
      </c>
      <c r="G607" s="128" t="str">
        <f ca="1" t="shared" si="35"/>
        <v/>
      </c>
      <c r="H607" s="128" t="str">
        <f ca="1" t="shared" si="36"/>
        <v/>
      </c>
      <c r="I607" s="124">
        <v>57.52</v>
      </c>
      <c r="J607" s="124">
        <v>56.93</v>
      </c>
      <c r="K607" s="124">
        <v>173.59</v>
      </c>
      <c r="L607" s="124">
        <v>1093.84</v>
      </c>
      <c r="M607" s="124">
        <v>459.57</v>
      </c>
      <c r="N607" s="124">
        <v>113.53</v>
      </c>
      <c r="O607" s="124">
        <v>0</v>
      </c>
      <c r="P607" s="124">
        <v>346.1</v>
      </c>
      <c r="Q607" s="124" cm="1">
        <f ca="1" t="array" ref="Q607">SUMPRODUCT(TRANSPOSE($I607:$P607),$F$162:$F$169)+SUMIFS($H$210:$H$241,$D$210:$D$241,"&lt;="&amp;N607)+SUMIF($D$310:$D$341,"&lt;="&amp;D607,$H$310:$H$341)</f>
        <v>62880.25</v>
      </c>
      <c r="R607" s="124">
        <f ca="1" t="shared" si="37"/>
        <v>26.0697553897181</v>
      </c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</row>
    <row r="608" s="122" customFormat="1" spans="4:31">
      <c r="D608" s="124">
        <v>202</v>
      </c>
      <c r="E608" s="128" t="str">
        <f ca="1" t="shared" si="33"/>
        <v/>
      </c>
      <c r="F608" s="128" t="str">
        <f ca="1" t="shared" si="34"/>
        <v/>
      </c>
      <c r="G608" s="128" t="str">
        <f ca="1" t="shared" si="35"/>
        <v/>
      </c>
      <c r="H608" s="128" t="str">
        <f ca="1" t="shared" si="36"/>
        <v/>
      </c>
      <c r="I608" s="124">
        <v>57.77</v>
      </c>
      <c r="J608" s="124">
        <v>57.28</v>
      </c>
      <c r="K608" s="124">
        <v>174.31</v>
      </c>
      <c r="L608" s="124">
        <v>1099.23</v>
      </c>
      <c r="M608" s="124">
        <v>461.87</v>
      </c>
      <c r="N608" s="124">
        <v>114.12</v>
      </c>
      <c r="O608" s="124">
        <v>0</v>
      </c>
      <c r="P608" s="124">
        <v>347.71</v>
      </c>
      <c r="Q608" s="124" cm="1">
        <f ca="1" t="array" ref="Q608">SUMPRODUCT(TRANSPOSE($I608:$P608),$F$162:$F$169)+SUMIFS($H$210:$H$241,$D$210:$D$241,"&lt;="&amp;N608)+SUMIF($D$310:$D$341,"&lt;="&amp;D608,$H$310:$H$341)</f>
        <v>63086.36</v>
      </c>
      <c r="R608" s="124">
        <f ca="1" t="shared" si="37"/>
        <v>26.0257260726073</v>
      </c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</row>
    <row r="609" s="122" customFormat="1" spans="4:31">
      <c r="D609" s="124">
        <v>203</v>
      </c>
      <c r="E609" s="128" t="str">
        <f ca="1" t="shared" si="33"/>
        <v/>
      </c>
      <c r="F609" s="128" t="str">
        <f ca="1" t="shared" si="34"/>
        <v/>
      </c>
      <c r="G609" s="128" t="str">
        <f ca="1" t="shared" si="35"/>
        <v/>
      </c>
      <c r="H609" s="128" t="str">
        <f ca="1" t="shared" si="36"/>
        <v/>
      </c>
      <c r="I609" s="124">
        <v>58.11</v>
      </c>
      <c r="J609" s="124">
        <v>57.49</v>
      </c>
      <c r="K609" s="124">
        <v>175.16</v>
      </c>
      <c r="L609" s="124">
        <v>1104.54</v>
      </c>
      <c r="M609" s="124">
        <v>464.29</v>
      </c>
      <c r="N609" s="124">
        <v>114.79</v>
      </c>
      <c r="O609" s="124">
        <v>0</v>
      </c>
      <c r="P609" s="124">
        <v>349.5</v>
      </c>
      <c r="Q609" s="124" cm="1">
        <f ca="1" t="array" ref="Q609">SUMPRODUCT(TRANSPOSE($I609:$P609),$F$162:$F$169)+SUMIFS($H$210:$H$241,$D$210:$D$241,"&lt;="&amp;N609)+SUMIF($D$310:$D$341,"&lt;="&amp;D609,$H$310:$H$341)</f>
        <v>63291.15</v>
      </c>
      <c r="R609" s="124">
        <f ca="1" t="shared" si="37"/>
        <v>25.9815886699507</v>
      </c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</row>
    <row r="610" s="122" customFormat="1" spans="4:31">
      <c r="D610" s="124">
        <v>204</v>
      </c>
      <c r="E610" s="128" t="str">
        <f ca="1" t="shared" si="33"/>
        <v/>
      </c>
      <c r="F610" s="128" t="str">
        <f ca="1" t="shared" si="34"/>
        <v/>
      </c>
      <c r="G610" s="128" t="str">
        <f ca="1" t="shared" si="35"/>
        <v/>
      </c>
      <c r="H610" s="128" t="str">
        <f ca="1" t="shared" si="36"/>
        <v/>
      </c>
      <c r="I610" s="124">
        <v>58.44</v>
      </c>
      <c r="J610" s="124">
        <v>57.79</v>
      </c>
      <c r="K610" s="124">
        <v>176.01</v>
      </c>
      <c r="L610" s="124">
        <v>1110.06</v>
      </c>
      <c r="M610" s="124">
        <v>466.71</v>
      </c>
      <c r="N610" s="124">
        <v>115.35</v>
      </c>
      <c r="O610" s="124">
        <v>0</v>
      </c>
      <c r="P610" s="124">
        <v>351.29</v>
      </c>
      <c r="Q610" s="124" cm="1">
        <f ca="1" t="array" ref="Q610">SUMPRODUCT(TRANSPOSE($I610:$P610),$F$162:$F$169)+SUMIFS($H$210:$H$241,$D$210:$D$241,"&lt;="&amp;N610)+SUMIF($D$310:$D$341,"&lt;="&amp;D610,$H$310:$H$341)</f>
        <v>63501.04</v>
      </c>
      <c r="R610" s="124">
        <f ca="1" t="shared" si="37"/>
        <v>25.9399673202614</v>
      </c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</row>
    <row r="611" s="122" customFormat="1" spans="4:31">
      <c r="D611" s="124">
        <v>205</v>
      </c>
      <c r="E611" s="128" t="str">
        <f ca="1" t="shared" si="33"/>
        <v/>
      </c>
      <c r="F611" s="128" t="str">
        <f ca="1" t="shared" si="34"/>
        <v/>
      </c>
      <c r="G611" s="128" t="str">
        <f ca="1" t="shared" si="35"/>
        <v/>
      </c>
      <c r="H611" s="128" t="str">
        <f ca="1" t="shared" si="36"/>
        <v/>
      </c>
      <c r="I611" s="124">
        <v>58.75</v>
      </c>
      <c r="J611" s="124">
        <v>58.03</v>
      </c>
      <c r="K611" s="124">
        <v>176.94</v>
      </c>
      <c r="L611" s="124">
        <v>1115.29</v>
      </c>
      <c r="M611" s="124">
        <v>468.98</v>
      </c>
      <c r="N611" s="124">
        <v>115.98</v>
      </c>
      <c r="O611" s="124">
        <v>0</v>
      </c>
      <c r="P611" s="124">
        <v>353.03</v>
      </c>
      <c r="Q611" s="124" cm="1">
        <f ca="1" t="array" ref="Q611">SUMPRODUCT(TRANSPOSE($I611:$P611),$F$162:$F$169)+SUMIFS($H$210:$H$241,$D$210:$D$241,"&lt;="&amp;N611)+SUMIF($D$310:$D$341,"&lt;="&amp;D611,$H$310:$H$341)</f>
        <v>63700.23</v>
      </c>
      <c r="R611" s="124">
        <f ca="1" t="shared" si="37"/>
        <v>25.8944024390244</v>
      </c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</row>
    <row r="612" s="122" customFormat="1" spans="4:31">
      <c r="D612" s="124">
        <v>206</v>
      </c>
      <c r="E612" s="128" t="str">
        <f ca="1" t="shared" si="33"/>
        <v/>
      </c>
      <c r="F612" s="128" t="str">
        <f ca="1" t="shared" si="34"/>
        <v/>
      </c>
      <c r="G612" s="128" t="str">
        <f ca="1" t="shared" si="35"/>
        <v/>
      </c>
      <c r="H612" s="128" t="str">
        <f ca="1" t="shared" si="36"/>
        <v/>
      </c>
      <c r="I612" s="124">
        <v>59.01</v>
      </c>
      <c r="J612" s="124">
        <v>58.26</v>
      </c>
      <c r="K612" s="124">
        <v>177.76</v>
      </c>
      <c r="L612" s="124">
        <v>1120.9</v>
      </c>
      <c r="M612" s="124">
        <v>471.34</v>
      </c>
      <c r="N612" s="124">
        <v>116.59</v>
      </c>
      <c r="O612" s="124">
        <v>0</v>
      </c>
      <c r="P612" s="124">
        <v>354.76</v>
      </c>
      <c r="Q612" s="124" cm="1">
        <f ca="1" t="array" ref="Q612">SUMPRODUCT(TRANSPOSE($I612:$P612),$F$162:$F$169)+SUMIFS($H$210:$H$241,$D$210:$D$241,"&lt;="&amp;N612)+SUMIF($D$310:$D$341,"&lt;="&amp;D612,$H$310:$H$341)</f>
        <v>63900.86</v>
      </c>
      <c r="R612" s="124">
        <f ca="1" t="shared" si="37"/>
        <v>25.8498624595469</v>
      </c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</row>
    <row r="613" s="122" customFormat="1" spans="4:31">
      <c r="D613" s="124">
        <v>207</v>
      </c>
      <c r="E613" s="128" t="str">
        <f ca="1" t="shared" si="33"/>
        <v/>
      </c>
      <c r="F613" s="128" t="str">
        <f ca="1" t="shared" si="34"/>
        <v/>
      </c>
      <c r="G613" s="128" t="str">
        <f ca="1" t="shared" si="35"/>
        <v/>
      </c>
      <c r="H613" s="128" t="str">
        <f ca="1" t="shared" si="36"/>
        <v/>
      </c>
      <c r="I613" s="124">
        <v>59.39</v>
      </c>
      <c r="J613" s="124">
        <v>58.5</v>
      </c>
      <c r="K613" s="124">
        <v>178.55</v>
      </c>
      <c r="L613" s="124">
        <v>1126.61</v>
      </c>
      <c r="M613" s="124">
        <v>473.64</v>
      </c>
      <c r="N613" s="124">
        <v>117.12</v>
      </c>
      <c r="O613" s="124">
        <v>0</v>
      </c>
      <c r="P613" s="124">
        <v>356.41</v>
      </c>
      <c r="Q613" s="124" cm="1">
        <f ca="1" t="array" ref="Q613">SUMPRODUCT(TRANSPOSE($I613:$P613),$F$162:$F$169)+SUMIFS($H$210:$H$241,$D$210:$D$241,"&lt;="&amp;N613)+SUMIF($D$310:$D$341,"&lt;="&amp;D613,$H$310:$H$341)</f>
        <v>64103.11</v>
      </c>
      <c r="R613" s="124">
        <f ca="1" t="shared" si="37"/>
        <v>25.8064049919485</v>
      </c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</row>
    <row r="614" s="122" customFormat="1" spans="4:31">
      <c r="D614" s="124">
        <v>208</v>
      </c>
      <c r="E614" s="128" t="str">
        <f ca="1" t="shared" si="33"/>
        <v/>
      </c>
      <c r="F614" s="128" t="str">
        <f ca="1" t="shared" si="34"/>
        <v/>
      </c>
      <c r="G614" s="128" t="str">
        <f ca="1" t="shared" si="35"/>
        <v/>
      </c>
      <c r="H614" s="128" t="str">
        <f ca="1" t="shared" si="36"/>
        <v/>
      </c>
      <c r="I614" s="124">
        <v>59.63</v>
      </c>
      <c r="J614" s="124">
        <v>58.77</v>
      </c>
      <c r="K614" s="124">
        <v>179.34</v>
      </c>
      <c r="L614" s="124">
        <v>1132.08</v>
      </c>
      <c r="M614" s="124">
        <v>475.83</v>
      </c>
      <c r="N614" s="124">
        <v>117.68</v>
      </c>
      <c r="O614" s="124">
        <v>0</v>
      </c>
      <c r="P614" s="124">
        <v>358.05</v>
      </c>
      <c r="Q614" s="124" cm="1">
        <f ca="1" t="array" ref="Q614">SUMPRODUCT(TRANSPOSE($I614:$P614),$F$162:$F$169)+SUMIFS($H$210:$H$241,$D$210:$D$241,"&lt;="&amp;N614)+SUMIF($D$310:$D$341,"&lt;="&amp;D614,$H$310:$H$341)</f>
        <v>64297.6</v>
      </c>
      <c r="R614" s="124">
        <f ca="1" t="shared" si="37"/>
        <v>25.7602564102564</v>
      </c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</row>
    <row r="615" s="122" customFormat="1" spans="4:31">
      <c r="D615" s="124">
        <v>209</v>
      </c>
      <c r="E615" s="128" t="str">
        <f ca="1" t="shared" si="33"/>
        <v/>
      </c>
      <c r="F615" s="128" t="str">
        <f ca="1" t="shared" si="34"/>
        <v/>
      </c>
      <c r="G615" s="128" t="str">
        <f ca="1" t="shared" si="35"/>
        <v/>
      </c>
      <c r="H615" s="128" t="str">
        <f ca="1" t="shared" si="36"/>
        <v/>
      </c>
      <c r="I615" s="124">
        <v>59.92</v>
      </c>
      <c r="J615" s="124">
        <v>59.06</v>
      </c>
      <c r="K615" s="124">
        <v>180.02</v>
      </c>
      <c r="L615" s="124">
        <v>1137.46</v>
      </c>
      <c r="M615" s="124">
        <v>478.21</v>
      </c>
      <c r="N615" s="124">
        <v>118.19</v>
      </c>
      <c r="O615" s="124">
        <v>0</v>
      </c>
      <c r="P615" s="124">
        <v>359.81</v>
      </c>
      <c r="Q615" s="124" cm="1">
        <f ca="1" t="array" ref="Q615">SUMPRODUCT(TRANSPOSE($I615:$P615),$F$162:$F$169)+SUMIFS($H$210:$H$241,$D$210:$D$241,"&lt;="&amp;N615)+SUMIF($D$310:$D$341,"&lt;="&amp;D615,$H$310:$H$341)</f>
        <v>64499.26</v>
      </c>
      <c r="R615" s="124">
        <f ca="1" t="shared" si="37"/>
        <v>25.7174082934609</v>
      </c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</row>
    <row r="616" s="122" customFormat="1" spans="4:31">
      <c r="D616" s="124">
        <v>210</v>
      </c>
      <c r="E616" s="128" t="str">
        <f ca="1" t="shared" si="33"/>
        <v/>
      </c>
      <c r="F616" s="128" t="str">
        <f ca="1" t="shared" si="34"/>
        <v/>
      </c>
      <c r="G616" s="128" t="str">
        <f ca="1" t="shared" si="35"/>
        <v/>
      </c>
      <c r="H616" s="128" t="str">
        <f ca="1" t="shared" si="36"/>
        <v/>
      </c>
      <c r="I616" s="124">
        <v>60.2</v>
      </c>
      <c r="J616" s="124">
        <v>59.34</v>
      </c>
      <c r="K616" s="124">
        <v>180.78</v>
      </c>
      <c r="L616" s="124">
        <v>1142.79</v>
      </c>
      <c r="M616" s="124">
        <v>480.52</v>
      </c>
      <c r="N616" s="124">
        <v>118.77</v>
      </c>
      <c r="O616" s="124">
        <v>0</v>
      </c>
      <c r="P616" s="124">
        <v>361.67</v>
      </c>
      <c r="Q616" s="124" cm="1">
        <f ca="1" t="array" ref="Q616">SUMPRODUCT(TRANSPOSE($I616:$P616),$F$162:$F$169)+SUMIFS($H$210:$H$241,$D$210:$D$241,"&lt;="&amp;N616)+SUMIF($D$310:$D$341,"&lt;="&amp;D616,$H$310:$H$341)</f>
        <v>64701.77</v>
      </c>
      <c r="R616" s="124">
        <f ca="1" t="shared" si="37"/>
        <v>25.6753055555556</v>
      </c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</row>
    <row r="617" s="122" customFormat="1" spans="4:31">
      <c r="D617" s="124">
        <v>211</v>
      </c>
      <c r="E617" s="128" t="str">
        <f ca="1" t="shared" si="33"/>
        <v/>
      </c>
      <c r="F617" s="128" t="str">
        <f ca="1" t="shared" si="34"/>
        <v/>
      </c>
      <c r="G617" s="128" t="str">
        <f ca="1" t="shared" si="35"/>
        <v/>
      </c>
      <c r="H617" s="128" t="str">
        <f ca="1" t="shared" si="36"/>
        <v/>
      </c>
      <c r="I617" s="124">
        <v>60.49</v>
      </c>
      <c r="J617" s="124">
        <v>59.65</v>
      </c>
      <c r="K617" s="124">
        <v>181.65</v>
      </c>
      <c r="L617" s="124">
        <v>1148.28</v>
      </c>
      <c r="M617" s="124">
        <v>482.9</v>
      </c>
      <c r="N617" s="124">
        <v>119.25</v>
      </c>
      <c r="O617" s="124">
        <v>0</v>
      </c>
      <c r="P617" s="124">
        <v>363.42</v>
      </c>
      <c r="Q617" s="124" cm="1">
        <f ca="1" t="array" ref="Q617">SUMPRODUCT(TRANSPOSE($I617:$P617),$F$162:$F$169)+SUMIFS($H$210:$H$241,$D$210:$D$241,"&lt;="&amp;N617)+SUMIF($D$310:$D$341,"&lt;="&amp;D617,$H$310:$H$341)</f>
        <v>64904.92</v>
      </c>
      <c r="R617" s="124">
        <f ca="1" t="shared" si="37"/>
        <v>25.6338546603476</v>
      </c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</row>
    <row r="618" s="122" customFormat="1" spans="4:31">
      <c r="D618" s="124">
        <v>212</v>
      </c>
      <c r="E618" s="128" t="str">
        <f ca="1" t="shared" si="33"/>
        <v/>
      </c>
      <c r="F618" s="128" t="str">
        <f ca="1" t="shared" si="34"/>
        <v/>
      </c>
      <c r="G618" s="128" t="str">
        <f ca="1" t="shared" si="35"/>
        <v/>
      </c>
      <c r="H618" s="128" t="str">
        <f ca="1" t="shared" si="36"/>
        <v/>
      </c>
      <c r="I618" s="124">
        <v>60.81</v>
      </c>
      <c r="J618" s="124">
        <v>60.03</v>
      </c>
      <c r="K618" s="124">
        <v>182.47</v>
      </c>
      <c r="L618" s="124">
        <v>1153.95</v>
      </c>
      <c r="M618" s="124">
        <v>485.13</v>
      </c>
      <c r="N618" s="124">
        <v>119.78</v>
      </c>
      <c r="O618" s="124">
        <v>0</v>
      </c>
      <c r="P618" s="124">
        <v>365.17</v>
      </c>
      <c r="Q618" s="124" cm="1">
        <f ca="1" t="array" ref="Q618">SUMPRODUCT(TRANSPOSE($I618:$P618),$F$162:$F$169)+SUMIFS($H$210:$H$241,$D$210:$D$241,"&lt;="&amp;N618)+SUMIF($D$310:$D$341,"&lt;="&amp;D618,$H$310:$H$341)</f>
        <v>65117.12</v>
      </c>
      <c r="R618" s="124">
        <f ca="1" t="shared" si="37"/>
        <v>25.5963522012579</v>
      </c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</row>
    <row r="619" s="122" customFormat="1" spans="4:31">
      <c r="D619" s="124">
        <v>213</v>
      </c>
      <c r="E619" s="128" t="str">
        <f ca="1" t="shared" si="33"/>
        <v/>
      </c>
      <c r="F619" s="128" t="str">
        <f ca="1" t="shared" si="34"/>
        <v/>
      </c>
      <c r="G619" s="128" t="str">
        <f ca="1" t="shared" si="35"/>
        <v/>
      </c>
      <c r="H619" s="128" t="str">
        <f ca="1" t="shared" si="36"/>
        <v/>
      </c>
      <c r="I619" s="124">
        <v>61.13</v>
      </c>
      <c r="J619" s="124">
        <v>60.3</v>
      </c>
      <c r="K619" s="124">
        <v>183.31</v>
      </c>
      <c r="L619" s="124">
        <v>1159.53</v>
      </c>
      <c r="M619" s="124">
        <v>487.42</v>
      </c>
      <c r="N619" s="124">
        <v>120.38</v>
      </c>
      <c r="O619" s="124">
        <v>0</v>
      </c>
      <c r="P619" s="124">
        <v>366.81</v>
      </c>
      <c r="Q619" s="124" cm="1">
        <f ca="1" t="array" ref="Q619">SUMPRODUCT(TRANSPOSE($I619:$P619),$F$162:$F$169)+SUMIFS($H$210:$H$241,$D$210:$D$241,"&lt;="&amp;N619)+SUMIF($D$310:$D$341,"&lt;="&amp;D619,$H$310:$H$341)</f>
        <v>66521.21</v>
      </c>
      <c r="R619" s="124">
        <f ca="1" t="shared" si="37"/>
        <v>26.0255125195618</v>
      </c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</row>
    <row r="620" s="122" customFormat="1" spans="4:31">
      <c r="D620" s="124">
        <v>214</v>
      </c>
      <c r="E620" s="128" t="str">
        <f ca="1" t="shared" si="33"/>
        <v/>
      </c>
      <c r="F620" s="128" t="str">
        <f ca="1" t="shared" si="34"/>
        <v/>
      </c>
      <c r="G620" s="128" t="str">
        <f ca="1" t="shared" si="35"/>
        <v/>
      </c>
      <c r="H620" s="128" t="str">
        <f ca="1" t="shared" si="36"/>
        <v/>
      </c>
      <c r="I620" s="124">
        <v>61.42</v>
      </c>
      <c r="J620" s="124">
        <v>60.53</v>
      </c>
      <c r="K620" s="124">
        <v>184.1</v>
      </c>
      <c r="L620" s="124">
        <v>1164.71</v>
      </c>
      <c r="M620" s="124">
        <v>489.76</v>
      </c>
      <c r="N620" s="124">
        <v>120.95</v>
      </c>
      <c r="O620" s="124">
        <v>0</v>
      </c>
      <c r="P620" s="124">
        <v>368.74</v>
      </c>
      <c r="Q620" s="124" cm="1">
        <f ca="1" t="array" ref="Q620">SUMPRODUCT(TRANSPOSE($I620:$P620),$F$162:$F$169)+SUMIFS($H$210:$H$241,$D$210:$D$241,"&lt;="&amp;N620)+SUMIF($D$310:$D$341,"&lt;="&amp;D620,$H$310:$H$341)</f>
        <v>66718.74</v>
      </c>
      <c r="R620" s="124">
        <f ca="1" t="shared" si="37"/>
        <v>25.9808177570093</v>
      </c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</row>
    <row r="621" s="122" customFormat="1" spans="4:31">
      <c r="D621" s="124">
        <v>215</v>
      </c>
      <c r="E621" s="128" t="str">
        <f ca="1" t="shared" si="33"/>
        <v/>
      </c>
      <c r="F621" s="128" t="str">
        <f ca="1" t="shared" si="34"/>
        <v/>
      </c>
      <c r="G621" s="128" t="str">
        <f ca="1" t="shared" si="35"/>
        <v/>
      </c>
      <c r="H621" s="128" t="str">
        <f ca="1" t="shared" si="36"/>
        <v/>
      </c>
      <c r="I621" s="124">
        <v>61.69</v>
      </c>
      <c r="J621" s="124">
        <v>60.82</v>
      </c>
      <c r="K621" s="124">
        <v>184.84</v>
      </c>
      <c r="L621" s="124">
        <v>1170.22</v>
      </c>
      <c r="M621" s="124">
        <v>492.16</v>
      </c>
      <c r="N621" s="124">
        <v>121.41</v>
      </c>
      <c r="O621" s="124">
        <v>0</v>
      </c>
      <c r="P621" s="124">
        <v>370.43</v>
      </c>
      <c r="Q621" s="124" cm="1">
        <f ca="1" t="array" ref="Q621">SUMPRODUCT(TRANSPOSE($I621:$P621),$F$162:$F$169)+SUMIFS($H$210:$H$241,$D$210:$D$241,"&lt;="&amp;N621)+SUMIF($D$310:$D$341,"&lt;="&amp;D621,$H$310:$H$341)</f>
        <v>66917.93</v>
      </c>
      <c r="R621" s="124">
        <f ca="1" t="shared" si="37"/>
        <v>25.9371821705426</v>
      </c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</row>
    <row r="622" s="122" customFormat="1" spans="4:31">
      <c r="D622" s="124">
        <v>216</v>
      </c>
      <c r="E622" s="128" t="str">
        <f ca="1" t="shared" si="33"/>
        <v/>
      </c>
      <c r="F622" s="128" t="str">
        <f ca="1" t="shared" si="34"/>
        <v/>
      </c>
      <c r="G622" s="128" t="str">
        <f ca="1" t="shared" si="35"/>
        <v/>
      </c>
      <c r="H622" s="128" t="str">
        <f ca="1" t="shared" si="36"/>
        <v/>
      </c>
      <c r="I622" s="124">
        <v>62.05</v>
      </c>
      <c r="J622" s="124">
        <v>61.02</v>
      </c>
      <c r="K622" s="124">
        <v>185.61</v>
      </c>
      <c r="L622" s="124">
        <v>1175.4</v>
      </c>
      <c r="M622" s="124">
        <v>494.49</v>
      </c>
      <c r="N622" s="124">
        <v>122.17</v>
      </c>
      <c r="O622" s="124">
        <v>0</v>
      </c>
      <c r="P622" s="124">
        <v>372.24</v>
      </c>
      <c r="Q622" s="124" cm="1">
        <f ca="1" t="array" ref="Q622">SUMPRODUCT(TRANSPOSE($I622:$P622),$F$162:$F$169)+SUMIFS($H$210:$H$241,$D$210:$D$241,"&lt;="&amp;N622)+SUMIF($D$310:$D$341,"&lt;="&amp;D622,$H$310:$H$341)</f>
        <v>67123.89</v>
      </c>
      <c r="R622" s="124">
        <f ca="1" t="shared" si="37"/>
        <v>25.8965625</v>
      </c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</row>
    <row r="623" s="122" customFormat="1" spans="4:31">
      <c r="D623" s="124">
        <v>217</v>
      </c>
      <c r="E623" s="128" t="str">
        <f ca="1" t="shared" si="33"/>
        <v/>
      </c>
      <c r="F623" s="128" t="str">
        <f ca="1" t="shared" si="34"/>
        <v/>
      </c>
      <c r="G623" s="128" t="str">
        <f ca="1" t="shared" si="35"/>
        <v/>
      </c>
      <c r="H623" s="128" t="str">
        <f ca="1" t="shared" si="36"/>
        <v/>
      </c>
      <c r="I623" s="124">
        <v>62.32</v>
      </c>
      <c r="J623" s="124">
        <v>61.3</v>
      </c>
      <c r="K623" s="124">
        <v>186.51</v>
      </c>
      <c r="L623" s="124">
        <v>1180.6</v>
      </c>
      <c r="M623" s="124">
        <v>496.74</v>
      </c>
      <c r="N623" s="124">
        <v>122.78</v>
      </c>
      <c r="O623" s="124">
        <v>0</v>
      </c>
      <c r="P623" s="124">
        <v>373.97</v>
      </c>
      <c r="Q623" s="124" cm="1">
        <f ca="1" t="array" ref="Q623">SUMPRODUCT(TRANSPOSE($I623:$P623),$F$162:$F$169)+SUMIFS($H$210:$H$241,$D$210:$D$241,"&lt;="&amp;N623)+SUMIF($D$310:$D$341,"&lt;="&amp;D623,$H$310:$H$341)</f>
        <v>67323.17</v>
      </c>
      <c r="R623" s="124">
        <f ca="1" t="shared" si="37"/>
        <v>25.8537519201229</v>
      </c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</row>
    <row r="624" s="122" customFormat="1" spans="4:31">
      <c r="D624" s="124">
        <v>218</v>
      </c>
      <c r="E624" s="128" t="str">
        <f ca="1" t="shared" si="33"/>
        <v/>
      </c>
      <c r="F624" s="128" t="str">
        <f ca="1" t="shared" si="34"/>
        <v/>
      </c>
      <c r="G624" s="128" t="str">
        <f ca="1" t="shared" si="35"/>
        <v/>
      </c>
      <c r="H624" s="128" t="str">
        <f ca="1" t="shared" si="36"/>
        <v/>
      </c>
      <c r="I624" s="124">
        <v>62.58</v>
      </c>
      <c r="J624" s="124">
        <v>61.51</v>
      </c>
      <c r="K624" s="124">
        <v>187.28</v>
      </c>
      <c r="L624" s="124">
        <v>1186.16</v>
      </c>
      <c r="M624" s="124">
        <v>498.84</v>
      </c>
      <c r="N624" s="124">
        <v>123.34</v>
      </c>
      <c r="O624" s="124">
        <v>0</v>
      </c>
      <c r="P624" s="124">
        <v>375.84</v>
      </c>
      <c r="Q624" s="124" cm="1">
        <f ca="1" t="array" ref="Q624">SUMPRODUCT(TRANSPOSE($I624:$P624),$F$162:$F$169)+SUMIFS($H$210:$H$241,$D$210:$D$241,"&lt;="&amp;N624)+SUMIF($D$310:$D$341,"&lt;="&amp;D624,$H$310:$H$341)</f>
        <v>67513.84</v>
      </c>
      <c r="R624" s="124">
        <f ca="1" t="shared" si="37"/>
        <v>25.8080428134557</v>
      </c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</row>
    <row r="625" s="122" customFormat="1" spans="4:31">
      <c r="D625" s="124">
        <v>219</v>
      </c>
      <c r="E625" s="128" t="str">
        <f ca="1" t="shared" si="33"/>
        <v/>
      </c>
      <c r="F625" s="128" t="str">
        <f ca="1" t="shared" si="34"/>
        <v/>
      </c>
      <c r="G625" s="128" t="str">
        <f ca="1" t="shared" si="35"/>
        <v/>
      </c>
      <c r="H625" s="128" t="str">
        <f ca="1" t="shared" si="36"/>
        <v/>
      </c>
      <c r="I625" s="124">
        <v>62.85</v>
      </c>
      <c r="J625" s="124">
        <v>61.86</v>
      </c>
      <c r="K625" s="124">
        <v>188.18</v>
      </c>
      <c r="L625" s="124">
        <v>1191.44</v>
      </c>
      <c r="M625" s="124">
        <v>501.08</v>
      </c>
      <c r="N625" s="124">
        <v>123.82</v>
      </c>
      <c r="O625" s="124">
        <v>0</v>
      </c>
      <c r="P625" s="124">
        <v>377.63</v>
      </c>
      <c r="Q625" s="124" cm="1">
        <f ca="1" t="array" ref="Q625">SUMPRODUCT(TRANSPOSE($I625:$P625),$F$162:$F$169)+SUMIFS($H$210:$H$241,$D$210:$D$241,"&lt;="&amp;N625)+SUMIF($D$310:$D$341,"&lt;="&amp;D625,$H$310:$H$341)</f>
        <v>67714.83</v>
      </c>
      <c r="R625" s="124">
        <f ca="1" t="shared" si="37"/>
        <v>25.7666780821918</v>
      </c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</row>
    <row r="626" s="122" customFormat="1" spans="4:31">
      <c r="D626" s="124">
        <v>220</v>
      </c>
      <c r="E626" s="128" t="str">
        <f ca="1" t="shared" si="33"/>
        <v/>
      </c>
      <c r="F626" s="128" t="str">
        <f ca="1" t="shared" si="34"/>
        <v/>
      </c>
      <c r="G626" s="128" t="str">
        <f ca="1" t="shared" si="35"/>
        <v/>
      </c>
      <c r="H626" s="128" t="str">
        <f ca="1" t="shared" si="36"/>
        <v/>
      </c>
      <c r="I626" s="124">
        <v>63.2</v>
      </c>
      <c r="J626" s="124">
        <v>62.18</v>
      </c>
      <c r="K626" s="124">
        <v>188.95</v>
      </c>
      <c r="L626" s="124">
        <v>1196.77</v>
      </c>
      <c r="M626" s="124">
        <v>503.63</v>
      </c>
      <c r="N626" s="124">
        <v>124.4</v>
      </c>
      <c r="O626" s="124">
        <v>0</v>
      </c>
      <c r="P626" s="124">
        <v>379.33</v>
      </c>
      <c r="Q626" s="124" cm="1">
        <f ca="1" t="array" ref="Q626">SUMPRODUCT(TRANSPOSE($I626:$P626),$F$162:$F$169)+SUMIFS($H$210:$H$241,$D$210:$D$241,"&lt;="&amp;N626)+SUMIF($D$310:$D$341,"&lt;="&amp;D626,$H$310:$H$341)</f>
        <v>67929.08</v>
      </c>
      <c r="R626" s="124">
        <f ca="1" t="shared" si="37"/>
        <v>25.7307121212121</v>
      </c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</row>
    <row r="627" s="122" customFormat="1" spans="4:31">
      <c r="D627" s="124">
        <v>221</v>
      </c>
      <c r="E627" s="128" t="str">
        <f ca="1" t="shared" si="33"/>
        <v/>
      </c>
      <c r="F627" s="128" t="str">
        <f ca="1" t="shared" si="34"/>
        <v/>
      </c>
      <c r="G627" s="128" t="str">
        <f ca="1" t="shared" si="35"/>
        <v/>
      </c>
      <c r="H627" s="128" t="str">
        <f ca="1" t="shared" si="36"/>
        <v/>
      </c>
      <c r="I627" s="124">
        <v>63.5</v>
      </c>
      <c r="J627" s="124">
        <v>62.47</v>
      </c>
      <c r="K627" s="124">
        <v>189.69</v>
      </c>
      <c r="L627" s="124">
        <v>1202.31</v>
      </c>
      <c r="M627" s="124">
        <v>506.06</v>
      </c>
      <c r="N627" s="124">
        <v>124.97</v>
      </c>
      <c r="O627" s="124">
        <v>0</v>
      </c>
      <c r="P627" s="124">
        <v>381.17</v>
      </c>
      <c r="Q627" s="124" cm="1">
        <f ca="1" t="array" ref="Q627">SUMPRODUCT(TRANSPOSE($I627:$P627),$F$162:$F$169)+SUMIFS($H$210:$H$241,$D$210:$D$241,"&lt;="&amp;N627)+SUMIF($D$310:$D$341,"&lt;="&amp;D627,$H$310:$H$341)</f>
        <v>68137.97</v>
      </c>
      <c r="R627" s="124">
        <f ca="1" t="shared" si="37"/>
        <v>25.6930505279035</v>
      </c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</row>
    <row r="628" s="122" customFormat="1" spans="4:31">
      <c r="D628" s="124">
        <v>222</v>
      </c>
      <c r="E628" s="128" t="str">
        <f ca="1" t="shared" si="33"/>
        <v/>
      </c>
      <c r="F628" s="128" t="str">
        <f ca="1" t="shared" si="34"/>
        <v/>
      </c>
      <c r="G628" s="128" t="str">
        <f ca="1" t="shared" si="35"/>
        <v/>
      </c>
      <c r="H628" s="128" t="str">
        <f ca="1" t="shared" si="36"/>
        <v/>
      </c>
      <c r="I628" s="124">
        <v>63.79</v>
      </c>
      <c r="J628" s="124">
        <v>62.74</v>
      </c>
      <c r="K628" s="124">
        <v>190.53</v>
      </c>
      <c r="L628" s="124">
        <v>1207.61</v>
      </c>
      <c r="M628" s="124">
        <v>508.56</v>
      </c>
      <c r="N628" s="124">
        <v>125.47</v>
      </c>
      <c r="O628" s="124">
        <v>0</v>
      </c>
      <c r="P628" s="124">
        <v>383.04</v>
      </c>
      <c r="Q628" s="124" cm="1">
        <f ca="1" t="array" ref="Q628">SUMPRODUCT(TRANSPOSE($I628:$P628),$F$162:$F$169)+SUMIFS($H$210:$H$241,$D$210:$D$241,"&lt;="&amp;N628)+SUMIF($D$310:$D$341,"&lt;="&amp;D628,$H$310:$H$341)</f>
        <v>68340.54</v>
      </c>
      <c r="R628" s="124">
        <f ca="1" t="shared" si="37"/>
        <v>25.6533558558559</v>
      </c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</row>
    <row r="629" s="122" customFormat="1" spans="4:31">
      <c r="D629" s="124">
        <v>223</v>
      </c>
      <c r="E629" s="128" t="str">
        <f ca="1" t="shared" si="33"/>
        <v/>
      </c>
      <c r="F629" s="128" t="str">
        <f ca="1" t="shared" si="34"/>
        <v/>
      </c>
      <c r="G629" s="128" t="str">
        <f ca="1" t="shared" si="35"/>
        <v/>
      </c>
      <c r="H629" s="128" t="str">
        <f ca="1" t="shared" si="36"/>
        <v/>
      </c>
      <c r="I629" s="124">
        <v>64.09</v>
      </c>
      <c r="J629" s="124">
        <v>63.01</v>
      </c>
      <c r="K629" s="124">
        <v>191.45</v>
      </c>
      <c r="L629" s="124">
        <v>1213.1</v>
      </c>
      <c r="M629" s="124">
        <v>510.56</v>
      </c>
      <c r="N629" s="124">
        <v>126.16</v>
      </c>
      <c r="O629" s="124">
        <v>0</v>
      </c>
      <c r="P629" s="124">
        <v>384.78</v>
      </c>
      <c r="Q629" s="124" cm="1">
        <f ca="1" t="array" ref="Q629">SUMPRODUCT(TRANSPOSE($I629:$P629),$F$162:$F$169)+SUMIFS($H$210:$H$241,$D$210:$D$241,"&lt;="&amp;N629)+SUMIF($D$310:$D$341,"&lt;="&amp;D629,$H$310:$H$341)</f>
        <v>68541.08</v>
      </c>
      <c r="R629" s="124">
        <f ca="1" t="shared" si="37"/>
        <v>25.6132585949178</v>
      </c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</row>
    <row r="630" s="122" customFormat="1" spans="4:31">
      <c r="D630" s="124">
        <v>224</v>
      </c>
      <c r="E630" s="128" t="str">
        <f ca="1" t="shared" si="33"/>
        <v/>
      </c>
      <c r="F630" s="128" t="str">
        <f ca="1" t="shared" si="34"/>
        <v/>
      </c>
      <c r="G630" s="128" t="str">
        <f ca="1" t="shared" si="35"/>
        <v/>
      </c>
      <c r="H630" s="128" t="str">
        <f ca="1" t="shared" si="36"/>
        <v/>
      </c>
      <c r="I630" s="124">
        <v>64.36</v>
      </c>
      <c r="J630" s="124">
        <v>63.27</v>
      </c>
      <c r="K630" s="124">
        <v>192.17</v>
      </c>
      <c r="L630" s="124">
        <v>1218.76</v>
      </c>
      <c r="M630" s="124">
        <v>512.85</v>
      </c>
      <c r="N630" s="124">
        <v>126.79</v>
      </c>
      <c r="O630" s="124">
        <v>0</v>
      </c>
      <c r="P630" s="124">
        <v>386.43</v>
      </c>
      <c r="Q630" s="124" cm="1">
        <f ca="1" t="array" ref="Q630">SUMPRODUCT(TRANSPOSE($I630:$P630),$F$162:$F$169)+SUMIFS($H$210:$H$241,$D$210:$D$241,"&lt;="&amp;N630)+SUMIF($D$310:$D$341,"&lt;="&amp;D630,$H$310:$H$341)</f>
        <v>68744.08</v>
      </c>
      <c r="R630" s="124">
        <f ca="1" t="shared" si="37"/>
        <v>25.5744345238095</v>
      </c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</row>
    <row r="631" s="122" customFormat="1" spans="4:31">
      <c r="D631" s="124">
        <v>225</v>
      </c>
      <c r="E631" s="128" t="str">
        <f ca="1" t="shared" si="33"/>
        <v/>
      </c>
      <c r="F631" s="128" t="str">
        <f ca="1" t="shared" si="34"/>
        <v/>
      </c>
      <c r="G631" s="128" t="str">
        <f ca="1" t="shared" si="35"/>
        <v/>
      </c>
      <c r="H631" s="128" t="str">
        <f ca="1" t="shared" si="36"/>
        <v/>
      </c>
      <c r="I631" s="124">
        <v>64.61</v>
      </c>
      <c r="J631" s="124">
        <v>63.55</v>
      </c>
      <c r="K631" s="124">
        <v>193</v>
      </c>
      <c r="L631" s="124">
        <v>1224.31</v>
      </c>
      <c r="M631" s="124">
        <v>514.91</v>
      </c>
      <c r="N631" s="124">
        <v>127.38</v>
      </c>
      <c r="O631" s="124">
        <v>0</v>
      </c>
      <c r="P631" s="124">
        <v>388.21</v>
      </c>
      <c r="Q631" s="124" cm="1">
        <f ca="1" t="array" ref="Q631">SUMPRODUCT(TRANSPOSE($I631:$P631),$F$162:$F$169)+SUMIFS($H$210:$H$241,$D$210:$D$241,"&lt;="&amp;N631)+SUMIF($D$310:$D$341,"&lt;="&amp;D631,$H$310:$H$341)</f>
        <v>68940.66</v>
      </c>
      <c r="R631" s="124">
        <f ca="1" t="shared" si="37"/>
        <v>25.5335777777778</v>
      </c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</row>
    <row r="632" s="122" customFormat="1" spans="4:31">
      <c r="D632" s="124">
        <v>226</v>
      </c>
      <c r="E632" s="128" t="str">
        <f ca="1" t="shared" si="33"/>
        <v/>
      </c>
      <c r="F632" s="128" t="str">
        <f ca="1" t="shared" si="34"/>
        <v/>
      </c>
      <c r="G632" s="128" t="str">
        <f ca="1" t="shared" si="35"/>
        <v/>
      </c>
      <c r="H632" s="128" t="str">
        <f ca="1" t="shared" si="36"/>
        <v/>
      </c>
      <c r="I632" s="124">
        <v>64.95</v>
      </c>
      <c r="J632" s="124">
        <v>63.82</v>
      </c>
      <c r="K632" s="124">
        <v>193.87</v>
      </c>
      <c r="L632" s="124">
        <v>1229.47</v>
      </c>
      <c r="M632" s="124">
        <v>517.22</v>
      </c>
      <c r="N632" s="124">
        <v>127.94</v>
      </c>
      <c r="O632" s="124">
        <v>0</v>
      </c>
      <c r="P632" s="124">
        <v>390.19</v>
      </c>
      <c r="Q632" s="124" cm="1">
        <f ca="1" t="array" ref="Q632">SUMPRODUCT(TRANSPOSE($I632:$P632),$F$162:$F$169)+SUMIFS($H$210:$H$241,$D$210:$D$241,"&lt;="&amp;N632)+SUMIF($D$310:$D$341,"&lt;="&amp;D632,$H$310:$H$341)</f>
        <v>69143.79</v>
      </c>
      <c r="R632" s="124">
        <f ca="1" t="shared" si="37"/>
        <v>25.4954977876106</v>
      </c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</row>
    <row r="633" s="122" customFormat="1" spans="4:31">
      <c r="D633" s="124">
        <v>227</v>
      </c>
      <c r="E633" s="128" t="str">
        <f ca="1" t="shared" si="33"/>
        <v/>
      </c>
      <c r="F633" s="128" t="str">
        <f ca="1" t="shared" si="34"/>
        <v/>
      </c>
      <c r="G633" s="128" t="str">
        <f ca="1" t="shared" si="35"/>
        <v/>
      </c>
      <c r="H633" s="128" t="str">
        <f ca="1" t="shared" si="36"/>
        <v/>
      </c>
      <c r="I633" s="124">
        <v>65.27</v>
      </c>
      <c r="J633" s="124">
        <v>64.08</v>
      </c>
      <c r="K633" s="124">
        <v>194.81</v>
      </c>
      <c r="L633" s="124">
        <v>1234.99</v>
      </c>
      <c r="M633" s="124">
        <v>519.38</v>
      </c>
      <c r="N633" s="124">
        <v>128.62</v>
      </c>
      <c r="O633" s="124">
        <v>0</v>
      </c>
      <c r="P633" s="124">
        <v>391.73</v>
      </c>
      <c r="Q633" s="124" cm="1">
        <f ca="1" t="array" ref="Q633">SUMPRODUCT(TRANSPOSE($I633:$P633),$F$162:$F$169)+SUMIFS($H$210:$H$241,$D$210:$D$241,"&lt;="&amp;N633)+SUMIF($D$310:$D$341,"&lt;="&amp;D633,$H$310:$H$341)</f>
        <v>69345.93</v>
      </c>
      <c r="R633" s="124">
        <f ca="1" t="shared" si="37"/>
        <v>25.4573898678414</v>
      </c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</row>
    <row r="634" s="122" customFormat="1" spans="4:31">
      <c r="D634" s="124">
        <v>228</v>
      </c>
      <c r="E634" s="128" t="str">
        <f ca="1" t="shared" si="33"/>
        <v/>
      </c>
      <c r="F634" s="128" t="str">
        <f ca="1" t="shared" si="34"/>
        <v/>
      </c>
      <c r="G634" s="128" t="str">
        <f ca="1" t="shared" si="35"/>
        <v/>
      </c>
      <c r="H634" s="128" t="str">
        <f ca="1" t="shared" si="36"/>
        <v/>
      </c>
      <c r="I634" s="124">
        <v>65.65</v>
      </c>
      <c r="J634" s="124">
        <v>64.42</v>
      </c>
      <c r="K634" s="124">
        <v>195.72</v>
      </c>
      <c r="L634" s="124">
        <v>1240.18</v>
      </c>
      <c r="M634" s="124">
        <v>521.65</v>
      </c>
      <c r="N634" s="124">
        <v>129.16</v>
      </c>
      <c r="O634" s="124">
        <v>0</v>
      </c>
      <c r="P634" s="124">
        <v>393.6</v>
      </c>
      <c r="Q634" s="124" cm="1">
        <f ca="1" t="array" ref="Q634">SUMPRODUCT(TRANSPOSE($I634:$P634),$F$162:$F$169)+SUMIFS($H$210:$H$241,$D$210:$D$241,"&lt;="&amp;N634)+SUMIF($D$310:$D$341,"&lt;="&amp;D634,$H$310:$H$341)</f>
        <v>69555.15</v>
      </c>
      <c r="R634" s="124">
        <f ca="1" t="shared" si="37"/>
        <v>25.4222039473684</v>
      </c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</row>
    <row r="635" s="122" customFormat="1" spans="4:31">
      <c r="D635" s="124">
        <v>229</v>
      </c>
      <c r="E635" s="128" t="str">
        <f ca="1" t="shared" si="33"/>
        <v/>
      </c>
      <c r="F635" s="128" t="str">
        <f ca="1" t="shared" si="34"/>
        <v/>
      </c>
      <c r="G635" s="128" t="str">
        <f ca="1" t="shared" si="35"/>
        <v/>
      </c>
      <c r="H635" s="128" t="str">
        <f ca="1" t="shared" si="36"/>
        <v/>
      </c>
      <c r="I635" s="124">
        <v>65.92</v>
      </c>
      <c r="J635" s="124">
        <v>64.8</v>
      </c>
      <c r="K635" s="124">
        <v>196.46</v>
      </c>
      <c r="L635" s="124">
        <v>1245.77</v>
      </c>
      <c r="M635" s="124">
        <v>523.86</v>
      </c>
      <c r="N635" s="124">
        <v>129.83</v>
      </c>
      <c r="O635" s="124">
        <v>0</v>
      </c>
      <c r="P635" s="124">
        <v>395.52</v>
      </c>
      <c r="Q635" s="124" cm="1">
        <f ca="1" t="array" ref="Q635">SUMPRODUCT(TRANSPOSE($I635:$P635),$F$162:$F$169)+SUMIFS($H$210:$H$241,$D$210:$D$241,"&lt;="&amp;N635)+SUMIF($D$310:$D$341,"&lt;="&amp;D635,$H$310:$H$341)</f>
        <v>69772.42</v>
      </c>
      <c r="R635" s="124">
        <f ca="1" t="shared" si="37"/>
        <v>25.3902547307132</v>
      </c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</row>
    <row r="636" s="122" customFormat="1" spans="4:31">
      <c r="D636" s="124">
        <v>230</v>
      </c>
      <c r="E636" s="128" t="str">
        <f ca="1" t="shared" si="33"/>
        <v/>
      </c>
      <c r="F636" s="128" t="str">
        <f ca="1" t="shared" si="34"/>
        <v/>
      </c>
      <c r="G636" s="128" t="str">
        <f ca="1" t="shared" si="35"/>
        <v/>
      </c>
      <c r="H636" s="128" t="str">
        <f ca="1" t="shared" si="36"/>
        <v/>
      </c>
      <c r="I636" s="124">
        <v>66.2</v>
      </c>
      <c r="J636" s="124">
        <v>65.06</v>
      </c>
      <c r="K636" s="124">
        <v>197.35</v>
      </c>
      <c r="L636" s="124">
        <v>1251.16</v>
      </c>
      <c r="M636" s="124">
        <v>526.04</v>
      </c>
      <c r="N636" s="124">
        <v>130.48</v>
      </c>
      <c r="O636" s="124">
        <v>0</v>
      </c>
      <c r="P636" s="124">
        <v>397.17</v>
      </c>
      <c r="Q636" s="124" cm="1">
        <f ca="1" t="array" ref="Q636">SUMPRODUCT(TRANSPOSE($I636:$P636),$F$162:$F$169)+SUMIFS($H$210:$H$241,$D$210:$D$241,"&lt;="&amp;N636)+SUMIF($D$310:$D$341,"&lt;="&amp;D636,$H$310:$H$341)</f>
        <v>69971.47</v>
      </c>
      <c r="R636" s="124">
        <f ca="1" t="shared" si="37"/>
        <v>25.351981884058</v>
      </c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</row>
    <row r="637" s="122" customFormat="1" spans="4:31">
      <c r="D637" s="124">
        <v>231</v>
      </c>
      <c r="E637" s="128" t="str">
        <f ca="1" t="shared" si="33"/>
        <v/>
      </c>
      <c r="F637" s="128" t="str">
        <f ca="1" t="shared" si="34"/>
        <v/>
      </c>
      <c r="G637" s="128" t="str">
        <f ca="1" t="shared" si="35"/>
        <v/>
      </c>
      <c r="H637" s="128" t="str">
        <f ca="1" t="shared" si="36"/>
        <v/>
      </c>
      <c r="I637" s="124">
        <v>66.51</v>
      </c>
      <c r="J637" s="124">
        <v>65.27</v>
      </c>
      <c r="K637" s="124">
        <v>198.31</v>
      </c>
      <c r="L637" s="124">
        <v>1256.44</v>
      </c>
      <c r="M637" s="124">
        <v>528.56</v>
      </c>
      <c r="N637" s="124">
        <v>130.97</v>
      </c>
      <c r="O637" s="124">
        <v>0</v>
      </c>
      <c r="P637" s="124">
        <v>398.83</v>
      </c>
      <c r="Q637" s="124" cm="1">
        <f ca="1" t="array" ref="Q637">SUMPRODUCT(TRANSPOSE($I637:$P637),$F$162:$F$169)+SUMIFS($H$210:$H$241,$D$210:$D$241,"&lt;="&amp;N637)+SUMIF($D$310:$D$341,"&lt;="&amp;D637,$H$310:$H$341)</f>
        <v>70166.53</v>
      </c>
      <c r="R637" s="124">
        <f ca="1" t="shared" si="37"/>
        <v>25.312601010101</v>
      </c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</row>
    <row r="638" s="122" customFormat="1" spans="4:31">
      <c r="D638" s="124">
        <v>232</v>
      </c>
      <c r="E638" s="128" t="str">
        <f ca="1" t="shared" si="33"/>
        <v/>
      </c>
      <c r="F638" s="128" t="str">
        <f ca="1" t="shared" si="34"/>
        <v/>
      </c>
      <c r="G638" s="128" t="str">
        <f ca="1" t="shared" si="35"/>
        <v/>
      </c>
      <c r="H638" s="128" t="str">
        <f ca="1" t="shared" si="36"/>
        <v/>
      </c>
      <c r="I638" s="124">
        <v>66.79</v>
      </c>
      <c r="J638" s="124">
        <v>65.62</v>
      </c>
      <c r="K638" s="124">
        <v>199.15</v>
      </c>
      <c r="L638" s="124">
        <v>1262.18</v>
      </c>
      <c r="M638" s="124">
        <v>530.8</v>
      </c>
      <c r="N638" s="124">
        <v>131.59</v>
      </c>
      <c r="O638" s="124">
        <v>0</v>
      </c>
      <c r="P638" s="124">
        <v>400.34</v>
      </c>
      <c r="Q638" s="124" cm="1">
        <f ca="1" t="array" ref="Q638">SUMPRODUCT(TRANSPOSE($I638:$P638),$F$162:$F$169)+SUMIFS($H$210:$H$241,$D$210:$D$241,"&lt;="&amp;N638)+SUMIF($D$310:$D$341,"&lt;="&amp;D638,$H$310:$H$341)</f>
        <v>70376.54</v>
      </c>
      <c r="R638" s="124">
        <f ca="1" t="shared" si="37"/>
        <v>25.2789295977012</v>
      </c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</row>
    <row r="639" s="122" customFormat="1" spans="4:31">
      <c r="D639" s="124">
        <v>233</v>
      </c>
      <c r="E639" s="128" t="str">
        <f ca="1" t="shared" si="33"/>
        <v/>
      </c>
      <c r="F639" s="128" t="str">
        <f ca="1" t="shared" si="34"/>
        <v/>
      </c>
      <c r="G639" s="128" t="str">
        <f ca="1" t="shared" si="35"/>
        <v/>
      </c>
      <c r="H639" s="128" t="str">
        <f ca="1" t="shared" si="36"/>
        <v/>
      </c>
      <c r="I639" s="124">
        <v>67.06</v>
      </c>
      <c r="J639" s="124">
        <v>65.86</v>
      </c>
      <c r="K639" s="124">
        <v>199.91</v>
      </c>
      <c r="L639" s="124">
        <v>1267.55</v>
      </c>
      <c r="M639" s="124">
        <v>533.07</v>
      </c>
      <c r="N639" s="124">
        <v>132.15</v>
      </c>
      <c r="O639" s="124">
        <v>0</v>
      </c>
      <c r="P639" s="124">
        <v>402.1</v>
      </c>
      <c r="Q639" s="124" cm="1">
        <f ca="1" t="array" ref="Q639">SUMPRODUCT(TRANSPOSE($I639:$P639),$F$162:$F$169)+SUMIFS($H$210:$H$241,$D$210:$D$241,"&lt;="&amp;N639)+SUMIF($D$310:$D$341,"&lt;="&amp;D639,$H$310:$H$341)</f>
        <v>70571.85</v>
      </c>
      <c r="R639" s="124">
        <f ca="1" t="shared" si="37"/>
        <v>25.2402896995708</v>
      </c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</row>
    <row r="640" s="122" customFormat="1" spans="4:31">
      <c r="D640" s="124">
        <v>234</v>
      </c>
      <c r="E640" s="128" t="str">
        <f ca="1" t="shared" si="33"/>
        <v/>
      </c>
      <c r="F640" s="128" t="str">
        <f ca="1" t="shared" si="34"/>
        <v/>
      </c>
      <c r="G640" s="128" t="str">
        <f ca="1" t="shared" si="35"/>
        <v/>
      </c>
      <c r="H640" s="128" t="str">
        <f ca="1" t="shared" si="36"/>
        <v/>
      </c>
      <c r="I640" s="124">
        <v>67.41</v>
      </c>
      <c r="J640" s="124">
        <v>66.14</v>
      </c>
      <c r="K640" s="124">
        <v>200.76</v>
      </c>
      <c r="L640" s="124">
        <v>1272.89</v>
      </c>
      <c r="M640" s="124">
        <v>535.52</v>
      </c>
      <c r="N640" s="124">
        <v>132.7</v>
      </c>
      <c r="O640" s="124">
        <v>0</v>
      </c>
      <c r="P640" s="124">
        <v>403.74</v>
      </c>
      <c r="Q640" s="124" cm="1">
        <f ca="1" t="array" ref="Q640">SUMPRODUCT(TRANSPOSE($I640:$P640),$F$162:$F$169)+SUMIFS($H$210:$H$241,$D$210:$D$241,"&lt;="&amp;N640)+SUMIF($D$310:$D$341,"&lt;="&amp;D640,$H$310:$H$341)</f>
        <v>70777.54</v>
      </c>
      <c r="R640" s="124">
        <f ca="1" t="shared" si="37"/>
        <v>25.2056766381766</v>
      </c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</row>
    <row r="641" s="122" customFormat="1" spans="4:31">
      <c r="D641" s="124">
        <v>235</v>
      </c>
      <c r="E641" s="128" t="str">
        <f ca="1" t="shared" si="33"/>
        <v/>
      </c>
      <c r="F641" s="128" t="str">
        <f ca="1" t="shared" si="34"/>
        <v/>
      </c>
      <c r="G641" s="128" t="str">
        <f ca="1" t="shared" si="35"/>
        <v/>
      </c>
      <c r="H641" s="128" t="str">
        <f ca="1" t="shared" si="36"/>
        <v/>
      </c>
      <c r="I641" s="124">
        <v>67.8</v>
      </c>
      <c r="J641" s="124">
        <v>66.4</v>
      </c>
      <c r="K641" s="124">
        <v>201.61</v>
      </c>
      <c r="L641" s="124">
        <v>1278.31</v>
      </c>
      <c r="M641" s="124">
        <v>537.83</v>
      </c>
      <c r="N641" s="124">
        <v>133.28</v>
      </c>
      <c r="O641" s="124">
        <v>0</v>
      </c>
      <c r="P641" s="124">
        <v>405.35</v>
      </c>
      <c r="Q641" s="124" cm="1">
        <f ca="1" t="array" ref="Q641">SUMPRODUCT(TRANSPOSE($I641:$P641),$F$162:$F$169)+SUMIFS($H$210:$H$241,$D$210:$D$241,"&lt;="&amp;N641)+SUMIF($D$310:$D$341,"&lt;="&amp;D641,$H$310:$H$341)</f>
        <v>70981.7</v>
      </c>
      <c r="R641" s="124">
        <f ca="1" t="shared" si="37"/>
        <v>25.1708156028369</v>
      </c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</row>
    <row r="642" s="122" customFormat="1" spans="4:31">
      <c r="D642" s="124">
        <v>236</v>
      </c>
      <c r="E642" s="128" t="str">
        <f ca="1" t="shared" si="33"/>
        <v/>
      </c>
      <c r="F642" s="128" t="str">
        <f ca="1" t="shared" si="34"/>
        <v/>
      </c>
      <c r="G642" s="128" t="str">
        <f ca="1" t="shared" si="35"/>
        <v/>
      </c>
      <c r="H642" s="128" t="str">
        <f ca="1" t="shared" si="36"/>
        <v/>
      </c>
      <c r="I642" s="124">
        <v>68.04</v>
      </c>
      <c r="J642" s="124">
        <v>66.67</v>
      </c>
      <c r="K642" s="124">
        <v>202.49</v>
      </c>
      <c r="L642" s="124">
        <v>1283.99</v>
      </c>
      <c r="M642" s="124">
        <v>539.97</v>
      </c>
      <c r="N642" s="124">
        <v>133.96</v>
      </c>
      <c r="O642" s="124">
        <v>0</v>
      </c>
      <c r="P642" s="124">
        <v>407.03</v>
      </c>
      <c r="Q642" s="124" cm="1">
        <f ca="1" t="array" ref="Q642">SUMPRODUCT(TRANSPOSE($I642:$P642),$F$162:$F$169)+SUMIFS($H$210:$H$241,$D$210:$D$241,"&lt;="&amp;N642)+SUMIF($D$310:$D$341,"&lt;="&amp;D642,$H$310:$H$341)</f>
        <v>71183.48</v>
      </c>
      <c r="R642" s="124">
        <f ca="1" t="shared" si="37"/>
        <v>25.1354096045198</v>
      </c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</row>
    <row r="643" s="122" customFormat="1" spans="4:31">
      <c r="D643" s="124">
        <v>237</v>
      </c>
      <c r="E643" s="128" t="str">
        <f ca="1" t="shared" si="33"/>
        <v/>
      </c>
      <c r="F643" s="128" t="str">
        <f ca="1" t="shared" si="34"/>
        <v/>
      </c>
      <c r="G643" s="128" t="str">
        <f ca="1" t="shared" si="35"/>
        <v/>
      </c>
      <c r="H643" s="128" t="str">
        <f ca="1" t="shared" si="36"/>
        <v/>
      </c>
      <c r="I643" s="124">
        <v>68.23</v>
      </c>
      <c r="J643" s="124">
        <v>66.94</v>
      </c>
      <c r="K643" s="124">
        <v>203.39</v>
      </c>
      <c r="L643" s="124">
        <v>1289.46</v>
      </c>
      <c r="M643" s="124">
        <v>542.39</v>
      </c>
      <c r="N643" s="124">
        <v>134.57</v>
      </c>
      <c r="O643" s="124">
        <v>0</v>
      </c>
      <c r="P643" s="124">
        <v>408.66</v>
      </c>
      <c r="Q643" s="124" cm="1">
        <f ca="1" t="array" ref="Q643">SUMPRODUCT(TRANSPOSE($I643:$P643),$F$162:$F$169)+SUMIFS($H$210:$H$241,$D$210:$D$241,"&lt;="&amp;N643)+SUMIF($D$310:$D$341,"&lt;="&amp;D643,$H$310:$H$341)</f>
        <v>71383.61</v>
      </c>
      <c r="R643" s="124">
        <f ca="1" t="shared" si="37"/>
        <v>25.0997222222222</v>
      </c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</row>
    <row r="644" s="122" customFormat="1" spans="4:31">
      <c r="D644" s="124">
        <v>238</v>
      </c>
      <c r="E644" s="128" t="str">
        <f ca="1" t="shared" si="33"/>
        <v/>
      </c>
      <c r="F644" s="128" t="str">
        <f ca="1" t="shared" si="34"/>
        <v/>
      </c>
      <c r="G644" s="128" t="str">
        <f ca="1" t="shared" si="35"/>
        <v/>
      </c>
      <c r="H644" s="128" t="str">
        <f ca="1" t="shared" si="36"/>
        <v/>
      </c>
      <c r="I644" s="124">
        <v>68.55</v>
      </c>
      <c r="J644" s="124">
        <v>67.21</v>
      </c>
      <c r="K644" s="124">
        <v>204.11</v>
      </c>
      <c r="L644" s="124">
        <v>1294.86</v>
      </c>
      <c r="M644" s="124">
        <v>544.73</v>
      </c>
      <c r="N644" s="124">
        <v>135.04</v>
      </c>
      <c r="O644" s="124">
        <v>0</v>
      </c>
      <c r="P644" s="124">
        <v>410.4</v>
      </c>
      <c r="Q644" s="124" cm="1">
        <f ca="1" t="array" ref="Q644">SUMPRODUCT(TRANSPOSE($I644:$P644),$F$162:$F$169)+SUMIFS($H$210:$H$241,$D$210:$D$241,"&lt;="&amp;N644)+SUMIF($D$310:$D$341,"&lt;="&amp;D644,$H$310:$H$341)</f>
        <v>71581.75</v>
      </c>
      <c r="R644" s="124">
        <f ca="1" t="shared" si="37"/>
        <v>25.0636379551821</v>
      </c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</row>
    <row r="645" s="122" customFormat="1" spans="4:31">
      <c r="D645" s="124">
        <v>239</v>
      </c>
      <c r="E645" s="128" t="str">
        <f ca="1" t="shared" si="33"/>
        <v/>
      </c>
      <c r="F645" s="128" t="str">
        <f ca="1" t="shared" si="34"/>
        <v/>
      </c>
      <c r="G645" s="128" t="str">
        <f ca="1" t="shared" si="35"/>
        <v/>
      </c>
      <c r="H645" s="128" t="str">
        <f ca="1" t="shared" si="36"/>
        <v/>
      </c>
      <c r="I645" s="124">
        <v>68.73</v>
      </c>
      <c r="J645" s="124">
        <v>67.47</v>
      </c>
      <c r="K645" s="124">
        <v>205.07</v>
      </c>
      <c r="L645" s="124">
        <v>1300.48</v>
      </c>
      <c r="M645" s="124">
        <v>547.24</v>
      </c>
      <c r="N645" s="124">
        <v>135.52</v>
      </c>
      <c r="O645" s="124">
        <v>0</v>
      </c>
      <c r="P645" s="124">
        <v>411.99</v>
      </c>
      <c r="Q645" s="124" cm="1">
        <f ca="1" t="array" ref="Q645">SUMPRODUCT(TRANSPOSE($I645:$P645),$F$162:$F$169)+SUMIFS($H$210:$H$241,$D$210:$D$241,"&lt;="&amp;N645)+SUMIF($D$310:$D$341,"&lt;="&amp;D645,$H$310:$H$341)</f>
        <v>71777.19</v>
      </c>
      <c r="R645" s="124">
        <f ca="1" t="shared" si="37"/>
        <v>25.0269142259414</v>
      </c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</row>
    <row r="646" s="122" customFormat="1" spans="4:31">
      <c r="D646" s="124">
        <v>240</v>
      </c>
      <c r="E646" s="128" t="str">
        <f ca="1" t="shared" si="33"/>
        <v/>
      </c>
      <c r="F646" s="128" t="str">
        <f ca="1" t="shared" si="34"/>
        <v/>
      </c>
      <c r="G646" s="128" t="str">
        <f ca="1" t="shared" si="35"/>
        <v/>
      </c>
      <c r="H646" s="128" t="str">
        <f ca="1" t="shared" si="36"/>
        <v/>
      </c>
      <c r="I646" s="124">
        <v>69.1</v>
      </c>
      <c r="J646" s="124">
        <v>67.7</v>
      </c>
      <c r="K646" s="124">
        <v>206</v>
      </c>
      <c r="L646" s="124">
        <v>1305.62</v>
      </c>
      <c r="M646" s="124">
        <v>549.53</v>
      </c>
      <c r="N646" s="124">
        <v>136.11</v>
      </c>
      <c r="O646" s="124">
        <v>0</v>
      </c>
      <c r="P646" s="124">
        <v>413.77</v>
      </c>
      <c r="Q646" s="124" cm="1">
        <f ca="1" t="array" ref="Q646">SUMPRODUCT(TRANSPOSE($I646:$P646),$F$162:$F$169)+SUMIFS($H$210:$H$241,$D$210:$D$241,"&lt;="&amp;N646)+SUMIF($D$310:$D$341,"&lt;="&amp;D646,$H$310:$H$341)</f>
        <v>71976.42</v>
      </c>
      <c r="R646" s="124">
        <f ca="1" t="shared" si="37"/>
        <v>24.9918125</v>
      </c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</row>
    <row r="647" s="122" customFormat="1" spans="4:31">
      <c r="D647" s="124">
        <v>241</v>
      </c>
      <c r="E647" s="128" t="str">
        <f ca="1" t="shared" si="33"/>
        <v/>
      </c>
      <c r="F647" s="128" t="str">
        <f ca="1" t="shared" si="34"/>
        <v/>
      </c>
      <c r="G647" s="128" t="str">
        <f ca="1" t="shared" si="35"/>
        <v/>
      </c>
      <c r="H647" s="128" t="str">
        <f ca="1" t="shared" si="36"/>
        <v/>
      </c>
      <c r="I647" s="124">
        <v>69.5</v>
      </c>
      <c r="J647" s="124">
        <v>68</v>
      </c>
      <c r="K647" s="124">
        <v>206.89</v>
      </c>
      <c r="L647" s="124">
        <v>1311.04</v>
      </c>
      <c r="M647" s="124">
        <v>551.89</v>
      </c>
      <c r="N647" s="124">
        <v>136.68</v>
      </c>
      <c r="O647" s="124">
        <v>0</v>
      </c>
      <c r="P647" s="124">
        <v>415.47</v>
      </c>
      <c r="Q647" s="124" cm="1">
        <f ca="1" t="array" ref="Q647">SUMPRODUCT(TRANSPOSE($I647:$P647),$F$162:$F$169)+SUMIFS($H$210:$H$241,$D$210:$D$241,"&lt;="&amp;N647)+SUMIF($D$310:$D$341,"&lt;="&amp;D647,$H$310:$H$341)</f>
        <v>72186.82</v>
      </c>
      <c r="R647" s="124">
        <f ca="1" t="shared" si="37"/>
        <v>24.9608644536653</v>
      </c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</row>
    <row r="648" s="122" customFormat="1" spans="4:31">
      <c r="D648" s="124">
        <v>242</v>
      </c>
      <c r="E648" s="128" t="str">
        <f ca="1" t="shared" si="33"/>
        <v/>
      </c>
      <c r="F648" s="128" t="str">
        <f ca="1" t="shared" si="34"/>
        <v/>
      </c>
      <c r="G648" s="128" t="str">
        <f ca="1" t="shared" si="35"/>
        <v/>
      </c>
      <c r="H648" s="128" t="str">
        <f ca="1" t="shared" si="36"/>
        <v/>
      </c>
      <c r="I648" s="124">
        <v>69.79</v>
      </c>
      <c r="J648" s="124">
        <v>68.27</v>
      </c>
      <c r="K648" s="124">
        <v>207.86</v>
      </c>
      <c r="L648" s="124">
        <v>1316.44</v>
      </c>
      <c r="M648" s="124">
        <v>554.13</v>
      </c>
      <c r="N648" s="124">
        <v>137.24</v>
      </c>
      <c r="O648" s="124">
        <v>0</v>
      </c>
      <c r="P648" s="124">
        <v>417.15</v>
      </c>
      <c r="Q648" s="124" cm="1">
        <f ca="1" t="array" ref="Q648">SUMPRODUCT(TRANSPOSE($I648:$P648),$F$162:$F$169)+SUMIFS($H$210:$H$241,$D$210:$D$241,"&lt;="&amp;N648)+SUMIF($D$310:$D$341,"&lt;="&amp;D648,$H$310:$H$341)</f>
        <v>72384.8</v>
      </c>
      <c r="R648" s="124">
        <f ca="1" t="shared" si="37"/>
        <v>24.9258953168044</v>
      </c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</row>
    <row r="649" s="122" customFormat="1" spans="4:31">
      <c r="D649" s="124">
        <v>243</v>
      </c>
      <c r="E649" s="128" t="str">
        <f ca="1" t="shared" si="33"/>
        <v/>
      </c>
      <c r="F649" s="128" t="str">
        <f ca="1" t="shared" si="34"/>
        <v/>
      </c>
      <c r="G649" s="128" t="str">
        <f ca="1" t="shared" si="35"/>
        <v/>
      </c>
      <c r="H649" s="128" t="str">
        <f ca="1" t="shared" si="36"/>
        <v/>
      </c>
      <c r="I649" s="124">
        <v>70.07</v>
      </c>
      <c r="J649" s="124">
        <v>68.62</v>
      </c>
      <c r="K649" s="124">
        <v>208.74</v>
      </c>
      <c r="L649" s="124">
        <v>1321.71</v>
      </c>
      <c r="M649" s="124">
        <v>556.33</v>
      </c>
      <c r="N649" s="124">
        <v>137.9</v>
      </c>
      <c r="O649" s="124">
        <v>0</v>
      </c>
      <c r="P649" s="124">
        <v>418.93</v>
      </c>
      <c r="Q649" s="124" cm="1">
        <f ca="1" t="array" ref="Q649">SUMPRODUCT(TRANSPOSE($I649:$P649),$F$162:$F$169)+SUMIFS($H$210:$H$241,$D$210:$D$241,"&lt;="&amp;N649)+SUMIF($D$310:$D$341,"&lt;="&amp;D649,$H$310:$H$341)</f>
        <v>72594.08</v>
      </c>
      <c r="R649" s="124">
        <f ca="1" t="shared" si="37"/>
        <v>24.8950891632373</v>
      </c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</row>
    <row r="650" s="122" customFormat="1" spans="4:31">
      <c r="D650" s="124">
        <v>244</v>
      </c>
      <c r="E650" s="128" t="str">
        <f ca="1" t="shared" si="33"/>
        <v/>
      </c>
      <c r="F650" s="128" t="str">
        <f ca="1" t="shared" si="34"/>
        <v/>
      </c>
      <c r="G650" s="128" t="str">
        <f ca="1" t="shared" si="35"/>
        <v/>
      </c>
      <c r="H650" s="128" t="str">
        <f ca="1" t="shared" si="36"/>
        <v/>
      </c>
      <c r="I650" s="124">
        <v>70.34</v>
      </c>
      <c r="J650" s="124">
        <v>68.93</v>
      </c>
      <c r="K650" s="124">
        <v>209.78</v>
      </c>
      <c r="L650" s="124">
        <v>1327.3</v>
      </c>
      <c r="M650" s="124">
        <v>558.7</v>
      </c>
      <c r="N650" s="124">
        <v>138.52</v>
      </c>
      <c r="O650" s="124">
        <v>0</v>
      </c>
      <c r="P650" s="124">
        <v>420.51</v>
      </c>
      <c r="Q650" s="124" cm="1">
        <f ca="1" t="array" ref="Q650">SUMPRODUCT(TRANSPOSE($I650:$P650),$F$162:$F$169)+SUMIFS($H$210:$H$241,$D$210:$D$241,"&lt;="&amp;N650)+SUMIF($D$310:$D$341,"&lt;="&amp;D650,$H$310:$H$341)</f>
        <v>72802.11</v>
      </c>
      <c r="R650" s="124">
        <f ca="1" t="shared" si="37"/>
        <v>24.8641086065574</v>
      </c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</row>
    <row r="651" s="122" customFormat="1" spans="4:31">
      <c r="D651" s="124">
        <v>245</v>
      </c>
      <c r="E651" s="128" t="str">
        <f ca="1" t="shared" si="33"/>
        <v/>
      </c>
      <c r="F651" s="128" t="str">
        <f ca="1" t="shared" si="34"/>
        <v/>
      </c>
      <c r="G651" s="128" t="str">
        <f ca="1" t="shared" si="35"/>
        <v/>
      </c>
      <c r="H651" s="128" t="str">
        <f ca="1" t="shared" si="36"/>
        <v/>
      </c>
      <c r="I651" s="124">
        <v>70.63</v>
      </c>
      <c r="J651" s="124">
        <v>69.2</v>
      </c>
      <c r="K651" s="124">
        <v>210.66</v>
      </c>
      <c r="L651" s="124">
        <v>1332.91</v>
      </c>
      <c r="M651" s="124">
        <v>561.07</v>
      </c>
      <c r="N651" s="124">
        <v>139.05</v>
      </c>
      <c r="O651" s="124">
        <v>0</v>
      </c>
      <c r="P651" s="124">
        <v>422.16</v>
      </c>
      <c r="Q651" s="124" cm="1">
        <f ca="1" t="array" ref="Q651">SUMPRODUCT(TRANSPOSE($I651:$P651),$F$162:$F$169)+SUMIFS($H$210:$H$241,$D$210:$D$241,"&lt;="&amp;N651)+SUMIF($D$310:$D$341,"&lt;="&amp;D651,$H$310:$H$341)</f>
        <v>73003.61</v>
      </c>
      <c r="R651" s="124">
        <f ca="1" t="shared" si="37"/>
        <v>24.8311598639456</v>
      </c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</row>
    <row r="652" s="122" customFormat="1" spans="4:31">
      <c r="D652" s="124">
        <v>246</v>
      </c>
      <c r="E652" s="128" t="str">
        <f ca="1" t="shared" si="33"/>
        <v/>
      </c>
      <c r="F652" s="128" t="str">
        <f ca="1" t="shared" si="34"/>
        <v/>
      </c>
      <c r="G652" s="128" t="str">
        <f ca="1" t="shared" si="35"/>
        <v/>
      </c>
      <c r="H652" s="128" t="str">
        <f ca="1" t="shared" si="36"/>
        <v/>
      </c>
      <c r="I652" s="124">
        <v>70.9</v>
      </c>
      <c r="J652" s="124">
        <v>69.43</v>
      </c>
      <c r="K652" s="124">
        <v>211.37</v>
      </c>
      <c r="L652" s="124">
        <v>1338.6</v>
      </c>
      <c r="M652" s="124">
        <v>563.17</v>
      </c>
      <c r="N652" s="124">
        <v>139.66</v>
      </c>
      <c r="O652" s="124">
        <v>0</v>
      </c>
      <c r="P652" s="124">
        <v>423.73</v>
      </c>
      <c r="Q652" s="124" cm="1">
        <f ca="1" t="array" ref="Q652">SUMPRODUCT(TRANSPOSE($I652:$P652),$F$162:$F$169)+SUMIFS($H$210:$H$241,$D$210:$D$241,"&lt;="&amp;N652)+SUMIF($D$310:$D$341,"&lt;="&amp;D652,$H$310:$H$341)</f>
        <v>73197.28</v>
      </c>
      <c r="R652" s="124">
        <f ca="1" t="shared" si="37"/>
        <v>24.7958265582656</v>
      </c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</row>
    <row r="653" s="122" customFormat="1" spans="4:31">
      <c r="D653" s="124">
        <v>247</v>
      </c>
      <c r="E653" s="128" t="str">
        <f ca="1" t="shared" si="33"/>
        <v/>
      </c>
      <c r="F653" s="128" t="str">
        <f ca="1" t="shared" si="34"/>
        <v/>
      </c>
      <c r="G653" s="128" t="str">
        <f ca="1" t="shared" si="35"/>
        <v/>
      </c>
      <c r="H653" s="128" t="str">
        <f ca="1" t="shared" si="36"/>
        <v/>
      </c>
      <c r="I653" s="124">
        <v>71.12</v>
      </c>
      <c r="J653" s="124">
        <v>69.72</v>
      </c>
      <c r="K653" s="124">
        <v>212.09</v>
      </c>
      <c r="L653" s="124">
        <v>1344.04</v>
      </c>
      <c r="M653" s="124">
        <v>565.38</v>
      </c>
      <c r="N653" s="124">
        <v>140.24</v>
      </c>
      <c r="O653" s="124">
        <v>0</v>
      </c>
      <c r="P653" s="124">
        <v>425.58</v>
      </c>
      <c r="Q653" s="124" cm="1">
        <f ca="1" t="array" ref="Q653">SUMPRODUCT(TRANSPOSE($I653:$P653),$F$162:$F$169)+SUMIFS($H$210:$H$241,$D$210:$D$241,"&lt;="&amp;N653)+SUMIF($D$310:$D$341,"&lt;="&amp;D653,$H$310:$H$341)</f>
        <v>74596.28</v>
      </c>
      <c r="R653" s="124">
        <f ca="1" t="shared" si="37"/>
        <v>25.1674358974359</v>
      </c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</row>
    <row r="654" s="122" customFormat="1" spans="4:31">
      <c r="D654" s="124">
        <v>248</v>
      </c>
      <c r="E654" s="128" t="str">
        <f ca="1" t="shared" si="33"/>
        <v/>
      </c>
      <c r="F654" s="128" t="str">
        <f ca="1" t="shared" si="34"/>
        <v/>
      </c>
      <c r="G654" s="128" t="str">
        <f ca="1" t="shared" si="35"/>
        <v/>
      </c>
      <c r="H654" s="128" t="str">
        <f ca="1" t="shared" si="36"/>
        <v/>
      </c>
      <c r="I654" s="124">
        <v>71.41</v>
      </c>
      <c r="J654" s="124">
        <v>70</v>
      </c>
      <c r="K654" s="124">
        <v>212.91</v>
      </c>
      <c r="L654" s="124">
        <v>1349.58</v>
      </c>
      <c r="M654" s="124">
        <v>567.72</v>
      </c>
      <c r="N654" s="124">
        <v>140.75</v>
      </c>
      <c r="O654" s="124">
        <v>0</v>
      </c>
      <c r="P654" s="124">
        <v>427.12</v>
      </c>
      <c r="Q654" s="124" cm="1">
        <f ca="1" t="array" ref="Q654">SUMPRODUCT(TRANSPOSE($I654:$P654),$F$162:$F$169)+SUMIFS($H$210:$H$241,$D$210:$D$241,"&lt;="&amp;N654)+SUMIF($D$310:$D$341,"&lt;="&amp;D654,$H$310:$H$341)</f>
        <v>74795.12</v>
      </c>
      <c r="R654" s="124">
        <f ca="1" t="shared" si="37"/>
        <v>25.1327688172043</v>
      </c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</row>
    <row r="655" s="122" customFormat="1" spans="4:31">
      <c r="D655" s="124">
        <v>249</v>
      </c>
      <c r="E655" s="128" t="str">
        <f ca="1" t="shared" si="33"/>
        <v/>
      </c>
      <c r="F655" s="128" t="str">
        <f ca="1" t="shared" si="34"/>
        <v/>
      </c>
      <c r="G655" s="128" t="str">
        <f ca="1" t="shared" si="35"/>
        <v/>
      </c>
      <c r="H655" s="128" t="str">
        <f ca="1" t="shared" si="36"/>
        <v/>
      </c>
      <c r="I655" s="124">
        <v>71.76</v>
      </c>
      <c r="J655" s="124">
        <v>70.29</v>
      </c>
      <c r="K655" s="124">
        <v>213.85</v>
      </c>
      <c r="L655" s="124">
        <v>1355.14</v>
      </c>
      <c r="M655" s="124">
        <v>569.86</v>
      </c>
      <c r="N655" s="124">
        <v>141.26</v>
      </c>
      <c r="O655" s="124">
        <v>0</v>
      </c>
      <c r="P655" s="124">
        <v>428.81</v>
      </c>
      <c r="Q655" s="124" cm="1">
        <f ca="1" t="array" ref="Q655">SUMPRODUCT(TRANSPOSE($I655:$P655),$F$162:$F$169)+SUMIFS($H$210:$H$241,$D$210:$D$241,"&lt;="&amp;N655)+SUMIF($D$310:$D$341,"&lt;="&amp;D655,$H$310:$H$341)</f>
        <v>74994.81</v>
      </c>
      <c r="R655" s="124">
        <f ca="1" t="shared" si="37"/>
        <v>25.0986646586345</v>
      </c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</row>
    <row r="656" s="122" customFormat="1" spans="4:31">
      <c r="D656" s="124">
        <v>250</v>
      </c>
      <c r="E656" s="128" t="str">
        <f ca="1" t="shared" si="33"/>
        <v/>
      </c>
      <c r="F656" s="128" t="str">
        <f ca="1" t="shared" si="34"/>
        <v/>
      </c>
      <c r="G656" s="128" t="str">
        <f ca="1" t="shared" si="35"/>
        <v/>
      </c>
      <c r="H656" s="128" t="str">
        <f ca="1" t="shared" si="36"/>
        <v/>
      </c>
      <c r="I656" s="124">
        <v>72.08</v>
      </c>
      <c r="J656" s="124">
        <v>70.6</v>
      </c>
      <c r="K656" s="124">
        <v>214.85</v>
      </c>
      <c r="L656" s="124">
        <v>1360.32</v>
      </c>
      <c r="M656" s="124">
        <v>572.28</v>
      </c>
      <c r="N656" s="124">
        <v>141.82</v>
      </c>
      <c r="O656" s="124">
        <v>0</v>
      </c>
      <c r="P656" s="124">
        <v>430.47</v>
      </c>
      <c r="Q656" s="124" cm="1">
        <f ca="1" t="array" ref="Q656">SUMPRODUCT(TRANSPOSE($I656:$P656),$F$162:$F$169)+SUMIFS($H$210:$H$241,$D$210:$D$241,"&lt;="&amp;N656)+SUMIF($D$310:$D$341,"&lt;="&amp;D656,$H$310:$H$341)</f>
        <v>75200.37</v>
      </c>
      <c r="R656" s="124">
        <f ca="1" t="shared" si="37"/>
        <v>25.06679</v>
      </c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</row>
    <row r="657" s="122" customFormat="1" spans="4:31">
      <c r="D657" s="124">
        <v>251</v>
      </c>
      <c r="E657" s="128" t="str">
        <f ca="1" t="shared" si="33"/>
        <v/>
      </c>
      <c r="F657" s="128" t="str">
        <f ca="1" t="shared" si="34"/>
        <v/>
      </c>
      <c r="G657" s="128" t="str">
        <f ca="1" t="shared" si="35"/>
        <v/>
      </c>
      <c r="H657" s="128" t="str">
        <f ca="1" t="shared" si="36"/>
        <v/>
      </c>
      <c r="I657" s="124">
        <v>72.42</v>
      </c>
      <c r="J657" s="124">
        <v>70.87</v>
      </c>
      <c r="K657" s="124">
        <v>215.69</v>
      </c>
      <c r="L657" s="124">
        <v>1365.87</v>
      </c>
      <c r="M657" s="124">
        <v>574.59</v>
      </c>
      <c r="N657" s="124">
        <v>142.43</v>
      </c>
      <c r="O657" s="124">
        <v>0</v>
      </c>
      <c r="P657" s="124">
        <v>431.98</v>
      </c>
      <c r="Q657" s="124" cm="1">
        <f ca="1" t="array" ref="Q657">SUMPRODUCT(TRANSPOSE($I657:$P657),$F$162:$F$169)+SUMIFS($H$210:$H$241,$D$210:$D$241,"&lt;="&amp;N657)+SUMIF($D$310:$D$341,"&lt;="&amp;D657,$H$310:$H$341)</f>
        <v>75404.73</v>
      </c>
      <c r="R657" s="124">
        <f ca="1" t="shared" si="37"/>
        <v>25.0347709163347</v>
      </c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</row>
    <row r="658" s="122" customFormat="1" spans="4:31">
      <c r="D658" s="124">
        <v>252</v>
      </c>
      <c r="E658" s="128" t="str">
        <f ca="1" t="shared" si="33"/>
        <v/>
      </c>
      <c r="F658" s="128" t="str">
        <f ca="1" t="shared" si="34"/>
        <v/>
      </c>
      <c r="G658" s="128" t="str">
        <f ca="1" t="shared" si="35"/>
        <v/>
      </c>
      <c r="H658" s="128" t="str">
        <f ca="1" t="shared" si="36"/>
        <v/>
      </c>
      <c r="I658" s="124">
        <v>72.72</v>
      </c>
      <c r="J658" s="124">
        <v>71.13</v>
      </c>
      <c r="K658" s="124">
        <v>216.45</v>
      </c>
      <c r="L658" s="124">
        <v>1371.33</v>
      </c>
      <c r="M658" s="124">
        <v>577.11</v>
      </c>
      <c r="N658" s="124">
        <v>143.08</v>
      </c>
      <c r="O658" s="124">
        <v>0</v>
      </c>
      <c r="P658" s="124">
        <v>433.68</v>
      </c>
      <c r="Q658" s="124" cm="1">
        <f ca="1" t="array" ref="Q658">SUMPRODUCT(TRANSPOSE($I658:$P658),$F$162:$F$169)+SUMIFS($H$210:$H$241,$D$210:$D$241,"&lt;="&amp;N658)+SUMIF($D$310:$D$341,"&lt;="&amp;D658,$H$310:$H$341)</f>
        <v>75614.53</v>
      </c>
      <c r="R658" s="124">
        <f ca="1" t="shared" si="37"/>
        <v>25.0048048941799</v>
      </c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</row>
    <row r="659" s="122" customFormat="1" spans="4:31">
      <c r="D659" s="124">
        <v>253</v>
      </c>
      <c r="E659" s="128" t="str">
        <f ca="1" t="shared" si="33"/>
        <v/>
      </c>
      <c r="F659" s="128" t="str">
        <f ca="1" t="shared" si="34"/>
        <v/>
      </c>
      <c r="G659" s="128" t="str">
        <f ca="1" t="shared" si="35"/>
        <v/>
      </c>
      <c r="H659" s="128" t="str">
        <f ca="1" t="shared" si="36"/>
        <v/>
      </c>
      <c r="I659" s="124">
        <v>73.01</v>
      </c>
      <c r="J659" s="124">
        <v>71.41</v>
      </c>
      <c r="K659" s="124">
        <v>217.38</v>
      </c>
      <c r="L659" s="124">
        <v>1376.87</v>
      </c>
      <c r="M659" s="124">
        <v>579.55</v>
      </c>
      <c r="N659" s="124">
        <v>143.8</v>
      </c>
      <c r="O659" s="124">
        <v>0</v>
      </c>
      <c r="P659" s="124">
        <v>435.22</v>
      </c>
      <c r="Q659" s="124" cm="1">
        <f ca="1" t="array" ref="Q659">SUMPRODUCT(TRANSPOSE($I659:$P659),$F$162:$F$169)+SUMIFS($H$210:$H$241,$D$210:$D$241,"&lt;="&amp;N659)+SUMIF($D$310:$D$341,"&lt;="&amp;D659,$H$310:$H$341)</f>
        <v>75826.37</v>
      </c>
      <c r="R659" s="124">
        <f ca="1" t="shared" si="37"/>
        <v>24.9757476943347</v>
      </c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</row>
    <row r="660" s="122" customFormat="1" spans="4:31">
      <c r="D660" s="124">
        <v>254</v>
      </c>
      <c r="E660" s="128" t="str">
        <f ca="1" t="shared" si="33"/>
        <v/>
      </c>
      <c r="F660" s="128" t="str">
        <f ca="1" t="shared" si="34"/>
        <v/>
      </c>
      <c r="G660" s="128" t="str">
        <f ca="1" t="shared" si="35"/>
        <v/>
      </c>
      <c r="H660" s="128" t="str">
        <f ca="1" t="shared" si="36"/>
        <v/>
      </c>
      <c r="I660" s="124">
        <v>73.28</v>
      </c>
      <c r="J660" s="124">
        <v>71.72</v>
      </c>
      <c r="K660" s="124">
        <v>218.13</v>
      </c>
      <c r="L660" s="124">
        <v>1382.07</v>
      </c>
      <c r="M660" s="124">
        <v>582</v>
      </c>
      <c r="N660" s="124">
        <v>144.38</v>
      </c>
      <c r="O660" s="124">
        <v>0</v>
      </c>
      <c r="P660" s="124">
        <v>436.79</v>
      </c>
      <c r="Q660" s="124" cm="1">
        <f ca="1" t="array" ref="Q660">SUMPRODUCT(TRANSPOSE($I660:$P660),$F$162:$F$169)+SUMIFS($H$210:$H$241,$D$210:$D$241,"&lt;="&amp;N660)+SUMIF($D$310:$D$341,"&lt;="&amp;D660,$H$310:$H$341)</f>
        <v>76030.39</v>
      </c>
      <c r="R660" s="124">
        <f ca="1" t="shared" si="37"/>
        <v>24.9443536745407</v>
      </c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</row>
    <row r="661" s="122" customFormat="1" spans="4:31">
      <c r="D661" s="124">
        <v>255</v>
      </c>
      <c r="E661" s="128" t="str">
        <f ca="1" t="shared" si="33"/>
        <v/>
      </c>
      <c r="F661" s="128" t="str">
        <f ca="1" t="shared" si="34"/>
        <v/>
      </c>
      <c r="G661" s="128" t="str">
        <f ca="1" t="shared" si="35"/>
        <v/>
      </c>
      <c r="H661" s="128" t="str">
        <f ca="1" t="shared" si="36"/>
        <v/>
      </c>
      <c r="I661" s="124">
        <v>73.55</v>
      </c>
      <c r="J661" s="124">
        <v>71.99</v>
      </c>
      <c r="K661" s="124">
        <v>219.05</v>
      </c>
      <c r="L661" s="124">
        <v>1387.19</v>
      </c>
      <c r="M661" s="124">
        <v>584.25</v>
      </c>
      <c r="N661" s="124">
        <v>144.89</v>
      </c>
      <c r="O661" s="124">
        <v>0</v>
      </c>
      <c r="P661" s="124">
        <v>438.62</v>
      </c>
      <c r="Q661" s="124" cm="1">
        <f ca="1" t="array" ref="Q661">SUMPRODUCT(TRANSPOSE($I661:$P661),$F$162:$F$169)+SUMIFS($H$210:$H$241,$D$210:$D$241,"&lt;="&amp;N661)+SUMIF($D$310:$D$341,"&lt;="&amp;D661,$H$310:$H$341)</f>
        <v>76223.97</v>
      </c>
      <c r="R661" s="124">
        <f ca="1" t="shared" si="37"/>
        <v>24.9097941176471</v>
      </c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</row>
    <row r="662" s="122" customFormat="1" spans="4:31">
      <c r="D662" s="124">
        <v>256</v>
      </c>
      <c r="E662" s="128" t="str">
        <f ca="1" t="shared" si="33"/>
        <v/>
      </c>
      <c r="F662" s="128" t="str">
        <f ca="1" t="shared" si="34"/>
        <v/>
      </c>
      <c r="G662" s="128" t="str">
        <f ca="1" t="shared" si="35"/>
        <v/>
      </c>
      <c r="H662" s="128" t="str">
        <f ca="1" t="shared" si="36"/>
        <v/>
      </c>
      <c r="I662" s="124">
        <v>73.88</v>
      </c>
      <c r="J662" s="124">
        <v>72.3</v>
      </c>
      <c r="K662" s="124">
        <v>219.9</v>
      </c>
      <c r="L662" s="124">
        <v>1392.97</v>
      </c>
      <c r="M662" s="124">
        <v>586.57</v>
      </c>
      <c r="N662" s="124">
        <v>145.4</v>
      </c>
      <c r="O662" s="124">
        <v>0</v>
      </c>
      <c r="P662" s="124">
        <v>440.23</v>
      </c>
      <c r="Q662" s="124" cm="1">
        <f ca="1" t="array" ref="Q662">SUMPRODUCT(TRANSPOSE($I662:$P662),$F$162:$F$169)+SUMIFS($H$210:$H$241,$D$210:$D$241,"&lt;="&amp;N662)+SUMIF($D$310:$D$341,"&lt;="&amp;D662,$H$310:$H$341)</f>
        <v>76430.48</v>
      </c>
      <c r="R662" s="124">
        <f ca="1" t="shared" si="37"/>
        <v>24.8797135416667</v>
      </c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</row>
    <row r="663" s="122" customFormat="1" spans="4:31">
      <c r="D663" s="124">
        <v>257</v>
      </c>
      <c r="E663" s="128" t="str">
        <f ca="1" t="shared" ref="E663:E706" si="38">IF(INT($D663*12/OFFSET($F$26,MATCH(E$406,$E$406:$H$406,0),0))+1&gt;7,"",INT($D663*12/OFFSET($F$26,MATCH(E$406,$E$406:$H$406,0),0))+1)</f>
        <v/>
      </c>
      <c r="F663" s="128" t="str">
        <f ca="1" t="shared" ref="F663:F706" si="39">IF(INT($D663*12/OFFSET($F$26,MATCH(F$406,$E$406:$H$406,0),0))+1&gt;7,"",INT($D663*12/OFFSET($F$26,MATCH(F$406,$E$406:$H$406,0),0))+1)</f>
        <v/>
      </c>
      <c r="G663" s="128" t="str">
        <f ca="1" t="shared" ref="G663:G706" si="40">IF(INT($D663*12/OFFSET($F$26,MATCH(G$406,$E$406:$H$406,0),0))+1&gt;7,"",INT($D663*12/OFFSET($F$26,MATCH(G$406,$E$406:$H$406,0),0))+1)</f>
        <v/>
      </c>
      <c r="H663" s="128" t="str">
        <f ca="1" t="shared" ref="H663:H706" si="41">IF(INT($D663*12/OFFSET($F$26,MATCH(H$406,$E$406:$H$406,0),0))+1&gt;7,"",INT($D663*12/OFFSET($F$26,MATCH(H$406,$E$406:$H$406,0),0))+1)</f>
        <v/>
      </c>
      <c r="I663" s="124">
        <v>74.16</v>
      </c>
      <c r="J663" s="124">
        <v>72.59</v>
      </c>
      <c r="K663" s="124">
        <v>220.62</v>
      </c>
      <c r="L663" s="124">
        <v>1398.33</v>
      </c>
      <c r="M663" s="124">
        <v>588.7</v>
      </c>
      <c r="N663" s="124">
        <v>146.06</v>
      </c>
      <c r="O663" s="124">
        <v>0</v>
      </c>
      <c r="P663" s="124">
        <v>442.06</v>
      </c>
      <c r="Q663" s="124" cm="1">
        <f ca="1" t="array" ref="Q663">SUMPRODUCT(TRANSPOSE($I663:$P663),$F$162:$F$169)+SUMIFS($H$210:$H$241,$D$210:$D$241,"&lt;="&amp;N663)+SUMIF($D$310:$D$341,"&lt;="&amp;D663,$H$310:$H$341)</f>
        <v>76633.46</v>
      </c>
      <c r="R663" s="124">
        <f ca="1" t="shared" ref="R663:R706" si="42">Q663/12/D663</f>
        <v>24.8487224383917</v>
      </c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</row>
    <row r="664" s="122" customFormat="1" spans="4:31">
      <c r="D664" s="124">
        <v>258</v>
      </c>
      <c r="E664" s="128" t="str">
        <f ca="1" t="shared" si="38"/>
        <v/>
      </c>
      <c r="F664" s="128" t="str">
        <f ca="1" t="shared" si="39"/>
        <v/>
      </c>
      <c r="G664" s="128" t="str">
        <f ca="1" t="shared" si="40"/>
        <v/>
      </c>
      <c r="H664" s="128" t="str">
        <f ca="1" t="shared" si="41"/>
        <v/>
      </c>
      <c r="I664" s="124">
        <v>74.44</v>
      </c>
      <c r="J664" s="124">
        <v>72.88</v>
      </c>
      <c r="K664" s="124">
        <v>221.42</v>
      </c>
      <c r="L664" s="124">
        <v>1403.74</v>
      </c>
      <c r="M664" s="124">
        <v>591.09</v>
      </c>
      <c r="N664" s="124">
        <v>146.74</v>
      </c>
      <c r="O664" s="124">
        <v>0</v>
      </c>
      <c r="P664" s="124">
        <v>443.82</v>
      </c>
      <c r="Q664" s="124" cm="1">
        <f ca="1" t="array" ref="Q664">SUMPRODUCT(TRANSPOSE($I664:$P664),$F$162:$F$169)+SUMIFS($H$210:$H$241,$D$210:$D$241,"&lt;="&amp;N664)+SUMIF($D$310:$D$341,"&lt;="&amp;D664,$H$310:$H$341)</f>
        <v>76843.67</v>
      </c>
      <c r="R664" s="124">
        <f ca="1" t="shared" si="42"/>
        <v>24.8203068475452</v>
      </c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</row>
    <row r="665" s="122" customFormat="1" spans="4:31">
      <c r="D665" s="124">
        <v>259</v>
      </c>
      <c r="E665" s="128" t="str">
        <f ca="1" t="shared" si="38"/>
        <v/>
      </c>
      <c r="F665" s="128" t="str">
        <f ca="1" t="shared" si="39"/>
        <v/>
      </c>
      <c r="G665" s="128" t="str">
        <f ca="1" t="shared" si="40"/>
        <v/>
      </c>
      <c r="H665" s="128" t="str">
        <f ca="1" t="shared" si="41"/>
        <v/>
      </c>
      <c r="I665" s="124">
        <v>74.67</v>
      </c>
      <c r="J665" s="124">
        <v>73.15</v>
      </c>
      <c r="K665" s="124">
        <v>222.19</v>
      </c>
      <c r="L665" s="124">
        <v>1409.42</v>
      </c>
      <c r="M665" s="124">
        <v>593.31</v>
      </c>
      <c r="N665" s="124">
        <v>147.33</v>
      </c>
      <c r="O665" s="124">
        <v>0</v>
      </c>
      <c r="P665" s="124">
        <v>445.49</v>
      </c>
      <c r="Q665" s="124" cm="1">
        <f ca="1" t="array" ref="Q665">SUMPRODUCT(TRANSPOSE($I665:$P665),$F$162:$F$169)+SUMIFS($H$210:$H$241,$D$210:$D$241,"&lt;="&amp;N665)+SUMIF($D$310:$D$341,"&lt;="&amp;D665,$H$310:$H$341)</f>
        <v>77042.34</v>
      </c>
      <c r="R665" s="124">
        <f ca="1" t="shared" si="42"/>
        <v>24.7883976833977</v>
      </c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</row>
    <row r="666" s="122" customFormat="1" spans="4:31">
      <c r="D666" s="124">
        <v>260</v>
      </c>
      <c r="E666" s="128" t="str">
        <f ca="1" t="shared" si="38"/>
        <v/>
      </c>
      <c r="F666" s="128" t="str">
        <f ca="1" t="shared" si="39"/>
        <v/>
      </c>
      <c r="G666" s="128" t="str">
        <f ca="1" t="shared" si="40"/>
        <v/>
      </c>
      <c r="H666" s="128" t="str">
        <f ca="1" t="shared" si="41"/>
        <v/>
      </c>
      <c r="I666" s="124">
        <v>74.96</v>
      </c>
      <c r="J666" s="124">
        <v>73.5</v>
      </c>
      <c r="K666" s="124">
        <v>223.05</v>
      </c>
      <c r="L666" s="124">
        <v>1414.79</v>
      </c>
      <c r="M666" s="124">
        <v>595.48</v>
      </c>
      <c r="N666" s="124">
        <v>147.83</v>
      </c>
      <c r="O666" s="124">
        <v>0</v>
      </c>
      <c r="P666" s="124">
        <v>447.13</v>
      </c>
      <c r="Q666" s="124" cm="1">
        <f ca="1" t="array" ref="Q666">SUMPRODUCT(TRANSPOSE($I666:$P666),$F$162:$F$169)+SUMIFS($H$210:$H$241,$D$210:$D$241,"&lt;="&amp;N666)+SUMIF($D$310:$D$341,"&lt;="&amp;D666,$H$310:$H$341)</f>
        <v>77242.83</v>
      </c>
      <c r="R666" s="124">
        <f ca="1" t="shared" si="42"/>
        <v>24.7573173076923</v>
      </c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</row>
    <row r="667" s="122" customFormat="1" spans="4:31">
      <c r="D667" s="124">
        <v>261</v>
      </c>
      <c r="E667" s="128" t="str">
        <f ca="1" t="shared" si="38"/>
        <v/>
      </c>
      <c r="F667" s="128" t="str">
        <f ca="1" t="shared" si="39"/>
        <v/>
      </c>
      <c r="G667" s="128" t="str">
        <f ca="1" t="shared" si="40"/>
        <v/>
      </c>
      <c r="H667" s="128" t="str">
        <f ca="1" t="shared" si="41"/>
        <v/>
      </c>
      <c r="I667" s="124">
        <v>75.35</v>
      </c>
      <c r="J667" s="124">
        <v>73.8</v>
      </c>
      <c r="K667" s="124">
        <v>223.96</v>
      </c>
      <c r="L667" s="124">
        <v>1420.13</v>
      </c>
      <c r="M667" s="124">
        <v>597.75</v>
      </c>
      <c r="N667" s="124">
        <v>148.36</v>
      </c>
      <c r="O667" s="124">
        <v>0</v>
      </c>
      <c r="P667" s="124">
        <v>448.78</v>
      </c>
      <c r="Q667" s="124" cm="1">
        <f ca="1" t="array" ref="Q667">SUMPRODUCT(TRANSPOSE($I667:$P667),$F$162:$F$169)+SUMIFS($H$210:$H$241,$D$210:$D$241,"&lt;="&amp;N667)+SUMIF($D$310:$D$341,"&lt;="&amp;D667,$H$310:$H$341)</f>
        <v>77447.13</v>
      </c>
      <c r="R667" s="124">
        <f ca="1" t="shared" si="42"/>
        <v>24.7276915708812</v>
      </c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</row>
    <row r="668" s="122" customFormat="1" spans="4:31">
      <c r="D668" s="124">
        <v>262</v>
      </c>
      <c r="E668" s="128" t="str">
        <f ca="1" t="shared" si="38"/>
        <v/>
      </c>
      <c r="F668" s="128" t="str">
        <f ca="1" t="shared" si="39"/>
        <v/>
      </c>
      <c r="G668" s="128" t="str">
        <f ca="1" t="shared" si="40"/>
        <v/>
      </c>
      <c r="H668" s="128" t="str">
        <f ca="1" t="shared" si="41"/>
        <v/>
      </c>
      <c r="I668" s="124">
        <v>75.71</v>
      </c>
      <c r="J668" s="124">
        <v>74.09</v>
      </c>
      <c r="K668" s="124">
        <v>224.76</v>
      </c>
      <c r="L668" s="124">
        <v>1425.62</v>
      </c>
      <c r="M668" s="124">
        <v>599.84</v>
      </c>
      <c r="N668" s="124">
        <v>149.07</v>
      </c>
      <c r="O668" s="124">
        <v>0</v>
      </c>
      <c r="P668" s="124">
        <v>450.64</v>
      </c>
      <c r="Q668" s="124" cm="1">
        <f ca="1" t="array" ref="Q668">SUMPRODUCT(TRANSPOSE($I668:$P668),$F$162:$F$169)+SUMIFS($H$210:$H$241,$D$210:$D$241,"&lt;="&amp;N668)+SUMIF($D$310:$D$341,"&lt;="&amp;D668,$H$310:$H$341)</f>
        <v>77657.24</v>
      </c>
      <c r="R668" s="124">
        <f ca="1" t="shared" si="42"/>
        <v>24.7001399491094</v>
      </c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</row>
    <row r="669" s="122" customFormat="1" spans="4:31">
      <c r="D669" s="124">
        <v>263</v>
      </c>
      <c r="E669" s="128" t="str">
        <f ca="1" t="shared" si="38"/>
        <v/>
      </c>
      <c r="F669" s="128" t="str">
        <f ca="1" t="shared" si="39"/>
        <v/>
      </c>
      <c r="G669" s="128" t="str">
        <f ca="1" t="shared" si="40"/>
        <v/>
      </c>
      <c r="H669" s="128" t="str">
        <f ca="1" t="shared" si="41"/>
        <v/>
      </c>
      <c r="I669" s="124">
        <v>76</v>
      </c>
      <c r="J669" s="124">
        <v>74.44</v>
      </c>
      <c r="K669" s="124">
        <v>225.76</v>
      </c>
      <c r="L669" s="124">
        <v>1430.82</v>
      </c>
      <c r="M669" s="124">
        <v>602.11</v>
      </c>
      <c r="N669" s="124">
        <v>149.6</v>
      </c>
      <c r="O669" s="124">
        <v>0</v>
      </c>
      <c r="P669" s="124">
        <v>452.42</v>
      </c>
      <c r="Q669" s="124" cm="1">
        <f ca="1" t="array" ref="Q669">SUMPRODUCT(TRANSPOSE($I669:$P669),$F$162:$F$169)+SUMIFS($H$210:$H$241,$D$210:$D$241,"&lt;="&amp;N669)+SUMIF($D$310:$D$341,"&lt;="&amp;D669,$H$310:$H$341)</f>
        <v>77861.57</v>
      </c>
      <c r="R669" s="124">
        <f ca="1" t="shared" si="42"/>
        <v>24.6709664131812</v>
      </c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</row>
    <row r="670" s="122" customFormat="1" spans="4:31">
      <c r="D670" s="124">
        <v>264</v>
      </c>
      <c r="E670" s="128" t="str">
        <f ca="1" t="shared" si="38"/>
        <v/>
      </c>
      <c r="F670" s="128" t="str">
        <f ca="1" t="shared" si="39"/>
        <v/>
      </c>
      <c r="G670" s="128" t="str">
        <f ca="1" t="shared" si="40"/>
        <v/>
      </c>
      <c r="H670" s="128" t="str">
        <f ca="1" t="shared" si="41"/>
        <v/>
      </c>
      <c r="I670" s="124">
        <v>76.33</v>
      </c>
      <c r="J670" s="124">
        <v>74.64</v>
      </c>
      <c r="K670" s="124">
        <v>226.62</v>
      </c>
      <c r="L670" s="124">
        <v>1436.1</v>
      </c>
      <c r="M670" s="124">
        <v>604.35</v>
      </c>
      <c r="N670" s="124">
        <v>150.21</v>
      </c>
      <c r="O670" s="124">
        <v>0</v>
      </c>
      <c r="P670" s="124">
        <v>454.18</v>
      </c>
      <c r="Q670" s="124" cm="1">
        <f ca="1" t="array" ref="Q670">SUMPRODUCT(TRANSPOSE($I670:$P670),$F$162:$F$169)+SUMIFS($H$210:$H$241,$D$210:$D$241,"&lt;="&amp;N670)+SUMIF($D$310:$D$341,"&lt;="&amp;D670,$H$310:$H$341)</f>
        <v>78056.73</v>
      </c>
      <c r="R670" s="124">
        <f ca="1" t="shared" si="42"/>
        <v>24.6391193181818</v>
      </c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</row>
    <row r="671" s="122" customFormat="1" spans="4:31">
      <c r="D671" s="124">
        <v>265</v>
      </c>
      <c r="E671" s="128" t="str">
        <f ca="1" t="shared" si="38"/>
        <v/>
      </c>
      <c r="F671" s="128" t="str">
        <f ca="1" t="shared" si="39"/>
        <v/>
      </c>
      <c r="G671" s="128" t="str">
        <f ca="1" t="shared" si="40"/>
        <v/>
      </c>
      <c r="H671" s="128" t="str">
        <f ca="1" t="shared" si="41"/>
        <v/>
      </c>
      <c r="I671" s="124">
        <v>76.62</v>
      </c>
      <c r="J671" s="124">
        <v>74.92</v>
      </c>
      <c r="K671" s="124">
        <v>227.45</v>
      </c>
      <c r="L671" s="124">
        <v>1441.68</v>
      </c>
      <c r="M671" s="124">
        <v>606.64</v>
      </c>
      <c r="N671" s="124">
        <v>150.81</v>
      </c>
      <c r="O671" s="124">
        <v>0</v>
      </c>
      <c r="P671" s="124">
        <v>455.81</v>
      </c>
      <c r="Q671" s="124" cm="1">
        <f ca="1" t="array" ref="Q671">SUMPRODUCT(TRANSPOSE($I671:$P671),$F$162:$F$169)+SUMIFS($H$210:$H$241,$D$210:$D$241,"&lt;="&amp;N671)+SUMIF($D$310:$D$341,"&lt;="&amp;D671,$H$310:$H$341)</f>
        <v>78260.21</v>
      </c>
      <c r="R671" s="124">
        <f ca="1" t="shared" si="42"/>
        <v>24.6101289308176</v>
      </c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</row>
    <row r="672" s="122" customFormat="1" spans="4:31">
      <c r="D672" s="124">
        <v>266</v>
      </c>
      <c r="E672" s="128" t="str">
        <f ca="1" t="shared" si="38"/>
        <v/>
      </c>
      <c r="F672" s="128" t="str">
        <f ca="1" t="shared" si="39"/>
        <v/>
      </c>
      <c r="G672" s="128" t="str">
        <f ca="1" t="shared" si="40"/>
        <v/>
      </c>
      <c r="H672" s="128" t="str">
        <f ca="1" t="shared" si="41"/>
        <v/>
      </c>
      <c r="I672" s="124">
        <v>76.91</v>
      </c>
      <c r="J672" s="124">
        <v>75.26</v>
      </c>
      <c r="K672" s="124">
        <v>228.3</v>
      </c>
      <c r="L672" s="124">
        <v>1447.06</v>
      </c>
      <c r="M672" s="124">
        <v>608.98</v>
      </c>
      <c r="N672" s="124">
        <v>151.41</v>
      </c>
      <c r="O672" s="124">
        <v>0</v>
      </c>
      <c r="P672" s="124">
        <v>457.54</v>
      </c>
      <c r="Q672" s="124" cm="1">
        <f ca="1" t="array" ref="Q672">SUMPRODUCT(TRANSPOSE($I672:$P672),$F$162:$F$169)+SUMIFS($H$210:$H$241,$D$210:$D$241,"&lt;="&amp;N672)+SUMIF($D$310:$D$341,"&lt;="&amp;D672,$H$310:$H$341)</f>
        <v>78470.04</v>
      </c>
      <c r="R672" s="124">
        <f ca="1" t="shared" si="42"/>
        <v>24.5833458646617</v>
      </c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</row>
    <row r="673" s="122" customFormat="1" spans="4:31">
      <c r="D673" s="124">
        <v>267</v>
      </c>
      <c r="E673" s="128" t="str">
        <f ca="1" t="shared" si="38"/>
        <v/>
      </c>
      <c r="F673" s="128" t="str">
        <f ca="1" t="shared" si="39"/>
        <v/>
      </c>
      <c r="G673" s="128" t="str">
        <f ca="1" t="shared" si="40"/>
        <v/>
      </c>
      <c r="H673" s="128" t="str">
        <f ca="1" t="shared" si="41"/>
        <v/>
      </c>
      <c r="I673" s="124">
        <v>77.15</v>
      </c>
      <c r="J673" s="124">
        <v>75.52</v>
      </c>
      <c r="K673" s="124">
        <v>229.17</v>
      </c>
      <c r="L673" s="124">
        <v>1452.66</v>
      </c>
      <c r="M673" s="124">
        <v>611.27</v>
      </c>
      <c r="N673" s="124">
        <v>152.04</v>
      </c>
      <c r="O673" s="124">
        <v>0</v>
      </c>
      <c r="P673" s="124">
        <v>459.22</v>
      </c>
      <c r="Q673" s="124" cm="1">
        <f ca="1" t="array" ref="Q673">SUMPRODUCT(TRANSPOSE($I673:$P673),$F$162:$F$169)+SUMIFS($H$210:$H$241,$D$210:$D$241,"&lt;="&amp;N673)+SUMIF($D$310:$D$341,"&lt;="&amp;D673,$H$310:$H$341)</f>
        <v>78671.27</v>
      </c>
      <c r="R673" s="124">
        <f ca="1" t="shared" si="42"/>
        <v>24.5540792759051</v>
      </c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</row>
    <row r="674" s="122" customFormat="1" spans="4:31">
      <c r="D674" s="124">
        <v>268</v>
      </c>
      <c r="E674" s="128" t="str">
        <f ca="1" t="shared" si="38"/>
        <v/>
      </c>
      <c r="F674" s="128" t="str">
        <f ca="1" t="shared" si="39"/>
        <v/>
      </c>
      <c r="G674" s="128" t="str">
        <f ca="1" t="shared" si="40"/>
        <v/>
      </c>
      <c r="H674" s="128" t="str">
        <f ca="1" t="shared" si="41"/>
        <v/>
      </c>
      <c r="I674" s="124">
        <v>77.37</v>
      </c>
      <c r="J674" s="124">
        <v>75.75</v>
      </c>
      <c r="K674" s="124">
        <v>230.14</v>
      </c>
      <c r="L674" s="124">
        <v>1458.14</v>
      </c>
      <c r="M674" s="124">
        <v>613.67</v>
      </c>
      <c r="N674" s="124">
        <v>152.61</v>
      </c>
      <c r="O674" s="124">
        <v>0</v>
      </c>
      <c r="P674" s="124">
        <v>460.97</v>
      </c>
      <c r="Q674" s="124" cm="1">
        <f ca="1" t="array" ref="Q674">SUMPRODUCT(TRANSPOSE($I674:$P674),$F$162:$F$169)+SUMIFS($H$210:$H$241,$D$210:$D$241,"&lt;="&amp;N674)+SUMIF($D$310:$D$341,"&lt;="&amp;D674,$H$310:$H$341)</f>
        <v>78867.82</v>
      </c>
      <c r="R674" s="124">
        <f ca="1" t="shared" si="42"/>
        <v>24.5235758706468</v>
      </c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</row>
    <row r="675" s="122" customFormat="1" spans="4:31">
      <c r="D675" s="124">
        <v>269</v>
      </c>
      <c r="E675" s="128" t="str">
        <f ca="1" t="shared" si="38"/>
        <v/>
      </c>
      <c r="F675" s="128" t="str">
        <f ca="1" t="shared" si="39"/>
        <v/>
      </c>
      <c r="G675" s="128" t="str">
        <f ca="1" t="shared" si="40"/>
        <v/>
      </c>
      <c r="H675" s="128" t="str">
        <f ca="1" t="shared" si="41"/>
        <v/>
      </c>
      <c r="I675" s="124">
        <v>77.65</v>
      </c>
      <c r="J675" s="124">
        <v>76.07</v>
      </c>
      <c r="K675" s="124">
        <v>231.05</v>
      </c>
      <c r="L675" s="124">
        <v>1463.64</v>
      </c>
      <c r="M675" s="124">
        <v>615.97</v>
      </c>
      <c r="N675" s="124">
        <v>153.19</v>
      </c>
      <c r="O675" s="124">
        <v>0</v>
      </c>
      <c r="P675" s="124">
        <v>462.84</v>
      </c>
      <c r="Q675" s="124" cm="1">
        <f ca="1" t="array" ref="Q675">SUMPRODUCT(TRANSPOSE($I675:$P675),$F$162:$F$169)+SUMIFS($H$210:$H$241,$D$210:$D$241,"&lt;="&amp;N675)+SUMIF($D$310:$D$341,"&lt;="&amp;D675,$H$310:$H$341)</f>
        <v>79075.89</v>
      </c>
      <c r="R675" s="124">
        <f ca="1" t="shared" si="42"/>
        <v>24.4968680297398</v>
      </c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</row>
    <row r="676" s="122" customFormat="1" spans="4:31">
      <c r="D676" s="124">
        <v>270</v>
      </c>
      <c r="E676" s="128" t="str">
        <f ca="1" t="shared" si="38"/>
        <v/>
      </c>
      <c r="F676" s="128" t="str">
        <f ca="1" t="shared" si="39"/>
        <v/>
      </c>
      <c r="G676" s="128" t="str">
        <f ca="1" t="shared" si="40"/>
        <v/>
      </c>
      <c r="H676" s="128" t="str">
        <f ca="1" t="shared" si="41"/>
        <v/>
      </c>
      <c r="I676" s="124">
        <v>77.93</v>
      </c>
      <c r="J676" s="124">
        <v>76.4</v>
      </c>
      <c r="K676" s="124">
        <v>231.8</v>
      </c>
      <c r="L676" s="124">
        <v>1469.1</v>
      </c>
      <c r="M676" s="124">
        <v>618.43</v>
      </c>
      <c r="N676" s="124">
        <v>153.79</v>
      </c>
      <c r="O676" s="124">
        <v>0</v>
      </c>
      <c r="P676" s="124">
        <v>464.47</v>
      </c>
      <c r="Q676" s="124" cm="1">
        <f ca="1" t="array" ref="Q676">SUMPRODUCT(TRANSPOSE($I676:$P676),$F$162:$F$169)+SUMIFS($H$210:$H$241,$D$210:$D$241,"&lt;="&amp;N676)+SUMIF($D$310:$D$341,"&lt;="&amp;D676,$H$310:$H$341)</f>
        <v>79286.92</v>
      </c>
      <c r="R676" s="124">
        <f ca="1" t="shared" si="42"/>
        <v>24.4712716049383</v>
      </c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</row>
    <row r="677" s="122" customFormat="1" spans="4:31">
      <c r="D677" s="124">
        <v>271</v>
      </c>
      <c r="E677" s="128" t="str">
        <f ca="1" t="shared" si="38"/>
        <v/>
      </c>
      <c r="F677" s="128" t="str">
        <f ca="1" t="shared" si="39"/>
        <v/>
      </c>
      <c r="G677" s="128" t="str">
        <f ca="1" t="shared" si="40"/>
        <v/>
      </c>
      <c r="H677" s="128" t="str">
        <f ca="1" t="shared" si="41"/>
        <v/>
      </c>
      <c r="I677" s="124">
        <v>78.23</v>
      </c>
      <c r="J677" s="124">
        <v>76.7</v>
      </c>
      <c r="K677" s="124">
        <v>232.71</v>
      </c>
      <c r="L677" s="124">
        <v>1474.69</v>
      </c>
      <c r="M677" s="124">
        <v>620.6</v>
      </c>
      <c r="N677" s="124">
        <v>154.4</v>
      </c>
      <c r="O677" s="124">
        <v>0</v>
      </c>
      <c r="P677" s="124">
        <v>466.08</v>
      </c>
      <c r="Q677" s="124" cm="1">
        <f ca="1" t="array" ref="Q677">SUMPRODUCT(TRANSPOSE($I677:$P677),$F$162:$F$169)+SUMIFS($H$210:$H$241,$D$210:$D$241,"&lt;="&amp;N677)+SUMIF($D$310:$D$341,"&lt;="&amp;D677,$H$310:$H$341)</f>
        <v>79490.28</v>
      </c>
      <c r="R677" s="124">
        <f ca="1" t="shared" si="42"/>
        <v>24.4435055350553</v>
      </c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</row>
    <row r="678" s="122" customFormat="1" spans="4:31">
      <c r="D678" s="124">
        <v>272</v>
      </c>
      <c r="E678" s="128" t="str">
        <f ca="1" t="shared" si="38"/>
        <v/>
      </c>
      <c r="F678" s="128" t="str">
        <f ca="1" t="shared" si="39"/>
        <v/>
      </c>
      <c r="G678" s="128" t="str">
        <f ca="1" t="shared" si="40"/>
        <v/>
      </c>
      <c r="H678" s="128" t="str">
        <f ca="1" t="shared" si="41"/>
        <v/>
      </c>
      <c r="I678" s="124">
        <v>78.5</v>
      </c>
      <c r="J678" s="124">
        <v>76.95</v>
      </c>
      <c r="K678" s="124">
        <v>233.57</v>
      </c>
      <c r="L678" s="124">
        <v>1480.07</v>
      </c>
      <c r="M678" s="124">
        <v>622.89</v>
      </c>
      <c r="N678" s="124">
        <v>155</v>
      </c>
      <c r="O678" s="124">
        <v>0</v>
      </c>
      <c r="P678" s="124">
        <v>467.87</v>
      </c>
      <c r="Q678" s="124" cm="1">
        <f ca="1" t="array" ref="Q678">SUMPRODUCT(TRANSPOSE($I678:$P678),$F$162:$F$169)+SUMIFS($H$210:$H$241,$D$210:$D$241,"&lt;="&amp;N678)+SUMIF($D$310:$D$341,"&lt;="&amp;D678,$H$310:$H$341)</f>
        <v>79689.52</v>
      </c>
      <c r="R678" s="124">
        <f ca="1" t="shared" si="42"/>
        <v>24.414681372549</v>
      </c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</row>
    <row r="679" s="122" customFormat="1" spans="4:31">
      <c r="D679" s="124">
        <v>273</v>
      </c>
      <c r="E679" s="128" t="str">
        <f ca="1" t="shared" si="38"/>
        <v/>
      </c>
      <c r="F679" s="128" t="str">
        <f ca="1" t="shared" si="39"/>
        <v/>
      </c>
      <c r="G679" s="128" t="str">
        <f ca="1" t="shared" si="40"/>
        <v/>
      </c>
      <c r="H679" s="128" t="str">
        <f ca="1" t="shared" si="41"/>
        <v/>
      </c>
      <c r="I679" s="124">
        <v>78.8</v>
      </c>
      <c r="J679" s="124">
        <v>77.18</v>
      </c>
      <c r="K679" s="124">
        <v>234.31</v>
      </c>
      <c r="L679" s="124">
        <v>1485.39</v>
      </c>
      <c r="M679" s="124">
        <v>625.36</v>
      </c>
      <c r="N679" s="124">
        <v>155.66</v>
      </c>
      <c r="O679" s="124">
        <v>0</v>
      </c>
      <c r="P679" s="124">
        <v>469.56</v>
      </c>
      <c r="Q679" s="124" cm="1">
        <f ca="1" t="array" ref="Q679">SUMPRODUCT(TRANSPOSE($I679:$P679),$F$162:$F$169)+SUMIFS($H$210:$H$241,$D$210:$D$241,"&lt;="&amp;N679)+SUMIF($D$310:$D$341,"&lt;="&amp;D679,$H$310:$H$341)</f>
        <v>79894.06</v>
      </c>
      <c r="R679" s="124">
        <f ca="1" t="shared" si="42"/>
        <v>24.3876862026862</v>
      </c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</row>
    <row r="680" s="122" customFormat="1" spans="4:31">
      <c r="D680" s="124">
        <v>274</v>
      </c>
      <c r="E680" s="128" t="str">
        <f ca="1" t="shared" si="38"/>
        <v/>
      </c>
      <c r="F680" s="128" t="str">
        <f ca="1" t="shared" si="39"/>
        <v/>
      </c>
      <c r="G680" s="128" t="str">
        <f ca="1" t="shared" si="40"/>
        <v/>
      </c>
      <c r="H680" s="128" t="str">
        <f ca="1" t="shared" si="41"/>
        <v/>
      </c>
      <c r="I680" s="124">
        <v>79.11</v>
      </c>
      <c r="J680" s="124">
        <v>77.49</v>
      </c>
      <c r="K680" s="124">
        <v>235.26</v>
      </c>
      <c r="L680" s="124">
        <v>1490.62</v>
      </c>
      <c r="M680" s="124">
        <v>627.73</v>
      </c>
      <c r="N680" s="124">
        <v>156.19</v>
      </c>
      <c r="O680" s="124">
        <v>0</v>
      </c>
      <c r="P680" s="124">
        <v>471.15</v>
      </c>
      <c r="Q680" s="124" cm="1">
        <f ca="1" t="array" ref="Q680">SUMPRODUCT(TRANSPOSE($I680:$P680),$F$162:$F$169)+SUMIFS($H$210:$H$241,$D$210:$D$241,"&lt;="&amp;N680)+SUMIF($D$310:$D$341,"&lt;="&amp;D680,$H$310:$H$341)</f>
        <v>80096.1</v>
      </c>
      <c r="R680" s="124">
        <f ca="1" t="shared" si="42"/>
        <v>24.3601277372263</v>
      </c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</row>
    <row r="681" s="122" customFormat="1" spans="4:31">
      <c r="D681" s="124">
        <v>275</v>
      </c>
      <c r="E681" s="128" t="str">
        <f ca="1" t="shared" si="38"/>
        <v/>
      </c>
      <c r="F681" s="128" t="str">
        <f ca="1" t="shared" si="39"/>
        <v/>
      </c>
      <c r="G681" s="128" t="str">
        <f ca="1" t="shared" si="40"/>
        <v/>
      </c>
      <c r="H681" s="128" t="str">
        <f ca="1" t="shared" si="41"/>
        <v/>
      </c>
      <c r="I681" s="124">
        <v>79.47</v>
      </c>
      <c r="J681" s="124">
        <v>77.75</v>
      </c>
      <c r="K681" s="124">
        <v>236.09</v>
      </c>
      <c r="L681" s="124">
        <v>1496.05</v>
      </c>
      <c r="M681" s="124">
        <v>630.08</v>
      </c>
      <c r="N681" s="124">
        <v>156.77</v>
      </c>
      <c r="O681" s="124">
        <v>0</v>
      </c>
      <c r="P681" s="124">
        <v>472.67</v>
      </c>
      <c r="Q681" s="124" cm="1">
        <f ca="1" t="array" ref="Q681">SUMPRODUCT(TRANSPOSE($I681:$P681),$F$162:$F$169)+SUMIFS($H$210:$H$241,$D$210:$D$241,"&lt;="&amp;N681)+SUMIF($D$310:$D$341,"&lt;="&amp;D681,$H$310:$H$341)</f>
        <v>80298.87</v>
      </c>
      <c r="R681" s="124">
        <f ca="1" t="shared" si="42"/>
        <v>24.3329909090909</v>
      </c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</row>
    <row r="682" s="122" customFormat="1" spans="4:31">
      <c r="D682" s="124">
        <v>276</v>
      </c>
      <c r="E682" s="128" t="str">
        <f ca="1" t="shared" si="38"/>
        <v/>
      </c>
      <c r="F682" s="128" t="str">
        <f ca="1" t="shared" si="39"/>
        <v/>
      </c>
      <c r="G682" s="128" t="str">
        <f ca="1" t="shared" si="40"/>
        <v/>
      </c>
      <c r="H682" s="128" t="str">
        <f ca="1" t="shared" si="41"/>
        <v/>
      </c>
      <c r="I682" s="124">
        <v>79.76</v>
      </c>
      <c r="J682" s="124">
        <v>78.04</v>
      </c>
      <c r="K682" s="124">
        <v>236.97</v>
      </c>
      <c r="L682" s="124">
        <v>1501.45</v>
      </c>
      <c r="M682" s="124">
        <v>632.43</v>
      </c>
      <c r="N682" s="124">
        <v>157.4</v>
      </c>
      <c r="O682" s="124">
        <v>0</v>
      </c>
      <c r="P682" s="124">
        <v>474.37</v>
      </c>
      <c r="Q682" s="124" cm="1">
        <f ca="1" t="array" ref="Q682">SUMPRODUCT(TRANSPOSE($I682:$P682),$F$162:$F$169)+SUMIFS($H$210:$H$241,$D$210:$D$241,"&lt;="&amp;N682)+SUMIF($D$310:$D$341,"&lt;="&amp;D682,$H$310:$H$341)</f>
        <v>80505.32</v>
      </c>
      <c r="R682" s="124">
        <f ca="1" t="shared" si="42"/>
        <v>24.3071618357488</v>
      </c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</row>
    <row r="683" s="122" customFormat="1" spans="4:31">
      <c r="D683" s="124">
        <v>277</v>
      </c>
      <c r="E683" s="128" t="str">
        <f ca="1" t="shared" si="38"/>
        <v/>
      </c>
      <c r="F683" s="128" t="str">
        <f ca="1" t="shared" si="39"/>
        <v/>
      </c>
      <c r="G683" s="128" t="str">
        <f ca="1" t="shared" si="40"/>
        <v/>
      </c>
      <c r="H683" s="128" t="str">
        <f ca="1" t="shared" si="41"/>
        <v/>
      </c>
      <c r="I683" s="124">
        <v>80.04</v>
      </c>
      <c r="J683" s="124">
        <v>78.32</v>
      </c>
      <c r="K683" s="124">
        <v>237.77</v>
      </c>
      <c r="L683" s="124">
        <v>1506.83</v>
      </c>
      <c r="M683" s="124">
        <v>634.86</v>
      </c>
      <c r="N683" s="124">
        <v>157.92</v>
      </c>
      <c r="O683" s="124">
        <v>0</v>
      </c>
      <c r="P683" s="124">
        <v>476.08</v>
      </c>
      <c r="Q683" s="124" cm="1">
        <f ca="1" t="array" ref="Q683">SUMPRODUCT(TRANSPOSE($I683:$P683),$F$162:$F$169)+SUMIFS($H$210:$H$241,$D$210:$D$241,"&lt;="&amp;N683)+SUMIF($D$310:$D$341,"&lt;="&amp;D683,$H$310:$H$341)</f>
        <v>80706.68</v>
      </c>
      <c r="R683" s="124">
        <f ca="1" t="shared" si="42"/>
        <v>24.2799879663057</v>
      </c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</row>
    <row r="684" s="122" customFormat="1" spans="4:31">
      <c r="D684" s="124">
        <v>278</v>
      </c>
      <c r="E684" s="128" t="str">
        <f ca="1" t="shared" si="38"/>
        <v/>
      </c>
      <c r="F684" s="128" t="str">
        <f ca="1" t="shared" si="39"/>
        <v/>
      </c>
      <c r="G684" s="128" t="str">
        <f ca="1" t="shared" si="40"/>
        <v/>
      </c>
      <c r="H684" s="128" t="str">
        <f ca="1" t="shared" si="41"/>
        <v/>
      </c>
      <c r="I684" s="124">
        <v>80.31</v>
      </c>
      <c r="J684" s="124">
        <v>78.63</v>
      </c>
      <c r="K684" s="124">
        <v>238.65</v>
      </c>
      <c r="L684" s="124">
        <v>1512.35</v>
      </c>
      <c r="M684" s="124">
        <v>636.92</v>
      </c>
      <c r="N684" s="124">
        <v>158.59</v>
      </c>
      <c r="O684" s="124">
        <v>0</v>
      </c>
      <c r="P684" s="124">
        <v>477.73</v>
      </c>
      <c r="Q684" s="124" cm="1">
        <f ca="1" t="array" ref="Q684">SUMPRODUCT(TRANSPOSE($I684:$P684),$F$162:$F$169)+SUMIFS($H$210:$H$241,$D$210:$D$241,"&lt;="&amp;N684)+SUMIF($D$310:$D$341,"&lt;="&amp;D684,$H$310:$H$341)</f>
        <v>80909.53</v>
      </c>
      <c r="R684" s="124">
        <f ca="1" t="shared" si="42"/>
        <v>24.253456235012</v>
      </c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</row>
    <row r="685" s="122" customFormat="1" spans="4:31">
      <c r="D685" s="124">
        <v>279</v>
      </c>
      <c r="E685" s="128" t="str">
        <f ca="1" t="shared" si="38"/>
        <v/>
      </c>
      <c r="F685" s="128" t="str">
        <f ca="1" t="shared" si="39"/>
        <v/>
      </c>
      <c r="G685" s="128" t="str">
        <f ca="1" t="shared" si="40"/>
        <v/>
      </c>
      <c r="H685" s="128" t="str">
        <f ca="1" t="shared" si="41"/>
        <v/>
      </c>
      <c r="I685" s="124">
        <v>80.6</v>
      </c>
      <c r="J685" s="124">
        <v>78.94</v>
      </c>
      <c r="K685" s="124">
        <v>239.57</v>
      </c>
      <c r="L685" s="124">
        <v>1517.73</v>
      </c>
      <c r="M685" s="124">
        <v>639.09</v>
      </c>
      <c r="N685" s="124">
        <v>159.13</v>
      </c>
      <c r="O685" s="124">
        <v>0</v>
      </c>
      <c r="P685" s="124">
        <v>479.43</v>
      </c>
      <c r="Q685" s="124" cm="1">
        <f ca="1" t="array" ref="Q685">SUMPRODUCT(TRANSPOSE($I685:$P685),$F$162:$F$169)+SUMIFS($H$210:$H$241,$D$210:$D$241,"&lt;="&amp;N685)+SUMIF($D$310:$D$341,"&lt;="&amp;D685,$H$310:$H$341)</f>
        <v>81108.78</v>
      </c>
      <c r="R685" s="124">
        <f ca="1" t="shared" si="42"/>
        <v>24.2260394265233</v>
      </c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</row>
    <row r="686" s="122" customFormat="1" spans="4:31">
      <c r="D686" s="124">
        <v>280</v>
      </c>
      <c r="E686" s="128" t="str">
        <f ca="1" t="shared" si="38"/>
        <v/>
      </c>
      <c r="F686" s="128" t="str">
        <f ca="1" t="shared" si="39"/>
        <v/>
      </c>
      <c r="G686" s="128" t="str">
        <f ca="1" t="shared" si="40"/>
        <v/>
      </c>
      <c r="H686" s="128" t="str">
        <f ca="1" t="shared" si="41"/>
        <v/>
      </c>
      <c r="I686" s="124">
        <v>80.9</v>
      </c>
      <c r="J686" s="124">
        <v>79.28</v>
      </c>
      <c r="K686" s="124">
        <v>240.43</v>
      </c>
      <c r="L686" s="124">
        <v>1523</v>
      </c>
      <c r="M686" s="124">
        <v>641.1</v>
      </c>
      <c r="N686" s="124">
        <v>159.68</v>
      </c>
      <c r="O686" s="124">
        <v>0</v>
      </c>
      <c r="P686" s="124">
        <v>481.15</v>
      </c>
      <c r="Q686" s="124" cm="1">
        <f ca="1" t="array" ref="Q686">SUMPRODUCT(TRANSPOSE($I686:$P686),$F$162:$F$169)+SUMIFS($H$210:$H$241,$D$210:$D$241,"&lt;="&amp;N686)+SUMIF($D$310:$D$341,"&lt;="&amp;D686,$H$310:$H$341)</f>
        <v>81307.15</v>
      </c>
      <c r="R686" s="124">
        <f ca="1" t="shared" si="42"/>
        <v>24.198556547619</v>
      </c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</row>
    <row r="687" s="122" customFormat="1" spans="4:31">
      <c r="D687" s="124">
        <v>281</v>
      </c>
      <c r="E687" s="128" t="str">
        <f ca="1" t="shared" si="38"/>
        <v/>
      </c>
      <c r="F687" s="128" t="str">
        <f ca="1" t="shared" si="39"/>
        <v/>
      </c>
      <c r="G687" s="128" t="str">
        <f ca="1" t="shared" si="40"/>
        <v/>
      </c>
      <c r="H687" s="128" t="str">
        <f ca="1" t="shared" si="41"/>
        <v/>
      </c>
      <c r="I687" s="124">
        <v>81.18</v>
      </c>
      <c r="J687" s="124">
        <v>79.58</v>
      </c>
      <c r="K687" s="124">
        <v>241.2</v>
      </c>
      <c r="L687" s="124">
        <v>1528.76</v>
      </c>
      <c r="M687" s="124">
        <v>643.4</v>
      </c>
      <c r="N687" s="124">
        <v>160.27</v>
      </c>
      <c r="O687" s="124">
        <v>0</v>
      </c>
      <c r="P687" s="124">
        <v>482.83</v>
      </c>
      <c r="Q687" s="124" cm="1">
        <f ca="1" t="array" ref="Q687">SUMPRODUCT(TRANSPOSE($I687:$P687),$F$162:$F$169)+SUMIFS($H$210:$H$241,$D$210:$D$241,"&lt;="&amp;N687)+SUMIF($D$310:$D$341,"&lt;="&amp;D687,$H$310:$H$341)</f>
        <v>82714.23</v>
      </c>
      <c r="R687" s="124">
        <f ca="1" t="shared" si="42"/>
        <v>24.5297241992883</v>
      </c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</row>
    <row r="688" s="122" customFormat="1" spans="4:31">
      <c r="D688" s="124">
        <v>282</v>
      </c>
      <c r="E688" s="128" t="str">
        <f ca="1" t="shared" si="38"/>
        <v/>
      </c>
      <c r="F688" s="128" t="str">
        <f ca="1" t="shared" si="39"/>
        <v/>
      </c>
      <c r="G688" s="128" t="str">
        <f ca="1" t="shared" si="40"/>
        <v/>
      </c>
      <c r="H688" s="128" t="str">
        <f ca="1" t="shared" si="41"/>
        <v/>
      </c>
      <c r="I688" s="124">
        <v>81.42</v>
      </c>
      <c r="J688" s="124">
        <v>79.87</v>
      </c>
      <c r="K688" s="124">
        <v>241.99</v>
      </c>
      <c r="L688" s="124">
        <v>1534.47</v>
      </c>
      <c r="M688" s="124">
        <v>645.46</v>
      </c>
      <c r="N688" s="124">
        <v>160.85</v>
      </c>
      <c r="O688" s="124">
        <v>0</v>
      </c>
      <c r="P688" s="124">
        <v>484.67</v>
      </c>
      <c r="Q688" s="124" cm="1">
        <f ca="1" t="array" ref="Q688">SUMPRODUCT(TRANSPOSE($I688:$P688),$F$162:$F$169)+SUMIFS($H$210:$H$241,$D$210:$D$241,"&lt;="&amp;N688)+SUMIF($D$310:$D$341,"&lt;="&amp;D688,$H$310:$H$341)</f>
        <v>82913.07</v>
      </c>
      <c r="R688" s="124">
        <f ca="1" t="shared" si="42"/>
        <v>24.5014982269504</v>
      </c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</row>
    <row r="689" s="122" customFormat="1" spans="4:31">
      <c r="D689" s="124">
        <v>283</v>
      </c>
      <c r="E689" s="128" t="str">
        <f ca="1" t="shared" si="38"/>
        <v/>
      </c>
      <c r="F689" s="128" t="str">
        <f ca="1" t="shared" si="39"/>
        <v/>
      </c>
      <c r="G689" s="128" t="str">
        <f ca="1" t="shared" si="40"/>
        <v/>
      </c>
      <c r="H689" s="128" t="str">
        <f ca="1" t="shared" si="41"/>
        <v/>
      </c>
      <c r="I689" s="124">
        <v>81.69</v>
      </c>
      <c r="J689" s="124">
        <v>80.17</v>
      </c>
      <c r="K689" s="124">
        <v>242.95</v>
      </c>
      <c r="L689" s="124">
        <v>1539.87</v>
      </c>
      <c r="M689" s="124">
        <v>647.92</v>
      </c>
      <c r="N689" s="124">
        <v>161.33</v>
      </c>
      <c r="O689" s="124">
        <v>0</v>
      </c>
      <c r="P689" s="124">
        <v>486.24</v>
      </c>
      <c r="Q689" s="124" cm="1">
        <f ca="1" t="array" ref="Q689">SUMPRODUCT(TRANSPOSE($I689:$P689),$F$162:$F$169)+SUMIFS($H$210:$H$241,$D$210:$D$241,"&lt;="&amp;N689)+SUMIF($D$310:$D$341,"&lt;="&amp;D689,$H$310:$H$341)</f>
        <v>83113.34</v>
      </c>
      <c r="R689" s="124">
        <f ca="1" t="shared" si="42"/>
        <v>24.4738928150766</v>
      </c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</row>
    <row r="690" s="122" customFormat="1" spans="4:31">
      <c r="D690" s="124">
        <v>284</v>
      </c>
      <c r="E690" s="128" t="str">
        <f ca="1" t="shared" si="38"/>
        <v/>
      </c>
      <c r="F690" s="128" t="str">
        <f ca="1" t="shared" si="39"/>
        <v/>
      </c>
      <c r="G690" s="128" t="str">
        <f ca="1" t="shared" si="40"/>
        <v/>
      </c>
      <c r="H690" s="128" t="str">
        <f ca="1" t="shared" si="41"/>
        <v/>
      </c>
      <c r="I690" s="124">
        <v>81.97</v>
      </c>
      <c r="J690" s="124">
        <v>80.51</v>
      </c>
      <c r="K690" s="124">
        <v>243.71</v>
      </c>
      <c r="L690" s="124">
        <v>1545.21</v>
      </c>
      <c r="M690" s="124">
        <v>650.36</v>
      </c>
      <c r="N690" s="124">
        <v>161.9</v>
      </c>
      <c r="O690" s="124">
        <v>0</v>
      </c>
      <c r="P690" s="124">
        <v>487.96</v>
      </c>
      <c r="Q690" s="124" cm="1">
        <f ca="1" t="array" ref="Q690">SUMPRODUCT(TRANSPOSE($I690:$P690),$F$162:$F$169)+SUMIFS($H$210:$H$241,$D$210:$D$241,"&lt;="&amp;N690)+SUMIF($D$310:$D$341,"&lt;="&amp;D690,$H$310:$H$341)</f>
        <v>83323.16</v>
      </c>
      <c r="R690" s="124">
        <f ca="1" t="shared" si="42"/>
        <v>24.4492840375587</v>
      </c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</row>
    <row r="691" s="122" customFormat="1" spans="4:31">
      <c r="D691" s="124">
        <v>285</v>
      </c>
      <c r="E691" s="128" t="str">
        <f ca="1" t="shared" si="38"/>
        <v/>
      </c>
      <c r="F691" s="128" t="str">
        <f ca="1" t="shared" si="39"/>
        <v/>
      </c>
      <c r="G691" s="128" t="str">
        <f ca="1" t="shared" si="40"/>
        <v/>
      </c>
      <c r="H691" s="128" t="str">
        <f ca="1" t="shared" si="41"/>
        <v/>
      </c>
      <c r="I691" s="124">
        <v>82.29</v>
      </c>
      <c r="J691" s="124">
        <v>80.78</v>
      </c>
      <c r="K691" s="124">
        <v>244.67</v>
      </c>
      <c r="L691" s="124">
        <v>1550.4</v>
      </c>
      <c r="M691" s="124">
        <v>652.69</v>
      </c>
      <c r="N691" s="124">
        <v>162.44</v>
      </c>
      <c r="O691" s="124">
        <v>0</v>
      </c>
      <c r="P691" s="124">
        <v>489.84</v>
      </c>
      <c r="Q691" s="124" cm="1">
        <f ca="1" t="array" ref="Q691">SUMPRODUCT(TRANSPOSE($I691:$P691),$F$162:$F$169)+SUMIFS($H$210:$H$241,$D$210:$D$241,"&lt;="&amp;N691)+SUMIF($D$310:$D$341,"&lt;="&amp;D691,$H$310:$H$341)</f>
        <v>83523.99</v>
      </c>
      <c r="R691" s="124">
        <f ca="1" t="shared" si="42"/>
        <v>24.4222192982456</v>
      </c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</row>
    <row r="692" s="122" customFormat="1" spans="4:31">
      <c r="D692" s="124">
        <v>286</v>
      </c>
      <c r="E692" s="128" t="str">
        <f ca="1" t="shared" si="38"/>
        <v/>
      </c>
      <c r="F692" s="128" t="str">
        <f ca="1" t="shared" si="39"/>
        <v/>
      </c>
      <c r="G692" s="128" t="str">
        <f ca="1" t="shared" si="40"/>
        <v/>
      </c>
      <c r="H692" s="128" t="str">
        <f ca="1" t="shared" si="41"/>
        <v/>
      </c>
      <c r="I692" s="124">
        <v>82.58</v>
      </c>
      <c r="J692" s="124">
        <v>81</v>
      </c>
      <c r="K692" s="124">
        <v>245.58</v>
      </c>
      <c r="L692" s="124">
        <v>1556.06</v>
      </c>
      <c r="M692" s="124">
        <v>655.04</v>
      </c>
      <c r="N692" s="124">
        <v>163.08</v>
      </c>
      <c r="O692" s="124">
        <v>0</v>
      </c>
      <c r="P692" s="124">
        <v>491.44</v>
      </c>
      <c r="Q692" s="124" cm="1">
        <f ca="1" t="array" ref="Q692">SUMPRODUCT(TRANSPOSE($I692:$P692),$F$162:$F$169)+SUMIFS($H$210:$H$241,$D$210:$D$241,"&lt;="&amp;N692)+SUMIF($D$310:$D$341,"&lt;="&amp;D692,$H$310:$H$341)</f>
        <v>83725.44</v>
      </c>
      <c r="R692" s="124">
        <f ca="1" t="shared" si="42"/>
        <v>24.3955244755245</v>
      </c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</row>
    <row r="693" s="122" customFormat="1" spans="4:31">
      <c r="D693" s="124">
        <v>287</v>
      </c>
      <c r="E693" s="128" t="str">
        <f ca="1" t="shared" si="38"/>
        <v/>
      </c>
      <c r="F693" s="128" t="str">
        <f ca="1" t="shared" si="39"/>
        <v/>
      </c>
      <c r="G693" s="128" t="str">
        <f ca="1" t="shared" si="40"/>
        <v/>
      </c>
      <c r="H693" s="128" t="str">
        <f ca="1" t="shared" si="41"/>
        <v/>
      </c>
      <c r="I693" s="124">
        <v>82.92</v>
      </c>
      <c r="J693" s="124">
        <v>81.32</v>
      </c>
      <c r="K693" s="124">
        <v>246.42</v>
      </c>
      <c r="L693" s="124">
        <v>1561.63</v>
      </c>
      <c r="M693" s="124">
        <v>657.24</v>
      </c>
      <c r="N693" s="124">
        <v>163.59</v>
      </c>
      <c r="O693" s="124">
        <v>0</v>
      </c>
      <c r="P693" s="124">
        <v>493.29</v>
      </c>
      <c r="Q693" s="124" cm="1">
        <f ca="1" t="array" ref="Q693">SUMPRODUCT(TRANSPOSE($I693:$P693),$F$162:$F$169)+SUMIFS($H$210:$H$241,$D$210:$D$241,"&lt;="&amp;N693)+SUMIF($D$310:$D$341,"&lt;="&amp;D693,$H$310:$H$341)</f>
        <v>83930.99</v>
      </c>
      <c r="R693" s="124">
        <f ca="1" t="shared" si="42"/>
        <v>24.370206155633</v>
      </c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</row>
    <row r="694" s="122" customFormat="1" spans="4:31">
      <c r="D694" s="124">
        <v>288</v>
      </c>
      <c r="E694" s="128" t="str">
        <f ca="1" t="shared" si="38"/>
        <v/>
      </c>
      <c r="F694" s="128" t="str">
        <f ca="1" t="shared" si="39"/>
        <v/>
      </c>
      <c r="G694" s="128" t="str">
        <f ca="1" t="shared" si="40"/>
        <v/>
      </c>
      <c r="H694" s="128" t="str">
        <f ca="1" t="shared" si="41"/>
        <v/>
      </c>
      <c r="I694" s="124">
        <v>83.23</v>
      </c>
      <c r="J694" s="124">
        <v>81.59</v>
      </c>
      <c r="K694" s="124">
        <v>247.32</v>
      </c>
      <c r="L694" s="124">
        <v>1566.93</v>
      </c>
      <c r="M694" s="124">
        <v>659.69</v>
      </c>
      <c r="N694" s="124">
        <v>164.04</v>
      </c>
      <c r="O694" s="124">
        <v>0</v>
      </c>
      <c r="P694" s="124">
        <v>495.13</v>
      </c>
      <c r="Q694" s="124" cm="1">
        <f ca="1" t="array" ref="Q694">SUMPRODUCT(TRANSPOSE($I694:$P694),$F$162:$F$169)+SUMIFS($H$210:$H$241,$D$210:$D$241,"&lt;="&amp;N694)+SUMIF($D$310:$D$341,"&lt;="&amp;D694,$H$310:$H$341)</f>
        <v>84130.48</v>
      </c>
      <c r="R694" s="124">
        <f ca="1" t="shared" si="42"/>
        <v>24.3433101851852</v>
      </c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</row>
    <row r="695" s="122" customFormat="1" spans="4:31">
      <c r="D695" s="124">
        <v>289</v>
      </c>
      <c r="E695" s="128" t="str">
        <f ca="1" t="shared" si="38"/>
        <v/>
      </c>
      <c r="F695" s="128" t="str">
        <f ca="1" t="shared" si="39"/>
        <v/>
      </c>
      <c r="G695" s="128" t="str">
        <f ca="1" t="shared" si="40"/>
        <v/>
      </c>
      <c r="H695" s="128" t="str">
        <f ca="1" t="shared" si="41"/>
        <v/>
      </c>
      <c r="I695" s="124">
        <v>83.58</v>
      </c>
      <c r="J695" s="124">
        <v>81.84</v>
      </c>
      <c r="K695" s="124">
        <v>248.28</v>
      </c>
      <c r="L695" s="124">
        <v>1572.11</v>
      </c>
      <c r="M695" s="124">
        <v>662.08</v>
      </c>
      <c r="N695" s="124">
        <v>164.52</v>
      </c>
      <c r="O695" s="124">
        <v>0</v>
      </c>
      <c r="P695" s="124">
        <v>497.11</v>
      </c>
      <c r="Q695" s="124" cm="1">
        <f ca="1" t="array" ref="Q695">SUMPRODUCT(TRANSPOSE($I695:$P695),$F$162:$F$169)+SUMIFS($H$210:$H$241,$D$210:$D$241,"&lt;="&amp;N695)+SUMIF($D$310:$D$341,"&lt;="&amp;D695,$H$310:$H$341)</f>
        <v>84330.31</v>
      </c>
      <c r="R695" s="124">
        <f ca="1" t="shared" si="42"/>
        <v>24.3166983852364</v>
      </c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</row>
    <row r="696" s="122" customFormat="1" spans="4:31">
      <c r="D696" s="124">
        <v>290</v>
      </c>
      <c r="E696" s="128" t="str">
        <f ca="1" t="shared" si="38"/>
        <v/>
      </c>
      <c r="F696" s="128" t="str">
        <f ca="1" t="shared" si="39"/>
        <v/>
      </c>
      <c r="G696" s="128" t="str">
        <f ca="1" t="shared" si="40"/>
        <v/>
      </c>
      <c r="H696" s="128" t="str">
        <f ca="1" t="shared" si="41"/>
        <v/>
      </c>
      <c r="I696" s="124">
        <v>83.88</v>
      </c>
      <c r="J696" s="124">
        <v>82.15</v>
      </c>
      <c r="K696" s="124">
        <v>249.05</v>
      </c>
      <c r="L696" s="124">
        <v>1577.56</v>
      </c>
      <c r="M696" s="124">
        <v>664.43</v>
      </c>
      <c r="N696" s="124">
        <v>165.11</v>
      </c>
      <c r="O696" s="124">
        <v>0</v>
      </c>
      <c r="P696" s="124">
        <v>498.83</v>
      </c>
      <c r="Q696" s="124" cm="1">
        <f ca="1" t="array" ref="Q696">SUMPRODUCT(TRANSPOSE($I696:$P696),$F$162:$F$169)+SUMIFS($H$210:$H$241,$D$210:$D$241,"&lt;="&amp;N696)+SUMIF($D$310:$D$341,"&lt;="&amp;D696,$H$310:$H$341)</f>
        <v>84537.98</v>
      </c>
      <c r="R696" s="124">
        <f ca="1" t="shared" si="42"/>
        <v>24.2925229885057</v>
      </c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</row>
    <row r="697" s="122" customFormat="1" spans="4:31">
      <c r="D697" s="124">
        <v>291</v>
      </c>
      <c r="E697" s="128" t="str">
        <f ca="1" t="shared" si="38"/>
        <v/>
      </c>
      <c r="F697" s="128" t="str">
        <f ca="1" t="shared" si="39"/>
        <v/>
      </c>
      <c r="G697" s="128" t="str">
        <f ca="1" t="shared" si="40"/>
        <v/>
      </c>
      <c r="H697" s="128" t="str">
        <f ca="1" t="shared" si="41"/>
        <v/>
      </c>
      <c r="I697" s="124">
        <v>84.09</v>
      </c>
      <c r="J697" s="124">
        <v>82.5</v>
      </c>
      <c r="K697" s="124">
        <v>249.8</v>
      </c>
      <c r="L697" s="124">
        <v>1582.95</v>
      </c>
      <c r="M697" s="124">
        <v>666.88</v>
      </c>
      <c r="N697" s="124">
        <v>165.71</v>
      </c>
      <c r="O697" s="124">
        <v>0</v>
      </c>
      <c r="P697" s="124">
        <v>500.4</v>
      </c>
      <c r="Q697" s="124" cm="1">
        <f ca="1" t="array" ref="Q697">SUMPRODUCT(TRANSPOSE($I697:$P697),$F$162:$F$169)+SUMIFS($H$210:$H$241,$D$210:$D$241,"&lt;="&amp;N697)+SUMIF($D$310:$D$341,"&lt;="&amp;D697,$H$310:$H$341)</f>
        <v>84745.9</v>
      </c>
      <c r="R697" s="124">
        <f ca="1" t="shared" si="42"/>
        <v>24.2685853379152</v>
      </c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</row>
    <row r="698" s="122" customFormat="1" spans="4:31">
      <c r="D698" s="124">
        <v>292</v>
      </c>
      <c r="E698" s="128" t="str">
        <f ca="1" t="shared" si="38"/>
        <v/>
      </c>
      <c r="F698" s="128" t="str">
        <f ca="1" t="shared" si="39"/>
        <v/>
      </c>
      <c r="G698" s="128" t="str">
        <f ca="1" t="shared" si="40"/>
        <v/>
      </c>
      <c r="H698" s="128" t="str">
        <f ca="1" t="shared" si="41"/>
        <v/>
      </c>
      <c r="I698" s="124">
        <v>84.37</v>
      </c>
      <c r="J698" s="124">
        <v>82.81</v>
      </c>
      <c r="K698" s="124">
        <v>250.83</v>
      </c>
      <c r="L698" s="124">
        <v>1588.57</v>
      </c>
      <c r="M698" s="124">
        <v>669.22</v>
      </c>
      <c r="N698" s="124">
        <v>166.2</v>
      </c>
      <c r="O698" s="124">
        <v>0</v>
      </c>
      <c r="P698" s="124">
        <v>502.01</v>
      </c>
      <c r="Q698" s="124" cm="1">
        <f ca="1" t="array" ref="Q698">SUMPRODUCT(TRANSPOSE($I698:$P698),$F$162:$F$169)+SUMIFS($H$210:$H$241,$D$210:$D$241,"&lt;="&amp;N698)+SUMIF($D$310:$D$341,"&lt;="&amp;D698,$H$310:$H$341)</f>
        <v>84947.81</v>
      </c>
      <c r="R698" s="124">
        <f ca="1" t="shared" si="42"/>
        <v>24.2430964611872</v>
      </c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</row>
    <row r="699" s="122" customFormat="1" spans="4:31">
      <c r="D699" s="124">
        <v>293</v>
      </c>
      <c r="E699" s="128" t="str">
        <f ca="1" t="shared" si="38"/>
        <v/>
      </c>
      <c r="F699" s="128" t="str">
        <f ca="1" t="shared" si="39"/>
        <v/>
      </c>
      <c r="G699" s="128" t="str">
        <f ca="1" t="shared" si="40"/>
        <v/>
      </c>
      <c r="H699" s="128" t="str">
        <f ca="1" t="shared" si="41"/>
        <v/>
      </c>
      <c r="I699" s="124">
        <v>84.66</v>
      </c>
      <c r="J699" s="124">
        <v>83.03</v>
      </c>
      <c r="K699" s="124">
        <v>251.69</v>
      </c>
      <c r="L699" s="124">
        <v>1594.25</v>
      </c>
      <c r="M699" s="124">
        <v>671.41</v>
      </c>
      <c r="N699" s="124">
        <v>166.78</v>
      </c>
      <c r="O699" s="124">
        <v>0</v>
      </c>
      <c r="P699" s="124">
        <v>503.82</v>
      </c>
      <c r="Q699" s="124" cm="1">
        <f ca="1" t="array" ref="Q699">SUMPRODUCT(TRANSPOSE($I699:$P699),$F$162:$F$169)+SUMIFS($H$210:$H$241,$D$210:$D$241,"&lt;="&amp;N699)+SUMIF($D$310:$D$341,"&lt;="&amp;D699,$H$310:$H$341)</f>
        <v>85144.77</v>
      </c>
      <c r="R699" s="124">
        <f ca="1" t="shared" si="42"/>
        <v>24.2163737201365</v>
      </c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</row>
    <row r="700" s="122" customFormat="1" spans="4:31">
      <c r="D700" s="124">
        <v>294</v>
      </c>
      <c r="E700" s="128" t="str">
        <f ca="1" t="shared" si="38"/>
        <v/>
      </c>
      <c r="F700" s="128" t="str">
        <f ca="1" t="shared" si="39"/>
        <v/>
      </c>
      <c r="G700" s="128" t="str">
        <f ca="1" t="shared" si="40"/>
        <v/>
      </c>
      <c r="H700" s="128" t="str">
        <f ca="1" t="shared" si="41"/>
        <v/>
      </c>
      <c r="I700" s="124">
        <v>84.92</v>
      </c>
      <c r="J700" s="124">
        <v>83.32</v>
      </c>
      <c r="K700" s="124">
        <v>252.59</v>
      </c>
      <c r="L700" s="124">
        <v>1599.73</v>
      </c>
      <c r="M700" s="124">
        <v>673.53</v>
      </c>
      <c r="N700" s="124">
        <v>167.36</v>
      </c>
      <c r="O700" s="124">
        <v>0</v>
      </c>
      <c r="P700" s="124">
        <v>505.61</v>
      </c>
      <c r="Q700" s="124" cm="1">
        <f ca="1" t="array" ref="Q700">SUMPRODUCT(TRANSPOSE($I700:$P700),$F$162:$F$169)+SUMIFS($H$210:$H$241,$D$210:$D$241,"&lt;="&amp;N700)+SUMIF($D$310:$D$341,"&lt;="&amp;D700,$H$310:$H$341)</f>
        <v>85343.26</v>
      </c>
      <c r="R700" s="124">
        <f ca="1" t="shared" si="42"/>
        <v>24.1902664399093</v>
      </c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</row>
    <row r="701" s="122" customFormat="1" spans="4:31">
      <c r="D701" s="124">
        <v>295</v>
      </c>
      <c r="E701" s="128" t="str">
        <f ca="1" t="shared" si="38"/>
        <v/>
      </c>
      <c r="F701" s="128" t="str">
        <f ca="1" t="shared" si="39"/>
        <v/>
      </c>
      <c r="G701" s="128" t="str">
        <f ca="1" t="shared" si="40"/>
        <v/>
      </c>
      <c r="H701" s="128" t="str">
        <f ca="1" t="shared" si="41"/>
        <v/>
      </c>
      <c r="I701" s="124">
        <v>85.25</v>
      </c>
      <c r="J701" s="124">
        <v>83.65</v>
      </c>
      <c r="K701" s="124">
        <v>253.36</v>
      </c>
      <c r="L701" s="124">
        <v>1605.06</v>
      </c>
      <c r="M701" s="124">
        <v>675.59</v>
      </c>
      <c r="N701" s="124">
        <v>168.03</v>
      </c>
      <c r="O701" s="124">
        <v>0</v>
      </c>
      <c r="P701" s="124">
        <v>507.45</v>
      </c>
      <c r="Q701" s="124" cm="1">
        <f ca="1" t="array" ref="Q701">SUMPRODUCT(TRANSPOSE($I701:$P701),$F$162:$F$169)+SUMIFS($H$210:$H$241,$D$210:$D$241,"&lt;="&amp;N701)+SUMIF($D$310:$D$341,"&lt;="&amp;D701,$H$310:$H$341)</f>
        <v>85551.3</v>
      </c>
      <c r="R701" s="124">
        <f ca="1" t="shared" si="42"/>
        <v>24.1670338983051</v>
      </c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</row>
    <row r="702" s="122" customFormat="1" spans="4:31">
      <c r="D702" s="124">
        <v>296</v>
      </c>
      <c r="E702" s="128" t="str">
        <f ca="1" t="shared" si="38"/>
        <v/>
      </c>
      <c r="F702" s="128" t="str">
        <f ca="1" t="shared" si="39"/>
        <v/>
      </c>
      <c r="G702" s="128" t="str">
        <f ca="1" t="shared" si="40"/>
        <v/>
      </c>
      <c r="H702" s="128" t="str">
        <f ca="1" t="shared" si="41"/>
        <v/>
      </c>
      <c r="I702" s="124">
        <v>85.49</v>
      </c>
      <c r="J702" s="124">
        <v>83.92</v>
      </c>
      <c r="K702" s="124">
        <v>254.16</v>
      </c>
      <c r="L702" s="124">
        <v>1610.56</v>
      </c>
      <c r="M702" s="124">
        <v>677.94</v>
      </c>
      <c r="N702" s="124">
        <v>168.6</v>
      </c>
      <c r="O702" s="124">
        <v>0</v>
      </c>
      <c r="P702" s="124">
        <v>509.23</v>
      </c>
      <c r="Q702" s="124" cm="1">
        <f ca="1" t="array" ref="Q702">SUMPRODUCT(TRANSPOSE($I702:$P702),$F$162:$F$169)+SUMIFS($H$210:$H$241,$D$210:$D$241,"&lt;="&amp;N702)+SUMIF($D$310:$D$341,"&lt;="&amp;D702,$H$310:$H$341)</f>
        <v>85752.13</v>
      </c>
      <c r="R702" s="124">
        <f ca="1" t="shared" si="42"/>
        <v>24.141928490991</v>
      </c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</row>
    <row r="703" s="122" customFormat="1" spans="4:31">
      <c r="D703" s="124">
        <v>297</v>
      </c>
      <c r="E703" s="128" t="str">
        <f ca="1" t="shared" si="38"/>
        <v/>
      </c>
      <c r="F703" s="128" t="str">
        <f ca="1" t="shared" si="39"/>
        <v/>
      </c>
      <c r="G703" s="128" t="str">
        <f ca="1" t="shared" si="40"/>
        <v/>
      </c>
      <c r="H703" s="128" t="str">
        <f ca="1" t="shared" si="41"/>
        <v/>
      </c>
      <c r="I703" s="124">
        <v>85.76</v>
      </c>
      <c r="J703" s="124">
        <v>84.17</v>
      </c>
      <c r="K703" s="124">
        <v>255</v>
      </c>
      <c r="L703" s="124">
        <v>1615.98</v>
      </c>
      <c r="M703" s="124">
        <v>680.1</v>
      </c>
      <c r="N703" s="124">
        <v>169.33</v>
      </c>
      <c r="O703" s="124">
        <v>0</v>
      </c>
      <c r="P703" s="124">
        <v>510.82</v>
      </c>
      <c r="Q703" s="124" cm="1">
        <f ca="1" t="array" ref="Q703">SUMPRODUCT(TRANSPOSE($I703:$P703),$F$162:$F$169)+SUMIFS($H$210:$H$241,$D$210:$D$241,"&lt;="&amp;N703)+SUMIF($D$310:$D$341,"&lt;="&amp;D703,$H$310:$H$341)</f>
        <v>85952.82</v>
      </c>
      <c r="R703" s="124">
        <f ca="1" t="shared" si="42"/>
        <v>24.1169528619529</v>
      </c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</row>
    <row r="704" s="122" customFormat="1" spans="4:31">
      <c r="D704" s="124">
        <v>298</v>
      </c>
      <c r="E704" s="128" t="str">
        <f ca="1" t="shared" si="38"/>
        <v/>
      </c>
      <c r="F704" s="128" t="str">
        <f ca="1" t="shared" si="39"/>
        <v/>
      </c>
      <c r="G704" s="128" t="str">
        <f ca="1" t="shared" si="40"/>
        <v/>
      </c>
      <c r="H704" s="128" t="str">
        <f ca="1" t="shared" si="41"/>
        <v/>
      </c>
      <c r="I704" s="124">
        <v>86.12</v>
      </c>
      <c r="J704" s="124">
        <v>84.5</v>
      </c>
      <c r="K704" s="124">
        <v>255.83</v>
      </c>
      <c r="L704" s="124">
        <v>1621.28</v>
      </c>
      <c r="M704" s="124">
        <v>682.52</v>
      </c>
      <c r="N704" s="124">
        <v>169.93</v>
      </c>
      <c r="O704" s="124">
        <v>0</v>
      </c>
      <c r="P704" s="124">
        <v>512.45</v>
      </c>
      <c r="Q704" s="124" cm="1">
        <f ca="1" t="array" ref="Q704">SUMPRODUCT(TRANSPOSE($I704:$P704),$F$162:$F$169)+SUMIFS($H$210:$H$241,$D$210:$D$241,"&lt;="&amp;N704)+SUMIF($D$310:$D$341,"&lt;="&amp;D704,$H$310:$H$341)</f>
        <v>86165.25</v>
      </c>
      <c r="R704" s="124">
        <f ca="1" t="shared" si="42"/>
        <v>24.095427852349</v>
      </c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</row>
    <row r="705" s="122" customFormat="1" spans="4:31">
      <c r="D705" s="124">
        <v>299</v>
      </c>
      <c r="E705" s="128" t="str">
        <f ca="1" t="shared" si="38"/>
        <v/>
      </c>
      <c r="F705" s="128" t="str">
        <f ca="1" t="shared" si="39"/>
        <v/>
      </c>
      <c r="G705" s="128" t="str">
        <f ca="1" t="shared" si="40"/>
        <v/>
      </c>
      <c r="H705" s="128" t="str">
        <f ca="1" t="shared" si="41"/>
        <v/>
      </c>
      <c r="I705" s="124">
        <v>86.41</v>
      </c>
      <c r="J705" s="124">
        <v>84.81</v>
      </c>
      <c r="K705" s="124">
        <v>256.67</v>
      </c>
      <c r="L705" s="124">
        <v>1626.7</v>
      </c>
      <c r="M705" s="124">
        <v>684.58</v>
      </c>
      <c r="N705" s="124">
        <v>170.49</v>
      </c>
      <c r="O705" s="124">
        <v>0</v>
      </c>
      <c r="P705" s="124">
        <v>514.15</v>
      </c>
      <c r="Q705" s="124" cm="1">
        <f ca="1" t="array" ref="Q705">SUMPRODUCT(TRANSPOSE($I705:$P705),$F$162:$F$169)+SUMIFS($H$210:$H$241,$D$210:$D$241,"&lt;="&amp;N705)+SUMIF($D$310:$D$341,"&lt;="&amp;D705,$H$310:$H$341)</f>
        <v>86363.15</v>
      </c>
      <c r="R705" s="124">
        <f ca="1" t="shared" si="42"/>
        <v>24.069997212932</v>
      </c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</row>
    <row r="706" s="122" customFormat="1" spans="4:31">
      <c r="D706" s="124">
        <v>300</v>
      </c>
      <c r="E706" s="128" t="str">
        <f ca="1" t="shared" si="38"/>
        <v/>
      </c>
      <c r="F706" s="128" t="str">
        <f ca="1" t="shared" si="39"/>
        <v/>
      </c>
      <c r="G706" s="128" t="str">
        <f ca="1" t="shared" si="40"/>
        <v/>
      </c>
      <c r="H706" s="128" t="str">
        <f ca="1" t="shared" si="41"/>
        <v/>
      </c>
      <c r="I706" s="124">
        <v>86.64</v>
      </c>
      <c r="J706" s="124">
        <v>85.07</v>
      </c>
      <c r="K706" s="124">
        <v>257.58</v>
      </c>
      <c r="L706" s="124">
        <v>1632.01</v>
      </c>
      <c r="M706" s="124">
        <v>686.91</v>
      </c>
      <c r="N706" s="124">
        <v>171.18</v>
      </c>
      <c r="O706" s="124">
        <v>0</v>
      </c>
      <c r="P706" s="124">
        <v>515.87</v>
      </c>
      <c r="Q706" s="124" cm="1">
        <f ca="1" t="array" ref="Q706">SUMPRODUCT(TRANSPOSE($I706:$P706),$F$162:$F$169)+SUMIFS($H$210:$H$241,$D$210:$D$241,"&lt;="&amp;N706)+SUMIF($D$310:$D$341,"&lt;="&amp;D706,$H$310:$H$341)</f>
        <v>86565.42</v>
      </c>
      <c r="R706" s="124">
        <f ca="1" t="shared" si="42"/>
        <v>24.04595</v>
      </c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</row>
  </sheetData>
  <conditionalFormatting sqref="F99:F1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{5f254f2c-4678-458d-8e26-b72f61fb932c}</x14:id>
        </ext>
      </extLst>
    </cfRule>
  </conditionalFormatting>
  <pageMargins left="0.75" right="0.75" top="1" bottom="1" header="0.5" footer="0.5"/>
  <headerFooter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254f2c-4678-458d-8e26-b72f61fb93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F99:F110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17">
    <tabColor theme="4"/>
  </sheetPr>
  <dimension ref="A2:Q108"/>
  <sheetViews>
    <sheetView showGridLines="0" zoomScale="130" zoomScaleNormal="130" workbookViewId="0">
      <selection activeCell="B95" sqref="B95:L100"/>
    </sheetView>
  </sheetViews>
  <sheetFormatPr defaultColWidth="9" defaultRowHeight="13.5"/>
  <cols>
    <col min="1" max="1" width="3.75" style="31" customWidth="1"/>
  </cols>
  <sheetData>
    <row r="2" spans="1:16">
      <c r="A2" s="106" t="s">
        <v>1925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>
      <c r="A3" s="108"/>
      <c r="B3" s="107" t="s">
        <v>1926</v>
      </c>
      <c r="C3" s="107" t="s">
        <v>1327</v>
      </c>
      <c r="D3" s="107" t="s">
        <v>1927</v>
      </c>
      <c r="E3" s="107" t="s">
        <v>1928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1:16">
      <c r="A4" s="108"/>
      <c r="B4" s="107">
        <v>1001</v>
      </c>
      <c r="C4" s="109">
        <v>0.5</v>
      </c>
      <c r="D4" s="107">
        <v>1</v>
      </c>
      <c r="E4" s="107">
        <v>20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1:16">
      <c r="A5" s="108"/>
      <c r="B5" s="107">
        <v>1002</v>
      </c>
      <c r="C5" s="109">
        <v>0.5</v>
      </c>
      <c r="D5" s="107">
        <v>1</v>
      </c>
      <c r="E5" s="107">
        <v>20</v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</row>
    <row r="6" spans="1:16">
      <c r="A6" s="108"/>
      <c r="B6" s="107">
        <v>1003</v>
      </c>
      <c r="C6" s="109">
        <v>0.5</v>
      </c>
      <c r="D6" s="107">
        <v>1</v>
      </c>
      <c r="E6" s="107">
        <v>20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</row>
    <row r="7" spans="1:16">
      <c r="A7" s="108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</row>
    <row r="8" spans="1:16">
      <c r="A8" s="106" t="s">
        <v>1929</v>
      </c>
      <c r="B8" s="107" t="s">
        <v>1930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</row>
    <row r="9" spans="1:16">
      <c r="A9" s="10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</row>
    <row r="10" spans="1:16">
      <c r="A10" s="106" t="s">
        <v>1925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</row>
    <row r="11" spans="1:16">
      <c r="A11" s="108"/>
      <c r="B11" s="107" t="s">
        <v>1931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</row>
    <row r="12" spans="1:16">
      <c r="A12" s="108"/>
      <c r="B12" s="107" t="s">
        <v>1423</v>
      </c>
      <c r="C12" s="107" t="s">
        <v>1932</v>
      </c>
      <c r="D12" s="107"/>
      <c r="E12" s="107" t="s">
        <v>1933</v>
      </c>
      <c r="F12" s="107" t="s">
        <v>1932</v>
      </c>
      <c r="G12" s="107"/>
      <c r="H12" s="107" t="s">
        <v>1934</v>
      </c>
      <c r="I12" s="107">
        <v>50</v>
      </c>
      <c r="J12" s="107"/>
      <c r="K12" s="107" t="s">
        <v>1935</v>
      </c>
      <c r="L12" s="107">
        <v>100</v>
      </c>
      <c r="M12" s="107"/>
      <c r="N12" s="107"/>
      <c r="O12" s="107"/>
      <c r="P12" s="107"/>
    </row>
    <row r="13" spans="1:16">
      <c r="A13" s="108"/>
      <c r="B13" s="107">
        <v>1</v>
      </c>
      <c r="C13" s="107">
        <v>3</v>
      </c>
      <c r="D13" s="107"/>
      <c r="E13" s="107">
        <v>200</v>
      </c>
      <c r="F13" s="107">
        <v>2</v>
      </c>
      <c r="G13" s="107"/>
      <c r="H13" s="107"/>
      <c r="I13" s="107"/>
      <c r="J13" s="107"/>
      <c r="K13" s="107"/>
      <c r="L13" s="107"/>
      <c r="M13" s="107"/>
      <c r="N13" s="107"/>
      <c r="O13" s="107"/>
      <c r="P13" s="107"/>
    </row>
    <row r="14" spans="1:16">
      <c r="A14" s="108"/>
      <c r="B14" s="107">
        <v>2</v>
      </c>
      <c r="C14" s="107">
        <v>3</v>
      </c>
      <c r="D14" s="107"/>
      <c r="E14" s="107">
        <v>400</v>
      </c>
      <c r="F14" s="107">
        <v>2</v>
      </c>
      <c r="G14" s="107"/>
      <c r="H14" s="107" t="s">
        <v>1936</v>
      </c>
      <c r="I14" s="107" t="s">
        <v>1937</v>
      </c>
      <c r="J14" s="107"/>
      <c r="K14" s="107"/>
      <c r="L14" s="107"/>
      <c r="M14" s="107"/>
      <c r="N14" s="107"/>
      <c r="O14" s="107"/>
      <c r="P14" s="107"/>
    </row>
    <row r="15" spans="1:16">
      <c r="A15" s="108"/>
      <c r="B15" s="107">
        <v>3</v>
      </c>
      <c r="C15" s="107">
        <v>3</v>
      </c>
      <c r="D15" s="107"/>
      <c r="E15" s="107">
        <v>600</v>
      </c>
      <c r="F15" s="107">
        <v>2</v>
      </c>
      <c r="G15" s="107"/>
      <c r="H15" s="107" t="s">
        <v>1938</v>
      </c>
      <c r="I15" s="107">
        <v>2</v>
      </c>
      <c r="J15" s="107"/>
      <c r="K15" s="107"/>
      <c r="L15" s="107"/>
      <c r="M15" s="107"/>
      <c r="N15" s="107"/>
      <c r="O15" s="107"/>
      <c r="P15" s="107"/>
    </row>
    <row r="16" spans="1:16">
      <c r="A16" s="108"/>
      <c r="B16" s="107">
        <v>5</v>
      </c>
      <c r="C16" s="107">
        <v>3</v>
      </c>
      <c r="D16" s="107"/>
      <c r="E16" s="107">
        <v>800</v>
      </c>
      <c r="F16" s="107">
        <v>2</v>
      </c>
      <c r="G16" s="107"/>
      <c r="H16" s="107" t="s">
        <v>1939</v>
      </c>
      <c r="I16" s="107">
        <v>5</v>
      </c>
      <c r="J16" s="107"/>
      <c r="K16" s="107"/>
      <c r="L16" s="107"/>
      <c r="M16" s="107"/>
      <c r="N16" s="107"/>
      <c r="O16" s="107"/>
      <c r="P16" s="107"/>
    </row>
    <row r="17" spans="1:16">
      <c r="A17" s="108"/>
      <c r="B17" s="107">
        <v>8</v>
      </c>
      <c r="C17" s="107">
        <v>3</v>
      </c>
      <c r="D17" s="107"/>
      <c r="E17" s="107">
        <v>1000</v>
      </c>
      <c r="F17" s="107">
        <v>2</v>
      </c>
      <c r="G17" s="107"/>
      <c r="H17" s="107" t="s">
        <v>1940</v>
      </c>
      <c r="I17" s="107">
        <v>8</v>
      </c>
      <c r="J17" s="107"/>
      <c r="K17" s="107"/>
      <c r="L17" s="107"/>
      <c r="M17" s="107"/>
      <c r="N17" s="107"/>
      <c r="O17" s="107"/>
      <c r="P17" s="107"/>
    </row>
    <row r="18" spans="1:16">
      <c r="A18" s="108"/>
      <c r="B18" s="107">
        <v>10</v>
      </c>
      <c r="C18" s="107">
        <v>3</v>
      </c>
      <c r="D18" s="107"/>
      <c r="E18" s="107">
        <v>1200</v>
      </c>
      <c r="F18" s="107">
        <v>2</v>
      </c>
      <c r="G18" s="107"/>
      <c r="H18" s="107" t="s">
        <v>1941</v>
      </c>
      <c r="I18" s="107">
        <v>10</v>
      </c>
      <c r="J18" s="107"/>
      <c r="K18" s="107"/>
      <c r="L18" s="107"/>
      <c r="M18" s="107"/>
      <c r="N18" s="107"/>
      <c r="O18" s="107"/>
      <c r="P18" s="107"/>
    </row>
    <row r="19" spans="1:16">
      <c r="A19" s="108"/>
      <c r="B19" s="107">
        <v>12</v>
      </c>
      <c r="C19" s="107">
        <v>3</v>
      </c>
      <c r="D19" s="107"/>
      <c r="E19" s="107">
        <v>1400</v>
      </c>
      <c r="F19" s="107">
        <v>2</v>
      </c>
      <c r="G19" s="107"/>
      <c r="H19" s="107"/>
      <c r="I19" s="107"/>
      <c r="J19" s="107"/>
      <c r="K19" s="107"/>
      <c r="L19" s="107"/>
      <c r="M19" s="107"/>
      <c r="N19" s="107"/>
      <c r="O19" s="107"/>
      <c r="P19" s="107"/>
    </row>
    <row r="20" spans="1:16">
      <c r="A20" s="108"/>
      <c r="B20" s="107">
        <v>15</v>
      </c>
      <c r="C20" s="107">
        <v>3</v>
      </c>
      <c r="D20" s="107"/>
      <c r="E20" s="107">
        <v>1600</v>
      </c>
      <c r="F20" s="107">
        <v>2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</row>
    <row r="21" spans="1:16">
      <c r="A21" s="108"/>
      <c r="B21" s="107">
        <v>18</v>
      </c>
      <c r="C21" s="107">
        <v>3</v>
      </c>
      <c r="D21" s="107"/>
      <c r="E21" s="107">
        <v>1800</v>
      </c>
      <c r="F21" s="107">
        <v>2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</row>
    <row r="22" spans="1:16">
      <c r="A22" s="108"/>
      <c r="B22" s="107">
        <v>20</v>
      </c>
      <c r="C22" s="107">
        <v>3</v>
      </c>
      <c r="D22" s="107"/>
      <c r="E22" s="107">
        <v>2000</v>
      </c>
      <c r="F22" s="107">
        <v>2</v>
      </c>
      <c r="G22" s="107"/>
      <c r="H22" s="107"/>
      <c r="I22" s="107"/>
      <c r="J22" s="107"/>
      <c r="K22" s="107"/>
      <c r="L22" s="107"/>
      <c r="M22" s="107"/>
      <c r="N22" s="107"/>
      <c r="O22" s="107"/>
      <c r="P22" s="107"/>
    </row>
    <row r="23" spans="1:16">
      <c r="A23" s="108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</row>
    <row r="24" spans="1:16">
      <c r="A24" s="108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</row>
    <row r="25" spans="1:16">
      <c r="A25" s="108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</row>
    <row r="26" spans="1:16">
      <c r="A26" s="106" t="s">
        <v>1942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</row>
    <row r="27" spans="1:16">
      <c r="A27" s="108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</row>
    <row r="28" spans="1:16">
      <c r="A28" s="108"/>
      <c r="B28" s="107" t="s">
        <v>933</v>
      </c>
      <c r="C28" s="107" t="s">
        <v>919</v>
      </c>
      <c r="D28" s="107" t="s">
        <v>922</v>
      </c>
      <c r="E28" s="107" t="s">
        <v>1158</v>
      </c>
      <c r="F28" s="107" t="s">
        <v>1943</v>
      </c>
      <c r="G28" s="107"/>
      <c r="H28" s="107"/>
      <c r="I28" s="107"/>
      <c r="J28" s="107"/>
      <c r="K28" s="107"/>
      <c r="L28" s="107"/>
      <c r="M28" s="107"/>
      <c r="N28" s="107"/>
      <c r="O28" s="107"/>
      <c r="P28" s="107"/>
    </row>
    <row r="29" spans="1:16">
      <c r="A29" s="108"/>
      <c r="B29" s="110" t="s">
        <v>195</v>
      </c>
      <c r="C29" s="110">
        <v>500</v>
      </c>
      <c r="D29" s="107">
        <v>25</v>
      </c>
      <c r="E29" s="107">
        <v>2450</v>
      </c>
      <c r="F29" s="111">
        <v>12250</v>
      </c>
      <c r="G29" s="107"/>
      <c r="H29" s="107"/>
      <c r="I29" s="107"/>
      <c r="J29" s="107"/>
      <c r="K29" s="107"/>
      <c r="L29" s="107"/>
      <c r="M29" s="107"/>
      <c r="N29" s="107"/>
      <c r="O29" s="107"/>
      <c r="P29" s="107"/>
    </row>
    <row r="30" spans="1:16">
      <c r="A30" s="108"/>
      <c r="B30" s="110" t="s">
        <v>209</v>
      </c>
      <c r="C30" s="110">
        <v>20</v>
      </c>
      <c r="D30" s="107">
        <v>20</v>
      </c>
      <c r="E30" s="107">
        <v>2500</v>
      </c>
      <c r="F30" s="111">
        <v>500</v>
      </c>
      <c r="G30" s="107"/>
      <c r="H30" s="107"/>
      <c r="I30" s="107"/>
      <c r="J30" s="107"/>
      <c r="K30" s="107"/>
      <c r="L30" s="107"/>
      <c r="M30" s="107"/>
      <c r="N30" s="107"/>
      <c r="O30" s="107"/>
      <c r="P30" s="107"/>
    </row>
    <row r="31" spans="1:16">
      <c r="A31" s="108"/>
      <c r="B31" s="110" t="s">
        <v>1755</v>
      </c>
      <c r="C31" s="110">
        <v>10</v>
      </c>
      <c r="D31" s="107">
        <v>30</v>
      </c>
      <c r="E31" s="107">
        <v>2500</v>
      </c>
      <c r="F31" s="111">
        <v>250</v>
      </c>
      <c r="G31" s="107"/>
      <c r="H31" s="107"/>
      <c r="I31" s="107"/>
      <c r="J31" s="107"/>
      <c r="K31" s="107"/>
      <c r="L31" s="107"/>
      <c r="M31" s="107"/>
      <c r="N31" s="107"/>
      <c r="O31" s="107"/>
      <c r="P31" s="107"/>
    </row>
    <row r="32" spans="1:16">
      <c r="A32" s="108"/>
      <c r="B32" s="110" t="s">
        <v>237</v>
      </c>
      <c r="C32" s="110">
        <v>60</v>
      </c>
      <c r="D32" s="107">
        <v>19.8</v>
      </c>
      <c r="E32" s="107">
        <v>2000</v>
      </c>
      <c r="F32" s="111">
        <v>1200</v>
      </c>
      <c r="G32" s="107"/>
      <c r="H32" s="107"/>
      <c r="I32" s="107"/>
      <c r="J32" s="107"/>
      <c r="K32" s="107"/>
      <c r="L32" s="107"/>
      <c r="M32" s="107"/>
      <c r="N32" s="107"/>
      <c r="O32" s="107"/>
      <c r="P32" s="107"/>
    </row>
    <row r="33" spans="1:16">
      <c r="A33" s="108"/>
      <c r="B33" s="110" t="s">
        <v>924</v>
      </c>
      <c r="C33" s="110">
        <v>1</v>
      </c>
      <c r="D33" s="107">
        <v>30</v>
      </c>
      <c r="E33" s="107">
        <v>500</v>
      </c>
      <c r="F33" s="111">
        <v>5</v>
      </c>
      <c r="G33" s="107"/>
      <c r="H33" s="107"/>
      <c r="I33" s="107"/>
      <c r="J33" s="107"/>
      <c r="K33" s="107"/>
      <c r="L33" s="107"/>
      <c r="M33" s="107"/>
      <c r="N33" s="107"/>
      <c r="O33" s="107"/>
      <c r="P33" s="107"/>
    </row>
    <row r="34" spans="1:16">
      <c r="A34" s="108"/>
      <c r="B34" s="107" t="s">
        <v>925</v>
      </c>
      <c r="C34" s="110">
        <v>1</v>
      </c>
      <c r="D34" s="107">
        <v>50</v>
      </c>
      <c r="E34" s="107">
        <v>200</v>
      </c>
      <c r="F34" s="111"/>
      <c r="G34" s="107"/>
      <c r="H34" s="107"/>
      <c r="I34" s="107"/>
      <c r="J34" s="107"/>
      <c r="K34" s="107"/>
      <c r="L34" s="107"/>
      <c r="M34" s="107"/>
      <c r="N34" s="107"/>
      <c r="O34" s="107"/>
      <c r="P34" s="107"/>
    </row>
    <row r="35" spans="1:16">
      <c r="A35" s="108"/>
      <c r="B35" s="107" t="s">
        <v>1944</v>
      </c>
      <c r="C35" s="107">
        <v>1</v>
      </c>
      <c r="D35" s="107">
        <v>2000</v>
      </c>
      <c r="E35" s="107">
        <v>50</v>
      </c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</row>
    <row r="36" spans="1:16">
      <c r="A36" s="108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</row>
    <row r="37" spans="1:16">
      <c r="A37" s="108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</row>
    <row r="39" spans="1:16">
      <c r="A39" s="108" t="s">
        <v>1209</v>
      </c>
      <c r="B39" s="107"/>
      <c r="C39" s="107"/>
      <c r="D39" s="107"/>
    </row>
    <row r="40" spans="1:16">
      <c r="A40" s="108"/>
      <c r="B40" s="107"/>
      <c r="C40" s="107"/>
      <c r="D40" s="107"/>
    </row>
    <row r="41" spans="1:16">
      <c r="A41" s="108"/>
      <c r="B41" s="107" t="s">
        <v>1945</v>
      </c>
      <c r="C41" s="107" t="s">
        <v>933</v>
      </c>
      <c r="D41" s="107" t="s">
        <v>919</v>
      </c>
    </row>
    <row r="42" spans="1:16">
      <c r="A42" s="108"/>
      <c r="B42" s="107">
        <v>1</v>
      </c>
      <c r="C42" s="107" t="s">
        <v>310</v>
      </c>
      <c r="D42" s="107">
        <v>6</v>
      </c>
    </row>
    <row r="43" spans="1:16">
      <c r="A43" s="108"/>
      <c r="B43" s="107">
        <v>2</v>
      </c>
      <c r="C43" s="107" t="s">
        <v>188</v>
      </c>
      <c r="D43" s="107">
        <v>288</v>
      </c>
    </row>
    <row r="44" spans="1:16">
      <c r="A44" s="108"/>
      <c r="B44" s="107">
        <v>3</v>
      </c>
      <c r="C44" s="107" t="s">
        <v>1946</v>
      </c>
      <c r="D44" s="107">
        <v>1</v>
      </c>
    </row>
    <row r="45" spans="1:16">
      <c r="A45" s="108"/>
      <c r="B45" s="107">
        <v>4</v>
      </c>
      <c r="C45" s="107" t="s">
        <v>265</v>
      </c>
      <c r="D45" s="107">
        <v>12</v>
      </c>
    </row>
    <row r="46" spans="1:16">
      <c r="A46" s="108"/>
      <c r="B46" s="107">
        <v>5</v>
      </c>
      <c r="C46" s="107" t="s">
        <v>310</v>
      </c>
      <c r="D46" s="107">
        <v>6</v>
      </c>
    </row>
    <row r="47" spans="1:16">
      <c r="A47" s="108"/>
      <c r="B47" s="107">
        <v>6</v>
      </c>
      <c r="C47" s="107" t="s">
        <v>261</v>
      </c>
      <c r="D47" s="107">
        <v>2</v>
      </c>
    </row>
    <row r="48" spans="1:16">
      <c r="A48" s="108"/>
      <c r="B48" s="107">
        <v>7</v>
      </c>
      <c r="C48" s="107" t="s">
        <v>1947</v>
      </c>
      <c r="D48" s="107">
        <v>1</v>
      </c>
    </row>
    <row r="52" ht="16.5" spans="1:17">
      <c r="A52" s="112"/>
      <c r="B52" s="19" t="s">
        <v>1916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</row>
    <row r="53" ht="33" spans="1:17">
      <c r="A53" s="114"/>
      <c r="B53" s="113"/>
      <c r="C53" s="115"/>
      <c r="D53" s="115"/>
      <c r="E53" s="115"/>
      <c r="F53" s="115"/>
      <c r="G53" s="116" t="s">
        <v>1948</v>
      </c>
      <c r="H53" s="116" t="s">
        <v>1826</v>
      </c>
      <c r="I53" s="116" t="s">
        <v>1949</v>
      </c>
      <c r="J53" s="116" t="s">
        <v>1948</v>
      </c>
      <c r="K53" s="115"/>
      <c r="L53" s="115"/>
      <c r="M53" s="115"/>
      <c r="N53" s="113"/>
      <c r="O53" s="113"/>
      <c r="P53" s="113"/>
      <c r="Q53" s="113"/>
    </row>
    <row r="54" ht="33" spans="1:17">
      <c r="A54" s="114"/>
      <c r="B54" s="113"/>
      <c r="C54" s="115"/>
      <c r="D54" s="115"/>
      <c r="E54" s="115"/>
      <c r="F54" s="115"/>
      <c r="G54" s="116" t="s">
        <v>1949</v>
      </c>
      <c r="H54" s="115"/>
      <c r="I54" s="115"/>
      <c r="J54" s="116" t="s">
        <v>1949</v>
      </c>
      <c r="K54" s="115"/>
      <c r="L54" s="115"/>
      <c r="M54" s="115"/>
      <c r="N54" s="113"/>
      <c r="O54" s="113"/>
      <c r="P54" s="113"/>
      <c r="Q54" s="113"/>
    </row>
    <row r="55" ht="33" spans="1:17">
      <c r="A55" s="114"/>
      <c r="B55" s="113"/>
      <c r="C55" s="116" t="s">
        <v>1949</v>
      </c>
      <c r="D55" s="116" t="s">
        <v>1950</v>
      </c>
      <c r="E55" s="116" t="s">
        <v>1951</v>
      </c>
      <c r="F55" s="116" t="s">
        <v>1948</v>
      </c>
      <c r="G55" s="116" t="s">
        <v>1952</v>
      </c>
      <c r="H55" s="115"/>
      <c r="I55" s="115"/>
      <c r="J55" s="116" t="s">
        <v>1953</v>
      </c>
      <c r="K55" s="116" t="s">
        <v>1826</v>
      </c>
      <c r="L55" s="116" t="s">
        <v>1949</v>
      </c>
      <c r="M55" s="116" t="s">
        <v>1948</v>
      </c>
      <c r="N55" s="113"/>
      <c r="O55" s="113"/>
      <c r="P55" s="113"/>
      <c r="Q55" s="113"/>
    </row>
    <row r="56" ht="16.5" spans="1:17">
      <c r="A56" s="114"/>
      <c r="B56" s="113"/>
      <c r="C56" s="116" t="s">
        <v>1952</v>
      </c>
      <c r="D56" s="115"/>
      <c r="E56" s="117" t="s">
        <v>1954</v>
      </c>
      <c r="F56" s="115"/>
      <c r="G56" s="118"/>
      <c r="H56" s="115"/>
      <c r="I56" s="115"/>
      <c r="J56" s="115" t="s">
        <v>1955</v>
      </c>
      <c r="K56" s="115"/>
      <c r="L56" s="115"/>
      <c r="M56" s="116" t="s">
        <v>1952</v>
      </c>
      <c r="N56" s="113"/>
      <c r="O56" s="113"/>
      <c r="P56" s="113"/>
      <c r="Q56" s="113"/>
    </row>
    <row r="57" ht="33" spans="1:17">
      <c r="A57" s="114"/>
      <c r="B57" s="113"/>
      <c r="C57" s="116" t="s">
        <v>1949</v>
      </c>
      <c r="D57" s="115"/>
      <c r="E57" s="117" t="s">
        <v>1954</v>
      </c>
      <c r="F57" s="115"/>
      <c r="G57" s="118"/>
      <c r="H57" s="115"/>
      <c r="I57" s="115"/>
      <c r="J57" s="115"/>
      <c r="K57" s="115"/>
      <c r="L57" s="115"/>
      <c r="M57" s="116" t="s">
        <v>1949</v>
      </c>
      <c r="N57" s="113"/>
      <c r="O57" s="113"/>
      <c r="P57" s="113"/>
      <c r="Q57" s="113"/>
    </row>
    <row r="58" ht="33" spans="1:17">
      <c r="A58" s="114"/>
      <c r="B58" s="113"/>
      <c r="C58" s="116" t="s">
        <v>1948</v>
      </c>
      <c r="D58" s="115"/>
      <c r="E58" s="117" t="s">
        <v>1954</v>
      </c>
      <c r="F58" s="115"/>
      <c r="G58" s="118"/>
      <c r="H58" s="115"/>
      <c r="I58" s="115"/>
      <c r="J58" s="115"/>
      <c r="K58" s="115"/>
      <c r="L58" s="115"/>
      <c r="M58" s="116" t="s">
        <v>1826</v>
      </c>
      <c r="N58" s="113"/>
      <c r="O58" s="113"/>
      <c r="P58" s="113"/>
      <c r="Q58" s="113"/>
    </row>
    <row r="59" ht="33" spans="1:17">
      <c r="A59" s="114"/>
      <c r="B59" s="113"/>
      <c r="C59" s="116" t="s">
        <v>1949</v>
      </c>
      <c r="D59" s="116" t="s">
        <v>1826</v>
      </c>
      <c r="E59" s="116" t="s">
        <v>1956</v>
      </c>
      <c r="F59" s="119"/>
      <c r="G59" s="119"/>
      <c r="H59" s="119"/>
      <c r="I59" s="119"/>
      <c r="J59" s="119"/>
      <c r="K59" s="119"/>
      <c r="L59" s="119"/>
      <c r="M59" s="116" t="s">
        <v>1950</v>
      </c>
      <c r="N59" s="113"/>
      <c r="O59" s="113"/>
      <c r="P59" s="113"/>
      <c r="Q59" s="113"/>
    </row>
    <row r="60" ht="33" spans="1:17">
      <c r="A60" s="114"/>
      <c r="B60" s="113"/>
      <c r="C60" s="119"/>
      <c r="D60" s="119"/>
      <c r="E60" s="116" t="s">
        <v>1952</v>
      </c>
      <c r="F60" s="119"/>
      <c r="G60" s="119"/>
      <c r="H60" s="119"/>
      <c r="I60" s="119"/>
      <c r="J60" s="119"/>
      <c r="K60" s="119"/>
      <c r="L60" s="119"/>
      <c r="M60" s="116" t="s">
        <v>1949</v>
      </c>
      <c r="N60" s="113"/>
      <c r="O60" s="113"/>
      <c r="P60" s="113"/>
      <c r="Q60" s="113"/>
    </row>
    <row r="61" ht="33" spans="1:17">
      <c r="A61" s="114"/>
      <c r="B61" s="113"/>
      <c r="C61" s="119"/>
      <c r="D61" s="119"/>
      <c r="E61" s="116" t="s">
        <v>1948</v>
      </c>
      <c r="F61" s="119"/>
      <c r="G61" s="119"/>
      <c r="H61" s="119"/>
      <c r="I61" s="119"/>
      <c r="J61" s="119"/>
      <c r="K61" s="119"/>
      <c r="L61" s="115" t="s">
        <v>1955</v>
      </c>
      <c r="M61" s="116" t="s">
        <v>1957</v>
      </c>
      <c r="N61" s="113"/>
      <c r="O61" s="113"/>
      <c r="P61" s="113"/>
      <c r="Q61" s="113"/>
    </row>
    <row r="62" ht="33" spans="1:17">
      <c r="A62" s="114"/>
      <c r="B62" s="113"/>
      <c r="C62" s="119"/>
      <c r="D62" s="119"/>
      <c r="E62" s="116" t="s">
        <v>1949</v>
      </c>
      <c r="F62" s="119"/>
      <c r="G62" s="119"/>
      <c r="H62" s="119"/>
      <c r="I62" s="119"/>
      <c r="J62" s="119"/>
      <c r="K62" s="119"/>
      <c r="L62" s="119"/>
      <c r="M62" s="116" t="s">
        <v>1952</v>
      </c>
      <c r="N62" s="113"/>
      <c r="O62" s="113"/>
      <c r="P62" s="113"/>
      <c r="Q62" s="113"/>
    </row>
    <row r="63" ht="33" spans="1:17">
      <c r="A63" s="114"/>
      <c r="B63" s="113"/>
      <c r="C63" s="119"/>
      <c r="D63" s="119"/>
      <c r="E63" s="116" t="s">
        <v>1950</v>
      </c>
      <c r="F63" s="119"/>
      <c r="G63" s="119"/>
      <c r="H63" s="119"/>
      <c r="I63" s="119"/>
      <c r="J63" s="119"/>
      <c r="K63" s="119"/>
      <c r="L63" s="119"/>
      <c r="M63" s="116" t="s">
        <v>1949</v>
      </c>
      <c r="N63" s="113"/>
      <c r="O63" s="113"/>
      <c r="P63" s="113"/>
      <c r="Q63" s="113"/>
    </row>
    <row r="64" ht="33" spans="1:17">
      <c r="A64" s="114"/>
      <c r="B64" s="113"/>
      <c r="C64" s="119"/>
      <c r="D64" s="119"/>
      <c r="E64" s="116" t="s">
        <v>1826</v>
      </c>
      <c r="F64" s="116" t="s">
        <v>1949</v>
      </c>
      <c r="G64" s="116" t="s">
        <v>1948</v>
      </c>
      <c r="H64" s="116" t="s">
        <v>1952</v>
      </c>
      <c r="I64" s="116" t="s">
        <v>1826</v>
      </c>
      <c r="J64" s="116" t="s">
        <v>1949</v>
      </c>
      <c r="K64" s="116" t="s">
        <v>1948</v>
      </c>
      <c r="L64" s="116" t="s">
        <v>1949</v>
      </c>
      <c r="M64" s="116" t="s">
        <v>1825</v>
      </c>
      <c r="N64" s="113"/>
      <c r="O64" s="113"/>
      <c r="P64" s="113"/>
      <c r="Q64" s="113"/>
    </row>
    <row r="65" ht="16.5" spans="1:17">
      <c r="A65" s="114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</row>
    <row r="66" ht="16.5" spans="1:17">
      <c r="A66" s="114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</row>
    <row r="67" ht="16.5" spans="1:17">
      <c r="A67" s="114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</row>
    <row r="68" ht="16.5" spans="1:17">
      <c r="A68" s="114"/>
      <c r="B68" s="113"/>
      <c r="C68" s="120" t="s">
        <v>1958</v>
      </c>
      <c r="D68" s="120" t="s">
        <v>1959</v>
      </c>
      <c r="E68" s="120" t="s">
        <v>1960</v>
      </c>
      <c r="F68" s="120" t="s">
        <v>1961</v>
      </c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</row>
    <row r="69" ht="16.5" spans="1:17">
      <c r="A69" s="114"/>
      <c r="B69" s="113"/>
      <c r="C69" s="107">
        <v>1</v>
      </c>
      <c r="D69" s="107" t="s">
        <v>1825</v>
      </c>
      <c r="E69" s="107" t="s">
        <v>1825</v>
      </c>
      <c r="F69" s="121">
        <v>1000</v>
      </c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</row>
    <row r="70" ht="16.5" spans="1:17">
      <c r="A70" s="114"/>
      <c r="B70" s="113"/>
      <c r="C70" s="107">
        <v>2</v>
      </c>
      <c r="D70" s="107" t="s">
        <v>1949</v>
      </c>
      <c r="E70" s="107" t="s">
        <v>1760</v>
      </c>
      <c r="F70" s="121">
        <v>1000</v>
      </c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</row>
    <row r="71" ht="16.5" spans="1:17">
      <c r="A71" s="114"/>
      <c r="B71" s="113"/>
      <c r="C71" s="107">
        <v>3</v>
      </c>
      <c r="D71" s="107" t="s">
        <v>1948</v>
      </c>
      <c r="E71" s="107" t="s">
        <v>1761</v>
      </c>
      <c r="F71" s="121">
        <v>1000</v>
      </c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</row>
    <row r="72" ht="16.5" spans="1:17">
      <c r="A72" s="114"/>
      <c r="B72" s="113"/>
      <c r="C72" s="107">
        <v>4</v>
      </c>
      <c r="D72" s="107" t="s">
        <v>1949</v>
      </c>
      <c r="E72" s="107" t="s">
        <v>1760</v>
      </c>
      <c r="F72" s="121">
        <v>1000</v>
      </c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</row>
    <row r="73" ht="16.5" spans="1:17">
      <c r="A73" s="114"/>
      <c r="B73" s="113"/>
      <c r="C73" s="107">
        <v>5</v>
      </c>
      <c r="D73" s="107" t="s">
        <v>1949</v>
      </c>
      <c r="E73" s="107" t="s">
        <v>1760</v>
      </c>
      <c r="F73" s="121">
        <v>1000</v>
      </c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</row>
    <row r="74" ht="16.5" spans="1:17">
      <c r="A74" s="114"/>
      <c r="B74" s="113"/>
      <c r="C74" s="107">
        <v>6</v>
      </c>
      <c r="D74" s="107" t="s">
        <v>1952</v>
      </c>
      <c r="E74" s="107" t="s">
        <v>1759</v>
      </c>
      <c r="F74" s="121">
        <v>1000</v>
      </c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</row>
    <row r="75" ht="16.5" spans="1:17">
      <c r="A75" s="114"/>
      <c r="B75" s="113"/>
      <c r="C75" s="107">
        <v>7</v>
      </c>
      <c r="D75" s="107" t="s">
        <v>1948</v>
      </c>
      <c r="E75" s="107" t="str">
        <f>_xlfn.XLOOKUP(D75,$D$19:D74,$E$19:E74)</f>
        <v>高级增益</v>
      </c>
      <c r="F75" s="121">
        <v>1000</v>
      </c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</row>
    <row r="76" ht="16.5" spans="1:17">
      <c r="A76" s="114"/>
      <c r="B76" s="113"/>
      <c r="C76" s="107">
        <v>8</v>
      </c>
      <c r="D76" s="107" t="s">
        <v>1949</v>
      </c>
      <c r="E76" s="107" t="str">
        <f>_xlfn.XLOOKUP(D76,$D$19:D75,$E$19:E75)</f>
        <v>普通增益</v>
      </c>
      <c r="F76" s="121">
        <v>1000</v>
      </c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</row>
    <row r="77" ht="16.5" spans="1:17">
      <c r="A77" s="114"/>
      <c r="B77" s="113"/>
      <c r="C77" s="107">
        <v>9</v>
      </c>
      <c r="D77" s="107" t="s">
        <v>1949</v>
      </c>
      <c r="E77" s="107" t="s">
        <v>1760</v>
      </c>
      <c r="F77" s="121">
        <v>1000</v>
      </c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</row>
    <row r="78" ht="16.5" spans="1:17">
      <c r="A78" s="114"/>
      <c r="B78" s="113"/>
      <c r="C78" s="107">
        <v>10</v>
      </c>
      <c r="D78" s="107" t="s">
        <v>1950</v>
      </c>
      <c r="E78" s="107" t="s">
        <v>1757</v>
      </c>
      <c r="F78" s="121">
        <v>1000</v>
      </c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</row>
    <row r="79" ht="16.5" spans="1:17">
      <c r="A79" s="114"/>
      <c r="B79" s="113"/>
      <c r="C79" s="107">
        <v>11</v>
      </c>
      <c r="D79" s="107" t="s">
        <v>1949</v>
      </c>
      <c r="E79" s="107" t="str">
        <f>_xlfn.XLOOKUP(D79,$D$19:D78,$E$19:E78)</f>
        <v>普通增益</v>
      </c>
      <c r="F79" s="121">
        <v>1000</v>
      </c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</row>
    <row r="80" ht="16.5" spans="1:17">
      <c r="A80" s="114"/>
      <c r="B80" s="113"/>
      <c r="C80" s="107">
        <v>12</v>
      </c>
      <c r="D80" s="107" t="s">
        <v>1948</v>
      </c>
      <c r="E80" s="107" t="str">
        <f>_xlfn.XLOOKUP(D80,$D$19:D79,$E$19:E79)</f>
        <v>高级增益</v>
      </c>
      <c r="F80" s="121">
        <v>1000</v>
      </c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</row>
    <row r="81" ht="16.5" spans="1:17">
      <c r="A81" s="114"/>
      <c r="B81" s="113"/>
      <c r="C81" s="107">
        <v>13</v>
      </c>
      <c r="D81" s="107" t="s">
        <v>1952</v>
      </c>
      <c r="E81" s="107" t="str">
        <f>_xlfn.XLOOKUP(D81,$D$19:D80,$E$19:E80)</f>
        <v>挑战事件</v>
      </c>
      <c r="F81" s="121">
        <v>1000</v>
      </c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</row>
    <row r="82" ht="16.5" spans="1:17">
      <c r="A82" s="114"/>
      <c r="B82" s="113"/>
      <c r="C82" s="107">
        <v>14</v>
      </c>
      <c r="D82" s="107" t="s">
        <v>1956</v>
      </c>
      <c r="E82" s="107" t="s">
        <v>1762</v>
      </c>
      <c r="F82" s="121">
        <v>500</v>
      </c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</row>
    <row r="83" ht="16.5" spans="1:17">
      <c r="A83" s="114"/>
      <c r="B83" s="113"/>
      <c r="C83" s="107">
        <v>15</v>
      </c>
      <c r="D83" s="107" t="s">
        <v>1949</v>
      </c>
      <c r="E83" s="107" t="s">
        <v>1760</v>
      </c>
      <c r="F83" s="121">
        <v>1000</v>
      </c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</row>
    <row r="84" ht="16.5" spans="1:17">
      <c r="A84" s="114"/>
      <c r="B84" s="113"/>
      <c r="C84" s="107">
        <v>16</v>
      </c>
      <c r="D84" s="107" t="s">
        <v>1949</v>
      </c>
      <c r="E84" s="107" t="str">
        <f>_xlfn.XLOOKUP(D84,$D$19:D83,$E$19:E83)</f>
        <v>普通增益</v>
      </c>
      <c r="F84" s="121">
        <v>1000</v>
      </c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</row>
    <row r="85" ht="16.5" spans="1:17">
      <c r="A85" s="114"/>
      <c r="B85" s="113"/>
      <c r="C85" s="107">
        <v>17</v>
      </c>
      <c r="D85" s="107" t="s">
        <v>1948</v>
      </c>
      <c r="E85" s="107" t="str">
        <f>_xlfn.XLOOKUP(D85,$D$19:D84,$E$19:E84)</f>
        <v>高级增益</v>
      </c>
      <c r="F85" s="121">
        <v>1000</v>
      </c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</row>
    <row r="86" ht="16.5" spans="1:17">
      <c r="A86" s="114"/>
      <c r="B86" s="113"/>
      <c r="C86" s="107">
        <v>18</v>
      </c>
      <c r="D86" s="107" t="s">
        <v>1949</v>
      </c>
      <c r="E86" s="107" t="str">
        <f>_xlfn.XLOOKUP(D86,$D$19:D85,$E$19:E85)</f>
        <v>普通增益</v>
      </c>
      <c r="F86" s="121">
        <v>1000</v>
      </c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</row>
    <row r="87" ht="16.5" spans="1:17">
      <c r="A87" s="114"/>
      <c r="B87" s="113"/>
      <c r="C87" s="107">
        <v>19</v>
      </c>
      <c r="D87" s="107" t="s">
        <v>1952</v>
      </c>
      <c r="E87" s="107" t="str">
        <f>_xlfn.XLOOKUP(D87,$D$19:D86,$E$19:E86)</f>
        <v>挑战事件</v>
      </c>
      <c r="F87" s="121">
        <v>1000</v>
      </c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</row>
    <row r="88" ht="16.5" spans="1:17">
      <c r="A88" s="114"/>
      <c r="B88" s="113"/>
      <c r="C88" s="107">
        <v>20</v>
      </c>
      <c r="D88" s="107" t="s">
        <v>1949</v>
      </c>
      <c r="E88" s="107" t="str">
        <f>_xlfn.XLOOKUP(D88,$D$19:D87,$E$19:E87)</f>
        <v>普通增益</v>
      </c>
      <c r="F88" s="121">
        <v>1000</v>
      </c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</row>
    <row r="89" ht="16.5" spans="1:17">
      <c r="A89" s="114"/>
      <c r="B89" s="113"/>
      <c r="C89" s="107">
        <v>21</v>
      </c>
      <c r="D89" s="107" t="s">
        <v>1950</v>
      </c>
      <c r="E89" s="107" t="str">
        <f>_xlfn.XLOOKUP(D89,$D$19:D88,$E$19:E88)</f>
        <v>秘境出口1</v>
      </c>
      <c r="F89" s="121">
        <v>1000</v>
      </c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</row>
    <row r="90" ht="16.5" spans="1:17">
      <c r="A90" s="114"/>
      <c r="B90" s="113"/>
      <c r="C90" s="107">
        <v>22</v>
      </c>
      <c r="D90" s="107" t="s">
        <v>1951</v>
      </c>
      <c r="E90" s="107" t="s">
        <v>1760</v>
      </c>
      <c r="F90" s="121">
        <v>1000</v>
      </c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</row>
    <row r="91" ht="16.5" spans="1:17">
      <c r="A91" s="114"/>
      <c r="B91" s="113"/>
      <c r="C91" s="107">
        <v>23</v>
      </c>
      <c r="D91" s="107" t="s">
        <v>1948</v>
      </c>
      <c r="E91" s="107" t="str">
        <f>_xlfn.XLOOKUP(D91,$D$19:D90,$E$19:E90)</f>
        <v>高级增益</v>
      </c>
      <c r="F91" s="121">
        <v>1000</v>
      </c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</row>
    <row r="92" ht="16.5" spans="1:17">
      <c r="A92" s="114"/>
      <c r="B92" s="113"/>
      <c r="C92" s="107">
        <v>24</v>
      </c>
      <c r="D92" s="107" t="s">
        <v>1952</v>
      </c>
      <c r="E92" s="107" t="str">
        <f>_xlfn.XLOOKUP(D92,$D$19:D91,$E$19:E91)</f>
        <v>挑战事件</v>
      </c>
      <c r="F92" s="121">
        <v>1000</v>
      </c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</row>
    <row r="93" ht="16.5" spans="1:17">
      <c r="A93" s="114"/>
      <c r="B93" s="113"/>
      <c r="C93" s="107">
        <v>25</v>
      </c>
      <c r="D93" s="107" t="s">
        <v>1949</v>
      </c>
      <c r="E93" s="107" t="str">
        <f>_xlfn.XLOOKUP(D93,$D$19:D92,$E$19:E92)</f>
        <v>普通增益</v>
      </c>
      <c r="F93" s="121">
        <v>1000</v>
      </c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</row>
    <row r="94" ht="16.5" spans="1:17">
      <c r="A94" s="114"/>
      <c r="B94" s="113"/>
      <c r="C94" s="107">
        <v>26</v>
      </c>
      <c r="D94" s="107" t="s">
        <v>1948</v>
      </c>
      <c r="E94" s="107" t="str">
        <f>_xlfn.XLOOKUP(D94,$D$19:D93,$E$19:E93)</f>
        <v>高级增益</v>
      </c>
      <c r="F94" s="121">
        <v>1000</v>
      </c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</row>
    <row r="95" ht="16.5" spans="1:17">
      <c r="A95" s="114"/>
      <c r="B95" s="113"/>
      <c r="C95" s="107">
        <v>27</v>
      </c>
      <c r="D95" s="107" t="s">
        <v>1949</v>
      </c>
      <c r="E95" s="107" t="s">
        <v>1760</v>
      </c>
      <c r="F95" s="121">
        <v>1000</v>
      </c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</row>
    <row r="96" ht="16.5" spans="1:17">
      <c r="A96" s="114"/>
      <c r="B96" s="113"/>
      <c r="C96" s="107">
        <v>28</v>
      </c>
      <c r="D96" s="107" t="s">
        <v>1949</v>
      </c>
      <c r="E96" s="107" t="str">
        <f>_xlfn.XLOOKUP(D96,$D$19:D95,$E$19:E95)</f>
        <v>普通增益</v>
      </c>
      <c r="F96" s="121">
        <v>1000</v>
      </c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</row>
    <row r="97" ht="16.5" spans="1:17">
      <c r="A97" s="114"/>
      <c r="B97" s="113"/>
      <c r="C97" s="107">
        <v>29</v>
      </c>
      <c r="D97" s="107" t="s">
        <v>1948</v>
      </c>
      <c r="E97" s="107" t="str">
        <f>_xlfn.XLOOKUP(D97,$D$19:D96,$E$19:E96)</f>
        <v>高级增益</v>
      </c>
      <c r="F97" s="121">
        <v>1000</v>
      </c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</row>
    <row r="98" ht="16.5" spans="1:17">
      <c r="A98" s="114"/>
      <c r="B98" s="113"/>
      <c r="C98" s="107">
        <v>30</v>
      </c>
      <c r="D98" s="107" t="s">
        <v>1949</v>
      </c>
      <c r="E98" s="107" t="str">
        <f>_xlfn.XLOOKUP(D98,$D$19:D97,$E$19:E97)</f>
        <v>普通增益</v>
      </c>
      <c r="F98" s="121">
        <v>1000</v>
      </c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</row>
    <row r="99" ht="16.5" spans="1:17">
      <c r="A99" s="114"/>
      <c r="B99" s="113"/>
      <c r="C99" s="107">
        <v>31</v>
      </c>
      <c r="D99" s="107" t="s">
        <v>1953</v>
      </c>
      <c r="E99" s="107" t="s">
        <v>1758</v>
      </c>
      <c r="F99" s="121">
        <v>1000</v>
      </c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</row>
    <row r="100" ht="16.5" spans="1:17">
      <c r="A100" s="114"/>
      <c r="B100" s="113"/>
      <c r="C100" s="107">
        <v>32</v>
      </c>
      <c r="D100" s="107" t="s">
        <v>1949</v>
      </c>
      <c r="E100" s="107" t="str">
        <f>_xlfn.XLOOKUP(D100,$D$19:D99,$E$19:E99)</f>
        <v>普通增益</v>
      </c>
      <c r="F100" s="121">
        <v>1000</v>
      </c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</row>
    <row r="101" ht="16.5" spans="1:17">
      <c r="A101" s="114"/>
      <c r="B101" s="113"/>
      <c r="C101" s="107">
        <v>33</v>
      </c>
      <c r="D101" s="107" t="s">
        <v>1948</v>
      </c>
      <c r="E101" s="107" t="str">
        <f>_xlfn.XLOOKUP(D101,$D$19:D100,$E$19:E100)</f>
        <v>高级增益</v>
      </c>
      <c r="F101" s="121">
        <v>1000</v>
      </c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</row>
    <row r="102" ht="16.5" spans="1:17">
      <c r="A102" s="114"/>
      <c r="B102" s="113"/>
      <c r="C102" s="107">
        <v>34</v>
      </c>
      <c r="D102" s="107" t="s">
        <v>1952</v>
      </c>
      <c r="E102" s="107" t="str">
        <f>_xlfn.XLOOKUP(D102,$D$19:D101,$E$19:E101)</f>
        <v>挑战事件</v>
      </c>
      <c r="F102" s="121">
        <v>1000</v>
      </c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</row>
    <row r="103" ht="16.5" spans="1:17">
      <c r="A103" s="114"/>
      <c r="B103" s="113"/>
      <c r="C103" s="107">
        <v>35</v>
      </c>
      <c r="D103" s="107" t="s">
        <v>1949</v>
      </c>
      <c r="E103" s="107" t="str">
        <f>_xlfn.XLOOKUP(D103,$D$19:D102,$E$19:E102)</f>
        <v>普通增益</v>
      </c>
      <c r="F103" s="121">
        <v>1000</v>
      </c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</row>
    <row r="104" ht="16.5" spans="1:17">
      <c r="A104" s="114"/>
      <c r="B104" s="113"/>
      <c r="C104" s="107">
        <v>36</v>
      </c>
      <c r="D104" s="107" t="s">
        <v>1950</v>
      </c>
      <c r="E104" s="107" t="str">
        <f>_xlfn.XLOOKUP(D104,$D$19:D103,$E$19:E103)</f>
        <v>秘境出口1</v>
      </c>
      <c r="F104" s="121">
        <v>1000</v>
      </c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</row>
    <row r="105" ht="16.5" spans="1:17">
      <c r="A105" s="114"/>
      <c r="B105" s="113"/>
      <c r="C105" s="107">
        <v>37</v>
      </c>
      <c r="D105" s="107" t="s">
        <v>1949</v>
      </c>
      <c r="E105" s="107" t="str">
        <f>_xlfn.XLOOKUP(D105,$D$19:D104,$E$19:E104)</f>
        <v>普通增益</v>
      </c>
      <c r="F105" s="121">
        <v>1000</v>
      </c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</row>
    <row r="106" ht="16.5" spans="1:17">
      <c r="A106" s="114"/>
      <c r="B106" s="113"/>
      <c r="C106" s="107">
        <v>38</v>
      </c>
      <c r="D106" s="107" t="s">
        <v>1957</v>
      </c>
      <c r="E106" s="107" t="s">
        <v>1758</v>
      </c>
      <c r="F106" s="121">
        <v>1000</v>
      </c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</row>
    <row r="107" ht="16.5" spans="1:17">
      <c r="A107" s="114"/>
      <c r="B107" s="113"/>
      <c r="C107" s="107">
        <v>39</v>
      </c>
      <c r="D107" s="107" t="s">
        <v>1952</v>
      </c>
      <c r="E107" s="107" t="str">
        <f>_xlfn.XLOOKUP(D107,$D$19:D106,$E$19:E106)</f>
        <v>挑战事件</v>
      </c>
      <c r="F107" s="121">
        <v>1000</v>
      </c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</row>
    <row r="108" ht="16.5" spans="1:17">
      <c r="A108" s="114"/>
      <c r="B108" s="113"/>
      <c r="C108" s="107">
        <v>40</v>
      </c>
      <c r="D108" s="107" t="s">
        <v>1949</v>
      </c>
      <c r="E108" s="107" t="str">
        <f>_xlfn.XLOOKUP(D108,$D$19:D107,$E$19:E107)</f>
        <v>普通增益</v>
      </c>
      <c r="F108" s="121">
        <v>1000</v>
      </c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</row>
  </sheetData>
  <pageMargins left="0.75" right="0.75" top="1" bottom="1" header="0.5" footer="0.5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8" tint="0.8"/>
  </sheetPr>
  <dimension ref="A1:U136"/>
  <sheetViews>
    <sheetView zoomScale="115" zoomScaleNormal="115" topLeftCell="A34" workbookViewId="0">
      <selection activeCell="J45" sqref="J45:M45"/>
    </sheetView>
  </sheetViews>
  <sheetFormatPr defaultColWidth="9" defaultRowHeight="13.5"/>
  <cols>
    <col min="1" max="1" width="10.3166666666667" style="16" customWidth="1"/>
    <col min="2" max="2" width="2.625" style="16" customWidth="1"/>
    <col min="3" max="3" width="2.625" style="31" customWidth="1"/>
    <col min="4" max="4" width="19.8833333333333" style="16" customWidth="1"/>
    <col min="5" max="5" width="9" style="16"/>
    <col min="6" max="6" width="13.6916666666667" style="16" customWidth="1"/>
    <col min="7" max="7" width="11.0833333333333" style="16" customWidth="1"/>
    <col min="8" max="8" width="10.7583333333333" style="16" customWidth="1"/>
    <col min="9" max="9" width="13" style="16" customWidth="1"/>
    <col min="10" max="11" width="9" style="16"/>
    <col min="12" max="12" width="9" style="16" customWidth="1"/>
    <col min="13" max="15" width="9" style="16"/>
    <col min="16" max="16" width="11.7333333333333" style="16" customWidth="1"/>
    <col min="17" max="17" width="9" style="16"/>
    <col min="18" max="20" width="12.625" style="16"/>
    <col min="21" max="16384" width="9" style="16"/>
  </cols>
  <sheetData>
    <row r="1" ht="16.5" spans="2:15">
      <c r="B1" s="18"/>
      <c r="C1" s="19" t="s">
        <v>907</v>
      </c>
    </row>
    <row r="2" spans="2:15">
      <c r="D2" s="16" t="s">
        <v>1962</v>
      </c>
      <c r="E2" s="16" t="s">
        <v>1434</v>
      </c>
      <c r="G2" s="16" t="s">
        <v>1962</v>
      </c>
      <c r="H2" s="16" t="s">
        <v>1434</v>
      </c>
    </row>
    <row r="3" ht="16.5" spans="2:15">
      <c r="D3" s="16" t="s">
        <v>1963</v>
      </c>
      <c r="E3" s="16">
        <v>150</v>
      </c>
      <c r="G3" s="16" t="s">
        <v>1964</v>
      </c>
      <c r="H3" s="16">
        <v>30</v>
      </c>
      <c r="J3" s="55">
        <v>17</v>
      </c>
      <c r="K3" s="55" t="s">
        <v>222</v>
      </c>
      <c r="L3" s="55">
        <v>1310100</v>
      </c>
      <c r="M3" s="55"/>
      <c r="N3" s="55">
        <v>60</v>
      </c>
      <c r="O3" s="55">
        <v>6</v>
      </c>
    </row>
    <row r="4" ht="16.5" spans="2:15">
      <c r="D4" s="16" t="s">
        <v>1965</v>
      </c>
      <c r="E4" s="16">
        <v>1000</v>
      </c>
      <c r="G4" s="16" t="s">
        <v>1966</v>
      </c>
      <c r="H4" s="16">
        <v>500</v>
      </c>
      <c r="J4" s="55">
        <v>18</v>
      </c>
      <c r="K4" s="77" t="s">
        <v>225</v>
      </c>
      <c r="L4" s="55">
        <v>1420200</v>
      </c>
      <c r="M4" s="55"/>
      <c r="N4" s="55">
        <v>120</v>
      </c>
      <c r="O4" s="55">
        <v>12</v>
      </c>
    </row>
    <row r="5" ht="16.5" spans="2:15">
      <c r="D5" s="16" t="s">
        <v>1967</v>
      </c>
      <c r="E5" s="16">
        <v>300000</v>
      </c>
      <c r="G5" s="16" t="s">
        <v>1968</v>
      </c>
      <c r="H5" s="16">
        <v>250</v>
      </c>
      <c r="J5" s="55">
        <v>19</v>
      </c>
      <c r="K5" s="77" t="s">
        <v>226</v>
      </c>
      <c r="L5" s="55">
        <v>1130100</v>
      </c>
      <c r="M5" s="55"/>
      <c r="N5" s="55">
        <v>240</v>
      </c>
      <c r="O5" s="55">
        <v>24</v>
      </c>
    </row>
    <row r="6" ht="16.5" spans="2:15">
      <c r="J6" s="55">
        <v>20</v>
      </c>
      <c r="K6" s="77" t="s">
        <v>227</v>
      </c>
      <c r="L6" s="77"/>
      <c r="M6" s="77"/>
      <c r="N6" s="55">
        <v>480</v>
      </c>
      <c r="O6" s="55">
        <v>48</v>
      </c>
    </row>
    <row r="7" ht="16.5" spans="2:15">
      <c r="J7" s="55">
        <v>21</v>
      </c>
      <c r="K7" s="77" t="s">
        <v>228</v>
      </c>
      <c r="L7" s="77"/>
      <c r="M7" s="77"/>
      <c r="N7" s="55">
        <v>960</v>
      </c>
      <c r="O7" s="55">
        <v>96</v>
      </c>
    </row>
    <row r="9" ht="16.5" spans="2:15">
      <c r="B9" s="18"/>
      <c r="C9" s="19" t="s">
        <v>1969</v>
      </c>
    </row>
    <row r="10" spans="2:15">
      <c r="L10" s="16" t="s">
        <v>1970</v>
      </c>
    </row>
    <row r="11" spans="2:15">
      <c r="D11" s="16" t="s">
        <v>1971</v>
      </c>
      <c r="L11" s="16" t="s">
        <v>1442</v>
      </c>
      <c r="M11" s="16" t="s">
        <v>1972</v>
      </c>
    </row>
    <row r="12" spans="2:15">
      <c r="D12" s="16" t="s">
        <v>1973</v>
      </c>
      <c r="E12" s="16" t="s">
        <v>1971</v>
      </c>
      <c r="F12" s="16" t="s">
        <v>1974</v>
      </c>
      <c r="G12" s="16" t="s">
        <v>1563</v>
      </c>
      <c r="H12" s="16" t="s">
        <v>1975</v>
      </c>
      <c r="I12" s="16" t="s">
        <v>1976</v>
      </c>
      <c r="L12" s="16">
        <v>1</v>
      </c>
    </row>
    <row r="13" spans="2:15">
      <c r="D13" s="16" t="s">
        <v>566</v>
      </c>
      <c r="E13" s="38" cm="1">
        <f t="array" ref="E13">SUMPRODUCT($H$25:$H$33,--($N$25:$N$33&lt;=MATCH($D13,$D$13:$D$16,0)),$K$25:$K$33)+$F$20</f>
        <v>59</v>
      </c>
      <c r="F13" s="38" cm="1">
        <f t="array" ref="F13">SUMPRODUCT($F$25:$F$33,--($N$25:$N$33&lt;=MATCH($D13,$D$13:$D$16,0)),$K$25:$K$33)</f>
        <v>684</v>
      </c>
      <c r="G13" s="38" cm="1">
        <f t="array" ref="G13">SUMPRODUCT($E$25:$E$33,--($N$25:$N$33&lt;=MATCH($D13,$D$13:$D$16,0)),$K$25:$K$33)</f>
        <v>0</v>
      </c>
      <c r="H13" s="38" cm="1">
        <f t="array" ref="H13">MATCH(SUMPRODUCT($J$25:$J$33,--($N$25:$N$33&lt;=MATCH($D13,$D$13:$D$16,0)),$K$25:$K$33)+$F$20*150+1000*15,$G$81:$G$111,1)</f>
        <v>3</v>
      </c>
      <c r="I13" s="38">
        <f>IFERROR(MATCH(_xlfn.XLOOKUP(H13-1,$D$81:$D$111,$H$81:$H$111),$I$81:$I$111,1),"")</f>
        <v>9</v>
      </c>
    </row>
    <row r="14" spans="2:15">
      <c r="D14" s="16" t="s">
        <v>1704</v>
      </c>
      <c r="E14" s="38" cm="1">
        <f t="array" ref="E14">SUMPRODUCT($H$25:$H$33,--($N$25:$N$33&lt;=MATCH($D14,$D$13:$D$16,0)),$K$25:$K$33)+$F$20</f>
        <v>102</v>
      </c>
      <c r="F14" s="38" cm="1">
        <f t="array" ref="F14">SUMPRODUCT($F$25:$F$33,--($N$25:$N$33&lt;=MATCH($D14,$D$13:$D$16,0)),$K$25:$K$33)</f>
        <v>2748</v>
      </c>
      <c r="G14" s="38" cm="1">
        <f t="array" ref="G14">SUMPRODUCT($E$25:$E$33,--($N$25:$N$33&lt;=MATCH($D14,$D$13:$D$16,0)),$K$25:$K$33)</f>
        <v>30</v>
      </c>
      <c r="H14" s="38" cm="1">
        <f t="array" ref="H14">MATCH(SUMPRODUCT($J$25:$J$33,--($N$25:$N$33&lt;=MATCH($D14,$D$13:$D$16,0)),$K$25:$K$33)+$F$20*150+1000*15,$G$81:$G$111,1)</f>
        <v>5</v>
      </c>
      <c r="I14" s="38">
        <f>IFERROR(MATCH(_xlfn.XLOOKUP(H14-1,$D$81:$D$111,$H$81:$H$111),$I$81:$I$111,1),"")</f>
        <v>14</v>
      </c>
    </row>
    <row r="15" spans="2:15">
      <c r="D15" s="16" t="s">
        <v>577</v>
      </c>
      <c r="E15" s="38" cm="1">
        <f t="array" ref="E15">SUMPRODUCT($H$25:$H$33,--($N$25:$N$33&lt;=MATCH($D15,$D$13:$D$16,0)),$K$25:$K$33)+$F$20</f>
        <v>423</v>
      </c>
      <c r="F15" s="38" cm="1">
        <f t="array" ref="F15">SUMPRODUCT($F$25:$F$33,--($N$25:$N$33&lt;=MATCH($D15,$D$13:$D$16,0)),$K$25:$K$33)</f>
        <v>14976</v>
      </c>
      <c r="G15" s="38" cm="1">
        <f t="array" ref="G15">SUMPRODUCT($E$25:$E$33,--($N$25:$N$33&lt;=MATCH($D15,$D$13:$D$16,0)),$K$25:$K$33)</f>
        <v>1820</v>
      </c>
      <c r="H15" s="38" cm="1">
        <f t="array" ref="H15">MATCH(SUMPRODUCT($J$25:$J$33,--($N$25:$N$33&lt;=MATCH($D15,$D$13:$D$16,0)),$K$25:$K$33)+$F$20*150+1000*15,$G$81:$G$111,1)</f>
        <v>13</v>
      </c>
      <c r="I15" s="38">
        <f>IFERROR(MATCH(_xlfn.XLOOKUP(H15-1,$D$81:$D$111,$H$81:$H$111),$I$81:$I$111,1),"")</f>
        <v>24</v>
      </c>
    </row>
    <row r="16" spans="2:15">
      <c r="D16" s="16" t="s">
        <v>586</v>
      </c>
      <c r="E16" s="38" cm="1">
        <f t="array" ref="E16">SUMPRODUCT($H$25:$H$33,--($N$25:$N$33&lt;=MATCH($D16,$D$13:$D$16,0)),$K$25:$K$33)+$F$20</f>
        <v>823</v>
      </c>
      <c r="F16" s="38" cm="1">
        <f t="array" ref="F16">SUMPRODUCT($F$25:$F$33,--($N$25:$N$33&lt;=MATCH($D16,$D$13:$D$16,0)),$K$25:$K$33)</f>
        <v>71856</v>
      </c>
      <c r="G16" s="82" cm="1">
        <f t="array" ref="G16">SUMPRODUCT($E$25:$E$33,--($N$25:$N$33&lt;=MATCH($D16,$D$13:$D$16,0)),$K$25:$K$33)+F16/10-G15</f>
        <v>7185.6</v>
      </c>
      <c r="H16" s="38" cm="1">
        <f t="array" ref="H16">MATCH(SUMPRODUCT($J$25:$J$33,--($N$25:$N$33&lt;=MATCH($D16,$D$13:$D$16,0)),$K$25:$K$33)+$F$20*150+1000*15,$G$81:$G$111,1)</f>
        <v>17</v>
      </c>
      <c r="I16" s="38">
        <f>IFERROR(MATCH(_xlfn.XLOOKUP(H16-1,$D$81:$D$111,$H$81:$H$111),$I$81:$I$111,1),"")</f>
        <v>29</v>
      </c>
    </row>
    <row r="19" ht="16.5" spans="4:19">
      <c r="D19" s="4" t="s">
        <v>1686</v>
      </c>
      <c r="E19" s="4" t="s">
        <v>1977</v>
      </c>
      <c r="F19" s="4" t="s">
        <v>1978</v>
      </c>
    </row>
    <row r="20" ht="16.5" spans="4:19">
      <c r="D20" s="4" t="s">
        <v>1979</v>
      </c>
      <c r="E20" s="4">
        <v>1</v>
      </c>
      <c r="F20" s="4">
        <f>G136</f>
        <v>35</v>
      </c>
    </row>
    <row r="21" ht="16.5" spans="4:19">
      <c r="D21" s="4" t="s">
        <v>1980</v>
      </c>
      <c r="E21" s="4">
        <v>15</v>
      </c>
      <c r="F21" s="4">
        <v>1</v>
      </c>
      <c r="G21" s="16">
        <v>1</v>
      </c>
      <c r="H21" s="16">
        <v>5600200</v>
      </c>
      <c r="I21" s="16">
        <v>5104001</v>
      </c>
    </row>
    <row r="22" spans="4:19">
      <c r="G22" s="16">
        <f>_xlfn.XLOOKUP(G24,价值表!$C:$C,价值表!$F:$F)</f>
        <v>1</v>
      </c>
      <c r="H22" s="16">
        <f>_xlfn.XLOOKUP(H24,价值表!$C:$C,价值表!$F:$F)</f>
        <v>120</v>
      </c>
      <c r="I22" s="16">
        <f>_xlfn.XLOOKUP(I24,价值表!$C:$C,价值表!$F:$F)</f>
        <v>2</v>
      </c>
    </row>
    <row r="24" spans="4:19">
      <c r="D24" s="45" t="s">
        <v>1121</v>
      </c>
      <c r="E24" s="16" t="s">
        <v>1810</v>
      </c>
      <c r="F24" s="16" t="s">
        <v>1809</v>
      </c>
      <c r="G24" s="16" t="s">
        <v>188</v>
      </c>
      <c r="H24" s="16" t="inlineStr">
        <is>
          <t>寻梦探仪</t>
        </is>
      </c>
      <c r="I24" s="16" t="s">
        <v>208</v>
      </c>
      <c r="J24" s="16" t="s">
        <v>965</v>
      </c>
      <c r="K24" s="16" t="s">
        <v>916</v>
      </c>
      <c r="L24" s="16" t="s">
        <v>954</v>
      </c>
      <c r="M24" s="16" t="s">
        <v>1981</v>
      </c>
      <c r="N24" s="16" t="s">
        <v>917</v>
      </c>
      <c r="O24" s="16" t="s">
        <v>938</v>
      </c>
      <c r="P24" s="16" t="s">
        <v>1906</v>
      </c>
    </row>
    <row r="25" spans="4:19">
      <c r="D25" s="16" t="s">
        <v>1621</v>
      </c>
      <c r="H25" s="16">
        <v>1</v>
      </c>
      <c r="J25" s="38" cm="1">
        <f t="array" ref="J25">SUMPRODUCT($G$22:$I$22,G25:I25)</f>
        <v>120</v>
      </c>
      <c r="K25" s="16">
        <v>15</v>
      </c>
      <c r="L25" s="46"/>
      <c r="M25" s="38" cm="1">
        <f t="array" ref="M25">SUMPRODUCT($J$25:J25,$K$25:K25)</f>
        <v>1800</v>
      </c>
      <c r="N25" s="16">
        <v>1</v>
      </c>
      <c r="O25" s="38" t="str">
        <f t="shared" ref="O25:O33" si="0">"[{1,"&amp;F25&amp;"}]"</f>
        <v>[{1,}]</v>
      </c>
      <c r="P25" s="47" t="str">
        <f>"["&amp;_xlfn.TEXTJOIN(",",1,Q25:S25)&amp;"]"</f>
        <v>[{5600200,1}]</v>
      </c>
      <c r="Q25" s="16" t="str">
        <f>IF(G25="","","{"&amp;G$21&amp;","&amp;G25&amp;"}")</f>
        <v/>
      </c>
      <c r="R25" s="16" t="str">
        <f>IF(H25="","","{"&amp;H$21&amp;","&amp;H25&amp;"}")</f>
        <v>{5600200,1}</v>
      </c>
      <c r="S25" s="16" t="str">
        <f>IF(I25="","","{"&amp;I$21&amp;","&amp;I25&amp;"}")</f>
        <v/>
      </c>
    </row>
    <row r="26" spans="4:19">
      <c r="D26" s="16" t="s">
        <v>1517</v>
      </c>
      <c r="E26" s="48"/>
      <c r="F26" s="48">
        <v>228</v>
      </c>
      <c r="G26" s="48"/>
      <c r="H26" s="48">
        <v>3</v>
      </c>
      <c r="I26" s="48">
        <v>100</v>
      </c>
      <c r="J26" s="49" cm="1">
        <f t="array" ref="J26">SUMPRODUCT($G$22:$I$22,G26:I26)</f>
        <v>560</v>
      </c>
      <c r="K26" s="48">
        <v>3</v>
      </c>
      <c r="L26" s="50" t="str">
        <f t="shared" ref="L26:L31" si="1">INT(F26/J26*10)&amp;"折"</f>
        <v>4折</v>
      </c>
      <c r="M26" s="49" cm="1">
        <f t="array" ref="M26">SUMPRODUCT($J$25:J26,$K$25:K26)</f>
        <v>3480</v>
      </c>
      <c r="N26" s="16">
        <v>1</v>
      </c>
      <c r="O26" s="38" t="str">
        <f t="shared" si="0"/>
        <v>[{1,228}]</v>
      </c>
      <c r="P26" s="47" t="str">
        <f t="shared" ref="P26:P33" si="2">"["&amp;_xlfn.TEXTJOIN(",",1,Q26:S26)&amp;"]"</f>
        <v>[{5600200,3},{5104001,100}]</v>
      </c>
      <c r="Q26" s="16" t="str">
        <f t="shared" ref="Q26:Q33" si="3">IF(G26="","","{"&amp;G$21&amp;","&amp;G26&amp;"}")</f>
        <v/>
      </c>
      <c r="R26" s="16" t="str">
        <f t="shared" ref="R26:R33" si="4">IF(H26="","","{"&amp;H$21&amp;","&amp;H26&amp;"}")</f>
        <v>{5600200,3}</v>
      </c>
      <c r="S26" s="16" t="str">
        <f t="shared" ref="S26:S33" si="5">IF(I26="","","{"&amp;I$21&amp;","&amp;I26&amp;"}")</f>
        <v>{5104001,100}</v>
      </c>
    </row>
    <row r="27" spans="4:19">
      <c r="D27" s="51" t="s">
        <v>1581</v>
      </c>
      <c r="E27" s="51">
        <v>6</v>
      </c>
      <c r="F27" s="51"/>
      <c r="G27" s="51">
        <v>60</v>
      </c>
      <c r="H27" s="51">
        <v>5</v>
      </c>
      <c r="I27" s="51"/>
      <c r="J27" s="52" cm="1">
        <f t="array" ref="J27">SUMPRODUCT($G$22:$I$22,G27:I27)</f>
        <v>660</v>
      </c>
      <c r="K27" s="51">
        <v>5</v>
      </c>
      <c r="L27" s="53" t="str">
        <f t="shared" ref="L27:L32" si="6">ROUNDUP(E27/J27*100,0)&amp;"折"</f>
        <v>1折</v>
      </c>
      <c r="M27" s="52" cm="1">
        <f t="array" ref="M27">SUMPRODUCT($J$25:J27,$K$25:K27)</f>
        <v>6780</v>
      </c>
      <c r="N27" s="16">
        <v>2</v>
      </c>
      <c r="O27" s="38" t="str">
        <f t="shared" si="0"/>
        <v>[{1,}]</v>
      </c>
      <c r="P27" s="47" t="str">
        <f t="shared" si="2"/>
        <v>[{1,60},{5600200,5}]</v>
      </c>
      <c r="Q27" s="16" t="str">
        <f t="shared" si="3"/>
        <v>{1,60}</v>
      </c>
      <c r="R27" s="16" t="str">
        <f t="shared" si="4"/>
        <v>{5600200,5}</v>
      </c>
      <c r="S27" s="16" t="str">
        <f t="shared" si="5"/>
        <v/>
      </c>
    </row>
    <row r="28" spans="4:19">
      <c r="D28" s="16" t="s">
        <v>1517</v>
      </c>
      <c r="E28" s="48"/>
      <c r="F28" s="48">
        <v>688</v>
      </c>
      <c r="G28" s="48"/>
      <c r="H28" s="48">
        <v>6</v>
      </c>
      <c r="I28" s="48">
        <v>200</v>
      </c>
      <c r="J28" s="49" cm="1">
        <f t="array" ref="J28">SUMPRODUCT($G$22:$I$22,G28:I28)</f>
        <v>1120</v>
      </c>
      <c r="K28" s="48">
        <v>3</v>
      </c>
      <c r="L28" s="50" t="str">
        <f t="shared" si="1"/>
        <v>6折</v>
      </c>
      <c r="M28" s="49" cm="1">
        <f t="array" ref="M28">SUMPRODUCT($J$25:J28,$K$25:K28)</f>
        <v>10140</v>
      </c>
      <c r="N28" s="16">
        <v>2</v>
      </c>
      <c r="O28" s="38" t="str">
        <f t="shared" si="0"/>
        <v>[{1,688}]</v>
      </c>
      <c r="P28" s="47" t="str">
        <f t="shared" si="2"/>
        <v>[{5600200,6},{5104001,200}]</v>
      </c>
      <c r="Q28" s="16" t="str">
        <f t="shared" si="3"/>
        <v/>
      </c>
      <c r="R28" s="16" t="str">
        <f t="shared" si="4"/>
        <v>{5600200,6}</v>
      </c>
      <c r="S28" s="16" t="str">
        <f t="shared" si="5"/>
        <v>{5104001,200}</v>
      </c>
    </row>
    <row r="29" spans="4:19">
      <c r="D29" s="51" t="s">
        <v>1581</v>
      </c>
      <c r="E29" s="51">
        <v>30</v>
      </c>
      <c r="F29" s="51"/>
      <c r="G29" s="51">
        <v>300</v>
      </c>
      <c r="H29" s="51">
        <v>10</v>
      </c>
      <c r="I29" s="51"/>
      <c r="J29" s="52" cm="1">
        <f t="array" ref="J29">SUMPRODUCT($G$22:$I$22,G29:I29)</f>
        <v>1500</v>
      </c>
      <c r="K29" s="51">
        <v>5</v>
      </c>
      <c r="L29" s="53" t="str">
        <f t="shared" si="6"/>
        <v>2折</v>
      </c>
      <c r="M29" s="52" cm="1">
        <f t="array" ref="M29">SUMPRODUCT($J$25:J29,$K$25:K29)</f>
        <v>17640</v>
      </c>
      <c r="N29" s="16">
        <v>3</v>
      </c>
      <c r="O29" s="38" t="str">
        <f t="shared" si="0"/>
        <v>[{1,}]</v>
      </c>
      <c r="P29" s="47" t="str">
        <f t="shared" si="2"/>
        <v>[{1,300},{5600200,10}]</v>
      </c>
      <c r="Q29" s="16" t="str">
        <f t="shared" si="3"/>
        <v>{1,300}</v>
      </c>
      <c r="R29" s="16" t="str">
        <f t="shared" si="4"/>
        <v>{5600200,10}</v>
      </c>
      <c r="S29" s="16" t="str">
        <f t="shared" si="5"/>
        <v/>
      </c>
    </row>
    <row r="30" spans="4:19">
      <c r="D30" s="16" t="s">
        <v>1517</v>
      </c>
      <c r="E30" s="48"/>
      <c r="F30" s="48">
        <v>1388</v>
      </c>
      <c r="G30" s="48"/>
      <c r="H30" s="48">
        <v>12</v>
      </c>
      <c r="I30" s="48">
        <v>300</v>
      </c>
      <c r="J30" s="49" cm="1">
        <f t="array" ref="J30">SUMPRODUCT($G$22:$I$22,G30:I30)</f>
        <v>2040</v>
      </c>
      <c r="K30" s="48">
        <v>3</v>
      </c>
      <c r="L30" s="50" t="str">
        <f>INT(F30/J30*10)&amp;"折"</f>
        <v>6折</v>
      </c>
      <c r="M30" s="49" cm="1">
        <f t="array" ref="M30">SUMPRODUCT($J$25:J30,$K$25:K30)</f>
        <v>23760</v>
      </c>
      <c r="N30" s="16">
        <v>3</v>
      </c>
      <c r="O30" s="38" t="str">
        <f t="shared" si="0"/>
        <v>[{1,1388}]</v>
      </c>
      <c r="P30" s="47" t="str">
        <f t="shared" si="2"/>
        <v>[{5600200,12},{5104001,300}]</v>
      </c>
      <c r="Q30" s="16" t="str">
        <f t="shared" si="3"/>
        <v/>
      </c>
      <c r="R30" s="16" t="str">
        <f t="shared" si="4"/>
        <v>{5600200,12}</v>
      </c>
      <c r="S30" s="16" t="str">
        <f t="shared" si="5"/>
        <v>{5104001,300}</v>
      </c>
    </row>
    <row r="31" spans="4:19">
      <c r="D31" s="16" t="s">
        <v>1517</v>
      </c>
      <c r="E31" s="48"/>
      <c r="F31" s="48">
        <v>2688</v>
      </c>
      <c r="G31" s="48"/>
      <c r="H31" s="48">
        <v>20</v>
      </c>
      <c r="I31" s="48">
        <v>400</v>
      </c>
      <c r="J31" s="49" cm="1">
        <f t="array" ref="J31">SUMPRODUCT($G$22:$I$22,G31:I31)</f>
        <v>3200</v>
      </c>
      <c r="K31" s="48">
        <v>3</v>
      </c>
      <c r="L31" s="50" t="str">
        <f t="shared" si="1"/>
        <v>8折</v>
      </c>
      <c r="M31" s="49" cm="1">
        <f t="array" ref="M31">SUMPRODUCT($J$25:J31,$K$25:K31)</f>
        <v>33360</v>
      </c>
      <c r="N31" s="16">
        <v>3</v>
      </c>
      <c r="O31" s="38" t="str">
        <f t="shared" si="0"/>
        <v>[{1,2688}]</v>
      </c>
      <c r="P31" s="47" t="str">
        <f t="shared" si="2"/>
        <v>[{5600200,20},{5104001,400}]</v>
      </c>
      <c r="Q31" s="16" t="str">
        <f t="shared" si="3"/>
        <v/>
      </c>
      <c r="R31" s="16" t="str">
        <f t="shared" si="4"/>
        <v>{5600200,20}</v>
      </c>
      <c r="S31" s="16" t="str">
        <f t="shared" si="5"/>
        <v>{5104001,400}</v>
      </c>
    </row>
    <row r="32" spans="4:19">
      <c r="D32" s="51" t="s">
        <v>1581</v>
      </c>
      <c r="E32" s="51">
        <v>328</v>
      </c>
      <c r="F32" s="51"/>
      <c r="G32" s="51">
        <v>3280</v>
      </c>
      <c r="H32" s="51">
        <v>35</v>
      </c>
      <c r="I32" s="51"/>
      <c r="J32" s="52" cm="1">
        <f t="array" ref="J32">SUMPRODUCT($G$22:$I$22,G32:I32)</f>
        <v>7480</v>
      </c>
      <c r="K32" s="51">
        <v>5</v>
      </c>
      <c r="L32" s="53" t="str">
        <f t="shared" si="6"/>
        <v>5折</v>
      </c>
      <c r="M32" s="52" cm="1">
        <f t="array" ref="M32">SUMPRODUCT($J$25:J32,$K$25:K32)</f>
        <v>70760</v>
      </c>
      <c r="N32" s="16">
        <v>3</v>
      </c>
      <c r="O32" s="38" t="str">
        <f t="shared" si="0"/>
        <v>[{1,}]</v>
      </c>
      <c r="P32" s="47" t="str">
        <f t="shared" si="2"/>
        <v>[{1,3280},{5600200,35}]</v>
      </c>
      <c r="Q32" s="16" t="str">
        <f t="shared" si="3"/>
        <v>{1,3280}</v>
      </c>
      <c r="R32" s="16" t="str">
        <f t="shared" si="4"/>
        <v>{5600200,35}</v>
      </c>
      <c r="S32" s="16" t="str">
        <f t="shared" si="5"/>
        <v/>
      </c>
    </row>
    <row r="33" spans="2:21">
      <c r="D33" s="16" t="s">
        <v>1517</v>
      </c>
      <c r="E33" s="48"/>
      <c r="F33" s="48">
        <v>5688</v>
      </c>
      <c r="G33" s="48"/>
      <c r="H33" s="48">
        <v>40</v>
      </c>
      <c r="I33" s="48">
        <v>500</v>
      </c>
      <c r="J33" s="49" cm="1">
        <f t="array" ref="J33">SUMPRODUCT($G$22:$I$22,G33:I33)</f>
        <v>5800</v>
      </c>
      <c r="K33" s="48">
        <v>10</v>
      </c>
      <c r="L33" s="50" t="str">
        <f>INT(F33/J33*10)&amp;"折"</f>
        <v>9折</v>
      </c>
      <c r="M33" s="49" cm="1">
        <f t="array" ref="M33">SUMPRODUCT($J$25:J33,$K$25:K33)</f>
        <v>128760</v>
      </c>
      <c r="N33" s="16">
        <v>4</v>
      </c>
      <c r="O33" s="38" t="str">
        <f t="shared" si="0"/>
        <v>[{1,5688}]</v>
      </c>
      <c r="P33" s="47" t="str">
        <f t="shared" si="2"/>
        <v>[{5600200,40},{5104001,500}]</v>
      </c>
      <c r="Q33" s="16" t="str">
        <f t="shared" si="3"/>
        <v/>
      </c>
      <c r="R33" s="16" t="str">
        <f t="shared" si="4"/>
        <v>{5600200,40}</v>
      </c>
      <c r="S33" s="16" t="str">
        <f t="shared" si="5"/>
        <v>{5104001,500}</v>
      </c>
    </row>
    <row r="41" ht="16.5" spans="2:21">
      <c r="B41" s="18"/>
      <c r="C41" s="19" t="s">
        <v>1982</v>
      </c>
    </row>
    <row r="42" ht="16.5" spans="2:21">
      <c r="N42" s="16" t="s">
        <v>135</v>
      </c>
      <c r="R42" s="58">
        <v>0.117</v>
      </c>
      <c r="S42" s="58">
        <v>0.107</v>
      </c>
      <c r="T42" s="16">
        <f>R42*10000</f>
        <v>1170</v>
      </c>
      <c r="U42" s="16">
        <f t="shared" ref="U42:U46" si="7">S42*10000</f>
        <v>1070</v>
      </c>
    </row>
    <row r="43" ht="16.5" spans="2:21">
      <c r="D43" s="59" t="s">
        <v>1983</v>
      </c>
      <c r="E43" s="59" t="s">
        <v>195</v>
      </c>
      <c r="F43" s="59" t="s">
        <v>1984</v>
      </c>
      <c r="G43" s="59" t="s">
        <v>1985</v>
      </c>
      <c r="H43" s="59" t="s">
        <v>669</v>
      </c>
      <c r="I43" s="59" t="s">
        <v>674</v>
      </c>
      <c r="J43" s="59" t="s">
        <v>1986</v>
      </c>
      <c r="K43" s="59" t="s">
        <v>1987</v>
      </c>
      <c r="L43" s="59" t="s">
        <v>1968</v>
      </c>
      <c r="M43" s="59" t="s">
        <v>1988</v>
      </c>
      <c r="N43" s="60" t="s">
        <v>1989</v>
      </c>
      <c r="O43" s="60" t="s">
        <v>1990</v>
      </c>
      <c r="P43" s="60" t="s">
        <v>1991</v>
      </c>
      <c r="R43" s="58">
        <v>0.2</v>
      </c>
      <c r="S43" s="61">
        <v>0.2</v>
      </c>
      <c r="T43" s="16">
        <f>R43*10000</f>
        <v>2000</v>
      </c>
      <c r="U43" s="16">
        <f t="shared" si="7"/>
        <v>2000</v>
      </c>
    </row>
    <row r="44" ht="16.5" spans="2:21">
      <c r="D44" s="62">
        <v>1</v>
      </c>
      <c r="E44" s="63">
        <v>0.24</v>
      </c>
      <c r="F44" s="63">
        <v>0.02</v>
      </c>
      <c r="G44" s="63">
        <v>0.12</v>
      </c>
      <c r="H44" s="63">
        <v>0.08</v>
      </c>
      <c r="I44" s="63">
        <v>0.04</v>
      </c>
      <c r="J44" s="58">
        <f t="shared" ref="J44:J51" si="8">1-SUM(K44:N44)-SUM(E44:I44)</f>
        <v>0.4</v>
      </c>
      <c r="K44" s="58">
        <v>0.1</v>
      </c>
      <c r="L44" s="75"/>
      <c r="M44" s="75"/>
      <c r="N44" s="65"/>
      <c r="O44" s="65"/>
      <c r="P44" s="65"/>
      <c r="R44" s="66">
        <v>0.12</v>
      </c>
      <c r="S44" s="67">
        <v>0.12</v>
      </c>
      <c r="T44" s="16">
        <f>R44*10000</f>
        <v>1200</v>
      </c>
      <c r="U44" s="16">
        <f t="shared" si="7"/>
        <v>1200</v>
      </c>
    </row>
    <row r="45" ht="16.5" spans="2:21">
      <c r="D45" s="62">
        <v>2</v>
      </c>
      <c r="E45" s="63">
        <v>0.24</v>
      </c>
      <c r="F45" s="63">
        <v>0.02</v>
      </c>
      <c r="G45" s="63">
        <v>0.12</v>
      </c>
      <c r="H45" s="63">
        <v>0.08</v>
      </c>
      <c r="I45" s="63">
        <v>0.04</v>
      </c>
      <c r="J45" s="58">
        <f t="shared" si="8"/>
        <v>0.35</v>
      </c>
      <c r="K45" s="58">
        <v>0.125</v>
      </c>
      <c r="L45" s="58">
        <v>0.025</v>
      </c>
      <c r="M45" s="75"/>
      <c r="N45" s="65"/>
      <c r="O45" s="65"/>
      <c r="P45" s="65"/>
      <c r="R45" s="66">
        <v>0.04</v>
      </c>
      <c r="S45" s="67">
        <v>0.045</v>
      </c>
      <c r="T45" s="16">
        <f t="shared" ref="T45:T54" si="9">R45*10000</f>
        <v>400</v>
      </c>
      <c r="U45" s="16">
        <f t="shared" si="7"/>
        <v>450</v>
      </c>
    </row>
    <row r="46" ht="16.5" spans="2:21">
      <c r="D46" s="62">
        <v>3</v>
      </c>
      <c r="E46" s="63">
        <v>0.24</v>
      </c>
      <c r="F46" s="63">
        <v>0.02</v>
      </c>
      <c r="G46" s="63">
        <v>0.12</v>
      </c>
      <c r="H46" s="63">
        <v>0.08</v>
      </c>
      <c r="I46" s="63">
        <v>0.04</v>
      </c>
      <c r="J46" s="58">
        <f t="shared" si="8"/>
        <v>0.3</v>
      </c>
      <c r="K46" s="58">
        <v>0.15</v>
      </c>
      <c r="L46" s="58">
        <v>0.05</v>
      </c>
      <c r="M46" s="75"/>
      <c r="N46" s="65"/>
      <c r="O46" s="65"/>
      <c r="P46" s="65"/>
      <c r="R46" s="66">
        <v>0.023</v>
      </c>
      <c r="S46" s="67">
        <v>0.028</v>
      </c>
      <c r="T46" s="16">
        <f t="shared" si="9"/>
        <v>230</v>
      </c>
      <c r="U46" s="16">
        <f t="shared" si="7"/>
        <v>280</v>
      </c>
    </row>
    <row r="47" ht="16.5" spans="2:21">
      <c r="D47" s="62">
        <v>4</v>
      </c>
      <c r="E47" s="63">
        <v>0.24</v>
      </c>
      <c r="F47" s="63">
        <v>0.02</v>
      </c>
      <c r="G47" s="63">
        <v>0.12</v>
      </c>
      <c r="H47" s="63">
        <v>0.08</v>
      </c>
      <c r="I47" s="63">
        <v>0.04</v>
      </c>
      <c r="J47" s="58">
        <f t="shared" si="8"/>
        <v>0.265</v>
      </c>
      <c r="K47" s="58">
        <v>0.16</v>
      </c>
      <c r="L47" s="66">
        <v>0.06</v>
      </c>
      <c r="M47" s="66">
        <v>0.015</v>
      </c>
      <c r="N47" s="69"/>
      <c r="O47" s="69"/>
      <c r="P47" s="69"/>
    </row>
    <row r="48" ht="16.5" spans="2:21">
      <c r="D48" s="62">
        <v>5</v>
      </c>
      <c r="E48" s="63">
        <v>0.237</v>
      </c>
      <c r="F48" s="63">
        <v>0.02</v>
      </c>
      <c r="G48" s="63">
        <v>0.12</v>
      </c>
      <c r="H48" s="63">
        <v>0.08</v>
      </c>
      <c r="I48" s="63">
        <v>0.04</v>
      </c>
      <c r="J48" s="58">
        <f t="shared" si="8"/>
        <v>0.22</v>
      </c>
      <c r="K48" s="58">
        <v>0.18</v>
      </c>
      <c r="L48" s="66">
        <v>0.08</v>
      </c>
      <c r="M48" s="66">
        <v>0.023</v>
      </c>
      <c r="N48" s="69"/>
      <c r="O48" s="69"/>
      <c r="P48" s="69"/>
    </row>
    <row r="49" ht="16.5" spans="1:21">
      <c r="D49" s="62">
        <v>6</v>
      </c>
      <c r="E49" s="63">
        <v>0.24</v>
      </c>
      <c r="F49" s="63">
        <v>0.02</v>
      </c>
      <c r="G49" s="63">
        <v>0.12</v>
      </c>
      <c r="H49" s="63">
        <v>0.08</v>
      </c>
      <c r="I49" s="63">
        <v>0.04</v>
      </c>
      <c r="J49" s="58">
        <f t="shared" si="8"/>
        <v>0.155</v>
      </c>
      <c r="K49" s="58">
        <v>0.2</v>
      </c>
      <c r="L49" s="66">
        <v>0.1</v>
      </c>
      <c r="M49" s="66">
        <v>0.03</v>
      </c>
      <c r="N49" s="69">
        <v>0.015</v>
      </c>
      <c r="O49" s="70">
        <v>0.0088</v>
      </c>
      <c r="P49" s="71">
        <v>100</v>
      </c>
    </row>
    <row r="50" ht="16.5" spans="1:21">
      <c r="D50" s="62">
        <v>7</v>
      </c>
      <c r="E50" s="63">
        <v>0.24</v>
      </c>
      <c r="F50" s="63">
        <v>0.02</v>
      </c>
      <c r="G50" s="63">
        <v>0.12</v>
      </c>
      <c r="H50" s="63">
        <v>0.08</v>
      </c>
      <c r="I50" s="63">
        <v>0.04</v>
      </c>
      <c r="J50" s="58">
        <f t="shared" si="8"/>
        <v>0.117</v>
      </c>
      <c r="K50" s="58">
        <v>0.2</v>
      </c>
      <c r="L50" s="66">
        <v>0.12</v>
      </c>
      <c r="M50" s="66">
        <v>0.04</v>
      </c>
      <c r="N50" s="69">
        <v>0.023</v>
      </c>
      <c r="O50" s="70">
        <v>0.02</v>
      </c>
      <c r="P50" s="71">
        <v>100</v>
      </c>
      <c r="T50" s="16">
        <f t="shared" si="9"/>
        <v>0</v>
      </c>
      <c r="U50" s="16">
        <f t="shared" ref="U50:U54" si="10">S50*10000</f>
        <v>0</v>
      </c>
    </row>
    <row r="51" ht="16.5" spans="1:21">
      <c r="D51" s="62">
        <v>8</v>
      </c>
      <c r="E51" s="63">
        <v>0.24</v>
      </c>
      <c r="F51" s="63">
        <v>0.02</v>
      </c>
      <c r="G51" s="63">
        <v>0.12</v>
      </c>
      <c r="H51" s="63">
        <v>0.08</v>
      </c>
      <c r="I51" s="63">
        <v>0.04</v>
      </c>
      <c r="J51" s="58">
        <f t="shared" si="8"/>
        <v>0.107</v>
      </c>
      <c r="K51" s="61">
        <v>0.2</v>
      </c>
      <c r="L51" s="67">
        <v>0.12</v>
      </c>
      <c r="M51" s="67">
        <v>0.045</v>
      </c>
      <c r="N51" s="96">
        <v>0.028</v>
      </c>
      <c r="O51" s="72">
        <v>0.026</v>
      </c>
      <c r="P51" s="73">
        <v>100</v>
      </c>
      <c r="R51" s="58">
        <v>0.174</v>
      </c>
      <c r="T51" s="16">
        <f t="shared" si="9"/>
        <v>1740</v>
      </c>
      <c r="U51" s="16">
        <f t="shared" si="10"/>
        <v>0</v>
      </c>
    </row>
    <row r="52" ht="16.5" spans="1:21">
      <c r="R52" s="66">
        <v>0.3</v>
      </c>
      <c r="S52" s="58">
        <v>0.416</v>
      </c>
      <c r="T52" s="16">
        <f t="shared" si="9"/>
        <v>3000</v>
      </c>
      <c r="U52" s="16">
        <f t="shared" si="10"/>
        <v>4160</v>
      </c>
    </row>
    <row r="53" ht="16.5" spans="1:21">
      <c r="N53" s="16" t="s">
        <v>135</v>
      </c>
      <c r="R53" s="66">
        <v>0.16</v>
      </c>
      <c r="S53" s="66">
        <v>0.2</v>
      </c>
      <c r="T53" s="16">
        <f t="shared" si="9"/>
        <v>1600</v>
      </c>
      <c r="U53" s="16">
        <f t="shared" si="10"/>
        <v>2000</v>
      </c>
    </row>
    <row r="54" ht="16.5" spans="1:21">
      <c r="D54" s="59" t="s">
        <v>1983</v>
      </c>
      <c r="E54" s="59" t="s">
        <v>195</v>
      </c>
      <c r="F54" s="59" t="s">
        <v>1984</v>
      </c>
      <c r="G54" s="59" t="s">
        <v>1985</v>
      </c>
      <c r="H54" s="59" t="s">
        <v>669</v>
      </c>
      <c r="I54" s="59" t="s">
        <v>674</v>
      </c>
      <c r="J54" s="59" t="s">
        <v>1986</v>
      </c>
      <c r="K54" s="59" t="s">
        <v>1987</v>
      </c>
      <c r="L54" s="59" t="s">
        <v>1968</v>
      </c>
      <c r="M54" s="59" t="s">
        <v>1988</v>
      </c>
      <c r="N54" s="60" t="s">
        <v>1989</v>
      </c>
      <c r="O54" s="60" t="s">
        <v>1992</v>
      </c>
      <c r="P54" s="60" t="s">
        <v>1993</v>
      </c>
      <c r="R54" s="66">
        <v>0.066</v>
      </c>
      <c r="S54" s="66">
        <v>0.084</v>
      </c>
      <c r="T54" s="16">
        <f t="shared" si="9"/>
        <v>660</v>
      </c>
      <c r="U54" s="16">
        <f t="shared" si="10"/>
        <v>840</v>
      </c>
    </row>
    <row r="55" ht="16.5" spans="1:21">
      <c r="D55" s="62">
        <v>1</v>
      </c>
      <c r="E55" s="63">
        <v>0.1</v>
      </c>
      <c r="F55" s="63">
        <v>0.02</v>
      </c>
      <c r="G55" s="63"/>
      <c r="H55" s="63">
        <v>0.12</v>
      </c>
      <c r="I55" s="63">
        <v>0.06</v>
      </c>
      <c r="J55" s="58">
        <f>1-SUM(K55:N55)-SUM(E55:I55)</f>
        <v>0.5</v>
      </c>
      <c r="K55" s="58">
        <v>0.2</v>
      </c>
      <c r="L55" s="75"/>
      <c r="M55" s="75"/>
      <c r="N55" s="65"/>
      <c r="O55" s="65"/>
      <c r="P55" s="65"/>
      <c r="R55" s="38"/>
      <c r="S55" s="38"/>
      <c r="T55" s="38"/>
    </row>
    <row r="56" ht="16.5" spans="1:21">
      <c r="D56" s="62">
        <v>2</v>
      </c>
      <c r="E56" s="63">
        <v>0.1</v>
      </c>
      <c r="F56" s="63">
        <v>0.02</v>
      </c>
      <c r="G56" s="63"/>
      <c r="H56" s="63">
        <v>0.12</v>
      </c>
      <c r="I56" s="63">
        <v>0.06</v>
      </c>
      <c r="J56" s="58">
        <f>1-SUM(K56:N56)-SUM(E56:I56)</f>
        <v>0.5</v>
      </c>
      <c r="K56" s="58">
        <v>0.12</v>
      </c>
      <c r="L56" s="58">
        <v>0.08</v>
      </c>
      <c r="M56" s="75"/>
      <c r="N56" s="65"/>
      <c r="O56" s="65"/>
      <c r="P56" s="65"/>
      <c r="R56" s="97">
        <f>K56/K45</f>
        <v>0.96</v>
      </c>
      <c r="S56" s="38">
        <f t="shared" ref="S56:S62" si="11">L56/L45</f>
        <v>3.2</v>
      </c>
      <c r="T56" s="38"/>
    </row>
    <row r="57" ht="16.5" spans="1:21">
      <c r="D57" s="62">
        <v>3</v>
      </c>
      <c r="E57" s="63">
        <v>0.1</v>
      </c>
      <c r="F57" s="63">
        <v>0.02</v>
      </c>
      <c r="G57" s="63"/>
      <c r="H57" s="63">
        <v>0.12</v>
      </c>
      <c r="I57" s="63">
        <v>0.06</v>
      </c>
      <c r="J57" s="58">
        <f>1-SUM(K57:N57)-SUM(E57:I57)</f>
        <v>0.08</v>
      </c>
      <c r="K57" s="58">
        <v>0.46</v>
      </c>
      <c r="L57" s="58">
        <v>0.16</v>
      </c>
      <c r="M57" s="75"/>
      <c r="N57" s="65"/>
      <c r="O57" s="65"/>
      <c r="P57" s="65"/>
      <c r="R57" s="38">
        <f t="shared" ref="R56:R62" si="12">K57/K46</f>
        <v>3.06666666666667</v>
      </c>
      <c r="S57" s="38">
        <f t="shared" si="11"/>
        <v>3.2</v>
      </c>
      <c r="T57" s="38"/>
    </row>
    <row r="58" ht="16.5" spans="1:21">
      <c r="A58" s="38">
        <f>M58/M47</f>
        <v>2.66666666666667</v>
      </c>
      <c r="D58" s="62">
        <v>4</v>
      </c>
      <c r="E58" s="63">
        <v>0.1</v>
      </c>
      <c r="F58" s="63">
        <v>0.02</v>
      </c>
      <c r="G58" s="63"/>
      <c r="H58" s="63">
        <v>0.12</v>
      </c>
      <c r="I58" s="63">
        <v>0.06</v>
      </c>
      <c r="J58" s="58"/>
      <c r="K58" s="58">
        <f>1-SUM(L58:N58)-SUM(E58:I58)</f>
        <v>0.42</v>
      </c>
      <c r="L58" s="66">
        <v>0.24</v>
      </c>
      <c r="M58" s="66">
        <v>0.04</v>
      </c>
      <c r="N58" s="69"/>
      <c r="O58" s="69"/>
      <c r="P58" s="69"/>
      <c r="R58" s="38">
        <f t="shared" si="12"/>
        <v>2.625</v>
      </c>
      <c r="S58" s="38">
        <f t="shared" si="11"/>
        <v>4</v>
      </c>
      <c r="T58" s="38">
        <f t="shared" ref="T56:T62" si="13">M58/M47</f>
        <v>2.66666666666667</v>
      </c>
    </row>
    <row r="59" ht="16.5" spans="1:21">
      <c r="A59" s="38">
        <f>M59/M48</f>
        <v>3.47826086956522</v>
      </c>
      <c r="D59" s="62">
        <v>5</v>
      </c>
      <c r="E59" s="63">
        <v>0.1</v>
      </c>
      <c r="F59" s="63">
        <v>0.02</v>
      </c>
      <c r="G59" s="63"/>
      <c r="H59" s="63">
        <v>0.12</v>
      </c>
      <c r="I59" s="63">
        <v>0.06</v>
      </c>
      <c r="J59" s="58"/>
      <c r="K59" s="58">
        <f>1-SUM(L59:N59)-SUM(E59:I59)</f>
        <v>0.34</v>
      </c>
      <c r="L59" s="66">
        <v>0.28</v>
      </c>
      <c r="M59" s="66">
        <v>0.08</v>
      </c>
      <c r="N59" s="69"/>
      <c r="O59" s="69"/>
      <c r="P59" s="69"/>
      <c r="R59" s="38">
        <f t="shared" si="12"/>
        <v>1.88888888888889</v>
      </c>
      <c r="S59" s="38">
        <f t="shared" si="11"/>
        <v>3.5</v>
      </c>
      <c r="T59" s="38">
        <f t="shared" si="13"/>
        <v>3.47826086956522</v>
      </c>
    </row>
    <row r="60" ht="16.5" spans="1:21">
      <c r="A60" s="38">
        <f>M60/M49</f>
        <v>4</v>
      </c>
      <c r="D60" s="62">
        <v>6</v>
      </c>
      <c r="E60" s="63">
        <v>0.1</v>
      </c>
      <c r="F60" s="63">
        <v>0.02</v>
      </c>
      <c r="G60" s="63"/>
      <c r="H60" s="63">
        <v>0.12</v>
      </c>
      <c r="I60" s="63">
        <v>0.06</v>
      </c>
      <c r="J60" s="58"/>
      <c r="K60" s="58">
        <f>1-SUM(L60:N60)-SUM(E60:I60)</f>
        <v>0.235</v>
      </c>
      <c r="L60" s="66">
        <v>0.3</v>
      </c>
      <c r="M60" s="66">
        <v>0.12</v>
      </c>
      <c r="N60" s="70">
        <v>0.045</v>
      </c>
      <c r="O60" s="71">
        <v>2</v>
      </c>
      <c r="P60" s="71">
        <v>4</v>
      </c>
      <c r="R60" s="38">
        <f t="shared" si="12"/>
        <v>1.175</v>
      </c>
      <c r="S60" s="38">
        <f t="shared" si="11"/>
        <v>3</v>
      </c>
      <c r="T60" s="38">
        <f t="shared" si="13"/>
        <v>4</v>
      </c>
    </row>
    <row r="61" ht="16.5" spans="1:21">
      <c r="A61" s="38">
        <f>M61/M50</f>
        <v>4</v>
      </c>
      <c r="D61" s="62">
        <v>7</v>
      </c>
      <c r="E61" s="63">
        <v>0.1</v>
      </c>
      <c r="F61" s="63">
        <v>0.02</v>
      </c>
      <c r="G61" s="63"/>
      <c r="H61" s="63">
        <v>0.12</v>
      </c>
      <c r="I61" s="63">
        <v>0.06</v>
      </c>
      <c r="J61" s="58"/>
      <c r="K61" s="58">
        <f>1-SUM(L61:N61)-SUM(E61:I61)</f>
        <v>0.174</v>
      </c>
      <c r="L61" s="66">
        <v>0.3</v>
      </c>
      <c r="M61" s="66">
        <v>0.16</v>
      </c>
      <c r="N61" s="70">
        <v>0.066</v>
      </c>
      <c r="O61" s="71">
        <v>2</v>
      </c>
      <c r="P61" s="71">
        <v>4</v>
      </c>
      <c r="R61" s="38">
        <f t="shared" si="12"/>
        <v>0.87</v>
      </c>
      <c r="S61" s="38">
        <f t="shared" si="11"/>
        <v>2.5</v>
      </c>
      <c r="T61" s="38">
        <f t="shared" si="13"/>
        <v>4</v>
      </c>
    </row>
    <row r="62" ht="16.5" spans="1:21">
      <c r="A62" s="38">
        <f>M62/M51</f>
        <v>4.44444444444444</v>
      </c>
      <c r="D62" s="62">
        <v>8</v>
      </c>
      <c r="E62" s="63">
        <v>0.1</v>
      </c>
      <c r="F62" s="63">
        <v>0.02</v>
      </c>
      <c r="G62" s="63"/>
      <c r="H62" s="63">
        <v>0.12</v>
      </c>
      <c r="I62" s="63">
        <v>0.06</v>
      </c>
      <c r="J62" s="58"/>
      <c r="K62" s="58"/>
      <c r="L62" s="58">
        <f>1-SUM(M62:N62)-SUM(E62:J62)</f>
        <v>0.416</v>
      </c>
      <c r="M62" s="66">
        <v>0.2</v>
      </c>
      <c r="N62" s="72">
        <v>0.084</v>
      </c>
      <c r="O62" s="71">
        <v>2</v>
      </c>
      <c r="P62" s="71">
        <v>4</v>
      </c>
      <c r="R62" s="38">
        <f t="shared" si="12"/>
        <v>0</v>
      </c>
      <c r="S62" s="38">
        <f t="shared" si="11"/>
        <v>3.46666666666667</v>
      </c>
      <c r="T62" s="38">
        <f t="shared" si="13"/>
        <v>4.44444444444444</v>
      </c>
    </row>
    <row r="64" spans="1:21">
      <c r="N64" s="16" t="s">
        <v>135</v>
      </c>
    </row>
    <row r="65" ht="16.5" spans="2:18">
      <c r="D65" s="59" t="s">
        <v>1983</v>
      </c>
      <c r="E65" s="59" t="s">
        <v>195</v>
      </c>
      <c r="F65" s="59" t="s">
        <v>1984</v>
      </c>
      <c r="G65" s="59" t="s">
        <v>1985</v>
      </c>
      <c r="H65" s="59" t="s">
        <v>669</v>
      </c>
      <c r="I65" s="59" t="s">
        <v>674</v>
      </c>
      <c r="J65" s="59" t="s">
        <v>1986</v>
      </c>
      <c r="K65" s="59" t="s">
        <v>1987</v>
      </c>
      <c r="L65" s="59" t="s">
        <v>1968</v>
      </c>
      <c r="M65" s="59" t="s">
        <v>1988</v>
      </c>
      <c r="N65" s="60" t="s">
        <v>1989</v>
      </c>
      <c r="O65" s="60" t="s">
        <v>1994</v>
      </c>
      <c r="P65" s="60" t="s">
        <v>1990</v>
      </c>
      <c r="Q65" s="60" t="s">
        <v>1991</v>
      </c>
      <c r="R65" s="60" t="s">
        <v>1992</v>
      </c>
    </row>
    <row r="66" ht="16.5" spans="2:18">
      <c r="D66" s="16">
        <v>1</v>
      </c>
      <c r="H66" s="63">
        <v>0.2</v>
      </c>
      <c r="L66" s="66">
        <v>0.64</v>
      </c>
      <c r="M66" s="66">
        <v>0.08</v>
      </c>
      <c r="N66" s="98"/>
      <c r="O66" s="98"/>
      <c r="P66" s="99"/>
      <c r="Q66" s="71"/>
      <c r="R66" s="71"/>
    </row>
    <row r="67" ht="16.5" spans="2:18">
      <c r="D67" s="16">
        <v>2</v>
      </c>
      <c r="H67" s="63">
        <v>0.2</v>
      </c>
      <c r="L67" s="66">
        <v>0.64</v>
      </c>
      <c r="M67" s="66">
        <v>0.08</v>
      </c>
      <c r="N67" s="98"/>
      <c r="O67" s="98"/>
      <c r="P67" s="99"/>
      <c r="Q67" s="71"/>
      <c r="R67" s="71"/>
    </row>
    <row r="68" ht="16.5" spans="2:18">
      <c r="D68" s="16">
        <v>3</v>
      </c>
      <c r="H68" s="63">
        <v>0.2</v>
      </c>
      <c r="L68" s="66">
        <v>0.64</v>
      </c>
      <c r="M68" s="66">
        <v>0.08</v>
      </c>
      <c r="N68" s="98"/>
      <c r="O68" s="98"/>
      <c r="P68" s="99"/>
      <c r="Q68" s="71"/>
      <c r="R68" s="71"/>
    </row>
    <row r="69" ht="16.5" spans="2:18">
      <c r="D69" s="16">
        <v>4</v>
      </c>
      <c r="H69" s="63">
        <v>0.2</v>
      </c>
      <c r="L69" s="66">
        <v>0.64</v>
      </c>
      <c r="M69" s="66">
        <v>0.08</v>
      </c>
      <c r="N69" s="98"/>
      <c r="O69" s="98"/>
      <c r="P69" s="99"/>
      <c r="Q69" s="71"/>
      <c r="R69" s="71"/>
    </row>
    <row r="70" ht="16.5" spans="2:18">
      <c r="D70" s="16">
        <v>5</v>
      </c>
      <c r="H70" s="63">
        <v>0.2</v>
      </c>
      <c r="L70" s="66">
        <v>0.64</v>
      </c>
      <c r="M70" s="66">
        <v>0.08</v>
      </c>
      <c r="N70" s="98"/>
      <c r="O70" s="98"/>
      <c r="P70" s="99"/>
      <c r="Q70" s="71"/>
      <c r="R70" s="71"/>
    </row>
    <row r="71" ht="16.5" spans="2:18">
      <c r="D71" s="62">
        <v>6</v>
      </c>
      <c r="E71" s="63"/>
      <c r="F71" s="63"/>
      <c r="G71" s="63"/>
      <c r="H71" s="63">
        <v>0.2</v>
      </c>
      <c r="I71" s="63"/>
      <c r="J71" s="58"/>
      <c r="K71" s="58"/>
      <c r="L71" s="66">
        <f>0.8-M71-P71</f>
        <v>0.55</v>
      </c>
      <c r="M71" s="66">
        <v>0.15</v>
      </c>
      <c r="N71" s="98">
        <v>0.15</v>
      </c>
      <c r="O71" s="98">
        <v>0.12</v>
      </c>
      <c r="P71" s="99">
        <v>0.1</v>
      </c>
      <c r="Q71" s="71">
        <v>10</v>
      </c>
      <c r="R71" s="71">
        <v>2</v>
      </c>
    </row>
    <row r="72" ht="16.5" spans="2:18">
      <c r="D72" s="62">
        <v>7</v>
      </c>
      <c r="E72" s="63"/>
      <c r="F72" s="63"/>
      <c r="G72" s="63"/>
      <c r="H72" s="63">
        <v>0.2</v>
      </c>
      <c r="I72" s="63"/>
      <c r="J72" s="58"/>
      <c r="K72" s="58"/>
      <c r="L72" s="66">
        <f>0.8-M72-P72</f>
        <v>0.48</v>
      </c>
      <c r="M72" s="66">
        <f>0.35-N72</f>
        <v>0.17</v>
      </c>
      <c r="N72" s="98">
        <v>0.18</v>
      </c>
      <c r="O72" s="98">
        <v>0.15</v>
      </c>
      <c r="P72" s="99">
        <v>0.15</v>
      </c>
      <c r="Q72" s="71">
        <v>10</v>
      </c>
      <c r="R72" s="71">
        <v>2</v>
      </c>
    </row>
    <row r="73" ht="16.5" spans="2:18">
      <c r="D73" s="62">
        <v>8</v>
      </c>
      <c r="E73" s="63"/>
      <c r="F73" s="63"/>
      <c r="G73" s="63"/>
      <c r="H73" s="63">
        <v>0.2</v>
      </c>
      <c r="I73" s="63"/>
      <c r="J73" s="58"/>
      <c r="K73" s="58"/>
      <c r="L73" s="66">
        <f>0.8-M73-P73</f>
        <v>0.42</v>
      </c>
      <c r="M73" s="66">
        <f>0.4-N73</f>
        <v>0.18</v>
      </c>
      <c r="N73" s="98">
        <v>0.22</v>
      </c>
      <c r="O73" s="98">
        <v>0.18</v>
      </c>
      <c r="P73" s="99">
        <v>0.2</v>
      </c>
      <c r="Q73" s="71">
        <v>10</v>
      </c>
      <c r="R73" s="71">
        <v>3</v>
      </c>
    </row>
    <row r="74" ht="16.5" spans="2:18">
      <c r="D74" s="78"/>
      <c r="E74" s="100"/>
      <c r="F74" s="100"/>
      <c r="G74" s="100"/>
      <c r="H74" s="100"/>
      <c r="I74" s="100"/>
      <c r="J74" s="61"/>
      <c r="K74" s="61"/>
      <c r="L74" s="67"/>
      <c r="M74" s="67"/>
      <c r="N74" s="101"/>
      <c r="O74" s="101"/>
      <c r="P74" s="102"/>
      <c r="Q74" s="73"/>
      <c r="R74" s="73"/>
    </row>
    <row r="75" ht="16.5" spans="2:18">
      <c r="D75" s="78"/>
      <c r="E75" s="100"/>
      <c r="F75" s="100"/>
      <c r="G75" s="100"/>
      <c r="H75" s="100"/>
      <c r="I75" s="100"/>
      <c r="J75" s="61"/>
      <c r="K75" s="61"/>
      <c r="L75" s="67"/>
      <c r="M75" s="67"/>
      <c r="N75" s="101"/>
      <c r="O75" s="101"/>
      <c r="P75" s="102"/>
      <c r="Q75" s="73"/>
      <c r="R75" s="73"/>
    </row>
    <row r="76" spans="2:18">
      <c r="O76" s="41"/>
    </row>
    <row r="77" ht="16.5" spans="2:18">
      <c r="B77" s="18"/>
      <c r="C77" s="19" t="s">
        <v>1995</v>
      </c>
      <c r="M77" s="103"/>
      <c r="O77" s="46"/>
    </row>
    <row r="80" ht="16.5" spans="2:18">
      <c r="D80" s="59" t="s">
        <v>1996</v>
      </c>
      <c r="E80" s="59" t="s">
        <v>1997</v>
      </c>
      <c r="F80" s="59" t="s">
        <v>1575</v>
      </c>
      <c r="G80" s="59" t="s">
        <v>1974</v>
      </c>
      <c r="H80" s="59" t="s">
        <v>1587</v>
      </c>
      <c r="I80" s="59" t="s">
        <v>1998</v>
      </c>
    </row>
    <row r="81" ht="16.5" spans="4:9">
      <c r="D81" s="62">
        <v>0</v>
      </c>
      <c r="E81" s="84">
        <v>15</v>
      </c>
      <c r="F81" s="84">
        <f>SUM($E$81:E81)</f>
        <v>15</v>
      </c>
      <c r="G81" s="62">
        <f>F81*$E$4</f>
        <v>15000</v>
      </c>
      <c r="H81" s="104">
        <v>6.05</v>
      </c>
      <c r="I81" s="105">
        <v>3.23</v>
      </c>
    </row>
    <row r="82" ht="16.5" spans="4:9">
      <c r="D82" s="62">
        <v>1</v>
      </c>
      <c r="E82" s="84">
        <v>3</v>
      </c>
      <c r="F82" s="84">
        <f>SUM($E$81:E82)</f>
        <v>18</v>
      </c>
      <c r="G82" s="62">
        <f t="shared" ref="G82:G111" si="14">F82*$E$4</f>
        <v>18000</v>
      </c>
      <c r="H82" s="104">
        <v>6.86</v>
      </c>
      <c r="I82" s="104">
        <v>3.55</v>
      </c>
    </row>
    <row r="83" ht="16.5" spans="4:9">
      <c r="D83" s="62">
        <v>2</v>
      </c>
      <c r="E83" s="84">
        <v>3</v>
      </c>
      <c r="F83" s="84">
        <f>SUM($E$81:E83)</f>
        <v>21</v>
      </c>
      <c r="G83" s="62">
        <f t="shared" si="14"/>
        <v>21000</v>
      </c>
      <c r="H83" s="104">
        <v>7.67</v>
      </c>
      <c r="I83" s="104">
        <v>3.88</v>
      </c>
    </row>
    <row r="84" ht="16.5" spans="4:9">
      <c r="D84" s="62">
        <v>3</v>
      </c>
      <c r="E84" s="84">
        <v>3</v>
      </c>
      <c r="F84" s="84">
        <f>SUM($E$81:E84)</f>
        <v>24</v>
      </c>
      <c r="G84" s="62">
        <f t="shared" si="14"/>
        <v>24000</v>
      </c>
      <c r="H84" s="104">
        <v>8.49</v>
      </c>
      <c r="I84" s="104">
        <v>4.2</v>
      </c>
    </row>
    <row r="85" ht="16.5" spans="4:9">
      <c r="D85" s="62">
        <v>4</v>
      </c>
      <c r="E85" s="84">
        <v>3</v>
      </c>
      <c r="F85" s="84">
        <f>SUM($E$81:E85)</f>
        <v>27</v>
      </c>
      <c r="G85" s="62">
        <f t="shared" si="14"/>
        <v>27000</v>
      </c>
      <c r="H85" s="104">
        <v>18.6</v>
      </c>
      <c r="I85" s="104">
        <v>4.52</v>
      </c>
    </row>
    <row r="86" ht="16.5" spans="4:9">
      <c r="D86" s="62">
        <v>5</v>
      </c>
      <c r="E86" s="84">
        <v>6</v>
      </c>
      <c r="F86" s="84">
        <f>SUM($E$81:E86)</f>
        <v>33</v>
      </c>
      <c r="G86" s="62">
        <f t="shared" si="14"/>
        <v>33000</v>
      </c>
      <c r="H86" s="104">
        <v>20.23</v>
      </c>
      <c r="I86" s="104">
        <v>4.85</v>
      </c>
    </row>
    <row r="87" ht="16.5" spans="4:9">
      <c r="D87" s="62">
        <v>6</v>
      </c>
      <c r="E87" s="84">
        <v>6</v>
      </c>
      <c r="F87" s="84">
        <f>SUM($E$81:E87)</f>
        <v>39</v>
      </c>
      <c r="G87" s="62">
        <f t="shared" si="14"/>
        <v>39000</v>
      </c>
      <c r="H87" s="104">
        <v>21.86</v>
      </c>
      <c r="I87" s="104">
        <v>5.17</v>
      </c>
    </row>
    <row r="88" ht="16.5" spans="4:9">
      <c r="D88" s="62">
        <v>7</v>
      </c>
      <c r="E88" s="84">
        <v>6</v>
      </c>
      <c r="F88" s="84">
        <f>SUM($E$81:E88)</f>
        <v>45</v>
      </c>
      <c r="G88" s="62">
        <f t="shared" si="14"/>
        <v>45000</v>
      </c>
      <c r="H88" s="104">
        <v>23.49</v>
      </c>
      <c r="I88" s="104">
        <v>5.49</v>
      </c>
    </row>
    <row r="89" ht="16.5" spans="4:9">
      <c r="D89" s="62">
        <v>8</v>
      </c>
      <c r="E89" s="84">
        <v>6</v>
      </c>
      <c r="F89" s="84">
        <f>SUM($E$81:E89)</f>
        <v>51</v>
      </c>
      <c r="G89" s="62">
        <f t="shared" si="14"/>
        <v>51000</v>
      </c>
      <c r="H89" s="104">
        <v>25.12</v>
      </c>
      <c r="I89" s="104">
        <v>5.81</v>
      </c>
    </row>
    <row r="90" ht="16.5" spans="4:9">
      <c r="D90" s="62">
        <v>9</v>
      </c>
      <c r="E90" s="84">
        <v>6</v>
      </c>
      <c r="F90" s="84">
        <f>SUM($E$81:E90)</f>
        <v>57</v>
      </c>
      <c r="G90" s="62">
        <f t="shared" si="14"/>
        <v>57000</v>
      </c>
      <c r="H90" s="104">
        <v>53.49</v>
      </c>
      <c r="I90" s="104">
        <v>11.63</v>
      </c>
    </row>
    <row r="91" ht="16.5" spans="4:9">
      <c r="D91" s="62">
        <v>10</v>
      </c>
      <c r="E91" s="84">
        <v>10</v>
      </c>
      <c r="F91" s="84">
        <f>SUM($E$81:E91)</f>
        <v>67</v>
      </c>
      <c r="G91" s="62">
        <f t="shared" si="14"/>
        <v>67000</v>
      </c>
      <c r="H91" s="104">
        <v>56.74</v>
      </c>
      <c r="I91" s="104">
        <v>12.24</v>
      </c>
    </row>
    <row r="92" ht="16.5" spans="4:9">
      <c r="D92" s="62">
        <v>11</v>
      </c>
      <c r="E92" s="84">
        <v>10</v>
      </c>
      <c r="F92" s="84">
        <f>SUM($E$81:E92)</f>
        <v>77</v>
      </c>
      <c r="G92" s="62">
        <f t="shared" si="14"/>
        <v>77000</v>
      </c>
      <c r="H92" s="104">
        <v>60</v>
      </c>
      <c r="I92" s="104">
        <v>12.86</v>
      </c>
    </row>
    <row r="93" ht="16.5" spans="4:9">
      <c r="D93" s="62">
        <v>12</v>
      </c>
      <c r="E93" s="84">
        <v>10</v>
      </c>
      <c r="F93" s="84">
        <f>SUM($E$81:E93)</f>
        <v>87</v>
      </c>
      <c r="G93" s="62">
        <f t="shared" si="14"/>
        <v>87000</v>
      </c>
      <c r="H93" s="104">
        <v>63.26</v>
      </c>
      <c r="I93" s="104">
        <v>13.47</v>
      </c>
    </row>
    <row r="94" ht="16.5" spans="4:9">
      <c r="D94" s="62">
        <v>13</v>
      </c>
      <c r="E94" s="84">
        <v>10</v>
      </c>
      <c r="F94" s="84">
        <f>SUM($E$81:E94)</f>
        <v>97</v>
      </c>
      <c r="G94" s="62">
        <f t="shared" si="14"/>
        <v>97000</v>
      </c>
      <c r="H94" s="104">
        <v>66.51</v>
      </c>
      <c r="I94" s="104">
        <v>14.08</v>
      </c>
    </row>
    <row r="95" ht="16.5" spans="4:9">
      <c r="D95" s="62">
        <v>14</v>
      </c>
      <c r="E95" s="84">
        <v>10</v>
      </c>
      <c r="F95" s="84">
        <f>SUM($E$81:E95)</f>
        <v>107</v>
      </c>
      <c r="G95" s="62">
        <f t="shared" si="14"/>
        <v>107000</v>
      </c>
      <c r="H95" s="104">
        <v>139.54</v>
      </c>
      <c r="I95" s="104">
        <v>30.21</v>
      </c>
    </row>
    <row r="96" ht="16.5" spans="4:9">
      <c r="D96" s="62">
        <v>15</v>
      </c>
      <c r="E96" s="84">
        <v>15</v>
      </c>
      <c r="F96" s="84">
        <f>SUM($E$81:E96)</f>
        <v>122</v>
      </c>
      <c r="G96" s="62">
        <f t="shared" si="14"/>
        <v>122000</v>
      </c>
      <c r="H96" s="104">
        <v>146.05</v>
      </c>
      <c r="I96" s="104">
        <v>31.47</v>
      </c>
    </row>
    <row r="97" ht="16.5" spans="4:9">
      <c r="D97" s="62">
        <v>16</v>
      </c>
      <c r="E97" s="84">
        <v>15</v>
      </c>
      <c r="F97" s="84">
        <f>SUM($E$81:E97)</f>
        <v>137</v>
      </c>
      <c r="G97" s="62">
        <f t="shared" si="14"/>
        <v>137000</v>
      </c>
      <c r="H97" s="104">
        <v>152.56</v>
      </c>
      <c r="I97" s="104">
        <v>32.72</v>
      </c>
    </row>
    <row r="98" ht="16.5" spans="4:9">
      <c r="D98" s="62">
        <v>17</v>
      </c>
      <c r="E98" s="84">
        <v>15</v>
      </c>
      <c r="F98" s="84">
        <f>SUM($E$81:E98)</f>
        <v>152</v>
      </c>
      <c r="G98" s="62">
        <f t="shared" si="14"/>
        <v>152000</v>
      </c>
      <c r="H98" s="104">
        <v>159.07</v>
      </c>
      <c r="I98" s="104">
        <v>33.98</v>
      </c>
    </row>
    <row r="99" ht="16.5" spans="4:9">
      <c r="D99" s="62">
        <v>18</v>
      </c>
      <c r="E99" s="84">
        <v>15</v>
      </c>
      <c r="F99" s="84">
        <f>SUM($E$81:E99)</f>
        <v>167</v>
      </c>
      <c r="G99" s="62">
        <f t="shared" si="14"/>
        <v>167000</v>
      </c>
      <c r="H99" s="104">
        <v>165.58</v>
      </c>
      <c r="I99" s="104">
        <v>35.24</v>
      </c>
    </row>
    <row r="100" ht="16.5" spans="4:9">
      <c r="D100" s="62">
        <v>19</v>
      </c>
      <c r="E100" s="84">
        <v>15</v>
      </c>
      <c r="F100" s="84">
        <f>SUM($E$81:E100)</f>
        <v>182</v>
      </c>
      <c r="G100" s="62">
        <f t="shared" si="14"/>
        <v>182000</v>
      </c>
      <c r="H100" s="104">
        <v>172.09</v>
      </c>
      <c r="I100" s="104">
        <v>51.79</v>
      </c>
    </row>
    <row r="101" ht="16.5" spans="4:9">
      <c r="D101" s="62">
        <v>20</v>
      </c>
      <c r="E101" s="84">
        <v>20</v>
      </c>
      <c r="F101" s="84">
        <f>SUM($E$81:E101)</f>
        <v>202</v>
      </c>
      <c r="G101" s="62">
        <f t="shared" si="14"/>
        <v>202000</v>
      </c>
      <c r="H101" s="104">
        <v>178.61</v>
      </c>
      <c r="I101" s="104">
        <v>53.58</v>
      </c>
    </row>
    <row r="102" ht="16.5" spans="4:9">
      <c r="D102" s="62">
        <v>21</v>
      </c>
      <c r="E102" s="84">
        <v>20</v>
      </c>
      <c r="F102" s="84">
        <f>SUM($E$81:E102)</f>
        <v>222</v>
      </c>
      <c r="G102" s="62">
        <f t="shared" si="14"/>
        <v>222000</v>
      </c>
      <c r="H102" s="104">
        <v>185.12</v>
      </c>
      <c r="I102" s="104">
        <v>55.37</v>
      </c>
    </row>
    <row r="103" ht="16.5" spans="4:9">
      <c r="D103" s="62">
        <v>22</v>
      </c>
      <c r="E103" s="84">
        <v>20</v>
      </c>
      <c r="F103" s="84">
        <f>SUM($E$81:E103)</f>
        <v>242</v>
      </c>
      <c r="G103" s="62">
        <f t="shared" si="14"/>
        <v>242000</v>
      </c>
      <c r="H103" s="104">
        <v>191.63</v>
      </c>
      <c r="I103" s="104">
        <v>57.15</v>
      </c>
    </row>
    <row r="104" ht="16.5" spans="4:9">
      <c r="D104" s="62">
        <v>23</v>
      </c>
      <c r="E104" s="84">
        <v>20</v>
      </c>
      <c r="F104" s="84">
        <f>SUM($E$81:E104)</f>
        <v>262</v>
      </c>
      <c r="G104" s="62">
        <f t="shared" si="14"/>
        <v>262000</v>
      </c>
      <c r="H104" s="104">
        <v>198.14</v>
      </c>
      <c r="I104" s="104">
        <v>58.94</v>
      </c>
    </row>
    <row r="105" ht="16.5" spans="4:9">
      <c r="D105" s="62">
        <v>24</v>
      </c>
      <c r="E105" s="84">
        <v>20</v>
      </c>
      <c r="F105" s="84">
        <f>SUM($E$81:E105)</f>
        <v>282</v>
      </c>
      <c r="G105" s="62">
        <f t="shared" si="14"/>
        <v>282000</v>
      </c>
      <c r="H105" s="104">
        <v>266.05</v>
      </c>
      <c r="I105" s="104">
        <v>91.96</v>
      </c>
    </row>
    <row r="106" ht="16.5" spans="4:9">
      <c r="D106" s="62">
        <v>25</v>
      </c>
      <c r="E106" s="84">
        <v>30</v>
      </c>
      <c r="F106" s="84">
        <f>SUM($E$81:E106)</f>
        <v>312</v>
      </c>
      <c r="G106" s="62">
        <f t="shared" si="14"/>
        <v>312000</v>
      </c>
      <c r="H106" s="104">
        <v>274.51</v>
      </c>
      <c r="I106" s="104">
        <v>94.67</v>
      </c>
    </row>
    <row r="107" ht="16.5" spans="4:9">
      <c r="D107" s="62">
        <v>26</v>
      </c>
      <c r="E107" s="84">
        <v>30</v>
      </c>
      <c r="F107" s="84">
        <f>SUM($E$81:E107)</f>
        <v>342</v>
      </c>
      <c r="G107" s="62">
        <f t="shared" si="14"/>
        <v>342000</v>
      </c>
      <c r="H107" s="104">
        <v>282.98</v>
      </c>
      <c r="I107" s="104">
        <v>97.37</v>
      </c>
    </row>
    <row r="108" ht="16.5" spans="4:9">
      <c r="D108" s="62">
        <v>27</v>
      </c>
      <c r="E108" s="84">
        <v>30</v>
      </c>
      <c r="F108" s="84">
        <f>SUM($E$81:E108)</f>
        <v>372</v>
      </c>
      <c r="G108" s="62">
        <f t="shared" si="14"/>
        <v>372000</v>
      </c>
      <c r="H108" s="104">
        <v>291.44</v>
      </c>
      <c r="I108" s="104">
        <v>100.08</v>
      </c>
    </row>
    <row r="109" ht="16.5" spans="4:9">
      <c r="D109" s="62">
        <v>28</v>
      </c>
      <c r="E109" s="84">
        <v>30</v>
      </c>
      <c r="F109" s="84">
        <f>SUM($E$81:E109)</f>
        <v>402</v>
      </c>
      <c r="G109" s="62">
        <f t="shared" si="14"/>
        <v>402000</v>
      </c>
      <c r="H109" s="104">
        <v>299.91</v>
      </c>
      <c r="I109" s="104">
        <v>102.78</v>
      </c>
    </row>
    <row r="110" ht="16.5" spans="4:9">
      <c r="D110" s="62">
        <v>29</v>
      </c>
      <c r="E110" s="84">
        <v>30</v>
      </c>
      <c r="F110" s="84">
        <f>SUM($E$81:E110)</f>
        <v>432</v>
      </c>
      <c r="G110" s="62">
        <f t="shared" si="14"/>
        <v>432000</v>
      </c>
      <c r="H110" s="104">
        <v>308.37</v>
      </c>
      <c r="I110" s="104">
        <v>169.84</v>
      </c>
    </row>
    <row r="111" ht="16.5" spans="4:9">
      <c r="D111" s="62">
        <v>30</v>
      </c>
      <c r="E111" s="84">
        <v>45</v>
      </c>
      <c r="F111" s="84">
        <f>SUM($E$81:E111)</f>
        <v>477</v>
      </c>
      <c r="G111" s="62">
        <f t="shared" si="14"/>
        <v>477000</v>
      </c>
      <c r="H111" s="104"/>
      <c r="I111" s="104"/>
    </row>
    <row r="113" ht="16.5" spans="2:8">
      <c r="B113" s="18"/>
      <c r="C113" s="19" t="s">
        <v>1979</v>
      </c>
    </row>
    <row r="115" ht="16.5" spans="2:8">
      <c r="D115" s="59" t="s">
        <v>1999</v>
      </c>
      <c r="E115" s="59" t="s">
        <v>1179</v>
      </c>
      <c r="F115" s="59" t="s">
        <v>2000</v>
      </c>
      <c r="G115" s="59" t="s">
        <v>1963</v>
      </c>
    </row>
    <row r="116" ht="16.5" spans="2:8">
      <c r="D116" s="62">
        <v>1</v>
      </c>
      <c r="E116" s="84" t="s">
        <v>2001</v>
      </c>
      <c r="F116" s="84">
        <v>200</v>
      </c>
      <c r="G116" s="84">
        <v>1</v>
      </c>
    </row>
    <row r="117" ht="16.5" spans="2:8">
      <c r="D117" s="62">
        <v>2</v>
      </c>
      <c r="E117" s="84" t="s">
        <v>2001</v>
      </c>
      <c r="F117" s="84">
        <v>500</v>
      </c>
      <c r="G117" s="84">
        <v>1</v>
      </c>
    </row>
    <row r="118" ht="16.5" spans="2:8">
      <c r="D118" s="62">
        <v>3</v>
      </c>
      <c r="E118" s="84" t="s">
        <v>2001</v>
      </c>
      <c r="F118" s="84">
        <v>800</v>
      </c>
      <c r="G118" s="84">
        <v>1</v>
      </c>
    </row>
    <row r="119" ht="16.5" spans="2:8">
      <c r="D119" s="62">
        <v>4</v>
      </c>
      <c r="E119" s="84" t="s">
        <v>2001</v>
      </c>
      <c r="F119" s="84">
        <v>1000</v>
      </c>
      <c r="G119" s="84">
        <v>2</v>
      </c>
    </row>
    <row r="120" ht="16.5" spans="2:8">
      <c r="D120" s="62">
        <v>5</v>
      </c>
      <c r="E120" s="84" t="s">
        <v>2001</v>
      </c>
      <c r="F120" s="84">
        <v>1500</v>
      </c>
      <c r="G120" s="84">
        <v>2</v>
      </c>
    </row>
    <row r="121" ht="16.5" spans="2:8">
      <c r="D121" s="62">
        <v>6</v>
      </c>
      <c r="E121" s="84" t="s">
        <v>1859</v>
      </c>
      <c r="F121" s="84">
        <v>100</v>
      </c>
      <c r="G121" s="84">
        <v>1</v>
      </c>
    </row>
    <row r="122" ht="16.5" spans="2:8">
      <c r="D122" s="62">
        <v>7</v>
      </c>
      <c r="E122" s="84" t="s">
        <v>1859</v>
      </c>
      <c r="F122" s="84">
        <v>300</v>
      </c>
      <c r="G122" s="84">
        <v>1</v>
      </c>
    </row>
    <row r="123" ht="16.5" spans="2:8">
      <c r="D123" s="62">
        <v>8</v>
      </c>
      <c r="E123" s="84" t="s">
        <v>1859</v>
      </c>
      <c r="F123" s="84">
        <v>500</v>
      </c>
      <c r="G123" s="84">
        <v>1</v>
      </c>
    </row>
    <row r="124" ht="16.5" spans="2:8">
      <c r="D124" s="62">
        <v>9</v>
      </c>
      <c r="E124" s="84" t="s">
        <v>1859</v>
      </c>
      <c r="F124" s="84">
        <v>800</v>
      </c>
      <c r="G124" s="84">
        <v>1</v>
      </c>
    </row>
    <row r="125" ht="16.5" spans="2:8">
      <c r="D125" s="62">
        <v>10</v>
      </c>
      <c r="E125" s="84" t="s">
        <v>2002</v>
      </c>
      <c r="F125" s="84">
        <v>70</v>
      </c>
      <c r="G125" s="84">
        <v>1</v>
      </c>
    </row>
    <row r="126" ht="16.5" spans="2:8">
      <c r="D126" s="62">
        <v>11</v>
      </c>
      <c r="E126" s="84" t="s">
        <v>2002</v>
      </c>
      <c r="F126" s="84">
        <v>80</v>
      </c>
      <c r="G126" s="84">
        <v>1</v>
      </c>
      <c r="H126" s="16">
        <f>F126+10</f>
        <v>90</v>
      </c>
    </row>
    <row r="127" ht="16.5" spans="2:8">
      <c r="D127" s="62">
        <v>12</v>
      </c>
      <c r="E127" s="84" t="s">
        <v>2002</v>
      </c>
      <c r="F127" s="84">
        <v>85</v>
      </c>
      <c r="G127" s="84">
        <v>1</v>
      </c>
      <c r="H127" s="16">
        <f t="shared" ref="H127:H132" si="15">F127+10</f>
        <v>95</v>
      </c>
    </row>
    <row r="128" ht="16.5" spans="2:8">
      <c r="D128" s="62">
        <v>13</v>
      </c>
      <c r="E128" s="84" t="s">
        <v>2002</v>
      </c>
      <c r="F128" s="84">
        <v>90</v>
      </c>
      <c r="G128" s="84">
        <v>2</v>
      </c>
      <c r="H128" s="16">
        <f t="shared" si="15"/>
        <v>100</v>
      </c>
    </row>
    <row r="129" ht="16.5" spans="4:8">
      <c r="D129" s="62">
        <v>14</v>
      </c>
      <c r="E129" s="84" t="s">
        <v>2002</v>
      </c>
      <c r="F129" s="84">
        <v>95</v>
      </c>
      <c r="G129" s="84">
        <v>1</v>
      </c>
      <c r="H129" s="16">
        <f t="shared" si="15"/>
        <v>105</v>
      </c>
    </row>
    <row r="130" ht="16.5" spans="4:8">
      <c r="D130" s="62">
        <v>15</v>
      </c>
      <c r="E130" s="84" t="s">
        <v>2002</v>
      </c>
      <c r="F130" s="84">
        <v>100</v>
      </c>
      <c r="G130" s="84">
        <v>2</v>
      </c>
      <c r="H130" s="16">
        <f t="shared" si="15"/>
        <v>110</v>
      </c>
    </row>
    <row r="131" ht="16.5" spans="4:8">
      <c r="D131" s="62">
        <v>16</v>
      </c>
      <c r="E131" s="84" t="s">
        <v>2002</v>
      </c>
      <c r="F131" s="84">
        <v>105</v>
      </c>
      <c r="G131" s="84">
        <v>1</v>
      </c>
      <c r="H131" s="16">
        <f t="shared" si="15"/>
        <v>115</v>
      </c>
    </row>
    <row r="132" ht="16.5" spans="4:8">
      <c r="D132" s="62">
        <v>17</v>
      </c>
      <c r="E132" s="84" t="s">
        <v>2002</v>
      </c>
      <c r="F132" s="84">
        <v>110</v>
      </c>
      <c r="G132" s="84">
        <v>2</v>
      </c>
      <c r="H132" s="16">
        <f t="shared" si="15"/>
        <v>120</v>
      </c>
    </row>
    <row r="133" ht="16.5" spans="4:8">
      <c r="D133" s="62">
        <v>18</v>
      </c>
      <c r="E133" s="84" t="s">
        <v>2003</v>
      </c>
      <c r="F133" s="84">
        <v>6</v>
      </c>
      <c r="G133" s="84">
        <v>1</v>
      </c>
    </row>
    <row r="134" ht="16.5" spans="4:8">
      <c r="D134" s="62">
        <v>19</v>
      </c>
      <c r="E134" s="84" t="s">
        <v>2003</v>
      </c>
      <c r="F134" s="84">
        <v>8</v>
      </c>
      <c r="G134" s="84">
        <v>1</v>
      </c>
    </row>
    <row r="135" ht="16.5" spans="4:8">
      <c r="D135" s="62">
        <v>20</v>
      </c>
      <c r="E135" s="84" t="s">
        <v>2003</v>
      </c>
      <c r="F135" s="84">
        <v>10</v>
      </c>
      <c r="G135" s="84">
        <v>1</v>
      </c>
    </row>
    <row r="136" spans="4:8">
      <c r="G136" s="16">
        <f>SUM(G116:G135)+10</f>
        <v>35</v>
      </c>
    </row>
  </sheetData>
  <pageMargins left="0.75" right="0.75" top="1" bottom="1" header="0.5" footer="0.5"/>
  <headerFooter/>
  <ignoredErrors>
    <ignoredError sqref="G16" calculatedColumn="1"/>
  </ignoredErrors>
  <drawing r:id="rId1"/>
  <tableParts count="3">
    <tablePart r:id="rId2"/>
    <tablePart r:id="rId3"/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AA235"/>
  <sheetViews>
    <sheetView workbookViewId="0">
      <selection activeCell="M26" sqref="M26"/>
    </sheetView>
  </sheetViews>
  <sheetFormatPr defaultColWidth="9" defaultRowHeight="13.5"/>
  <cols>
    <col min="1" max="1" width="7.6" style="16" customWidth="1"/>
    <col min="2" max="2" width="6.3" style="16" customWidth="1"/>
    <col min="3" max="3" width="9" style="31" customWidth="1"/>
    <col min="4" max="4" width="19.8833333333333" style="16" customWidth="1"/>
    <col min="5" max="5" width="15.3166666666667" style="16" customWidth="1"/>
    <col min="6" max="6" width="15.4333333333333" style="16" customWidth="1"/>
    <col min="7" max="7" width="13.3666666666667" style="16" customWidth="1"/>
    <col min="8" max="8" width="10.75" style="16" customWidth="1"/>
    <col min="9" max="9" width="14.875" style="16" customWidth="1"/>
    <col min="10" max="10" width="13.9083333333333" style="16" customWidth="1"/>
    <col min="11" max="11" width="16.8416666666667" style="16" customWidth="1"/>
    <col min="12" max="12" width="16.5" style="16" customWidth="1"/>
    <col min="13" max="13" width="14.375" style="16" customWidth="1"/>
    <col min="14" max="14" width="15.8583333333333" style="16" customWidth="1"/>
    <col min="15" max="15" width="12.625" style="16"/>
    <col min="16" max="16" width="14.5" style="16" customWidth="1"/>
    <col min="17" max="17" width="13.375" style="16" customWidth="1"/>
    <col min="18" max="19" width="10.4333333333333" style="16" customWidth="1"/>
    <col min="20" max="20" width="12.625" style="16"/>
    <col min="21" max="21" width="9" style="16"/>
    <col min="22" max="22" width="10.7583333333333" style="16" customWidth="1"/>
    <col min="23" max="16384" width="9" style="16"/>
  </cols>
  <sheetData>
    <row r="1" ht="16.5" spans="1:16">
      <c r="B1" s="18"/>
      <c r="C1" s="19" t="s">
        <v>907</v>
      </c>
      <c r="M1" s="32" t="s">
        <v>2004</v>
      </c>
      <c r="N1" s="32"/>
      <c r="O1" s="32"/>
    </row>
    <row r="2" spans="1:16">
      <c r="D2" s="16" t="s">
        <v>1962</v>
      </c>
      <c r="E2" s="16" t="s">
        <v>1434</v>
      </c>
      <c r="F2" s="16" t="s">
        <v>1610</v>
      </c>
      <c r="G2" s="16" t="s">
        <v>1962</v>
      </c>
      <c r="H2" s="16" t="s">
        <v>1434</v>
      </c>
      <c r="M2" s="33" t="s">
        <v>2005</v>
      </c>
      <c r="N2" s="33" t="s">
        <v>2006</v>
      </c>
      <c r="O2" s="33" t="s">
        <v>2007</v>
      </c>
    </row>
    <row r="3" spans="1:16">
      <c r="D3" s="16" t="s">
        <v>2008</v>
      </c>
      <c r="E3" s="16">
        <v>100</v>
      </c>
      <c r="F3" s="16">
        <v>1</v>
      </c>
      <c r="G3" s="16" t="s">
        <v>1964</v>
      </c>
      <c r="H3" s="16">
        <v>30</v>
      </c>
      <c r="M3" s="34" t="s">
        <v>2009</v>
      </c>
      <c r="N3" s="34">
        <v>0</v>
      </c>
      <c r="O3" s="34">
        <f t="shared" ref="O3:O9" si="0">1/$M$79*100</f>
        <v>2000</v>
      </c>
    </row>
    <row r="4" spans="1:16">
      <c r="D4" s="16" t="s">
        <v>1966</v>
      </c>
      <c r="E4" s="16">
        <v>1000</v>
      </c>
      <c r="G4" s="16" t="s">
        <v>1966</v>
      </c>
      <c r="H4" s="16">
        <v>500</v>
      </c>
      <c r="M4" s="35" t="s">
        <v>2010</v>
      </c>
      <c r="N4" s="35">
        <f t="shared" ref="N4:N9" si="1">1/M58*30</f>
        <v>3750</v>
      </c>
      <c r="O4" s="35">
        <f t="shared" si="0"/>
        <v>2000</v>
      </c>
    </row>
    <row r="5" spans="1:16">
      <c r="F5" s="16" t="s">
        <v>2011</v>
      </c>
      <c r="G5" s="16" t="s">
        <v>2012</v>
      </c>
      <c r="H5" s="16">
        <v>250</v>
      </c>
      <c r="M5" s="35" t="s">
        <v>2013</v>
      </c>
      <c r="N5" s="35">
        <f t="shared" si="1"/>
        <v>1875</v>
      </c>
      <c r="O5" s="35">
        <f t="shared" si="0"/>
        <v>2000</v>
      </c>
    </row>
    <row r="6" spans="1:16">
      <c r="A6" s="31"/>
      <c r="G6" s="16" t="s">
        <v>217</v>
      </c>
      <c r="H6" s="16">
        <v>100</v>
      </c>
      <c r="M6" s="35" t="s">
        <v>2014</v>
      </c>
      <c r="N6" s="35">
        <f t="shared" si="1"/>
        <v>1250</v>
      </c>
      <c r="O6" s="35">
        <f t="shared" si="0"/>
        <v>2000</v>
      </c>
    </row>
    <row r="7" spans="1:16">
      <c r="D7" s="16" t="s">
        <v>1967</v>
      </c>
      <c r="E7" s="36">
        <v>300000</v>
      </c>
      <c r="M7" s="35" t="s">
        <v>2015</v>
      </c>
      <c r="N7" s="35">
        <f t="shared" si="1"/>
        <v>937.5</v>
      </c>
      <c r="O7" s="35">
        <f t="shared" si="0"/>
        <v>2000</v>
      </c>
    </row>
    <row r="8" spans="1:16">
      <c r="M8" s="35" t="s">
        <v>2016</v>
      </c>
      <c r="N8" s="35">
        <f t="shared" si="1"/>
        <v>750</v>
      </c>
      <c r="O8" s="35">
        <f t="shared" si="0"/>
        <v>2000</v>
      </c>
    </row>
    <row r="9" ht="16.5" spans="1:16">
      <c r="B9" s="18"/>
      <c r="C9" s="19" t="s">
        <v>1969</v>
      </c>
      <c r="M9" s="35" t="s">
        <v>2017</v>
      </c>
      <c r="N9" s="35">
        <f t="shared" si="1"/>
        <v>625</v>
      </c>
      <c r="O9" s="35">
        <f t="shared" si="0"/>
        <v>2000</v>
      </c>
    </row>
    <row r="11" spans="1:16">
      <c r="D11" s="16" t="s">
        <v>1971</v>
      </c>
      <c r="M11"/>
      <c r="N11" s="32" t="s">
        <v>188</v>
      </c>
      <c r="O11" s="32" t="s">
        <v>27</v>
      </c>
      <c r="P11" s="32" t="s">
        <v>2018</v>
      </c>
    </row>
    <row r="12" spans="1:16">
      <c r="D12" s="16" t="s">
        <v>1973</v>
      </c>
      <c r="E12" s="16" t="s">
        <v>1971</v>
      </c>
      <c r="F12" s="16" t="s">
        <v>2019</v>
      </c>
      <c r="G12" s="16" t="s">
        <v>1563</v>
      </c>
      <c r="H12" s="16" t="s">
        <v>1975</v>
      </c>
      <c r="I12" s="16" t="s">
        <v>2020</v>
      </c>
      <c r="J12" s="16" t="s">
        <v>2021</v>
      </c>
      <c r="K12" s="16" t="s">
        <v>938</v>
      </c>
      <c r="M12" s="37" t="s">
        <v>639</v>
      </c>
      <c r="N12" s="37">
        <v>1</v>
      </c>
      <c r="O12" s="37">
        <v>5600200</v>
      </c>
      <c r="P12" s="37">
        <v>5104001</v>
      </c>
    </row>
    <row r="13" spans="1:16">
      <c r="D13" s="16" t="s">
        <v>566</v>
      </c>
      <c r="E13" s="38" cm="1">
        <f t="array" ref="E13">SUMPRODUCT($H$32:$H$40,--($N$32:$N$40&lt;=MATCH($D13,$D$13:$D$16,0)),$K$32:$K$40)+$F$19</f>
        <v>53</v>
      </c>
      <c r="F13" s="38" cm="1">
        <f t="array" ref="F13">SUMPRODUCT($F$32:$F$40,--($N$32:$N$40&lt;=MATCH($D13,$D$13:$D$16,0)),$K$32:$K$40)</f>
        <v>2100</v>
      </c>
      <c r="G13" s="38" cm="1">
        <f t="array" ref="G13">SUMPRODUCT($E$32:$E$40,--($N$32:$N$40&lt;=MATCH($D13,$D$13:$D$16,0)),$K$32:$K$40)</f>
        <v>0</v>
      </c>
      <c r="H13" s="38">
        <f>MATCH(E13*$M$79*10,$F$96:$F$156,1)</f>
        <v>3</v>
      </c>
      <c r="I13" s="38">
        <f>IFERROR(MATCH(_xlfn.XLOOKUP(H13,$D$96:$D$137,$H$96:$H$137),$I$96:$I$137,1),"")</f>
        <v>6</v>
      </c>
      <c r="J13" s="38">
        <f>IFERROR(MATCH(_xlfn.XLOOKUP(H13,$D$96:$D$137,$H$96:$H$137),$J$96:$J$137,1),"")</f>
        <v>11</v>
      </c>
      <c r="M13" s="37" t="s">
        <v>922</v>
      </c>
      <c r="N13" s="37">
        <f>_xlfn.XLOOKUP(G31,价值表!$C:$C,价值表!$F:$F)</f>
        <v>1</v>
      </c>
      <c r="O13" s="37">
        <v>100</v>
      </c>
      <c r="P13" s="37">
        <f>_xlfn.XLOOKUP(I31,价值表!$C:$C,价值表!$F:$F)</f>
        <v>2</v>
      </c>
    </row>
    <row r="14" spans="1:16">
      <c r="D14" s="16" t="s">
        <v>1704</v>
      </c>
      <c r="E14" s="38" cm="1">
        <f t="array" ref="E14">SUMPRODUCT($H$32:$H$40,--($N$32:$N$40&lt;=MATCH($D14,$D$13:$D$16,0)),$K$32:$K$40)+$F$19</f>
        <v>128</v>
      </c>
      <c r="F14" s="38" cm="1">
        <f t="array" ref="F14">SUMPRODUCT($F$32:$F$40,--($N$32:$N$40&lt;=MATCH($D14,$D$13:$D$16,0)),$K$32:$K$40)</f>
        <v>2100</v>
      </c>
      <c r="G14" s="38" cm="1">
        <f t="array" ref="G14">SUMPRODUCT($E$32:$E$40,--($N$32:$N$40&lt;=MATCH($D14,$D$13:$D$16,0)),$K$32:$K$40)</f>
        <v>180</v>
      </c>
      <c r="H14" s="38">
        <f>MATCH(E14*$M$79*10,$F$96:$F$156,1)</f>
        <v>6</v>
      </c>
      <c r="I14" s="38">
        <f>IFERROR(MATCH(_xlfn.XLOOKUP(H14,$D$96:$D$137,$H$96:$H$137),$I$96:$I$137,1),"")</f>
        <v>13</v>
      </c>
      <c r="J14" s="38">
        <f>IFERROR(MATCH(_xlfn.XLOOKUP(H14,$D$96:$D$137,$H$96:$H$137),$J$96:$J$137,1),"")</f>
        <v>22</v>
      </c>
      <c r="M14" s="37"/>
      <c r="N14" s="37"/>
      <c r="O14" s="37"/>
      <c r="P14" s="37"/>
    </row>
    <row r="15" spans="1:16">
      <c r="D15" s="16" t="s">
        <v>577</v>
      </c>
      <c r="E15" s="38" cm="1">
        <f t="array" ref="E15">SUMPRODUCT($H$32:$H$40,--($N$32:$N$40&lt;=MATCH($D15,$D$13:$D$16,0)),$K$32:$K$40)+$F$19</f>
        <v>253</v>
      </c>
      <c r="F15" s="38" cm="1">
        <f t="array" ref="F15">SUMPRODUCT($F$32:$F$40,--($N$32:$N$40&lt;=MATCH($D15,$D$13:$D$16,0)),$K$32:$K$40)</f>
        <v>2100</v>
      </c>
      <c r="G15" s="38" cm="1">
        <f t="array" ref="G15">SUMPRODUCT($E$32:$E$40,--($N$32:$N$40&lt;=MATCH($D15,$D$13:$D$16,0)),$K$32:$K$40)</f>
        <v>820</v>
      </c>
      <c r="H15" s="38">
        <f>MATCH(E15*$M$79*10,$F$96:$F$156,1)</f>
        <v>8</v>
      </c>
      <c r="I15" s="38">
        <f>IFERROR(MATCH(_xlfn.XLOOKUP(H15,$D$96:$D$137,$H$96:$H$137),$I$96:$I$137,1),"")</f>
        <v>15</v>
      </c>
      <c r="J15" s="38">
        <f>IFERROR(MATCH(_xlfn.XLOOKUP(H15,$D$96:$D$137,$H$96:$H$137),$J$96:$J$137,1),"")</f>
        <v>26</v>
      </c>
      <c r="M15" s="37"/>
      <c r="N15" s="37"/>
      <c r="O15" s="37"/>
      <c r="P15" s="37"/>
    </row>
    <row r="16" spans="1:16">
      <c r="D16" s="16" t="s">
        <v>586</v>
      </c>
      <c r="E16" s="38" cm="1">
        <f t="array" ref="E16">SUMPRODUCT($H$32:$H$40,--($N$32:$N$40&lt;=MATCH($D16,$D$13:$D$16,0)),$K$32:$K$40)+$F$19</f>
        <v>603</v>
      </c>
      <c r="F16" s="38" cm="1">
        <f t="array" ref="F16">SUMPRODUCT($F$32:$F$40,--($N$32:$N$40&lt;=MATCH($D16,$D$13:$D$16,0)),$K$32:$K$40)</f>
        <v>2100</v>
      </c>
      <c r="G16" s="38" cm="1">
        <f t="array" ref="G16">SUMPRODUCT($E$32:$E$40,--($N$32:$N$40&lt;=MATCH($D16,$D$13:$D$16,0)),$K$32:$K$40)</f>
        <v>4100</v>
      </c>
      <c r="H16" s="38">
        <f>MATCH(E16*$M$79*10,$F$96:$F$156,1)</f>
        <v>13</v>
      </c>
      <c r="I16" s="38">
        <f>IFERROR(MATCH(_xlfn.XLOOKUP(H16,$D$96:$D$137,$H$96:$H$137),$I$96:$I$137,1),"")</f>
        <v>25</v>
      </c>
      <c r="J16" s="38">
        <f>IFERROR(MATCH(_xlfn.XLOOKUP(H16,$D$96:$D$137,$H$96:$H$137),$J$96:$J$137,1),"")</f>
        <v>42</v>
      </c>
      <c r="M16" s="37"/>
      <c r="N16" s="37"/>
      <c r="O16" s="37"/>
      <c r="P16" s="37"/>
    </row>
    <row r="17" spans="4:19">
      <c r="M17" s="37"/>
      <c r="N17" s="37"/>
      <c r="O17" s="37"/>
      <c r="P17" s="37"/>
    </row>
    <row r="18" spans="4:19">
      <c r="D18" s="39" t="s">
        <v>1686</v>
      </c>
      <c r="E18" s="39" t="s">
        <v>1977</v>
      </c>
      <c r="F18" s="39" t="s">
        <v>1978</v>
      </c>
      <c r="H18" s="32" t="s">
        <v>2022</v>
      </c>
      <c r="M18" s="37"/>
      <c r="N18" s="37"/>
      <c r="O18" s="37"/>
      <c r="P18" s="37"/>
    </row>
    <row r="19" spans="4:19">
      <c r="D19" s="16" t="s">
        <v>1979</v>
      </c>
      <c r="E19" s="38" t="s">
        <v>1082</v>
      </c>
      <c r="F19" s="38" t="s">
        <v>2023</v>
      </c>
      <c r="G19" s="16" t="s">
        <v>938</v>
      </c>
      <c r="H19" s="40"/>
    </row>
    <row r="20" spans="4:19">
      <c r="D20" s="16" t="s">
        <v>1980</v>
      </c>
      <c r="E20" s="38">
        <v>7</v>
      </c>
      <c r="F20" s="38">
        <v>1</v>
      </c>
      <c r="H20" s="40"/>
    </row>
    <row r="21" spans="4:19">
      <c r="D21"/>
      <c r="E21"/>
      <c r="H21" s="40" t="s">
        <v>2024</v>
      </c>
      <c r="L21" s="16" t="s">
        <v>2025</v>
      </c>
      <c r="M21" s="41">
        <v>0.05</v>
      </c>
      <c r="N21" s="31" t="s">
        <v>2026</v>
      </c>
    </row>
    <row r="22" spans="4:19">
      <c r="H22" s="42" t="s">
        <v>2027</v>
      </c>
      <c r="L22" s="16" t="s">
        <v>2028</v>
      </c>
      <c r="M22" s="16" t="s">
        <v>2029</v>
      </c>
    </row>
    <row r="23" spans="4:19">
      <c r="J23" s="43" t="s">
        <v>2030</v>
      </c>
      <c r="M23" s="16" t="s">
        <v>2031</v>
      </c>
    </row>
    <row r="24" spans="4:19">
      <c r="H24" s="31" t="s">
        <v>2032</v>
      </c>
    </row>
    <row r="26" spans="4:19">
      <c r="H26" s="31" t="s">
        <v>2033</v>
      </c>
    </row>
    <row r="27" spans="4:19">
      <c r="I27" s="44" t="s">
        <v>2034</v>
      </c>
    </row>
    <row r="28" spans="4:19">
      <c r="I28" s="44" t="s">
        <v>2035</v>
      </c>
    </row>
    <row r="29" spans="4:19">
      <c r="I29" s="44"/>
    </row>
    <row r="30" ht="13" customHeight="1" spans="4:19">
      <c r="D30"/>
      <c r="E30"/>
    </row>
    <row r="31" spans="4:19">
      <c r="D31" s="45" t="s">
        <v>1121</v>
      </c>
      <c r="E31" s="16" t="s">
        <v>1810</v>
      </c>
      <c r="F31" s="16" t="s">
        <v>1809</v>
      </c>
      <c r="G31" s="16" t="s">
        <v>188</v>
      </c>
      <c r="H31" s="16" t="s">
        <v>27</v>
      </c>
      <c r="I31" s="16" t="s">
        <v>208</v>
      </c>
      <c r="J31" s="16" t="s">
        <v>965</v>
      </c>
      <c r="K31" s="16" t="s">
        <v>916</v>
      </c>
      <c r="L31" s="16" t="s">
        <v>954</v>
      </c>
      <c r="M31" s="16" t="s">
        <v>1981</v>
      </c>
      <c r="N31" s="16" t="s">
        <v>917</v>
      </c>
      <c r="O31" s="16" t="s">
        <v>938</v>
      </c>
      <c r="P31" s="16" t="s">
        <v>1906</v>
      </c>
    </row>
    <row r="32" spans="4:19">
      <c r="D32" s="16" t="s">
        <v>1621</v>
      </c>
      <c r="H32" s="16">
        <v>1</v>
      </c>
      <c r="J32" s="38"/>
      <c r="K32" s="16">
        <v>7</v>
      </c>
      <c r="L32" s="46"/>
      <c r="M32" s="38"/>
      <c r="N32" s="16">
        <v>1</v>
      </c>
      <c r="O32" s="38" t="str">
        <f>"[{1,"&amp;F32&amp;"}]"</f>
        <v>[{1,}]</v>
      </c>
      <c r="P32" s="47" t="str">
        <f>"["&amp;_xlfn.TEXTJOIN(",",1,Q32:S32)&amp;"]"</f>
        <v>[{5600200,1}]</v>
      </c>
      <c r="Q32" s="16" t="str">
        <f>IF(G32="","","{"&amp;N$12&amp;","&amp;G32&amp;"}")</f>
        <v/>
      </c>
      <c r="R32" s="16" t="str">
        <f>IF(H32="","","{"&amp;O$12&amp;","&amp;H32&amp;"}")</f>
        <v>{5600200,1}</v>
      </c>
      <c r="S32" s="16" t="str">
        <f>IF(I32="","","{"&amp;P$12&amp;","&amp;I32&amp;"}")</f>
        <v/>
      </c>
    </row>
    <row r="33" spans="2:25">
      <c r="D33" s="16" t="s">
        <v>1517</v>
      </c>
      <c r="E33" s="48"/>
      <c r="F33" s="48">
        <v>300</v>
      </c>
      <c r="G33" s="48"/>
      <c r="H33" s="48">
        <v>3</v>
      </c>
      <c r="I33" s="48">
        <v>100</v>
      </c>
      <c r="J33" s="49" cm="1">
        <f t="array" ref="J33">SUMPRODUCT($N$13:$P$13,G33:I33)</f>
        <v>500</v>
      </c>
      <c r="K33" s="48">
        <v>7</v>
      </c>
      <c r="L33" s="50" t="str">
        <f>INT(F33/J33*10)&amp;"折"</f>
        <v>6折</v>
      </c>
      <c r="M33" s="49" cm="1">
        <f t="array" ref="M33">SUMPRODUCT($J$32:J33,$K$32:K33)</f>
        <v>3500</v>
      </c>
      <c r="N33" s="16">
        <v>1</v>
      </c>
      <c r="O33" s="38" t="str">
        <f>"[{1,"&amp;F33&amp;"}]"</f>
        <v>[{1,300}]</v>
      </c>
      <c r="P33" s="47" t="str">
        <f>"["&amp;_xlfn.TEXTJOIN(",",1,Q33:S33)&amp;"]"</f>
        <v>[{5600200,3},{5104001,100}]</v>
      </c>
      <c r="Q33" s="16" t="str">
        <f>IF(G33="","","{"&amp;N$12&amp;","&amp;G33&amp;"}")</f>
        <v/>
      </c>
      <c r="R33" s="16" t="str">
        <f>IF(H33="","","{"&amp;O$12&amp;","&amp;H33&amp;"}")</f>
        <v>{5600200,3}</v>
      </c>
      <c r="S33" s="16" t="str">
        <f>IF(I33="","","{"&amp;P$12&amp;","&amp;I33&amp;"}")</f>
        <v>{5104001,100}</v>
      </c>
    </row>
    <row r="34" spans="2:25">
      <c r="D34" s="51" t="s">
        <v>1581</v>
      </c>
      <c r="E34" s="51">
        <v>6</v>
      </c>
      <c r="F34" s="51"/>
      <c r="G34" s="51">
        <v>60</v>
      </c>
      <c r="H34" s="51">
        <v>5</v>
      </c>
      <c r="I34" s="51"/>
      <c r="J34" s="52" cm="1">
        <f t="array" ref="J34">SUMPRODUCT($N$13:$P$13,G34:I34)</f>
        <v>560</v>
      </c>
      <c r="K34" s="51">
        <v>5</v>
      </c>
      <c r="L34" s="53" t="str">
        <f>ROUNDUP(E34/J34*100,0)&amp;"折"</f>
        <v>2折</v>
      </c>
      <c r="M34" s="52" cm="1">
        <f t="array" ref="M34">SUMPRODUCT($J$32:J34,$K$32:K34)</f>
        <v>6300</v>
      </c>
      <c r="N34" s="16">
        <v>2</v>
      </c>
      <c r="O34" s="38" t="str">
        <f>"[{1,"&amp;F34&amp;"}]"</f>
        <v>[{1,}]</v>
      </c>
      <c r="P34" s="47" t="str">
        <f>"["&amp;_xlfn.TEXTJOIN(",",1,Q34:S34)&amp;"]"</f>
        <v>[{1,60},{5600200,5}]</v>
      </c>
      <c r="Q34" s="16" t="str">
        <f>IF(G34="","","{"&amp;N$12&amp;","&amp;G34&amp;"}")</f>
        <v>{1,60}</v>
      </c>
      <c r="R34" s="16" t="str">
        <f>IF(H34="","","{"&amp;O$12&amp;","&amp;H34&amp;"}")</f>
        <v>{5600200,5}</v>
      </c>
      <c r="S34" s="16" t="str">
        <f>IF(I34="","","{"&amp;P$12&amp;","&amp;I34&amp;"}")</f>
        <v/>
      </c>
    </row>
    <row r="35" spans="2:25">
      <c r="E35" s="48"/>
      <c r="F35" s="48"/>
      <c r="G35" s="48"/>
      <c r="H35" s="48"/>
      <c r="I35" s="48"/>
      <c r="J35" s="49"/>
      <c r="K35" s="48"/>
      <c r="L35" s="50"/>
      <c r="M35" s="49"/>
      <c r="O35" s="38"/>
      <c r="P35" s="47"/>
    </row>
    <row r="36" spans="2:25">
      <c r="D36" s="51" t="s">
        <v>1581</v>
      </c>
      <c r="E36" s="51">
        <v>30</v>
      </c>
      <c r="F36" s="51"/>
      <c r="G36" s="51">
        <v>300</v>
      </c>
      <c r="H36" s="51">
        <v>10</v>
      </c>
      <c r="I36" s="51"/>
      <c r="J36" s="52" cm="1">
        <f t="array" ref="J36">SUMPRODUCT($N$13:$P$13,G36:I36)</f>
        <v>1300</v>
      </c>
      <c r="K36" s="51">
        <v>5</v>
      </c>
      <c r="L36" s="53" t="str">
        <f>ROUNDUP(E36/J36*100,0)&amp;"折"</f>
        <v>3折</v>
      </c>
      <c r="M36" s="52" cm="1">
        <f t="array" ref="M36">SUMPRODUCT($J$32:J36,$K$32:K36)</f>
        <v>12800</v>
      </c>
      <c r="N36" s="16">
        <v>2</v>
      </c>
      <c r="O36" s="38" t="str">
        <f>"[{1,"&amp;F36&amp;"}]"</f>
        <v>[{1,}]</v>
      </c>
      <c r="P36" s="47" t="str">
        <f>"["&amp;_xlfn.TEXTJOIN(",",1,Q36:S36)&amp;"]"</f>
        <v>[{1,300},{5600200,10}]</v>
      </c>
      <c r="Q36" s="16" t="str">
        <f>IF(G36="","","{"&amp;N$12&amp;","&amp;G36&amp;"}")</f>
        <v>{1,300}</v>
      </c>
      <c r="R36" s="16" t="str">
        <f>IF(H36="","","{"&amp;O$12&amp;","&amp;H36&amp;"}")</f>
        <v>{5600200,10}</v>
      </c>
      <c r="S36" s="16" t="str">
        <f>IF(I36="","","{"&amp;P$12&amp;","&amp;I36&amp;"}")</f>
        <v/>
      </c>
    </row>
    <row r="37" spans="2:25">
      <c r="E37" s="48"/>
      <c r="F37" s="48"/>
      <c r="G37" s="48"/>
      <c r="H37" s="48"/>
      <c r="I37" s="48"/>
      <c r="J37" s="49"/>
      <c r="K37" s="48"/>
      <c r="L37" s="50"/>
      <c r="M37" s="49"/>
      <c r="O37" s="38"/>
      <c r="P37" s="47"/>
    </row>
    <row r="38" spans="2:25">
      <c r="D38" s="51" t="s">
        <v>1581</v>
      </c>
      <c r="E38" s="51">
        <v>128</v>
      </c>
      <c r="F38" s="51"/>
      <c r="G38" s="51">
        <f>E38*10</f>
        <v>1280</v>
      </c>
      <c r="H38" s="51">
        <v>25</v>
      </c>
      <c r="I38" s="51"/>
      <c r="J38" s="52" cm="1">
        <f t="array" ref="J38">SUMPRODUCT($N$13:$P$13,G38:I38)</f>
        <v>3780</v>
      </c>
      <c r="K38" s="51">
        <v>5</v>
      </c>
      <c r="L38" s="53" t="str">
        <f>ROUNDUP(E38/J38*100,0)&amp;"折"</f>
        <v>4折</v>
      </c>
      <c r="M38" s="52" cm="1">
        <f t="array" ref="M38">SUMPRODUCT($J$32:J38,$K$32:K38)</f>
        <v>31700</v>
      </c>
      <c r="N38" s="16">
        <v>3</v>
      </c>
      <c r="O38" s="38" t="str">
        <f>"[{1,"&amp;F38&amp;"}]"</f>
        <v>[{1,}]</v>
      </c>
      <c r="P38" s="47" t="str">
        <f>"["&amp;_xlfn.TEXTJOIN(",",1,Q38:S38)&amp;"]"</f>
        <v>[{1,1280},{5600200,25}]</v>
      </c>
      <c r="Q38" s="16" t="str">
        <f>IF(G38="","","{"&amp;N$12&amp;","&amp;G38&amp;"}")</f>
        <v>{1,1280}</v>
      </c>
      <c r="R38" s="16" t="str">
        <f>IF(H38="","","{"&amp;O$12&amp;","&amp;H38&amp;"}")</f>
        <v>{5600200,25}</v>
      </c>
      <c r="S38" s="16" t="str">
        <f>IF(I38="","","{"&amp;P$12&amp;","&amp;I38&amp;"}")</f>
        <v/>
      </c>
    </row>
    <row r="39" spans="2:25">
      <c r="E39" s="48"/>
      <c r="F39" s="48"/>
      <c r="G39" s="48"/>
      <c r="H39" s="48"/>
      <c r="I39" s="48"/>
      <c r="J39" s="49"/>
      <c r="K39" s="48"/>
      <c r="L39" s="50"/>
      <c r="M39" s="49"/>
      <c r="O39" s="38"/>
      <c r="P39" s="47"/>
    </row>
    <row r="40" spans="2:25">
      <c r="D40" s="51" t="s">
        <v>1581</v>
      </c>
      <c r="E40" s="51">
        <v>328</v>
      </c>
      <c r="F40" s="51"/>
      <c r="G40" s="51">
        <v>3280</v>
      </c>
      <c r="H40" s="51">
        <v>35</v>
      </c>
      <c r="I40" s="51"/>
      <c r="J40" s="52" cm="1">
        <f t="array" ref="J40">SUMPRODUCT($N$13:$P$13,G40:I40)</f>
        <v>6780</v>
      </c>
      <c r="K40" s="51">
        <v>10</v>
      </c>
      <c r="L40" s="53" t="str">
        <f>ROUNDUP(E40/J40*100,0)&amp;"折"</f>
        <v>5折</v>
      </c>
      <c r="M40" s="52" cm="1">
        <f t="array" ref="M40">SUMPRODUCT($J$32:J40,$K$32:K40)</f>
        <v>99500</v>
      </c>
      <c r="N40" s="16">
        <v>4</v>
      </c>
      <c r="O40" s="38" t="str">
        <f>"[{1,"&amp;F40&amp;"}]"</f>
        <v>[{1,}]</v>
      </c>
      <c r="P40" s="47" t="str">
        <f>"["&amp;_xlfn.TEXTJOIN(",",1,Q40:S40)&amp;"]"</f>
        <v>[{1,3280},{5600200,35}]</v>
      </c>
      <c r="Q40" s="16" t="str">
        <f>IF(G40="","","{"&amp;N$12&amp;","&amp;G40&amp;"}")</f>
        <v>{1,3280}</v>
      </c>
      <c r="R40" s="16" t="str">
        <f>IF(H40="","","{"&amp;O$12&amp;","&amp;H40&amp;"}")</f>
        <v>{5600200,35}</v>
      </c>
      <c r="S40" s="16" t="str">
        <f>IF(I40="","","{"&amp;P$12&amp;","&amp;I40&amp;"}")</f>
        <v/>
      </c>
    </row>
    <row r="41" spans="2:25">
      <c r="D41" s="31"/>
      <c r="E41" s="31"/>
      <c r="F41" s="31"/>
      <c r="G41" s="31"/>
      <c r="H41" s="31"/>
      <c r="I41" s="31"/>
      <c r="J41" s="31"/>
      <c r="K41" s="31"/>
      <c r="L41" s="31"/>
      <c r="M41" s="31"/>
      <c r="O41" s="38"/>
      <c r="P41" s="47"/>
    </row>
    <row r="42" spans="2:25">
      <c r="D42" s="31"/>
      <c r="E42" s="31"/>
      <c r="F42" s="31"/>
      <c r="G42" s="31"/>
      <c r="H42" s="31"/>
      <c r="I42" s="31"/>
      <c r="J42" s="31"/>
      <c r="K42" s="31"/>
      <c r="L42" s="31"/>
      <c r="M42" s="31"/>
      <c r="O42" s="38"/>
      <c r="P42" s="47"/>
    </row>
    <row r="43" ht="16" customHeight="1" spans="2:25">
      <c r="D43" s="16" t="s">
        <v>2036</v>
      </c>
      <c r="E43" s="48"/>
      <c r="F43" s="48"/>
      <c r="G43" s="48"/>
      <c r="H43" s="48"/>
      <c r="I43" s="48"/>
      <c r="J43" s="49"/>
      <c r="K43" s="48"/>
      <c r="L43" s="50"/>
      <c r="M43" s="49"/>
      <c r="O43" s="38"/>
      <c r="P43" s="47"/>
    </row>
    <row r="44" ht="16.5" spans="2:25">
      <c r="B44" s="54" t="s">
        <v>2037</v>
      </c>
      <c r="C44" s="54"/>
      <c r="D44" s="32" t="s">
        <v>2038</v>
      </c>
      <c r="E44" s="32" t="s">
        <v>1610</v>
      </c>
      <c r="F44" s="32" t="s">
        <v>1809</v>
      </c>
      <c r="G44" s="32" t="s">
        <v>27</v>
      </c>
      <c r="H44" s="32" t="s">
        <v>258</v>
      </c>
      <c r="I44" s="32" t="s">
        <v>261</v>
      </c>
      <c r="J44" s="32" t="s">
        <v>195</v>
      </c>
      <c r="K44" s="32" t="s">
        <v>208</v>
      </c>
      <c r="L44" s="32" t="s">
        <v>213</v>
      </c>
      <c r="M44" s="32" t="s">
        <v>2039</v>
      </c>
      <c r="N44" s="32" t="s">
        <v>965</v>
      </c>
      <c r="O44" s="32" t="s">
        <v>954</v>
      </c>
      <c r="Q44"/>
      <c r="R44" s="32" t="s">
        <v>188</v>
      </c>
      <c r="S44" s="32" t="s">
        <v>27</v>
      </c>
      <c r="T44" s="32" t="s">
        <v>258</v>
      </c>
      <c r="U44" s="32" t="s">
        <v>261</v>
      </c>
      <c r="V44" s="32" t="s">
        <v>195</v>
      </c>
      <c r="W44" s="32" t="s">
        <v>208</v>
      </c>
      <c r="X44" s="55" t="s">
        <v>213</v>
      </c>
      <c r="Y44" s="32" t="s">
        <v>2039</v>
      </c>
    </row>
    <row r="45" spans="2:25">
      <c r="D45" s="16" t="s">
        <v>2009</v>
      </c>
      <c r="E45" s="16">
        <v>0</v>
      </c>
      <c r="J45" s="16">
        <v>1000</v>
      </c>
      <c r="N45" s="56" cm="1">
        <f t="array" ref="N45">SUMPRODUCT($S$46:$Y$46,G45:M45)</f>
        <v>50</v>
      </c>
      <c r="O45" s="57"/>
      <c r="Q45" s="37" t="s">
        <v>639</v>
      </c>
      <c r="R45" s="37">
        <v>1</v>
      </c>
      <c r="S45" s="37">
        <v>5600200</v>
      </c>
      <c r="T45" s="37">
        <v>5104001</v>
      </c>
    </row>
    <row r="46" spans="2:25">
      <c r="D46" s="16" t="s">
        <v>2010</v>
      </c>
      <c r="E46" s="16">
        <v>6</v>
      </c>
      <c r="H46" s="16">
        <v>1</v>
      </c>
      <c r="L46" s="16">
        <v>10</v>
      </c>
      <c r="M46" s="16">
        <v>10</v>
      </c>
      <c r="N46" s="56" cm="1">
        <f t="array" ref="N46">SUMPRODUCT($S$46:$Y$46,G46:M46)</f>
        <v>1350</v>
      </c>
      <c r="O46" s="57" t="str">
        <f>ROUNDUP(E46/(N46+N47)*100,1)&amp;"折"</f>
        <v>0.4折</v>
      </c>
      <c r="Q46" s="37" t="s">
        <v>922</v>
      </c>
      <c r="R46" s="37">
        <v>1</v>
      </c>
      <c r="S46" s="37">
        <v>100</v>
      </c>
      <c r="T46" s="37">
        <v>50</v>
      </c>
      <c r="U46" s="37">
        <v>280</v>
      </c>
      <c r="V46" s="16">
        <v>0.05</v>
      </c>
      <c r="W46" s="16">
        <v>2</v>
      </c>
      <c r="X46" s="16">
        <v>30</v>
      </c>
      <c r="Y46" s="16">
        <v>100</v>
      </c>
    </row>
    <row r="47" spans="2:25">
      <c r="D47" s="16" t="s">
        <v>2013</v>
      </c>
      <c r="E47" s="16">
        <v>0</v>
      </c>
      <c r="K47" s="16">
        <v>100</v>
      </c>
      <c r="N47" s="56" cm="1">
        <f t="array" ref="N47">SUMPRODUCT($S$46:$Y$46,G47:M47)</f>
        <v>200</v>
      </c>
      <c r="O47" s="57"/>
    </row>
    <row r="48" spans="2:25">
      <c r="D48" s="16" t="s">
        <v>2014</v>
      </c>
      <c r="E48" s="16">
        <v>30</v>
      </c>
      <c r="I48" s="16">
        <v>1</v>
      </c>
      <c r="M48" s="16">
        <v>20</v>
      </c>
      <c r="N48" s="56" cm="1">
        <f t="array" ref="N48">SUMPRODUCT($S$46:$Y$46,G48:M48)</f>
        <v>2280</v>
      </c>
      <c r="O48" s="57" t="str">
        <f>ROUNDUP(E48/(N48+N49)*100,1)&amp;"折"</f>
        <v>1.3折</v>
      </c>
    </row>
    <row r="49" spans="2:19">
      <c r="D49" s="16" t="s">
        <v>2015</v>
      </c>
      <c r="E49" s="16">
        <v>0</v>
      </c>
      <c r="H49" s="16">
        <v>3</v>
      </c>
      <c r="J49" s="16">
        <v>1000</v>
      </c>
      <c r="N49" s="56" cm="1">
        <f t="array" ref="N49">SUMPRODUCT($S$46:$Y$46,G49:M49)</f>
        <v>200</v>
      </c>
      <c r="O49" s="57"/>
    </row>
    <row r="50" spans="2:19">
      <c r="D50" s="16" t="s">
        <v>2016</v>
      </c>
      <c r="E50" s="16">
        <v>60</v>
      </c>
      <c r="I50" s="16">
        <v>2</v>
      </c>
      <c r="M50" s="16">
        <v>30</v>
      </c>
      <c r="N50" s="56" cm="1">
        <f t="array" ref="N50">SUMPRODUCT($S$46:$Y$46,G50:M50)</f>
        <v>3560</v>
      </c>
      <c r="O50" s="57" t="str">
        <f>ROUNDUP(E50/(N50+M51)*100,1)&amp;"折"</f>
        <v>1.7折</v>
      </c>
    </row>
    <row r="51" spans="2:19">
      <c r="J51"/>
    </row>
    <row r="52" spans="2:19">
      <c r="J52"/>
    </row>
    <row r="53" spans="2:19">
      <c r="J53"/>
      <c r="L53" s="16">
        <f>1%/6%</f>
        <v>0.166666666666667</v>
      </c>
    </row>
    <row r="54" ht="16.5" spans="2:19">
      <c r="B54" s="18"/>
      <c r="C54" s="19" t="s">
        <v>1982</v>
      </c>
      <c r="J54"/>
    </row>
    <row r="55" ht="16.5" spans="2:19">
      <c r="R55" s="58"/>
      <c r="S55" s="58"/>
    </row>
    <row r="56" ht="16.5" spans="2:19">
      <c r="D56" s="59" t="s">
        <v>1983</v>
      </c>
      <c r="E56" s="59" t="s">
        <v>195</v>
      </c>
      <c r="F56" s="59" t="s">
        <v>1984</v>
      </c>
      <c r="G56" s="59" t="s">
        <v>1985</v>
      </c>
      <c r="H56" s="59" t="s">
        <v>669</v>
      </c>
      <c r="I56" s="59" t="s">
        <v>674</v>
      </c>
      <c r="J56" s="59" t="s">
        <v>1986</v>
      </c>
      <c r="K56" s="59" t="s">
        <v>1987</v>
      </c>
      <c r="L56" s="59" t="s">
        <v>1968</v>
      </c>
      <c r="M56" s="59" t="s">
        <v>1988</v>
      </c>
      <c r="N56" s="60" t="s">
        <v>2040</v>
      </c>
      <c r="O56" s="60" t="s">
        <v>1990</v>
      </c>
      <c r="P56" s="60" t="s">
        <v>1991</v>
      </c>
      <c r="R56" s="58"/>
      <c r="S56" s="61"/>
    </row>
    <row r="57" ht="16.5" spans="2:19">
      <c r="D57" s="62">
        <v>1</v>
      </c>
      <c r="E57" s="63">
        <v>0.24</v>
      </c>
      <c r="F57" s="63">
        <v>0.02</v>
      </c>
      <c r="G57" s="63">
        <v>0.12</v>
      </c>
      <c r="H57" s="63">
        <v>0.08</v>
      </c>
      <c r="I57" s="63">
        <v>0.04</v>
      </c>
      <c r="J57" s="64">
        <v>0.39</v>
      </c>
      <c r="K57" s="64">
        <v>0.1</v>
      </c>
      <c r="L57" s="64">
        <v>0.01</v>
      </c>
      <c r="M57" s="64"/>
      <c r="N57" s="65"/>
      <c r="O57" s="65"/>
      <c r="P57" s="65"/>
      <c r="R57" s="66"/>
      <c r="S57" s="67"/>
    </row>
    <row r="58" ht="16.5" spans="2:19">
      <c r="D58" s="62">
        <v>2</v>
      </c>
      <c r="E58" s="63">
        <v>0.24</v>
      </c>
      <c r="F58" s="63">
        <v>0.02</v>
      </c>
      <c r="G58" s="63">
        <v>0.12</v>
      </c>
      <c r="H58" s="63">
        <v>0.08</v>
      </c>
      <c r="I58" s="63">
        <v>0.04</v>
      </c>
      <c r="J58" s="64">
        <v>0.292</v>
      </c>
      <c r="K58" s="64">
        <v>0.15</v>
      </c>
      <c r="L58" s="64">
        <v>0.05</v>
      </c>
      <c r="M58" s="68">
        <v>0.008</v>
      </c>
      <c r="N58" s="65">
        <v>1</v>
      </c>
      <c r="O58" s="65"/>
      <c r="P58" s="65"/>
      <c r="R58" s="66"/>
      <c r="S58" s="67"/>
    </row>
    <row r="59" ht="16.5" spans="2:19">
      <c r="D59" s="62">
        <v>3</v>
      </c>
      <c r="E59" s="63">
        <v>0.24</v>
      </c>
      <c r="F59" s="63">
        <v>0.02</v>
      </c>
      <c r="G59" s="63">
        <v>0.12</v>
      </c>
      <c r="H59" s="63">
        <v>0.08</v>
      </c>
      <c r="I59" s="63">
        <v>0.04</v>
      </c>
      <c r="J59" s="64">
        <v>0.224</v>
      </c>
      <c r="K59" s="64">
        <v>0.18</v>
      </c>
      <c r="L59" s="64">
        <v>0.08</v>
      </c>
      <c r="M59" s="68">
        <v>0.016</v>
      </c>
      <c r="N59" s="65">
        <v>2</v>
      </c>
      <c r="O59" s="69"/>
      <c r="P59" s="69"/>
      <c r="R59" s="66"/>
      <c r="S59" s="67"/>
    </row>
    <row r="60" ht="16.5" spans="2:19">
      <c r="D60" s="62">
        <v>4</v>
      </c>
      <c r="E60" s="63">
        <v>0.237</v>
      </c>
      <c r="F60" s="63">
        <v>0.02</v>
      </c>
      <c r="G60" s="63">
        <v>0.12</v>
      </c>
      <c r="H60" s="63">
        <v>0.08</v>
      </c>
      <c r="I60" s="63">
        <v>0.04</v>
      </c>
      <c r="J60" s="64">
        <v>0.196</v>
      </c>
      <c r="K60" s="64">
        <v>0.19</v>
      </c>
      <c r="L60" s="64">
        <v>0.09</v>
      </c>
      <c r="M60" s="68">
        <v>0.024</v>
      </c>
      <c r="N60" s="65">
        <v>3</v>
      </c>
      <c r="O60" s="69"/>
      <c r="P60" s="69"/>
    </row>
    <row r="61" ht="16.5" spans="2:19">
      <c r="D61" s="62">
        <v>5</v>
      </c>
      <c r="E61" s="63">
        <v>0.24</v>
      </c>
      <c r="F61" s="63">
        <v>0.02</v>
      </c>
      <c r="G61" s="63">
        <v>0.12</v>
      </c>
      <c r="H61" s="63">
        <v>0.08</v>
      </c>
      <c r="I61" s="63">
        <v>0.04</v>
      </c>
      <c r="J61" s="64">
        <v>0.168</v>
      </c>
      <c r="K61" s="64">
        <v>0.2</v>
      </c>
      <c r="L61" s="64">
        <v>0.1</v>
      </c>
      <c r="M61" s="68">
        <v>0.032</v>
      </c>
      <c r="N61" s="65">
        <v>4</v>
      </c>
      <c r="O61" s="70">
        <v>0.0088</v>
      </c>
      <c r="P61" s="71">
        <v>100</v>
      </c>
    </row>
    <row r="62" ht="16.5" spans="2:19">
      <c r="D62" s="62">
        <v>6</v>
      </c>
      <c r="E62" s="63">
        <v>0.24</v>
      </c>
      <c r="F62" s="63">
        <v>0.02</v>
      </c>
      <c r="G62" s="63">
        <v>0.12</v>
      </c>
      <c r="H62" s="63">
        <v>0.08</v>
      </c>
      <c r="I62" s="63">
        <v>0.04</v>
      </c>
      <c r="J62" s="64">
        <f>0.5-SUM(K62:M62)</f>
        <v>0.15</v>
      </c>
      <c r="K62" s="64">
        <v>0.2</v>
      </c>
      <c r="L62" s="64">
        <v>0.11</v>
      </c>
      <c r="M62" s="68">
        <v>0.04</v>
      </c>
      <c r="N62" s="65">
        <v>5</v>
      </c>
      <c r="O62" s="70">
        <v>0.02</v>
      </c>
      <c r="P62" s="71">
        <v>100</v>
      </c>
    </row>
    <row r="63" ht="16.5" spans="2:19">
      <c r="D63" s="62">
        <v>7</v>
      </c>
      <c r="E63" s="63">
        <v>0.24</v>
      </c>
      <c r="F63" s="63">
        <v>0.02</v>
      </c>
      <c r="G63" s="63">
        <v>0.12</v>
      </c>
      <c r="H63" s="63">
        <v>0.08</v>
      </c>
      <c r="I63" s="63">
        <v>0.04</v>
      </c>
      <c r="J63" s="64">
        <f>0.5-SUM(K63:M63)</f>
        <v>0.122</v>
      </c>
      <c r="K63" s="64">
        <v>0.21</v>
      </c>
      <c r="L63" s="64">
        <v>0.12</v>
      </c>
      <c r="M63" s="64">
        <v>0.048</v>
      </c>
      <c r="N63" s="65">
        <v>6</v>
      </c>
      <c r="O63" s="72">
        <v>0.026</v>
      </c>
      <c r="P63" s="73">
        <v>100</v>
      </c>
      <c r="R63" s="58"/>
    </row>
    <row r="64" ht="16.5" spans="2:19">
      <c r="R64" s="66"/>
      <c r="S64" s="58"/>
    </row>
    <row r="65" ht="16.5" spans="4:27">
      <c r="O65" s="41"/>
      <c r="P65" s="41"/>
      <c r="R65" s="66"/>
      <c r="S65" s="66"/>
    </row>
    <row r="66" ht="16.5" spans="4:27">
      <c r="N66" s="16" t="s">
        <v>135</v>
      </c>
      <c r="R66" s="74"/>
      <c r="S66" s="74"/>
    </row>
    <row r="67" ht="16.5" spans="4:27">
      <c r="D67" s="59" t="s">
        <v>2041</v>
      </c>
      <c r="E67" s="59" t="s">
        <v>195</v>
      </c>
      <c r="F67" s="59" t="s">
        <v>1984</v>
      </c>
      <c r="G67" s="59" t="s">
        <v>1985</v>
      </c>
      <c r="H67" s="59" t="s">
        <v>669</v>
      </c>
      <c r="I67" s="59" t="s">
        <v>674</v>
      </c>
      <c r="J67" s="59" t="s">
        <v>1986</v>
      </c>
      <c r="K67" s="59" t="s">
        <v>1987</v>
      </c>
      <c r="L67" s="59" t="s">
        <v>1968</v>
      </c>
      <c r="M67" s="59" t="s">
        <v>2042</v>
      </c>
      <c r="N67" s="60" t="s">
        <v>1989</v>
      </c>
      <c r="O67" s="60" t="s">
        <v>1992</v>
      </c>
      <c r="P67" s="60" t="s">
        <v>1993</v>
      </c>
      <c r="R67" s="59" t="s">
        <v>1986</v>
      </c>
      <c r="S67" s="59" t="s">
        <v>1987</v>
      </c>
      <c r="T67" s="59" t="s">
        <v>1968</v>
      </c>
      <c r="U67" s="59" t="s">
        <v>2042</v>
      </c>
      <c r="V67" s="16" t="s">
        <v>2043</v>
      </c>
    </row>
    <row r="68" ht="16.5" spans="4:27">
      <c r="D68" s="62">
        <v>1</v>
      </c>
      <c r="E68" s="63">
        <v>0.1</v>
      </c>
      <c r="F68" s="63">
        <v>0.02</v>
      </c>
      <c r="G68" s="63"/>
      <c r="H68" s="63">
        <v>0.12</v>
      </c>
      <c r="I68" s="63">
        <v>0.06</v>
      </c>
      <c r="J68" s="58">
        <v>0.4</v>
      </c>
      <c r="K68" s="66">
        <v>0.25</v>
      </c>
      <c r="L68" s="66">
        <v>0.05</v>
      </c>
      <c r="M68" s="75"/>
      <c r="N68" s="65"/>
      <c r="O68" s="65"/>
      <c r="P68" s="65"/>
      <c r="R68" s="35">
        <f t="shared" ref="R68:R74" si="2">J68*$AA$79</f>
        <v>24</v>
      </c>
      <c r="S68" s="35">
        <f t="shared" ref="S68:S74" si="3">K68*$AA$80</f>
        <v>30</v>
      </c>
      <c r="T68" s="35">
        <f t="shared" ref="T68:T74" si="4">L68*$AA$83</f>
        <v>12</v>
      </c>
      <c r="U68" s="35">
        <f t="shared" ref="U68:U74" si="5">M68*$AA$85</f>
        <v>0</v>
      </c>
      <c r="V68" s="16">
        <f t="shared" ref="V68:V74" si="6">SUM(R68:U68)</f>
        <v>66</v>
      </c>
    </row>
    <row r="69" ht="16.5" spans="4:27">
      <c r="D69" s="62">
        <v>2</v>
      </c>
      <c r="E69" s="63">
        <v>0.1</v>
      </c>
      <c r="F69" s="63">
        <v>0.02</v>
      </c>
      <c r="G69" s="63"/>
      <c r="H69" s="63">
        <v>0.12</v>
      </c>
      <c r="I69" s="63">
        <v>0.06</v>
      </c>
      <c r="J69" s="58">
        <v>0.35</v>
      </c>
      <c r="K69" s="66">
        <v>0.25</v>
      </c>
      <c r="L69" s="66">
        <v>0.085</v>
      </c>
      <c r="M69" s="66">
        <v>0.02</v>
      </c>
      <c r="N69" s="65"/>
      <c r="O69" s="65"/>
      <c r="P69" s="65"/>
      <c r="R69" s="35">
        <f t="shared" si="2"/>
        <v>21</v>
      </c>
      <c r="S69" s="35">
        <f t="shared" si="3"/>
        <v>30</v>
      </c>
      <c r="T69" s="35">
        <f t="shared" si="4"/>
        <v>20.4</v>
      </c>
      <c r="U69" s="35">
        <f t="shared" si="5"/>
        <v>19.2</v>
      </c>
      <c r="V69" s="16">
        <f t="shared" si="6"/>
        <v>90.6</v>
      </c>
    </row>
    <row r="70" ht="16.5" spans="4:27">
      <c r="D70" s="62">
        <v>3</v>
      </c>
      <c r="E70" s="63">
        <v>0.1</v>
      </c>
      <c r="F70" s="63">
        <v>0.02</v>
      </c>
      <c r="G70" s="63"/>
      <c r="H70" s="63">
        <v>0.12</v>
      </c>
      <c r="I70" s="63">
        <v>0.06</v>
      </c>
      <c r="J70" s="58">
        <v>0.25</v>
      </c>
      <c r="K70" s="66">
        <f>0.7-SUM(L70:M70)-J70</f>
        <v>0.278</v>
      </c>
      <c r="L70" s="66">
        <v>0.14</v>
      </c>
      <c r="M70" s="66">
        <v>0.032</v>
      </c>
      <c r="N70" s="69">
        <f>M70-M69</f>
        <v>0.012</v>
      </c>
      <c r="O70" s="65"/>
      <c r="P70" s="65"/>
      <c r="R70" s="35">
        <f t="shared" si="2"/>
        <v>15</v>
      </c>
      <c r="S70" s="35">
        <f t="shared" si="3"/>
        <v>33.36</v>
      </c>
      <c r="T70" s="35">
        <f t="shared" si="4"/>
        <v>33.6</v>
      </c>
      <c r="U70" s="35">
        <f t="shared" si="5"/>
        <v>30.72</v>
      </c>
      <c r="V70" s="16">
        <f t="shared" si="6"/>
        <v>112.68</v>
      </c>
    </row>
    <row r="71" ht="16.5" spans="4:27">
      <c r="D71" s="62">
        <v>4</v>
      </c>
      <c r="E71" s="63">
        <v>0.1</v>
      </c>
      <c r="F71" s="63">
        <v>0.02</v>
      </c>
      <c r="G71" s="63"/>
      <c r="H71" s="63">
        <v>0.12</v>
      </c>
      <c r="I71" s="63">
        <v>0.06</v>
      </c>
      <c r="J71" s="58">
        <v>0.1</v>
      </c>
      <c r="K71" s="66">
        <f>0.7-SUM(L71:M71)-J71</f>
        <v>0.324</v>
      </c>
      <c r="L71" s="66">
        <v>0.23</v>
      </c>
      <c r="M71" s="66">
        <v>0.046</v>
      </c>
      <c r="N71" s="69">
        <f>M71-M70</f>
        <v>0.014</v>
      </c>
      <c r="O71" s="69"/>
      <c r="P71" s="69"/>
      <c r="R71" s="35">
        <f t="shared" si="2"/>
        <v>6</v>
      </c>
      <c r="S71" s="35">
        <f t="shared" si="3"/>
        <v>38.88</v>
      </c>
      <c r="T71" s="35">
        <f t="shared" si="4"/>
        <v>55.2</v>
      </c>
      <c r="U71" s="35">
        <f t="shared" si="5"/>
        <v>44.16</v>
      </c>
      <c r="V71" s="16">
        <f t="shared" si="6"/>
        <v>144.24</v>
      </c>
    </row>
    <row r="72" ht="16.5" spans="4:27">
      <c r="D72" s="62">
        <v>5</v>
      </c>
      <c r="E72" s="63">
        <v>0.1</v>
      </c>
      <c r="F72" s="63">
        <v>0.02</v>
      </c>
      <c r="G72" s="63"/>
      <c r="H72" s="63">
        <v>0.12</v>
      </c>
      <c r="I72" s="63">
        <v>0.06</v>
      </c>
      <c r="J72" s="58">
        <v>0.05</v>
      </c>
      <c r="K72" s="66">
        <f>0.7-SUM(L72:M72)-J72</f>
        <v>0.292</v>
      </c>
      <c r="L72" s="66">
        <v>0.28</v>
      </c>
      <c r="M72" s="66">
        <v>0.078</v>
      </c>
      <c r="N72" s="69">
        <f>M72-M71</f>
        <v>0.032</v>
      </c>
      <c r="O72" s="69"/>
      <c r="P72" s="69"/>
      <c r="R72" s="35">
        <f t="shared" si="2"/>
        <v>3</v>
      </c>
      <c r="S72" s="35">
        <f t="shared" si="3"/>
        <v>35.04</v>
      </c>
      <c r="T72" s="35">
        <f t="shared" si="4"/>
        <v>67.2</v>
      </c>
      <c r="U72" s="35">
        <f t="shared" si="5"/>
        <v>74.88</v>
      </c>
      <c r="V72" s="16">
        <f t="shared" si="6"/>
        <v>180.12</v>
      </c>
    </row>
    <row r="73" ht="16.5" spans="4:27">
      <c r="D73" s="62">
        <v>6</v>
      </c>
      <c r="E73" s="63">
        <v>0.1</v>
      </c>
      <c r="F73" s="63">
        <v>0.02</v>
      </c>
      <c r="G73" s="63"/>
      <c r="H73" s="63">
        <v>0.12</v>
      </c>
      <c r="I73" s="63">
        <v>0.06</v>
      </c>
      <c r="J73" s="58"/>
      <c r="K73" s="66">
        <f>0.7-SUM(L73:M73)-J73</f>
        <v>0.284</v>
      </c>
      <c r="L73" s="66">
        <v>0.3</v>
      </c>
      <c r="M73" s="66">
        <v>0.116</v>
      </c>
      <c r="N73" s="69">
        <f>M73-M72</f>
        <v>0.038</v>
      </c>
      <c r="O73" s="71">
        <v>2</v>
      </c>
      <c r="P73" s="71">
        <v>4</v>
      </c>
      <c r="R73" s="35">
        <f t="shared" si="2"/>
        <v>0</v>
      </c>
      <c r="S73" s="35">
        <f t="shared" si="3"/>
        <v>34.08</v>
      </c>
      <c r="T73" s="35">
        <f t="shared" si="4"/>
        <v>72</v>
      </c>
      <c r="U73" s="35">
        <f t="shared" si="5"/>
        <v>111.36</v>
      </c>
      <c r="V73" s="16">
        <f t="shared" si="6"/>
        <v>217.44</v>
      </c>
    </row>
    <row r="74" ht="16.5" spans="4:27">
      <c r="D74" s="62">
        <v>7</v>
      </c>
      <c r="E74" s="63">
        <v>0.1</v>
      </c>
      <c r="F74" s="63">
        <v>0.02</v>
      </c>
      <c r="G74" s="63"/>
      <c r="H74" s="63">
        <v>0.12</v>
      </c>
      <c r="I74" s="63">
        <v>0.06</v>
      </c>
      <c r="J74" s="58"/>
      <c r="K74" s="66">
        <f>0.7-SUM(L74:M74)-J74</f>
        <v>0.218</v>
      </c>
      <c r="L74" s="66">
        <v>0.33</v>
      </c>
      <c r="M74" s="66">
        <v>0.152</v>
      </c>
      <c r="N74" s="69">
        <f>M74-M73</f>
        <v>0.036</v>
      </c>
      <c r="O74" s="71">
        <v>2</v>
      </c>
      <c r="P74" s="71">
        <v>4</v>
      </c>
      <c r="R74" s="35">
        <f t="shared" si="2"/>
        <v>0</v>
      </c>
      <c r="S74" s="35">
        <f t="shared" si="3"/>
        <v>26.16</v>
      </c>
      <c r="T74" s="35">
        <f t="shared" si="4"/>
        <v>79.2</v>
      </c>
      <c r="U74" s="35">
        <f t="shared" si="5"/>
        <v>145.92</v>
      </c>
      <c r="V74" s="16">
        <f t="shared" si="6"/>
        <v>251.28</v>
      </c>
    </row>
    <row r="75" spans="4:27">
      <c r="R75" s="35"/>
      <c r="S75" s="35"/>
      <c r="T75" s="35"/>
      <c r="U75" s="35"/>
      <c r="V75" s="16">
        <f>SUM(V68:V74)/7</f>
        <v>151.765714285714</v>
      </c>
    </row>
    <row r="77" spans="4:27">
      <c r="N77" s="31"/>
    </row>
    <row r="78" ht="16.5" spans="4:27">
      <c r="D78" s="59" t="s">
        <v>1983</v>
      </c>
      <c r="E78" s="59" t="s">
        <v>195</v>
      </c>
      <c r="F78" s="59" t="s">
        <v>1984</v>
      </c>
      <c r="G78" s="59" t="s">
        <v>1985</v>
      </c>
      <c r="H78" s="59" t="s">
        <v>669</v>
      </c>
      <c r="I78" s="59" t="s">
        <v>674</v>
      </c>
      <c r="J78" s="59" t="s">
        <v>1986</v>
      </c>
      <c r="K78" s="59" t="s">
        <v>1987</v>
      </c>
      <c r="L78" s="59" t="s">
        <v>1968</v>
      </c>
      <c r="M78" s="59" t="s">
        <v>2042</v>
      </c>
      <c r="N78" s="60" t="s">
        <v>1989</v>
      </c>
      <c r="O78" s="60" t="s">
        <v>1990</v>
      </c>
      <c r="P78" s="60" t="s">
        <v>1991</v>
      </c>
      <c r="R78" s="59" t="s">
        <v>1986</v>
      </c>
      <c r="S78" s="59" t="s">
        <v>1987</v>
      </c>
      <c r="T78" s="59" t="s">
        <v>1968</v>
      </c>
      <c r="U78" s="59" t="s">
        <v>2042</v>
      </c>
      <c r="V78" s="16" t="s">
        <v>2043</v>
      </c>
    </row>
    <row r="79" ht="16.5" spans="4:27">
      <c r="D79" s="62">
        <v>1</v>
      </c>
      <c r="E79" s="63">
        <v>0.2</v>
      </c>
      <c r="F79" s="63">
        <v>0.05</v>
      </c>
      <c r="G79" s="63"/>
      <c r="H79" s="63">
        <v>0.25</v>
      </c>
      <c r="I79" s="63">
        <v>0.05</v>
      </c>
      <c r="K79" s="66">
        <v>0.25</v>
      </c>
      <c r="L79" s="76">
        <v>0.15</v>
      </c>
      <c r="M79" s="41">
        <v>0.05</v>
      </c>
      <c r="R79" s="35">
        <f>J79*$AA$79</f>
        <v>0</v>
      </c>
      <c r="S79" s="35">
        <f>K79*$AA$80</f>
        <v>30</v>
      </c>
      <c r="T79" s="35">
        <f>L79*$AA$83</f>
        <v>36</v>
      </c>
      <c r="U79" s="35">
        <f>M79*$AA$84</f>
        <v>24</v>
      </c>
      <c r="V79" s="16">
        <f>SUM(R79:U79)</f>
        <v>90</v>
      </c>
      <c r="X79" s="55" t="s">
        <v>222</v>
      </c>
      <c r="Y79" s="55">
        <v>1310100</v>
      </c>
      <c r="Z79" s="55"/>
      <c r="AA79" s="55">
        <v>60</v>
      </c>
    </row>
    <row r="80" ht="16.5" spans="4:27">
      <c r="M80" s="16" t="s">
        <v>2044</v>
      </c>
      <c r="X80" s="77" t="s">
        <v>225</v>
      </c>
      <c r="Y80" s="55">
        <v>1420200</v>
      </c>
      <c r="Z80" s="55"/>
      <c r="AA80" s="55">
        <v>120</v>
      </c>
    </row>
    <row r="81" ht="16.5" spans="2:27">
      <c r="X81" s="77"/>
      <c r="Y81" s="78"/>
      <c r="Z81" s="78"/>
      <c r="AA81" s="55"/>
    </row>
    <row r="82" ht="16.5" spans="2:27">
      <c r="X82" s="77"/>
      <c r="Y82" s="78"/>
      <c r="Z82" s="78"/>
      <c r="AA82" s="55"/>
    </row>
    <row r="83" ht="16.5" spans="2:27">
      <c r="D83" s="59"/>
      <c r="E83" s="59"/>
      <c r="F83" s="59"/>
      <c r="G83" s="59"/>
      <c r="H83" s="59"/>
      <c r="I83" s="59"/>
      <c r="J83" s="59"/>
      <c r="K83" s="59"/>
      <c r="L83" s="59"/>
      <c r="M83" s="59"/>
      <c r="X83" s="77" t="s">
        <v>226</v>
      </c>
      <c r="AA83" s="55">
        <v>240</v>
      </c>
    </row>
    <row r="84" ht="16.5" spans="2:27">
      <c r="D84" s="62"/>
      <c r="E84" s="63"/>
      <c r="F84" s="38" t="str">
        <f>1/M79&amp;"抽保底一个红"</f>
        <v>20抽保底一个红</v>
      </c>
      <c r="G84" s="60" t="s">
        <v>2045</v>
      </c>
      <c r="K84" s="79" t="s">
        <v>2046</v>
      </c>
      <c r="L84" s="80"/>
      <c r="X84" s="77" t="s">
        <v>227</v>
      </c>
      <c r="AA84" s="55">
        <v>480</v>
      </c>
    </row>
    <row r="85" ht="16.5" spans="2:27">
      <c r="D85" s="78"/>
      <c r="F85" s="41" t="s">
        <v>2047</v>
      </c>
      <c r="G85" s="60" t="s">
        <v>2048</v>
      </c>
      <c r="H85" s="81" t="s">
        <v>2049</v>
      </c>
      <c r="I85" s="66" t="s">
        <v>2050</v>
      </c>
      <c r="J85" s="66" t="s">
        <v>2051</v>
      </c>
      <c r="K85" s="60" t="s">
        <v>1610</v>
      </c>
      <c r="L85" s="60" t="s">
        <v>188</v>
      </c>
      <c r="X85" s="77" t="s">
        <v>228</v>
      </c>
      <c r="AA85" s="55">
        <v>960</v>
      </c>
    </row>
    <row r="86" spans="2:27">
      <c r="G86" s="16" t="s">
        <v>2015</v>
      </c>
      <c r="H86" s="38">
        <f>F101</f>
        <v>50</v>
      </c>
      <c r="I86" s="16">
        <f t="shared" ref="I86:I91" si="7">H86*100</f>
        <v>5000</v>
      </c>
      <c r="J86" s="16">
        <f t="shared" ref="J86:J91" si="8">I86/10</f>
        <v>500</v>
      </c>
      <c r="K86" s="82">
        <v>0</v>
      </c>
      <c r="L86" s="82">
        <v>684</v>
      </c>
      <c r="M86" s="82">
        <f t="shared" ref="M86:M91" si="9">L86/100+K86</f>
        <v>6.84</v>
      </c>
      <c r="N86" s="31" t="s">
        <v>2052</v>
      </c>
    </row>
    <row r="87" spans="2:27">
      <c r="G87" s="16" t="s">
        <v>2053</v>
      </c>
      <c r="H87" s="38">
        <f>F106</f>
        <v>200</v>
      </c>
      <c r="I87" s="16">
        <f t="shared" si="7"/>
        <v>20000</v>
      </c>
      <c r="J87" s="16">
        <f t="shared" si="8"/>
        <v>2000</v>
      </c>
      <c r="K87" s="82">
        <v>60</v>
      </c>
      <c r="L87" s="82">
        <v>2748</v>
      </c>
      <c r="M87" s="82">
        <f t="shared" si="9"/>
        <v>87.48</v>
      </c>
      <c r="N87" s="31" t="s">
        <v>2054</v>
      </c>
    </row>
    <row r="88" spans="2:27">
      <c r="G88" s="16" t="s">
        <v>2055</v>
      </c>
      <c r="H88" s="38">
        <f>F111</f>
        <v>450</v>
      </c>
      <c r="I88" s="16">
        <f t="shared" si="7"/>
        <v>45000</v>
      </c>
      <c r="J88" s="16">
        <f t="shared" si="8"/>
        <v>4500</v>
      </c>
      <c r="K88" s="82">
        <f>(K87+K89)/2.5</f>
        <v>752</v>
      </c>
      <c r="L88" s="82">
        <f>(L87+L89)/2.5</f>
        <v>7089.6</v>
      </c>
      <c r="M88" s="82">
        <f t="shared" si="9"/>
        <v>822.896</v>
      </c>
    </row>
    <row r="89" spans="2:27">
      <c r="G89" s="16" t="s">
        <v>2056</v>
      </c>
      <c r="H89" s="38">
        <f>F116</f>
        <v>800</v>
      </c>
      <c r="I89" s="16">
        <f t="shared" si="7"/>
        <v>80000</v>
      </c>
      <c r="J89" s="16">
        <f t="shared" si="8"/>
        <v>8000</v>
      </c>
      <c r="K89" s="82">
        <v>1820</v>
      </c>
      <c r="L89" s="82">
        <v>14976</v>
      </c>
      <c r="M89" s="82">
        <f t="shared" si="9"/>
        <v>1969.76</v>
      </c>
    </row>
    <row r="90" spans="2:27">
      <c r="G90" s="16" t="s">
        <v>2057</v>
      </c>
      <c r="H90" s="16">
        <f>F121</f>
        <v>1250</v>
      </c>
      <c r="I90" s="16">
        <f t="shared" si="7"/>
        <v>125000</v>
      </c>
      <c r="J90" s="16">
        <f t="shared" si="8"/>
        <v>12500</v>
      </c>
      <c r="K90" s="82">
        <f>(K89+K91)/2</f>
        <v>4502.8</v>
      </c>
      <c r="L90" s="82">
        <f>(L89+L91)/2</f>
        <v>43416</v>
      </c>
      <c r="M90" s="82">
        <f t="shared" si="9"/>
        <v>4936.96</v>
      </c>
    </row>
    <row r="91" spans="2:27">
      <c r="G91" s="16" t="s">
        <v>2058</v>
      </c>
      <c r="H91" s="16">
        <f>F126</f>
        <v>1850</v>
      </c>
      <c r="I91" s="16">
        <f t="shared" si="7"/>
        <v>185000</v>
      </c>
      <c r="J91" s="16">
        <f t="shared" si="8"/>
        <v>18500</v>
      </c>
      <c r="K91" s="82">
        <v>7185.6</v>
      </c>
      <c r="L91" s="82">
        <v>71856</v>
      </c>
      <c r="M91" s="82">
        <f t="shared" si="9"/>
        <v>7904.16</v>
      </c>
      <c r="Q91" s="82"/>
      <c r="R91" s="82"/>
      <c r="S91" s="82"/>
    </row>
    <row r="92" spans="2:27">
      <c r="Q92" s="82"/>
      <c r="R92" s="82"/>
      <c r="S92" s="82"/>
    </row>
    <row r="93" ht="16.5" spans="2:27">
      <c r="B93" s="18"/>
      <c r="C93" s="19" t="s">
        <v>2059</v>
      </c>
      <c r="I93" s="16">
        <f>5*7%</f>
        <v>0.35</v>
      </c>
    </row>
    <row r="94" ht="16.5" spans="2:27">
      <c r="B94" s="19"/>
      <c r="C94" s="19"/>
      <c r="I94" s="16" t="s">
        <v>2060</v>
      </c>
      <c r="K94" s="16" t="s">
        <v>2061</v>
      </c>
      <c r="L94" s="16">
        <f>5000/5</f>
        <v>1000</v>
      </c>
      <c r="M94" s="16" t="s">
        <v>2062</v>
      </c>
    </row>
    <row r="95" ht="16.5" spans="2:27">
      <c r="B95" s="19"/>
      <c r="C95" s="19"/>
      <c r="D95" s="59" t="s">
        <v>1996</v>
      </c>
      <c r="E95" s="59" t="s">
        <v>1997</v>
      </c>
      <c r="F95" s="59" t="s">
        <v>1575</v>
      </c>
      <c r="G95" s="59" t="s">
        <v>1974</v>
      </c>
      <c r="H95" s="59" t="s">
        <v>1587</v>
      </c>
      <c r="I95" s="59" t="s">
        <v>2063</v>
      </c>
      <c r="J95" s="59" t="s">
        <v>2064</v>
      </c>
      <c r="K95" s="83"/>
      <c r="L95" s="83"/>
      <c r="M95" s="83" t="s">
        <v>2065</v>
      </c>
      <c r="N95" s="83" t="s">
        <v>2066</v>
      </c>
      <c r="O95" s="83" t="s">
        <v>2067</v>
      </c>
    </row>
    <row r="96" ht="16.5" spans="2:27">
      <c r="B96" s="19"/>
      <c r="C96" s="19"/>
      <c r="D96" s="62">
        <v>0</v>
      </c>
      <c r="F96" s="84">
        <f>SUM($E$96)</f>
        <v>0</v>
      </c>
      <c r="G96" s="62">
        <f t="shared" ref="G96:G156" si="10">F96*$E$4</f>
        <v>0</v>
      </c>
      <c r="K96" s="85"/>
      <c r="M96" s="16">
        <v>10</v>
      </c>
      <c r="N96" s="16">
        <v>10</v>
      </c>
      <c r="O96" s="16">
        <v>10</v>
      </c>
    </row>
    <row r="97" ht="16.5" spans="2:15">
      <c r="B97" s="19"/>
      <c r="C97" s="19"/>
      <c r="D97" s="62">
        <v>1</v>
      </c>
      <c r="E97" s="84">
        <v>10</v>
      </c>
      <c r="F97" s="84">
        <f>SUM($E$96:E97)</f>
        <v>10</v>
      </c>
      <c r="G97" s="62">
        <f t="shared" si="10"/>
        <v>10000</v>
      </c>
      <c r="H97" s="86">
        <v>1.7</v>
      </c>
      <c r="I97" s="85">
        <v>1.395</v>
      </c>
      <c r="J97" s="86">
        <v>1.2825</v>
      </c>
      <c r="K97" s="86"/>
      <c r="L97" s="41"/>
      <c r="M97" s="16">
        <v>10</v>
      </c>
      <c r="N97" s="16">
        <v>10</v>
      </c>
      <c r="O97" s="16">
        <v>10</v>
      </c>
    </row>
    <row r="98" ht="16.5" spans="2:15">
      <c r="B98" s="19"/>
      <c r="D98" s="62">
        <v>2</v>
      </c>
      <c r="E98" s="84">
        <v>10</v>
      </c>
      <c r="F98" s="84">
        <f>SUM($E$96:E98)</f>
        <v>20</v>
      </c>
      <c r="G98" s="62">
        <f t="shared" si="10"/>
        <v>20000</v>
      </c>
      <c r="H98" s="85">
        <v>1.87</v>
      </c>
      <c r="I98" s="86">
        <v>1.485675</v>
      </c>
      <c r="J98" s="86">
        <v>1.3402125</v>
      </c>
      <c r="K98" s="86"/>
      <c r="L98" s="41"/>
      <c r="M98" s="16">
        <v>10</v>
      </c>
      <c r="N98" s="16">
        <v>10</v>
      </c>
      <c r="O98" s="16">
        <v>10</v>
      </c>
    </row>
    <row r="99" ht="16.5" spans="2:15">
      <c r="D99" s="62">
        <v>3</v>
      </c>
      <c r="E99" s="84">
        <v>10</v>
      </c>
      <c r="F99" s="84">
        <f>SUM($E$96:E99)</f>
        <v>30</v>
      </c>
      <c r="G99" s="62">
        <f t="shared" si="10"/>
        <v>30000</v>
      </c>
      <c r="H99" s="86">
        <v>2.04</v>
      </c>
      <c r="I99" s="86">
        <v>1.57635</v>
      </c>
      <c r="J99" s="86">
        <v>1.397925</v>
      </c>
      <c r="K99" s="86"/>
      <c r="L99" s="41"/>
      <c r="M99" s="16">
        <v>10</v>
      </c>
      <c r="N99" s="16">
        <v>10</v>
      </c>
      <c r="O99" s="16">
        <v>10</v>
      </c>
    </row>
    <row r="100" ht="16.5" spans="2:15">
      <c r="D100" s="62">
        <v>4</v>
      </c>
      <c r="E100" s="84">
        <v>10</v>
      </c>
      <c r="F100" s="84">
        <f>SUM($E$96:E100)</f>
        <v>40</v>
      </c>
      <c r="G100" s="62">
        <f t="shared" si="10"/>
        <v>40000</v>
      </c>
      <c r="H100" s="86">
        <v>2.21</v>
      </c>
      <c r="I100" s="86">
        <v>1.667025</v>
      </c>
      <c r="J100" s="86">
        <v>1.4556375</v>
      </c>
      <c r="K100" s="86"/>
      <c r="L100" s="41"/>
      <c r="M100" s="16">
        <v>10</v>
      </c>
      <c r="N100" s="16">
        <v>10</v>
      </c>
      <c r="O100" s="16">
        <v>10</v>
      </c>
    </row>
    <row r="101" ht="16.5" spans="2:15">
      <c r="D101" s="62">
        <v>5</v>
      </c>
      <c r="E101" s="84">
        <v>10</v>
      </c>
      <c r="F101" s="84">
        <f>SUM($E$96:E101)</f>
        <v>50</v>
      </c>
      <c r="G101" s="62">
        <f t="shared" si="10"/>
        <v>50000</v>
      </c>
      <c r="H101" s="86">
        <v>2.8</v>
      </c>
      <c r="I101" s="86">
        <v>1.953</v>
      </c>
      <c r="J101" s="86">
        <v>1.593</v>
      </c>
      <c r="K101" s="86"/>
      <c r="L101" s="41"/>
      <c r="M101" s="16">
        <v>30</v>
      </c>
      <c r="N101" s="16">
        <v>30</v>
      </c>
      <c r="O101" s="16">
        <v>30</v>
      </c>
    </row>
    <row r="102" ht="16.5" spans="2:15">
      <c r="D102" s="62">
        <v>6</v>
      </c>
      <c r="E102" s="84">
        <v>30</v>
      </c>
      <c r="F102" s="84">
        <f>SUM($E$96:E102)</f>
        <v>80</v>
      </c>
      <c r="G102" s="62">
        <f t="shared" si="10"/>
        <v>80000</v>
      </c>
      <c r="H102" s="86">
        <v>3</v>
      </c>
      <c r="I102" s="86">
        <v>2.05375</v>
      </c>
      <c r="J102" s="86">
        <v>1.65375</v>
      </c>
      <c r="K102" s="86"/>
      <c r="L102" s="41"/>
      <c r="M102" s="16">
        <v>30</v>
      </c>
      <c r="N102" s="16">
        <v>30</v>
      </c>
      <c r="O102" s="16">
        <v>30</v>
      </c>
    </row>
    <row r="103" ht="16.5" spans="2:15">
      <c r="D103" s="62">
        <v>7</v>
      </c>
      <c r="E103" s="84">
        <v>30</v>
      </c>
      <c r="F103" s="84">
        <f>SUM($E$96:E103)</f>
        <v>110</v>
      </c>
      <c r="G103" s="62">
        <f t="shared" si="10"/>
        <v>110000</v>
      </c>
      <c r="H103" s="86">
        <v>3.2</v>
      </c>
      <c r="I103" s="86">
        <v>2.1545</v>
      </c>
      <c r="J103" s="86">
        <v>1.7145</v>
      </c>
      <c r="K103" s="86"/>
      <c r="L103" s="41"/>
      <c r="M103" s="16">
        <v>30</v>
      </c>
      <c r="N103" s="16">
        <v>30</v>
      </c>
      <c r="O103" s="16">
        <v>30</v>
      </c>
    </row>
    <row r="104" ht="16.5" spans="2:15">
      <c r="D104" s="62">
        <v>8</v>
      </c>
      <c r="E104" s="84">
        <v>30</v>
      </c>
      <c r="F104" s="84">
        <f>SUM($E$96:E104)</f>
        <v>140</v>
      </c>
      <c r="G104" s="62">
        <f t="shared" si="10"/>
        <v>140000</v>
      </c>
      <c r="H104" s="86">
        <v>3.4</v>
      </c>
      <c r="I104" s="86">
        <v>2.25525</v>
      </c>
      <c r="J104" s="86">
        <v>1.77525</v>
      </c>
      <c r="K104" s="86"/>
      <c r="L104" s="41"/>
      <c r="M104" s="16">
        <v>30</v>
      </c>
      <c r="N104" s="16">
        <v>30</v>
      </c>
      <c r="O104" s="16">
        <v>30</v>
      </c>
    </row>
    <row r="105" ht="16.5" spans="2:15">
      <c r="D105" s="62">
        <v>9</v>
      </c>
      <c r="E105" s="84">
        <v>30</v>
      </c>
      <c r="F105" s="84">
        <f>SUM($E$96:E105)</f>
        <v>170</v>
      </c>
      <c r="G105" s="62">
        <f t="shared" si="10"/>
        <v>170000</v>
      </c>
      <c r="H105" s="86">
        <v>3.6</v>
      </c>
      <c r="I105" s="86">
        <v>2.356</v>
      </c>
      <c r="J105" s="86">
        <v>1.836</v>
      </c>
      <c r="K105" s="86"/>
      <c r="L105" s="41"/>
      <c r="M105" s="16">
        <v>30</v>
      </c>
      <c r="N105" s="16">
        <v>30</v>
      </c>
      <c r="O105" s="16">
        <v>30</v>
      </c>
    </row>
    <row r="106" ht="16.5" spans="2:15">
      <c r="D106" s="62">
        <v>10</v>
      </c>
      <c r="E106" s="84">
        <v>30</v>
      </c>
      <c r="F106" s="84">
        <f>SUM($E$96:E106)</f>
        <v>200</v>
      </c>
      <c r="G106" s="62">
        <f t="shared" si="10"/>
        <v>200000</v>
      </c>
      <c r="H106" s="86">
        <v>4.37</v>
      </c>
      <c r="I106" s="86">
        <v>2.702425</v>
      </c>
      <c r="J106" s="86">
        <v>1.9915875</v>
      </c>
      <c r="K106" s="86"/>
      <c r="L106" s="41"/>
      <c r="M106" s="16">
        <v>60</v>
      </c>
      <c r="N106" s="16">
        <v>60</v>
      </c>
      <c r="O106" s="16">
        <v>50</v>
      </c>
    </row>
    <row r="107" ht="16.5" spans="2:15">
      <c r="D107" s="62">
        <v>11</v>
      </c>
      <c r="E107" s="84">
        <v>50</v>
      </c>
      <c r="F107" s="84">
        <f>SUM($E$96:E107)</f>
        <v>250</v>
      </c>
      <c r="G107" s="62">
        <f t="shared" si="10"/>
        <v>250000</v>
      </c>
      <c r="H107" s="86">
        <v>4.6</v>
      </c>
      <c r="I107" s="86">
        <v>2.81325</v>
      </c>
      <c r="J107" s="86">
        <v>2.055375</v>
      </c>
      <c r="K107" s="85"/>
      <c r="L107" s="41"/>
      <c r="M107" s="16">
        <v>60</v>
      </c>
      <c r="N107" s="16">
        <v>60</v>
      </c>
      <c r="O107" s="16">
        <v>50</v>
      </c>
    </row>
    <row r="108" ht="16.5" spans="2:15">
      <c r="D108" s="62">
        <v>12</v>
      </c>
      <c r="E108" s="84">
        <v>50</v>
      </c>
      <c r="F108" s="84">
        <f>SUM($E$96:E108)</f>
        <v>300</v>
      </c>
      <c r="G108" s="62">
        <f t="shared" si="10"/>
        <v>300000</v>
      </c>
      <c r="H108" s="86">
        <v>4.83</v>
      </c>
      <c r="I108" s="86">
        <v>2.924075</v>
      </c>
      <c r="J108" s="86">
        <v>2.1191625</v>
      </c>
      <c r="K108" s="86"/>
      <c r="L108" s="41"/>
      <c r="M108" s="16">
        <v>60</v>
      </c>
      <c r="N108" s="16">
        <v>60</v>
      </c>
      <c r="O108" s="16">
        <v>50</v>
      </c>
    </row>
    <row r="109" ht="16.5" spans="2:15">
      <c r="D109" s="62">
        <v>13</v>
      </c>
      <c r="E109" s="84">
        <v>50</v>
      </c>
      <c r="F109" s="84">
        <f>SUM($E$96:E109)</f>
        <v>350</v>
      </c>
      <c r="G109" s="62">
        <f t="shared" si="10"/>
        <v>350000</v>
      </c>
      <c r="H109" s="86">
        <v>5.06</v>
      </c>
      <c r="I109" s="86">
        <v>3.0349</v>
      </c>
      <c r="J109" s="86">
        <v>2.18295</v>
      </c>
      <c r="K109" s="86"/>
      <c r="L109" s="41"/>
      <c r="M109" s="16">
        <v>60</v>
      </c>
      <c r="N109" s="16">
        <v>60</v>
      </c>
      <c r="O109" s="16">
        <v>50</v>
      </c>
    </row>
    <row r="110" ht="16.5" spans="2:15">
      <c r="D110" s="62">
        <v>14</v>
      </c>
      <c r="E110" s="84">
        <v>50</v>
      </c>
      <c r="F110" s="84">
        <f>SUM($E$96:E110)</f>
        <v>400</v>
      </c>
      <c r="G110" s="62">
        <f t="shared" si="10"/>
        <v>400000</v>
      </c>
      <c r="H110" s="86">
        <v>5.29</v>
      </c>
      <c r="I110" s="86">
        <v>3.145725</v>
      </c>
      <c r="J110" s="86">
        <v>2.2467375</v>
      </c>
      <c r="K110" s="86"/>
      <c r="L110" s="41"/>
      <c r="M110" s="16">
        <v>60</v>
      </c>
      <c r="N110" s="16">
        <v>60</v>
      </c>
      <c r="O110" s="16">
        <v>50</v>
      </c>
    </row>
    <row r="111" ht="16.5" spans="2:15">
      <c r="D111" s="62">
        <v>15</v>
      </c>
      <c r="E111" s="84">
        <v>50</v>
      </c>
      <c r="F111" s="84">
        <f>SUM($E$96:E111)</f>
        <v>450</v>
      </c>
      <c r="G111" s="62">
        <f t="shared" si="10"/>
        <v>450000</v>
      </c>
      <c r="H111" s="86">
        <v>6.24</v>
      </c>
      <c r="I111" s="86">
        <v>3.5526</v>
      </c>
      <c r="J111" s="86">
        <v>2.42055</v>
      </c>
      <c r="K111" s="86"/>
      <c r="L111" s="41"/>
      <c r="M111" s="16">
        <v>90</v>
      </c>
      <c r="N111" s="16">
        <v>90</v>
      </c>
      <c r="O111" s="16">
        <v>70</v>
      </c>
    </row>
    <row r="112" ht="16.5" spans="2:15">
      <c r="D112" s="62">
        <v>16</v>
      </c>
      <c r="E112" s="84">
        <v>70</v>
      </c>
      <c r="F112" s="84">
        <f>SUM($E$96:E112)</f>
        <v>520</v>
      </c>
      <c r="G112" s="62">
        <f t="shared" si="10"/>
        <v>520000</v>
      </c>
      <c r="H112" s="86">
        <v>6.5</v>
      </c>
      <c r="I112" s="86">
        <v>3.6735</v>
      </c>
      <c r="J112" s="86">
        <v>2.487375</v>
      </c>
      <c r="K112" s="86"/>
      <c r="L112" s="41"/>
      <c r="M112" s="16">
        <v>90</v>
      </c>
      <c r="N112" s="16">
        <v>90</v>
      </c>
      <c r="O112" s="16">
        <v>70</v>
      </c>
    </row>
    <row r="113" ht="16.5" spans="4:15">
      <c r="D113" s="62">
        <v>17</v>
      </c>
      <c r="E113" s="84">
        <v>70</v>
      </c>
      <c r="F113" s="84">
        <f>SUM($E$96:E113)</f>
        <v>590</v>
      </c>
      <c r="G113" s="62">
        <f t="shared" si="10"/>
        <v>590000</v>
      </c>
      <c r="H113" s="86">
        <v>6.76</v>
      </c>
      <c r="I113" s="86">
        <v>3.7944</v>
      </c>
      <c r="J113" s="86">
        <v>2.5542</v>
      </c>
      <c r="K113" s="86"/>
      <c r="L113" s="41"/>
      <c r="M113" s="16">
        <v>90</v>
      </c>
      <c r="N113" s="16">
        <v>90</v>
      </c>
      <c r="O113" s="16">
        <v>70</v>
      </c>
    </row>
    <row r="114" ht="16.5" spans="4:15">
      <c r="D114" s="62">
        <v>18</v>
      </c>
      <c r="E114" s="84">
        <v>70</v>
      </c>
      <c r="F114" s="84">
        <f>SUM($E$96:E114)</f>
        <v>660</v>
      </c>
      <c r="G114" s="62">
        <f t="shared" si="10"/>
        <v>660000</v>
      </c>
      <c r="H114" s="86">
        <v>7.02</v>
      </c>
      <c r="I114" s="86">
        <v>3.9153</v>
      </c>
      <c r="J114" s="86">
        <v>2.621025</v>
      </c>
      <c r="K114" s="86"/>
      <c r="L114" s="41"/>
      <c r="M114" s="16">
        <v>90</v>
      </c>
      <c r="N114" s="16">
        <v>90</v>
      </c>
      <c r="O114" s="16">
        <v>70</v>
      </c>
    </row>
    <row r="115" ht="16.5" spans="4:15">
      <c r="D115" s="62">
        <v>19</v>
      </c>
      <c r="E115" s="84">
        <v>70</v>
      </c>
      <c r="F115" s="84">
        <f>SUM($E$96:E115)</f>
        <v>730</v>
      </c>
      <c r="G115" s="62">
        <f t="shared" si="10"/>
        <v>730000</v>
      </c>
      <c r="H115" s="86">
        <v>7.28</v>
      </c>
      <c r="I115" s="86">
        <v>4.0362</v>
      </c>
      <c r="J115" s="86">
        <v>2.68785</v>
      </c>
      <c r="K115" s="86"/>
      <c r="L115" s="41"/>
      <c r="M115" s="16">
        <v>90</v>
      </c>
      <c r="N115" s="16">
        <v>90</v>
      </c>
      <c r="O115" s="16">
        <v>70</v>
      </c>
    </row>
    <row r="116" ht="16.5" spans="4:15">
      <c r="D116" s="62">
        <v>20</v>
      </c>
      <c r="E116" s="84">
        <v>70</v>
      </c>
      <c r="F116" s="84">
        <f>SUM($E$96:E116)</f>
        <v>800</v>
      </c>
      <c r="G116" s="62">
        <f t="shared" si="10"/>
        <v>800000</v>
      </c>
      <c r="H116" s="86">
        <v>8.41</v>
      </c>
      <c r="I116" s="86">
        <v>4.503525</v>
      </c>
      <c r="J116" s="86">
        <v>2.8798875</v>
      </c>
      <c r="K116" s="86"/>
      <c r="L116" s="41"/>
      <c r="M116" s="16">
        <v>120</v>
      </c>
      <c r="N116" s="16">
        <v>120</v>
      </c>
      <c r="O116" s="16">
        <v>90</v>
      </c>
    </row>
    <row r="117" ht="16.5" spans="4:15">
      <c r="D117" s="62">
        <v>21</v>
      </c>
      <c r="E117" s="84">
        <v>90</v>
      </c>
      <c r="F117" s="84">
        <f>SUM($E$96:E117)</f>
        <v>890</v>
      </c>
      <c r="G117" s="62">
        <f t="shared" si="10"/>
        <v>890000</v>
      </c>
      <c r="H117" s="86">
        <v>8.7</v>
      </c>
      <c r="I117" s="86">
        <v>4.6345</v>
      </c>
      <c r="J117" s="86">
        <v>2.94975</v>
      </c>
      <c r="K117" s="86"/>
      <c r="L117" s="41"/>
      <c r="M117" s="16">
        <v>120</v>
      </c>
      <c r="N117" s="16">
        <v>120</v>
      </c>
      <c r="O117" s="16">
        <v>90</v>
      </c>
    </row>
    <row r="118" ht="16.5" spans="4:15">
      <c r="D118" s="62">
        <v>22</v>
      </c>
      <c r="E118" s="84">
        <v>90</v>
      </c>
      <c r="F118" s="84">
        <f>SUM($E$96:E118)</f>
        <v>980</v>
      </c>
      <c r="G118" s="62">
        <f t="shared" si="10"/>
        <v>980000</v>
      </c>
      <c r="H118" s="86">
        <v>8.99</v>
      </c>
      <c r="I118" s="86">
        <v>4.765475</v>
      </c>
      <c r="J118" s="86">
        <v>3.0196125</v>
      </c>
      <c r="K118" s="86"/>
      <c r="L118" s="41"/>
      <c r="M118" s="16">
        <v>120</v>
      </c>
      <c r="N118" s="16">
        <v>120</v>
      </c>
      <c r="O118" s="16">
        <v>90</v>
      </c>
    </row>
    <row r="119" ht="16.5" spans="4:15">
      <c r="D119" s="62">
        <v>23</v>
      </c>
      <c r="E119" s="84">
        <v>90</v>
      </c>
      <c r="F119" s="84">
        <f>SUM($E$96:E119)</f>
        <v>1070</v>
      </c>
      <c r="G119" s="62">
        <f t="shared" si="10"/>
        <v>1070000</v>
      </c>
      <c r="H119" s="86">
        <v>9.28</v>
      </c>
      <c r="I119" s="86">
        <v>4.89645</v>
      </c>
      <c r="J119" s="86">
        <v>3.089475</v>
      </c>
      <c r="K119" s="86"/>
      <c r="L119" s="41"/>
      <c r="M119" s="16">
        <v>120</v>
      </c>
      <c r="N119" s="16">
        <v>120</v>
      </c>
      <c r="O119" s="16">
        <v>90</v>
      </c>
    </row>
    <row r="120" ht="16.5" spans="4:15">
      <c r="D120" s="62">
        <v>24</v>
      </c>
      <c r="E120" s="84">
        <v>90</v>
      </c>
      <c r="F120" s="84">
        <f>SUM($E$96:E120)</f>
        <v>1160</v>
      </c>
      <c r="G120" s="62">
        <f t="shared" si="10"/>
        <v>1160000</v>
      </c>
      <c r="H120" s="86">
        <v>9.57</v>
      </c>
      <c r="I120" s="86">
        <v>5.027425</v>
      </c>
      <c r="J120" s="86">
        <v>3.1593375</v>
      </c>
      <c r="K120" s="86"/>
      <c r="L120" s="41"/>
      <c r="M120" s="16">
        <v>120</v>
      </c>
      <c r="N120" s="16">
        <v>120</v>
      </c>
      <c r="O120" s="16">
        <v>90</v>
      </c>
    </row>
    <row r="121" ht="16.5" spans="4:15">
      <c r="D121" s="62">
        <v>25</v>
      </c>
      <c r="E121" s="84">
        <v>90</v>
      </c>
      <c r="F121" s="84">
        <f>SUM($E$96:E121)</f>
        <v>1250</v>
      </c>
      <c r="G121" s="62">
        <f t="shared" si="10"/>
        <v>1250000</v>
      </c>
      <c r="H121" s="86">
        <v>10.88</v>
      </c>
      <c r="I121" s="86">
        <v>5.5552</v>
      </c>
      <c r="J121" s="86">
        <v>3.3696</v>
      </c>
      <c r="K121" s="86"/>
      <c r="L121" s="41"/>
      <c r="M121" s="16">
        <v>240</v>
      </c>
      <c r="N121" s="16">
        <v>180</v>
      </c>
      <c r="O121" s="16">
        <v>120</v>
      </c>
    </row>
    <row r="122" ht="16.5" spans="4:15">
      <c r="D122" s="62">
        <v>26</v>
      </c>
      <c r="E122" s="84">
        <v>120</v>
      </c>
      <c r="F122" s="84">
        <f>SUM($E$96:E122)</f>
        <v>1370</v>
      </c>
      <c r="G122" s="62">
        <f t="shared" si="10"/>
        <v>1370000</v>
      </c>
      <c r="H122" s="86">
        <v>11.2</v>
      </c>
      <c r="I122" s="86">
        <v>5.69625</v>
      </c>
      <c r="J122" s="86">
        <v>3.4425</v>
      </c>
      <c r="K122" s="86"/>
      <c r="L122" s="41"/>
      <c r="M122" s="16">
        <v>240</v>
      </c>
      <c r="N122" s="16">
        <v>180</v>
      </c>
      <c r="O122" s="16">
        <v>120</v>
      </c>
    </row>
    <row r="123" ht="16.5" spans="4:15">
      <c r="D123" s="62">
        <v>27</v>
      </c>
      <c r="E123" s="84">
        <v>120</v>
      </c>
      <c r="F123" s="84">
        <f>SUM($E$96:E123)</f>
        <v>1490</v>
      </c>
      <c r="G123" s="62">
        <f t="shared" si="10"/>
        <v>1490000</v>
      </c>
      <c r="H123" s="86">
        <v>11.52</v>
      </c>
      <c r="I123" s="86">
        <v>5.8373</v>
      </c>
      <c r="J123" s="86">
        <v>3.5154</v>
      </c>
      <c r="K123" s="86"/>
      <c r="L123" s="41"/>
      <c r="M123" s="16">
        <v>240</v>
      </c>
      <c r="N123" s="16">
        <v>180</v>
      </c>
      <c r="O123" s="16">
        <v>120</v>
      </c>
    </row>
    <row r="124" ht="16.5" spans="4:15">
      <c r="D124" s="62">
        <v>28</v>
      </c>
      <c r="E124" s="84">
        <v>120</v>
      </c>
      <c r="F124" s="84">
        <f>SUM($E$96:E124)</f>
        <v>1610</v>
      </c>
      <c r="G124" s="62">
        <f t="shared" si="10"/>
        <v>1610000</v>
      </c>
      <c r="H124" s="86">
        <v>11.84</v>
      </c>
      <c r="I124" s="86">
        <v>5.97835</v>
      </c>
      <c r="J124" s="86">
        <v>3.5883</v>
      </c>
      <c r="K124" s="86"/>
      <c r="L124" s="41"/>
      <c r="M124" s="16">
        <v>240</v>
      </c>
      <c r="N124" s="16">
        <v>180</v>
      </c>
      <c r="O124" s="16">
        <v>120</v>
      </c>
    </row>
    <row r="125" ht="16.5" spans="4:15">
      <c r="D125" s="62">
        <v>29</v>
      </c>
      <c r="E125" s="84">
        <v>120</v>
      </c>
      <c r="F125" s="84">
        <f>SUM($E$96:E125)</f>
        <v>1730</v>
      </c>
      <c r="G125" s="62">
        <f t="shared" si="10"/>
        <v>1730000</v>
      </c>
      <c r="H125" s="86">
        <v>12.16</v>
      </c>
      <c r="I125" s="86">
        <v>6.1194</v>
      </c>
      <c r="J125" s="86">
        <v>3.6612</v>
      </c>
      <c r="K125" s="86"/>
      <c r="L125" s="41"/>
      <c r="M125" s="16">
        <v>240</v>
      </c>
      <c r="N125" s="16">
        <v>180</v>
      </c>
      <c r="O125" s="16">
        <v>120</v>
      </c>
    </row>
    <row r="126" ht="16.5" spans="4:15">
      <c r="D126" s="62">
        <v>30</v>
      </c>
      <c r="E126" s="84">
        <v>120</v>
      </c>
      <c r="F126" s="84">
        <f>SUM($E$96:E126)</f>
        <v>1850</v>
      </c>
      <c r="G126" s="62">
        <f t="shared" si="10"/>
        <v>1850000</v>
      </c>
      <c r="H126" s="86">
        <v>13.65</v>
      </c>
      <c r="I126" s="86">
        <v>6.707625</v>
      </c>
      <c r="J126" s="86">
        <v>3.8896875</v>
      </c>
      <c r="K126" s="86"/>
      <c r="L126" s="41"/>
      <c r="M126" s="16">
        <v>480</v>
      </c>
      <c r="N126" s="16">
        <v>240</v>
      </c>
      <c r="O126" s="16">
        <v>150</v>
      </c>
    </row>
    <row r="127" ht="16.5" spans="4:15">
      <c r="D127" s="62">
        <v>31</v>
      </c>
      <c r="E127" s="84">
        <v>150</v>
      </c>
      <c r="F127" s="84">
        <f>SUM($E$96:E127)</f>
        <v>2000</v>
      </c>
      <c r="G127" s="62">
        <f t="shared" si="10"/>
        <v>2000000</v>
      </c>
      <c r="H127" s="86">
        <v>14</v>
      </c>
      <c r="I127" s="86">
        <v>6.85875</v>
      </c>
      <c r="J127" s="86">
        <v>3.965625</v>
      </c>
      <c r="K127" s="86"/>
      <c r="L127" s="41"/>
      <c r="M127" s="16">
        <v>480</v>
      </c>
      <c r="N127" s="16">
        <v>240</v>
      </c>
      <c r="O127" s="16">
        <v>150</v>
      </c>
    </row>
    <row r="128" ht="16.5" spans="4:15">
      <c r="D128" s="62">
        <v>32</v>
      </c>
      <c r="E128" s="87">
        <v>150</v>
      </c>
      <c r="F128" s="84">
        <f>SUM($E$96:E128)</f>
        <v>2150</v>
      </c>
      <c r="G128" s="62">
        <f t="shared" si="10"/>
        <v>2150000</v>
      </c>
      <c r="H128" s="86">
        <v>14.35</v>
      </c>
      <c r="I128" s="86">
        <v>7.009875</v>
      </c>
      <c r="J128" s="86">
        <v>4.0415625</v>
      </c>
      <c r="K128" s="86"/>
      <c r="L128" s="41"/>
      <c r="M128" s="16">
        <v>480</v>
      </c>
      <c r="N128" s="16">
        <v>240</v>
      </c>
      <c r="O128" s="16">
        <v>150</v>
      </c>
    </row>
    <row r="129" ht="16.5" spans="4:15">
      <c r="D129" s="62">
        <v>33</v>
      </c>
      <c r="E129" s="87">
        <v>150</v>
      </c>
      <c r="F129" s="84">
        <f>SUM($E$96:E129)</f>
        <v>2300</v>
      </c>
      <c r="G129" s="62">
        <f t="shared" si="10"/>
        <v>2300000</v>
      </c>
      <c r="H129" s="86">
        <v>14.7</v>
      </c>
      <c r="I129" s="86">
        <v>7.161</v>
      </c>
      <c r="J129" s="86">
        <v>4.1175</v>
      </c>
      <c r="K129" s="86"/>
      <c r="L129" s="41"/>
      <c r="M129" s="16">
        <v>480</v>
      </c>
      <c r="N129" s="16">
        <v>240</v>
      </c>
      <c r="O129" s="16">
        <v>150</v>
      </c>
    </row>
    <row r="130" ht="16.5" spans="4:15">
      <c r="D130" s="62">
        <v>34</v>
      </c>
      <c r="E130" s="87">
        <v>150</v>
      </c>
      <c r="F130" s="84">
        <f>SUM($E$96:E130)</f>
        <v>2450</v>
      </c>
      <c r="G130" s="62">
        <f t="shared" si="10"/>
        <v>2450000</v>
      </c>
      <c r="H130" s="86">
        <v>15.05</v>
      </c>
      <c r="I130" s="86">
        <v>7.312125</v>
      </c>
      <c r="J130" s="86">
        <v>4.1934375</v>
      </c>
      <c r="K130" s="86"/>
      <c r="L130" s="41"/>
      <c r="M130" s="16">
        <v>480</v>
      </c>
      <c r="N130" s="16">
        <v>240</v>
      </c>
      <c r="O130" s="16">
        <v>150</v>
      </c>
    </row>
    <row r="131" ht="16.5" spans="4:15">
      <c r="D131" s="62">
        <v>35</v>
      </c>
      <c r="E131" s="87">
        <v>150</v>
      </c>
      <c r="F131" s="84">
        <f>SUM($E$96:E131)</f>
        <v>2600</v>
      </c>
      <c r="G131" s="62">
        <f t="shared" si="10"/>
        <v>2600000</v>
      </c>
      <c r="H131" s="86">
        <v>15.4</v>
      </c>
      <c r="I131" s="86">
        <v>7.46325</v>
      </c>
      <c r="J131" s="86">
        <v>4.269375</v>
      </c>
      <c r="K131" s="86"/>
      <c r="L131" s="41"/>
      <c r="M131" s="16">
        <v>720</v>
      </c>
      <c r="N131" s="16">
        <v>360</v>
      </c>
      <c r="O131" s="16">
        <v>180</v>
      </c>
    </row>
    <row r="132" ht="16.5" spans="4:15">
      <c r="D132" s="62">
        <v>36</v>
      </c>
      <c r="E132" s="87">
        <v>180</v>
      </c>
      <c r="F132" s="84">
        <f>SUM($E$96:E132)</f>
        <v>2780</v>
      </c>
      <c r="G132" s="62">
        <f t="shared" si="10"/>
        <v>2780000</v>
      </c>
      <c r="H132" s="86">
        <v>15.75</v>
      </c>
      <c r="I132" s="86">
        <v>7.614375</v>
      </c>
      <c r="J132" s="86">
        <v>4.3453125</v>
      </c>
      <c r="K132" s="86"/>
      <c r="M132" s="16">
        <v>720</v>
      </c>
      <c r="N132" s="16">
        <v>360</v>
      </c>
      <c r="O132" s="16">
        <v>180</v>
      </c>
    </row>
    <row r="133" ht="16.5" spans="4:15">
      <c r="D133" s="62">
        <v>37</v>
      </c>
      <c r="E133" s="87">
        <v>180</v>
      </c>
      <c r="F133" s="84">
        <f>SUM($E$96:E133)</f>
        <v>2960</v>
      </c>
      <c r="G133" s="62">
        <f t="shared" si="10"/>
        <v>2960000</v>
      </c>
      <c r="H133" s="86">
        <v>16.1</v>
      </c>
      <c r="I133" s="86">
        <v>7.7655</v>
      </c>
      <c r="J133" s="86">
        <v>4.42125</v>
      </c>
      <c r="K133" s="86"/>
      <c r="M133" s="16">
        <v>720</v>
      </c>
      <c r="N133" s="16">
        <v>360</v>
      </c>
      <c r="O133" s="16">
        <v>180</v>
      </c>
    </row>
    <row r="134" ht="16.5" spans="4:15">
      <c r="D134" s="62">
        <v>38</v>
      </c>
      <c r="E134" s="87">
        <v>180</v>
      </c>
      <c r="F134" s="84">
        <f>SUM($E$96:E134)</f>
        <v>3140</v>
      </c>
      <c r="G134" s="62">
        <f t="shared" si="10"/>
        <v>3140000</v>
      </c>
      <c r="H134" s="86">
        <v>16.45</v>
      </c>
      <c r="I134" s="86">
        <v>7.916625</v>
      </c>
      <c r="J134" s="86">
        <v>4.4971875</v>
      </c>
      <c r="K134" s="86"/>
      <c r="M134" s="16">
        <v>720</v>
      </c>
      <c r="N134" s="16">
        <v>360</v>
      </c>
      <c r="O134" s="16">
        <v>180</v>
      </c>
    </row>
    <row r="135" ht="16.5" spans="4:15">
      <c r="D135" s="62">
        <v>39</v>
      </c>
      <c r="E135" s="87">
        <v>180</v>
      </c>
      <c r="F135" s="84">
        <f>SUM($E$96:E135)</f>
        <v>3320</v>
      </c>
      <c r="G135" s="62">
        <f t="shared" si="10"/>
        <v>3320000</v>
      </c>
      <c r="H135" s="86">
        <v>16.8</v>
      </c>
      <c r="I135" s="86">
        <v>8.06775</v>
      </c>
      <c r="J135" s="86">
        <v>4.573125</v>
      </c>
      <c r="K135" s="86"/>
      <c r="M135" s="16">
        <v>720</v>
      </c>
      <c r="N135" s="16">
        <v>360</v>
      </c>
      <c r="O135" s="16">
        <v>180</v>
      </c>
    </row>
    <row r="136" ht="16.5" spans="4:15">
      <c r="D136" s="62">
        <v>40</v>
      </c>
      <c r="E136" s="87">
        <v>180</v>
      </c>
      <c r="F136" s="84">
        <f>SUM($E$96:E136)</f>
        <v>3500</v>
      </c>
      <c r="G136" s="62">
        <f t="shared" si="10"/>
        <v>3500000</v>
      </c>
      <c r="H136" s="86">
        <v>17.15</v>
      </c>
      <c r="I136" s="86">
        <v>8.218875</v>
      </c>
      <c r="J136" s="86">
        <v>4.6490625</v>
      </c>
      <c r="K136" s="86"/>
      <c r="M136" s="16">
        <v>1080</v>
      </c>
      <c r="N136" s="16">
        <v>480</v>
      </c>
      <c r="O136" s="16">
        <v>240</v>
      </c>
    </row>
    <row r="137" ht="16.5" spans="4:15">
      <c r="D137" s="62">
        <v>41</v>
      </c>
      <c r="E137" s="87">
        <v>240</v>
      </c>
      <c r="F137" s="84">
        <f>SUM($E$96:E137)</f>
        <v>3740</v>
      </c>
      <c r="G137" s="62">
        <f t="shared" si="10"/>
        <v>3740000</v>
      </c>
      <c r="H137" s="86">
        <v>17.5</v>
      </c>
      <c r="I137" s="86">
        <v>8.37</v>
      </c>
      <c r="J137" s="86">
        <v>4.725</v>
      </c>
      <c r="K137" s="86"/>
      <c r="M137" s="16">
        <v>1080</v>
      </c>
      <c r="N137" s="16">
        <v>480</v>
      </c>
      <c r="O137" s="16">
        <v>240</v>
      </c>
    </row>
    <row r="138" ht="16.5" spans="4:15">
      <c r="D138" s="62">
        <v>42</v>
      </c>
      <c r="E138" s="87">
        <v>240</v>
      </c>
      <c r="F138" s="84">
        <f>SUM($E$96:E138)</f>
        <v>3980</v>
      </c>
      <c r="G138" s="62">
        <f t="shared" si="10"/>
        <v>3980000</v>
      </c>
      <c r="H138" s="86">
        <v>17.85</v>
      </c>
      <c r="I138" s="86">
        <v>8.521125</v>
      </c>
      <c r="J138" s="86">
        <v>4.8009375</v>
      </c>
      <c r="K138" s="86"/>
      <c r="M138" s="16">
        <v>1080</v>
      </c>
      <c r="N138" s="16">
        <v>480</v>
      </c>
      <c r="O138" s="16">
        <v>240</v>
      </c>
    </row>
    <row r="139" ht="16.5" spans="4:15">
      <c r="D139" s="62">
        <v>43</v>
      </c>
      <c r="E139" s="87">
        <v>240</v>
      </c>
      <c r="F139" s="84">
        <f>SUM($E$96:E139)</f>
        <v>4220</v>
      </c>
      <c r="G139" s="62">
        <f t="shared" si="10"/>
        <v>4220000</v>
      </c>
      <c r="H139" s="86">
        <v>18.2</v>
      </c>
      <c r="I139" s="86">
        <v>8.67225</v>
      </c>
      <c r="J139" s="86">
        <v>4.876875</v>
      </c>
      <c r="K139" s="86"/>
      <c r="M139" s="16">
        <v>1080</v>
      </c>
      <c r="N139" s="16">
        <v>480</v>
      </c>
      <c r="O139" s="16">
        <v>240</v>
      </c>
    </row>
    <row r="140" ht="16.5" spans="4:15">
      <c r="D140" s="62">
        <v>44</v>
      </c>
      <c r="E140" s="87">
        <v>240</v>
      </c>
      <c r="F140" s="84">
        <f>SUM($E$96:E140)</f>
        <v>4460</v>
      </c>
      <c r="G140" s="62">
        <f t="shared" si="10"/>
        <v>4460000</v>
      </c>
      <c r="H140" s="86">
        <v>18.55</v>
      </c>
      <c r="I140" s="86">
        <v>8.823375</v>
      </c>
      <c r="J140" s="86">
        <v>4.9528125</v>
      </c>
      <c r="K140" s="86"/>
      <c r="M140" s="16">
        <v>1080</v>
      </c>
      <c r="N140" s="16">
        <v>480</v>
      </c>
      <c r="O140" s="16">
        <v>240</v>
      </c>
    </row>
    <row r="141" ht="16.5" spans="4:15">
      <c r="D141" s="62">
        <v>45</v>
      </c>
      <c r="E141" s="87">
        <v>240</v>
      </c>
      <c r="F141" s="84">
        <f>SUM($E$96:E141)</f>
        <v>4700</v>
      </c>
      <c r="G141" s="62">
        <f t="shared" si="10"/>
        <v>4700000</v>
      </c>
      <c r="H141" s="86">
        <v>18.9</v>
      </c>
      <c r="I141" s="86">
        <v>8.9745</v>
      </c>
      <c r="J141" s="86">
        <v>5.02875</v>
      </c>
      <c r="K141" s="86"/>
      <c r="M141" s="16">
        <v>1440</v>
      </c>
      <c r="N141" s="16">
        <v>720</v>
      </c>
      <c r="O141" s="16">
        <v>360</v>
      </c>
    </row>
    <row r="142" ht="16.5" spans="4:15">
      <c r="D142" s="62">
        <v>46</v>
      </c>
      <c r="E142" s="87">
        <v>360</v>
      </c>
      <c r="F142" s="84">
        <f>SUM($E$96:E142)</f>
        <v>5060</v>
      </c>
      <c r="G142" s="62">
        <f t="shared" si="10"/>
        <v>5060000</v>
      </c>
      <c r="H142" s="86">
        <v>19.25</v>
      </c>
      <c r="I142" s="86">
        <v>9.125625</v>
      </c>
      <c r="J142" s="86">
        <v>5.1046875</v>
      </c>
      <c r="K142" s="86"/>
      <c r="M142" s="16">
        <v>1440</v>
      </c>
      <c r="N142" s="16">
        <v>720</v>
      </c>
      <c r="O142" s="16">
        <v>360</v>
      </c>
    </row>
    <row r="143" ht="16.5" spans="4:15">
      <c r="D143" s="62">
        <v>47</v>
      </c>
      <c r="E143" s="87">
        <v>360</v>
      </c>
      <c r="F143" s="84">
        <f>SUM($E$96:E143)</f>
        <v>5420</v>
      </c>
      <c r="G143" s="62">
        <f t="shared" si="10"/>
        <v>5420000</v>
      </c>
      <c r="H143" s="86">
        <v>19.6</v>
      </c>
      <c r="I143" s="86">
        <v>9.27675</v>
      </c>
      <c r="J143" s="86">
        <v>5.180625</v>
      </c>
      <c r="K143" s="86"/>
      <c r="M143" s="16">
        <v>1440</v>
      </c>
      <c r="N143" s="16">
        <v>720</v>
      </c>
      <c r="O143" s="16">
        <v>360</v>
      </c>
    </row>
    <row r="144" ht="16.5" spans="4:15">
      <c r="D144" s="62">
        <v>48</v>
      </c>
      <c r="E144" s="87">
        <v>360</v>
      </c>
      <c r="F144" s="84">
        <f>SUM($E$96:E144)</f>
        <v>5780</v>
      </c>
      <c r="G144" s="62">
        <f t="shared" si="10"/>
        <v>5780000</v>
      </c>
      <c r="H144" s="86">
        <v>19.95</v>
      </c>
      <c r="I144" s="86">
        <v>9.427875</v>
      </c>
      <c r="J144" s="86">
        <v>5.2565625</v>
      </c>
      <c r="K144" s="86"/>
      <c r="M144" s="16">
        <v>1440</v>
      </c>
      <c r="N144" s="16">
        <v>720</v>
      </c>
      <c r="O144" s="16">
        <v>360</v>
      </c>
    </row>
    <row r="145" ht="16.5" spans="4:15">
      <c r="D145" s="62">
        <v>49</v>
      </c>
      <c r="E145" s="87">
        <v>360</v>
      </c>
      <c r="F145" s="84">
        <f>SUM($E$96:E145)</f>
        <v>6140</v>
      </c>
      <c r="G145" s="62">
        <f t="shared" si="10"/>
        <v>6140000</v>
      </c>
      <c r="H145" s="86">
        <v>20.3</v>
      </c>
      <c r="I145" s="86">
        <v>9.579</v>
      </c>
      <c r="J145" s="86">
        <v>5.3325</v>
      </c>
      <c r="K145" s="86"/>
      <c r="M145" s="16">
        <v>1440</v>
      </c>
      <c r="N145" s="16">
        <v>720</v>
      </c>
      <c r="O145" s="16">
        <v>360</v>
      </c>
    </row>
    <row r="146" ht="16.5" spans="4:15">
      <c r="D146" s="62">
        <v>50</v>
      </c>
      <c r="E146" s="87">
        <v>360</v>
      </c>
      <c r="F146" s="84">
        <f>SUM($E$96:E146)</f>
        <v>6500</v>
      </c>
      <c r="G146" s="62">
        <f t="shared" si="10"/>
        <v>6500000</v>
      </c>
      <c r="H146" s="86">
        <v>20.65</v>
      </c>
      <c r="I146" s="86">
        <v>9.730125</v>
      </c>
      <c r="J146" s="86">
        <v>5.4084375</v>
      </c>
      <c r="K146" s="86"/>
      <c r="M146" s="16">
        <v>1800</v>
      </c>
      <c r="N146" s="16">
        <v>960</v>
      </c>
      <c r="O146" s="16">
        <v>480</v>
      </c>
    </row>
    <row r="147" ht="16.5" spans="4:15">
      <c r="D147" s="62">
        <v>51</v>
      </c>
      <c r="E147" s="87">
        <v>480</v>
      </c>
      <c r="F147" s="84">
        <f>SUM($E$96:E147)</f>
        <v>6980</v>
      </c>
      <c r="G147" s="62">
        <f t="shared" si="10"/>
        <v>6980000</v>
      </c>
      <c r="H147" s="86">
        <v>21</v>
      </c>
      <c r="I147" s="86">
        <v>9.88125</v>
      </c>
      <c r="J147" s="86">
        <v>5.484375</v>
      </c>
      <c r="K147" s="86"/>
      <c r="M147" s="16">
        <v>1800</v>
      </c>
      <c r="N147" s="16">
        <v>960</v>
      </c>
      <c r="O147" s="16">
        <v>480</v>
      </c>
    </row>
    <row r="148" ht="16.5" spans="4:15">
      <c r="D148" s="62">
        <v>52</v>
      </c>
      <c r="E148" s="87">
        <v>480</v>
      </c>
      <c r="F148" s="84">
        <f>SUM($E$96:E148)</f>
        <v>7460</v>
      </c>
      <c r="G148" s="62">
        <f t="shared" si="10"/>
        <v>7460000</v>
      </c>
      <c r="H148" s="86">
        <v>21.35</v>
      </c>
      <c r="I148" s="86">
        <v>10.032375</v>
      </c>
      <c r="J148" s="86">
        <v>5.5603125</v>
      </c>
      <c r="K148" s="86"/>
      <c r="M148" s="16">
        <v>1800</v>
      </c>
      <c r="N148" s="16">
        <v>960</v>
      </c>
      <c r="O148" s="16">
        <v>480</v>
      </c>
    </row>
    <row r="149" ht="16.5" spans="4:15">
      <c r="D149" s="62">
        <v>53</v>
      </c>
      <c r="E149" s="87">
        <v>480</v>
      </c>
      <c r="F149" s="84">
        <f>SUM($E$96:E149)</f>
        <v>7940</v>
      </c>
      <c r="G149" s="62">
        <f t="shared" si="10"/>
        <v>7940000</v>
      </c>
      <c r="H149" s="86">
        <v>21.7</v>
      </c>
      <c r="I149" s="86">
        <v>10.1835</v>
      </c>
      <c r="J149" s="86">
        <v>5.63625</v>
      </c>
      <c r="K149" s="86"/>
      <c r="M149" s="16">
        <v>1800</v>
      </c>
      <c r="N149" s="16">
        <v>960</v>
      </c>
      <c r="O149" s="16">
        <v>480</v>
      </c>
    </row>
    <row r="150" ht="16.5" spans="4:15">
      <c r="D150" s="62">
        <v>54</v>
      </c>
      <c r="E150" s="87">
        <v>480</v>
      </c>
      <c r="F150" s="84">
        <f>SUM($E$96:E150)</f>
        <v>8420</v>
      </c>
      <c r="G150" s="62">
        <f t="shared" si="10"/>
        <v>8420000</v>
      </c>
      <c r="H150" s="86">
        <v>22.05</v>
      </c>
      <c r="I150" s="86">
        <v>10.334625</v>
      </c>
      <c r="J150" s="86">
        <v>5.7121875</v>
      </c>
      <c r="K150" s="86"/>
      <c r="M150" s="16">
        <v>1800</v>
      </c>
      <c r="N150" s="16">
        <v>960</v>
      </c>
      <c r="O150" s="16">
        <v>480</v>
      </c>
    </row>
    <row r="151" ht="16.5" spans="4:15">
      <c r="D151" s="62">
        <v>55</v>
      </c>
      <c r="E151" s="87">
        <v>480</v>
      </c>
      <c r="F151" s="84">
        <f>SUM($E$96:E151)</f>
        <v>8900</v>
      </c>
      <c r="G151" s="62">
        <f t="shared" si="10"/>
        <v>8900000</v>
      </c>
      <c r="H151" s="86">
        <v>22.4</v>
      </c>
      <c r="I151" s="86">
        <v>10.48575</v>
      </c>
      <c r="J151" s="86">
        <v>5.788125</v>
      </c>
      <c r="K151" s="86"/>
      <c r="M151" s="16">
        <v>2160</v>
      </c>
      <c r="N151" s="16">
        <v>1200</v>
      </c>
      <c r="O151" s="16">
        <v>600</v>
      </c>
    </row>
    <row r="152" ht="16.5" spans="4:15">
      <c r="D152" s="62">
        <v>56</v>
      </c>
      <c r="E152" s="87">
        <v>600</v>
      </c>
      <c r="F152" s="84">
        <f>SUM($E$96:E152)</f>
        <v>9500</v>
      </c>
      <c r="G152" s="62">
        <f t="shared" si="10"/>
        <v>9500000</v>
      </c>
      <c r="H152" s="86">
        <v>22.75</v>
      </c>
      <c r="I152" s="86">
        <v>10.636875</v>
      </c>
      <c r="J152" s="86">
        <v>5.8640625</v>
      </c>
      <c r="K152" s="86"/>
      <c r="M152" s="16">
        <v>2160</v>
      </c>
      <c r="N152" s="16">
        <v>1200</v>
      </c>
      <c r="O152" s="16">
        <v>600</v>
      </c>
    </row>
    <row r="153" ht="16.5" spans="4:15">
      <c r="D153" s="62">
        <v>57</v>
      </c>
      <c r="E153" s="87">
        <v>600</v>
      </c>
      <c r="F153" s="84">
        <f>SUM($E$96:E153)</f>
        <v>10100</v>
      </c>
      <c r="G153" s="62">
        <f t="shared" si="10"/>
        <v>10100000</v>
      </c>
      <c r="H153" s="86">
        <v>23.1</v>
      </c>
      <c r="I153" s="86">
        <v>10.788</v>
      </c>
      <c r="J153" s="86">
        <v>5.94</v>
      </c>
      <c r="K153" s="86"/>
      <c r="M153" s="16">
        <v>2160</v>
      </c>
      <c r="N153" s="16">
        <v>1200</v>
      </c>
      <c r="O153" s="16">
        <v>600</v>
      </c>
    </row>
    <row r="154" ht="16.5" spans="4:15">
      <c r="D154" s="62">
        <v>58</v>
      </c>
      <c r="E154" s="87">
        <v>600</v>
      </c>
      <c r="F154" s="84">
        <f>SUM($E$96:E154)</f>
        <v>10700</v>
      </c>
      <c r="G154" s="62">
        <f t="shared" si="10"/>
        <v>10700000</v>
      </c>
      <c r="H154" s="86">
        <v>23.45</v>
      </c>
      <c r="I154" s="86">
        <v>10.939125</v>
      </c>
      <c r="J154" s="86">
        <v>6.0159375</v>
      </c>
      <c r="K154" s="86"/>
      <c r="M154" s="16">
        <v>2160</v>
      </c>
      <c r="N154" s="16">
        <v>1200</v>
      </c>
      <c r="O154" s="16">
        <v>600</v>
      </c>
    </row>
    <row r="155" ht="16.5" spans="4:15">
      <c r="D155" s="62">
        <v>59</v>
      </c>
      <c r="E155" s="87">
        <v>600</v>
      </c>
      <c r="F155" s="84">
        <f>SUM($E$96:E155)</f>
        <v>11300</v>
      </c>
      <c r="G155" s="62">
        <f t="shared" si="10"/>
        <v>11300000</v>
      </c>
      <c r="H155" s="86">
        <v>23.8</v>
      </c>
      <c r="I155" s="86">
        <v>11.09025</v>
      </c>
      <c r="J155" s="86">
        <v>6.091875</v>
      </c>
      <c r="K155" s="86"/>
      <c r="M155" s="16">
        <v>2160</v>
      </c>
      <c r="N155" s="16">
        <v>1200</v>
      </c>
      <c r="O155" s="16">
        <v>600</v>
      </c>
    </row>
    <row r="156" ht="16.5" spans="4:15">
      <c r="D156" s="62">
        <v>60</v>
      </c>
      <c r="E156" s="87">
        <v>600</v>
      </c>
      <c r="F156" s="84">
        <f>SUM($E$96:E156)</f>
        <v>11900</v>
      </c>
      <c r="G156" s="62">
        <f t="shared" si="10"/>
        <v>11900000</v>
      </c>
      <c r="H156" s="86">
        <v>24.15</v>
      </c>
      <c r="I156" s="86">
        <v>11.241375</v>
      </c>
      <c r="J156" s="86">
        <v>6.1678125</v>
      </c>
      <c r="K156" s="86"/>
      <c r="M156" s="16">
        <v>2520</v>
      </c>
      <c r="N156" s="16">
        <v>1440</v>
      </c>
      <c r="O156" s="16">
        <v>720</v>
      </c>
    </row>
    <row r="157" ht="16.5" spans="4:15">
      <c r="D157" s="62">
        <v>61</v>
      </c>
      <c r="E157" s="87"/>
      <c r="F157" s="87"/>
      <c r="G157" s="78"/>
      <c r="H157" s="86"/>
      <c r="I157" s="86"/>
      <c r="J157" s="86"/>
      <c r="K157" s="86"/>
      <c r="M157" s="16">
        <v>2520</v>
      </c>
      <c r="N157" s="16">
        <v>1440</v>
      </c>
      <c r="O157" s="16">
        <v>720</v>
      </c>
    </row>
    <row r="158" ht="16.5" spans="4:15">
      <c r="D158" s="62">
        <v>62</v>
      </c>
      <c r="E158" s="87"/>
      <c r="F158" s="87"/>
      <c r="G158" s="78"/>
      <c r="H158" s="88"/>
      <c r="I158" s="88"/>
      <c r="J158" s="86"/>
      <c r="K158" s="86"/>
      <c r="M158" s="16">
        <v>2520</v>
      </c>
      <c r="N158" s="16">
        <v>1440</v>
      </c>
      <c r="O158" s="16">
        <v>720</v>
      </c>
    </row>
    <row r="159" ht="16.5" spans="4:15">
      <c r="D159" s="62">
        <v>63</v>
      </c>
      <c r="E159" s="87"/>
      <c r="F159" s="87"/>
      <c r="G159" s="78"/>
      <c r="H159" s="88"/>
      <c r="I159" s="88"/>
      <c r="J159" s="86"/>
      <c r="K159" s="86"/>
      <c r="M159" s="16">
        <v>2520</v>
      </c>
      <c r="N159" s="16">
        <v>1440</v>
      </c>
      <c r="O159" s="16">
        <v>720</v>
      </c>
    </row>
    <row r="160" ht="16.5" spans="4:15">
      <c r="D160" s="62">
        <v>64</v>
      </c>
      <c r="E160" s="87"/>
      <c r="F160" s="87"/>
      <c r="G160" s="78"/>
      <c r="H160" s="88"/>
      <c r="I160" s="88"/>
      <c r="J160" s="86"/>
      <c r="K160" s="86"/>
      <c r="M160" s="16">
        <v>2520</v>
      </c>
      <c r="N160" s="16">
        <v>1440</v>
      </c>
      <c r="O160" s="16">
        <v>720</v>
      </c>
    </row>
    <row r="161" ht="16.5" spans="4:15">
      <c r="D161" s="62">
        <v>65</v>
      </c>
      <c r="E161" s="87"/>
      <c r="F161" s="87"/>
      <c r="G161" s="78"/>
      <c r="H161" s="88"/>
      <c r="I161" s="88"/>
      <c r="J161" s="86"/>
      <c r="K161" s="86"/>
      <c r="M161" s="16">
        <v>2880</v>
      </c>
      <c r="N161" s="16">
        <v>1680</v>
      </c>
      <c r="O161" s="16">
        <v>840</v>
      </c>
    </row>
    <row r="162" ht="16.5" spans="4:15">
      <c r="D162" s="62">
        <v>66</v>
      </c>
      <c r="E162" s="87"/>
      <c r="F162" s="87"/>
      <c r="G162" s="78"/>
      <c r="H162" s="88"/>
      <c r="I162" s="88"/>
      <c r="J162" s="86"/>
      <c r="K162" s="86"/>
      <c r="M162" s="16">
        <v>2880</v>
      </c>
      <c r="N162" s="16">
        <v>1680</v>
      </c>
      <c r="O162" s="16">
        <v>840</v>
      </c>
    </row>
    <row r="163" ht="16.5" spans="4:15">
      <c r="D163" s="62">
        <v>67</v>
      </c>
      <c r="E163" s="87"/>
      <c r="F163" s="87"/>
      <c r="G163" s="78"/>
      <c r="H163" s="88"/>
      <c r="I163" s="88"/>
      <c r="J163" s="86"/>
      <c r="K163" s="86"/>
      <c r="M163" s="16">
        <v>2880</v>
      </c>
      <c r="N163" s="16">
        <v>1680</v>
      </c>
      <c r="O163" s="16">
        <v>840</v>
      </c>
    </row>
    <row r="164" ht="16.5" spans="4:15">
      <c r="D164" s="62">
        <v>68</v>
      </c>
      <c r="E164" s="87"/>
      <c r="F164" s="87"/>
      <c r="G164" s="78"/>
      <c r="H164" s="88"/>
      <c r="I164" s="88"/>
      <c r="J164" s="86"/>
      <c r="K164" s="86"/>
      <c r="M164" s="16">
        <v>2880</v>
      </c>
      <c r="N164" s="16">
        <v>1680</v>
      </c>
      <c r="O164" s="16">
        <v>840</v>
      </c>
    </row>
    <row r="165" ht="16.5" spans="4:15">
      <c r="D165" s="62">
        <v>69</v>
      </c>
      <c r="E165" s="87"/>
      <c r="F165" s="87"/>
      <c r="G165" s="78"/>
      <c r="H165" s="88"/>
      <c r="I165" s="88"/>
      <c r="J165" s="86"/>
      <c r="K165" s="86"/>
      <c r="M165" s="16">
        <v>2880</v>
      </c>
      <c r="N165" s="16">
        <v>1680</v>
      </c>
      <c r="O165" s="16">
        <v>840</v>
      </c>
    </row>
    <row r="166" ht="16.5" spans="4:15">
      <c r="D166" s="62">
        <v>70</v>
      </c>
      <c r="E166" s="87"/>
      <c r="F166" s="87"/>
      <c r="G166" s="78"/>
      <c r="H166" s="88"/>
      <c r="I166" s="88"/>
      <c r="J166" s="86"/>
      <c r="K166" s="86"/>
      <c r="M166" s="16">
        <v>3240</v>
      </c>
      <c r="N166" s="16">
        <v>1920</v>
      </c>
      <c r="O166" s="16">
        <v>960</v>
      </c>
    </row>
    <row r="167" ht="16.5" spans="4:15">
      <c r="D167" s="62">
        <v>71</v>
      </c>
      <c r="E167" s="87"/>
      <c r="F167" s="87"/>
      <c r="G167" s="78"/>
      <c r="H167" s="88"/>
      <c r="I167" s="88"/>
      <c r="J167" s="86"/>
      <c r="K167" s="86"/>
      <c r="M167" s="16">
        <v>3240</v>
      </c>
      <c r="N167" s="16">
        <v>1920</v>
      </c>
      <c r="O167" s="16">
        <v>960</v>
      </c>
    </row>
    <row r="168" ht="16.5" spans="4:15">
      <c r="D168" s="62">
        <v>72</v>
      </c>
      <c r="E168" s="87"/>
      <c r="F168" s="87"/>
      <c r="G168" s="78"/>
      <c r="H168" s="88"/>
      <c r="I168" s="88"/>
      <c r="J168" s="86"/>
      <c r="K168" s="86"/>
      <c r="M168" s="16">
        <v>3240</v>
      </c>
      <c r="N168" s="16">
        <v>1920</v>
      </c>
      <c r="O168" s="16">
        <v>960</v>
      </c>
    </row>
    <row r="169" ht="16.5" spans="4:15">
      <c r="D169" s="62">
        <v>73</v>
      </c>
      <c r="E169" s="87"/>
      <c r="F169" s="87"/>
      <c r="G169" s="78"/>
      <c r="H169" s="88"/>
      <c r="I169" s="88"/>
      <c r="J169" s="86"/>
      <c r="K169" s="86"/>
      <c r="M169" s="16">
        <v>3240</v>
      </c>
      <c r="N169" s="16">
        <v>1920</v>
      </c>
      <c r="O169" s="16">
        <v>960</v>
      </c>
    </row>
    <row r="170" ht="16.5" spans="4:15">
      <c r="D170" s="62">
        <v>74</v>
      </c>
      <c r="E170" s="87"/>
      <c r="F170" s="87"/>
      <c r="G170" s="78"/>
      <c r="H170" s="88"/>
      <c r="I170" s="88"/>
      <c r="J170" s="86"/>
      <c r="K170" s="86"/>
      <c r="M170" s="16">
        <v>3240</v>
      </c>
      <c r="N170" s="16">
        <v>1920</v>
      </c>
      <c r="O170" s="16">
        <v>960</v>
      </c>
    </row>
    <row r="171" ht="16.5" spans="4:15">
      <c r="D171" s="62">
        <v>75</v>
      </c>
      <c r="E171" s="87"/>
      <c r="F171" s="87"/>
      <c r="G171" s="78"/>
      <c r="H171" s="88"/>
      <c r="I171" s="88"/>
      <c r="J171" s="86"/>
      <c r="K171" s="86"/>
      <c r="M171" s="16">
        <v>3600</v>
      </c>
      <c r="N171" s="16">
        <v>2160</v>
      </c>
      <c r="O171" s="16">
        <v>1080</v>
      </c>
    </row>
    <row r="172" ht="16.5" spans="4:15">
      <c r="D172" s="62">
        <v>76</v>
      </c>
      <c r="E172" s="87"/>
      <c r="F172" s="87"/>
      <c r="G172" s="78"/>
      <c r="H172" s="88"/>
      <c r="I172" s="88"/>
      <c r="J172" s="86"/>
      <c r="K172" s="86"/>
      <c r="M172" s="16">
        <v>3600</v>
      </c>
      <c r="N172" s="16">
        <v>2160</v>
      </c>
      <c r="O172" s="16">
        <v>1080</v>
      </c>
    </row>
    <row r="173" ht="16.5" spans="4:15">
      <c r="D173" s="62">
        <v>77</v>
      </c>
      <c r="E173" s="87"/>
      <c r="F173" s="87"/>
      <c r="G173" s="78"/>
      <c r="H173" s="88"/>
      <c r="I173" s="88"/>
      <c r="J173" s="86"/>
      <c r="K173" s="86"/>
      <c r="M173" s="16">
        <v>3600</v>
      </c>
      <c r="N173" s="16">
        <v>2160</v>
      </c>
      <c r="O173" s="16">
        <v>1080</v>
      </c>
    </row>
    <row r="174" ht="16.5" spans="4:15">
      <c r="D174" s="62">
        <v>78</v>
      </c>
      <c r="E174" s="87"/>
      <c r="F174" s="87"/>
      <c r="G174" s="78"/>
      <c r="H174" s="88"/>
      <c r="I174" s="88"/>
      <c r="J174" s="86"/>
      <c r="K174" s="86"/>
      <c r="M174" s="16">
        <v>3600</v>
      </c>
      <c r="N174" s="16">
        <v>2160</v>
      </c>
      <c r="O174" s="16">
        <v>1080</v>
      </c>
    </row>
    <row r="175" ht="16.5" spans="4:15">
      <c r="D175" s="62">
        <v>79</v>
      </c>
      <c r="E175" s="87"/>
      <c r="F175" s="87"/>
      <c r="G175" s="78"/>
      <c r="H175" s="88"/>
      <c r="I175" s="88"/>
      <c r="J175" s="86"/>
      <c r="K175" s="86"/>
      <c r="M175" s="16">
        <v>3600</v>
      </c>
      <c r="N175" s="16">
        <v>2160</v>
      </c>
      <c r="O175" s="16">
        <v>1080</v>
      </c>
    </row>
    <row r="176" ht="16.5" spans="4:15">
      <c r="D176" s="62">
        <v>80</v>
      </c>
      <c r="E176" s="87"/>
      <c r="F176" s="87"/>
      <c r="G176" s="78"/>
      <c r="H176" s="88"/>
      <c r="I176" s="88"/>
      <c r="J176" s="86"/>
      <c r="K176" s="86"/>
      <c r="M176" s="16">
        <v>3960</v>
      </c>
      <c r="N176" s="16">
        <v>2400</v>
      </c>
      <c r="O176" s="16">
        <v>1200</v>
      </c>
    </row>
    <row r="177" ht="16.5" spans="4:15">
      <c r="D177" s="62">
        <v>81</v>
      </c>
      <c r="E177" s="87"/>
      <c r="F177" s="87"/>
      <c r="G177" s="78"/>
      <c r="H177" s="88"/>
      <c r="I177" s="88"/>
      <c r="J177" s="86"/>
      <c r="K177" s="86"/>
      <c r="M177" s="16">
        <v>3960</v>
      </c>
      <c r="N177" s="16">
        <v>2400</v>
      </c>
      <c r="O177" s="16">
        <v>1200</v>
      </c>
    </row>
    <row r="178" ht="16.5" spans="4:15">
      <c r="D178" s="62">
        <v>82</v>
      </c>
      <c r="E178" s="87"/>
      <c r="F178" s="87"/>
      <c r="G178" s="78"/>
      <c r="H178" s="88"/>
      <c r="I178" s="88"/>
      <c r="J178" s="86"/>
      <c r="K178" s="86"/>
      <c r="M178" s="16">
        <v>3960</v>
      </c>
      <c r="N178" s="16">
        <v>2400</v>
      </c>
      <c r="O178" s="16">
        <v>1200</v>
      </c>
    </row>
    <row r="179" ht="16.5" spans="4:15">
      <c r="D179" s="62">
        <v>83</v>
      </c>
      <c r="E179" s="87"/>
      <c r="F179" s="87"/>
      <c r="G179" s="78"/>
      <c r="H179" s="88"/>
      <c r="I179" s="88"/>
      <c r="J179" s="86"/>
      <c r="K179" s="86"/>
      <c r="M179" s="16">
        <v>3960</v>
      </c>
      <c r="N179" s="16">
        <v>2400</v>
      </c>
      <c r="O179" s="16">
        <v>1200</v>
      </c>
    </row>
    <row r="180" ht="16.5" spans="4:15">
      <c r="D180" s="62">
        <v>84</v>
      </c>
      <c r="E180" s="87"/>
      <c r="F180" s="87"/>
      <c r="G180" s="78"/>
      <c r="H180" s="88"/>
      <c r="I180" s="88"/>
      <c r="J180" s="86"/>
      <c r="K180" s="86"/>
      <c r="M180" s="16">
        <v>3960</v>
      </c>
      <c r="N180" s="16">
        <v>2400</v>
      </c>
      <c r="O180" s="16">
        <v>1200</v>
      </c>
    </row>
    <row r="181" ht="16.5" spans="4:15">
      <c r="D181" s="62">
        <v>85</v>
      </c>
      <c r="E181" s="87"/>
      <c r="F181" s="87"/>
      <c r="G181" s="78"/>
      <c r="H181" s="88"/>
      <c r="I181" s="88"/>
      <c r="J181" s="86"/>
      <c r="K181" s="86"/>
      <c r="M181" s="16">
        <v>4320</v>
      </c>
      <c r="N181" s="16">
        <v>2640</v>
      </c>
      <c r="O181" s="16">
        <v>1320</v>
      </c>
    </row>
    <row r="182" ht="16.5" spans="4:15">
      <c r="D182" s="62">
        <v>86</v>
      </c>
      <c r="E182" s="87"/>
      <c r="F182" s="87"/>
      <c r="G182" s="78"/>
      <c r="H182" s="88"/>
      <c r="I182" s="88"/>
      <c r="J182" s="86"/>
      <c r="K182" s="86"/>
      <c r="M182" s="16">
        <v>4320</v>
      </c>
      <c r="N182" s="16">
        <v>2640</v>
      </c>
      <c r="O182" s="16">
        <v>1320</v>
      </c>
    </row>
    <row r="183" ht="16.5" spans="4:15">
      <c r="D183" s="62">
        <v>87</v>
      </c>
      <c r="E183" s="87"/>
      <c r="F183" s="87"/>
      <c r="G183" s="78"/>
      <c r="H183" s="88"/>
      <c r="I183" s="88"/>
      <c r="J183" s="86"/>
      <c r="K183" s="86"/>
      <c r="M183" s="16">
        <v>4320</v>
      </c>
      <c r="N183" s="16">
        <v>2640</v>
      </c>
      <c r="O183" s="16">
        <v>1320</v>
      </c>
    </row>
    <row r="184" ht="16.5" spans="4:15">
      <c r="D184" s="62">
        <v>88</v>
      </c>
      <c r="E184" s="87"/>
      <c r="F184" s="87"/>
      <c r="G184" s="78"/>
      <c r="H184" s="88"/>
      <c r="I184" s="88"/>
      <c r="J184" s="86"/>
      <c r="K184" s="86"/>
      <c r="M184" s="16">
        <v>4320</v>
      </c>
      <c r="N184" s="16">
        <v>2640</v>
      </c>
      <c r="O184" s="16">
        <v>1320</v>
      </c>
    </row>
    <row r="185" ht="16.5" spans="4:15">
      <c r="D185" s="62">
        <v>89</v>
      </c>
      <c r="E185" s="87"/>
      <c r="F185" s="87"/>
      <c r="G185" s="78"/>
      <c r="H185" s="88"/>
      <c r="I185" s="88"/>
      <c r="J185" s="86"/>
      <c r="K185" s="86"/>
      <c r="M185" s="16">
        <v>4320</v>
      </c>
      <c r="N185" s="16">
        <v>2640</v>
      </c>
      <c r="O185" s="16">
        <v>1320</v>
      </c>
    </row>
    <row r="186" ht="16.5" spans="4:15">
      <c r="D186" s="62">
        <v>90</v>
      </c>
      <c r="E186" s="87"/>
      <c r="F186" s="87"/>
      <c r="G186" s="78"/>
      <c r="H186" s="88"/>
      <c r="I186" s="88"/>
      <c r="J186" s="86"/>
      <c r="K186" s="86"/>
      <c r="M186" s="16">
        <v>4680</v>
      </c>
      <c r="N186" s="16">
        <v>2880</v>
      </c>
      <c r="O186" s="16">
        <v>1440</v>
      </c>
    </row>
    <row r="187" ht="16.5" spans="4:15">
      <c r="D187" s="62">
        <v>91</v>
      </c>
      <c r="E187" s="87"/>
      <c r="F187" s="87"/>
      <c r="G187" s="78"/>
      <c r="H187" s="88"/>
      <c r="I187" s="88"/>
      <c r="J187" s="86"/>
      <c r="K187" s="86"/>
      <c r="M187" s="16">
        <v>4680</v>
      </c>
      <c r="N187" s="16">
        <v>2880</v>
      </c>
      <c r="O187" s="16">
        <v>1440</v>
      </c>
    </row>
    <row r="188" ht="16.5" spans="4:15">
      <c r="D188" s="62">
        <v>92</v>
      </c>
      <c r="E188" s="87"/>
      <c r="F188" s="87"/>
      <c r="G188" s="78"/>
      <c r="H188" s="88"/>
      <c r="I188" s="88"/>
      <c r="J188" s="86"/>
      <c r="K188" s="86"/>
      <c r="M188" s="16">
        <v>4680</v>
      </c>
      <c r="N188" s="16">
        <v>2880</v>
      </c>
      <c r="O188" s="16">
        <v>1440</v>
      </c>
    </row>
    <row r="189" ht="16.5" spans="4:15">
      <c r="D189" s="62">
        <v>93</v>
      </c>
      <c r="E189" s="87"/>
      <c r="F189" s="87"/>
      <c r="G189" s="78"/>
      <c r="H189" s="88"/>
      <c r="I189" s="88"/>
      <c r="J189" s="86"/>
      <c r="K189" s="86"/>
      <c r="M189" s="16">
        <v>4680</v>
      </c>
      <c r="N189" s="16">
        <v>2880</v>
      </c>
      <c r="O189" s="16">
        <v>1440</v>
      </c>
    </row>
    <row r="190" ht="16.5" spans="4:15">
      <c r="D190" s="62">
        <v>94</v>
      </c>
      <c r="E190" s="87"/>
      <c r="F190" s="87"/>
      <c r="G190" s="78"/>
      <c r="H190" s="88"/>
      <c r="I190" s="88"/>
      <c r="J190" s="86"/>
      <c r="K190" s="86"/>
      <c r="M190" s="16">
        <v>4680</v>
      </c>
      <c r="N190" s="16">
        <v>2880</v>
      </c>
      <c r="O190" s="16">
        <v>1440</v>
      </c>
    </row>
    <row r="191" ht="16.5" spans="4:15">
      <c r="D191" s="62">
        <v>95</v>
      </c>
      <c r="E191" s="87"/>
      <c r="F191" s="87"/>
      <c r="G191" s="78"/>
      <c r="H191" s="88"/>
      <c r="I191" s="88"/>
      <c r="J191" s="86"/>
      <c r="K191" s="86"/>
      <c r="M191" s="16">
        <v>5040</v>
      </c>
      <c r="N191" s="16">
        <v>3120</v>
      </c>
      <c r="O191" s="16">
        <v>1560</v>
      </c>
    </row>
    <row r="192" ht="16.5" spans="4:15">
      <c r="D192" s="62">
        <v>96</v>
      </c>
      <c r="E192" s="87"/>
      <c r="F192" s="87"/>
      <c r="G192" s="78"/>
      <c r="H192" s="88"/>
      <c r="I192" s="88"/>
      <c r="J192" s="86"/>
      <c r="K192" s="86"/>
      <c r="M192" s="16">
        <v>5040</v>
      </c>
      <c r="N192" s="16">
        <v>3120</v>
      </c>
      <c r="O192" s="16">
        <v>1560</v>
      </c>
    </row>
    <row r="193" ht="16.5" spans="2:15">
      <c r="D193" s="62">
        <v>97</v>
      </c>
      <c r="E193" s="87"/>
      <c r="F193" s="87"/>
      <c r="G193" s="78"/>
      <c r="H193" s="88"/>
      <c r="I193" s="88"/>
      <c r="J193" s="86"/>
      <c r="K193" s="86"/>
      <c r="M193" s="16">
        <v>5040</v>
      </c>
      <c r="N193" s="16">
        <v>3120</v>
      </c>
      <c r="O193" s="16">
        <v>1560</v>
      </c>
    </row>
    <row r="194" ht="16.5" spans="2:15">
      <c r="D194" s="62">
        <v>98</v>
      </c>
      <c r="E194" s="87"/>
      <c r="F194" s="87"/>
      <c r="G194" s="78"/>
      <c r="H194" s="88"/>
      <c r="I194" s="88"/>
      <c r="J194" s="86"/>
      <c r="K194" s="86"/>
      <c r="M194" s="16">
        <v>5040</v>
      </c>
      <c r="N194" s="16">
        <v>3120</v>
      </c>
      <c r="O194" s="16">
        <v>1560</v>
      </c>
    </row>
    <row r="195" ht="16.5" spans="2:15">
      <c r="D195" s="62">
        <v>99</v>
      </c>
      <c r="E195" s="87"/>
      <c r="F195" s="87"/>
      <c r="G195" s="78"/>
      <c r="H195" s="88"/>
      <c r="I195" s="88"/>
      <c r="J195" s="86"/>
      <c r="K195" s="86"/>
      <c r="M195" s="16">
        <v>5040</v>
      </c>
      <c r="N195" s="16">
        <v>3120</v>
      </c>
      <c r="O195" s="16">
        <v>1560</v>
      </c>
    </row>
    <row r="196" ht="16.5" spans="2:15">
      <c r="D196" s="62">
        <v>100</v>
      </c>
      <c r="E196" s="87"/>
      <c r="F196" s="87"/>
      <c r="G196" s="78"/>
      <c r="H196" s="88"/>
      <c r="I196" s="88"/>
      <c r="J196" s="86"/>
      <c r="K196" s="86"/>
    </row>
    <row r="197" ht="16.5" spans="2:15">
      <c r="E197" s="87"/>
    </row>
    <row r="198" ht="16.5" spans="2:15">
      <c r="B198" s="18"/>
      <c r="C198" s="19" t="s">
        <v>1979</v>
      </c>
    </row>
    <row r="199" spans="2:15">
      <c r="D199" s="16" t="s">
        <v>2068</v>
      </c>
      <c r="E199" s="31" t="s">
        <v>2069</v>
      </c>
    </row>
    <row r="200" ht="16.5" spans="2:15">
      <c r="D200" s="59" t="s">
        <v>1999</v>
      </c>
      <c r="E200" s="59" t="s">
        <v>1179</v>
      </c>
      <c r="F200" s="59" t="s">
        <v>2000</v>
      </c>
      <c r="G200" s="59" t="s">
        <v>1963</v>
      </c>
    </row>
    <row r="201" ht="16.5" spans="2:15">
      <c r="D201" s="62">
        <v>1</v>
      </c>
      <c r="E201" s="84" t="s">
        <v>2001</v>
      </c>
      <c r="F201" s="84">
        <v>200</v>
      </c>
      <c r="G201" s="84">
        <v>1</v>
      </c>
    </row>
    <row r="202" ht="16.5" spans="2:15">
      <c r="D202" s="62">
        <v>2</v>
      </c>
      <c r="E202" s="84" t="s">
        <v>2001</v>
      </c>
      <c r="F202" s="84">
        <v>500</v>
      </c>
      <c r="G202" s="84">
        <v>1</v>
      </c>
    </row>
    <row r="203" ht="16.5" spans="2:15">
      <c r="D203" s="62">
        <v>3</v>
      </c>
      <c r="E203" s="84" t="s">
        <v>2001</v>
      </c>
      <c r="F203" s="84">
        <v>800</v>
      </c>
      <c r="G203" s="84">
        <v>1</v>
      </c>
    </row>
    <row r="204" ht="16.5" spans="2:15">
      <c r="D204" s="62">
        <v>4</v>
      </c>
      <c r="E204" s="84" t="s">
        <v>2001</v>
      </c>
      <c r="F204" s="84">
        <v>1000</v>
      </c>
      <c r="G204" s="84">
        <v>1</v>
      </c>
    </row>
    <row r="205" ht="16.5" spans="2:15">
      <c r="D205" s="62">
        <v>5</v>
      </c>
      <c r="E205" s="84" t="s">
        <v>2001</v>
      </c>
      <c r="F205" s="84">
        <v>1500</v>
      </c>
      <c r="G205" s="84">
        <v>2</v>
      </c>
    </row>
    <row r="206" ht="16.5" spans="2:15">
      <c r="D206" s="62">
        <v>6</v>
      </c>
      <c r="E206" s="84" t="s">
        <v>1859</v>
      </c>
      <c r="F206" s="84">
        <v>100</v>
      </c>
      <c r="G206" s="84">
        <v>1</v>
      </c>
    </row>
    <row r="207" ht="16.5" spans="2:15">
      <c r="D207" s="62">
        <v>7</v>
      </c>
      <c r="E207" s="84" t="s">
        <v>1859</v>
      </c>
      <c r="F207" s="84">
        <v>300</v>
      </c>
      <c r="G207" s="84">
        <v>1</v>
      </c>
    </row>
    <row r="208" ht="16.5" spans="2:15">
      <c r="D208" s="62">
        <v>8</v>
      </c>
      <c r="E208" s="84" t="s">
        <v>1859</v>
      </c>
      <c r="F208" s="84">
        <v>500</v>
      </c>
      <c r="G208" s="84">
        <v>1</v>
      </c>
    </row>
    <row r="209" ht="16.5" spans="2:7">
      <c r="D209" s="62">
        <v>9</v>
      </c>
      <c r="E209" s="84" t="s">
        <v>1859</v>
      </c>
      <c r="F209" s="84">
        <v>700</v>
      </c>
      <c r="G209" s="84">
        <v>1</v>
      </c>
    </row>
    <row r="210" ht="16.5" spans="2:7">
      <c r="D210" s="62">
        <v>10</v>
      </c>
      <c r="E210" s="84" t="s">
        <v>1859</v>
      </c>
      <c r="F210" s="84">
        <v>900</v>
      </c>
      <c r="G210" s="84">
        <v>1</v>
      </c>
    </row>
    <row r="211" ht="16.5" spans="2:7">
      <c r="D211" s="62">
        <v>11</v>
      </c>
      <c r="E211" s="84" t="s">
        <v>1859</v>
      </c>
      <c r="F211" s="84">
        <v>1100</v>
      </c>
      <c r="G211" s="84">
        <v>2</v>
      </c>
    </row>
    <row r="212" ht="16.5" spans="2:7">
      <c r="D212" s="62">
        <v>12</v>
      </c>
      <c r="E212" s="84" t="s">
        <v>2070</v>
      </c>
      <c r="F212" s="84">
        <v>5</v>
      </c>
      <c r="G212" s="84">
        <v>1</v>
      </c>
    </row>
    <row r="213" ht="16.5" spans="2:7">
      <c r="D213" s="62">
        <v>13</v>
      </c>
      <c r="E213" s="84" t="s">
        <v>2070</v>
      </c>
      <c r="F213" s="84">
        <v>10</v>
      </c>
      <c r="G213" s="84">
        <v>1</v>
      </c>
    </row>
    <row r="214" ht="16.5" spans="2:7">
      <c r="D214" s="62">
        <v>14</v>
      </c>
      <c r="E214" s="84" t="s">
        <v>2070</v>
      </c>
      <c r="F214" s="84">
        <v>15</v>
      </c>
      <c r="G214" s="84">
        <v>2</v>
      </c>
    </row>
    <row r="215" ht="16.5" spans="2:7">
      <c r="D215" s="62">
        <v>15</v>
      </c>
      <c r="E215" s="84" t="s">
        <v>2071</v>
      </c>
      <c r="F215" s="84">
        <v>4</v>
      </c>
      <c r="G215" s="84">
        <v>1</v>
      </c>
    </row>
    <row r="216" ht="16.5" spans="2:7">
      <c r="D216" s="62">
        <v>16</v>
      </c>
      <c r="E216" s="84" t="s">
        <v>2071</v>
      </c>
      <c r="F216" s="84">
        <v>6</v>
      </c>
      <c r="G216" s="84">
        <v>1</v>
      </c>
    </row>
    <row r="217" ht="16.5" spans="2:7">
      <c r="D217" s="62">
        <v>17</v>
      </c>
      <c r="E217" s="84" t="s">
        <v>2071</v>
      </c>
      <c r="F217" s="84">
        <v>10</v>
      </c>
      <c r="G217" s="84">
        <v>2</v>
      </c>
    </row>
    <row r="218" ht="16.5" spans="2:7">
      <c r="D218" s="62">
        <v>18</v>
      </c>
      <c r="E218" s="84" t="s">
        <v>2072</v>
      </c>
      <c r="F218" s="84">
        <v>5</v>
      </c>
      <c r="G218" s="84">
        <v>1</v>
      </c>
    </row>
    <row r="219" ht="16.5" spans="2:7">
      <c r="D219" s="62">
        <v>19</v>
      </c>
      <c r="E219" s="84" t="s">
        <v>2072</v>
      </c>
      <c r="F219" s="84">
        <v>10</v>
      </c>
      <c r="G219" s="84">
        <v>1</v>
      </c>
    </row>
    <row r="220" ht="16.5" spans="2:7">
      <c r="D220" s="62">
        <v>20</v>
      </c>
      <c r="E220" s="84" t="s">
        <v>2072</v>
      </c>
      <c r="F220" s="84">
        <v>15</v>
      </c>
      <c r="G220" s="84">
        <v>2</v>
      </c>
    </row>
    <row r="221" spans="2:7">
      <c r="G221" s="16">
        <f>SUM(G201:G220)</f>
        <v>25</v>
      </c>
    </row>
    <row r="222" ht="16.5" spans="2:7">
      <c r="B222" s="18"/>
      <c r="C222" s="19" t="s">
        <v>2073</v>
      </c>
    </row>
    <row r="226" spans="4:13">
      <c r="D226" s="45" t="s">
        <v>1121</v>
      </c>
      <c r="E226" s="32" t="s">
        <v>1810</v>
      </c>
      <c r="F226" s="32" t="s">
        <v>1809</v>
      </c>
      <c r="G226" s="32" t="s">
        <v>188</v>
      </c>
      <c r="H226" s="32" t="s">
        <v>27</v>
      </c>
      <c r="I226" s="32" t="s">
        <v>208</v>
      </c>
      <c r="J226" s="32" t="s">
        <v>965</v>
      </c>
      <c r="K226" s="32" t="s">
        <v>916</v>
      </c>
      <c r="L226" s="32" t="s">
        <v>954</v>
      </c>
      <c r="M226" s="32" t="s">
        <v>1981</v>
      </c>
    </row>
    <row r="227" spans="4:13">
      <c r="D227" s="89" t="s">
        <v>1621</v>
      </c>
      <c r="E227" s="90"/>
      <c r="F227" s="90"/>
      <c r="G227" s="90"/>
      <c r="H227" s="90">
        <v>1</v>
      </c>
      <c r="I227" s="90"/>
      <c r="J227" s="56"/>
      <c r="K227" s="90">
        <v>7</v>
      </c>
      <c r="L227" s="91"/>
      <c r="M227" s="56"/>
    </row>
    <row r="228" spans="4:13">
      <c r="D228" s="89" t="s">
        <v>1517</v>
      </c>
      <c r="E228" s="90"/>
      <c r="F228" s="90">
        <v>228</v>
      </c>
      <c r="G228" s="90"/>
      <c r="H228" s="90">
        <v>3</v>
      </c>
      <c r="I228" s="90">
        <v>100</v>
      </c>
      <c r="J228" s="56" cm="1">
        <f t="array" ref="J228">SUMPRODUCT($N$13:$P$13,G228:I228)</f>
        <v>500</v>
      </c>
      <c r="K228" s="90">
        <v>3</v>
      </c>
      <c r="L228" s="92" t="str">
        <f>INT(F228/J228*10)&amp;"折"</f>
        <v>4折</v>
      </c>
      <c r="M228" s="56" cm="1">
        <f t="array" ref="M228">SUMPRODUCT($J$32:J228,$K$32:K228)</f>
        <v>207383600.55358</v>
      </c>
    </row>
    <row r="229" spans="4:13">
      <c r="D229" s="93" t="s">
        <v>1581</v>
      </c>
      <c r="E229" s="94">
        <v>6</v>
      </c>
      <c r="F229" s="94"/>
      <c r="G229" s="94">
        <v>60</v>
      </c>
      <c r="H229" s="94">
        <v>5</v>
      </c>
      <c r="I229" s="94"/>
      <c r="J229" s="95" cm="1">
        <f t="array" ref="J229">SUMPRODUCT($N$13:$P$13,G229:I229)</f>
        <v>560</v>
      </c>
      <c r="K229" s="94">
        <v>5</v>
      </c>
      <c r="L229" s="57" t="str">
        <f>ROUNDUP(E229/J229*100,0)&amp;"折"</f>
        <v>2折</v>
      </c>
      <c r="M229" s="95" cm="1">
        <f t="array" ref="M229">SUMPRODUCT($J$32:J229,$K$32:K229)</f>
        <v>207386400.55358</v>
      </c>
    </row>
    <row r="230" spans="4:13">
      <c r="D230" s="89" t="s">
        <v>1517</v>
      </c>
      <c r="E230" s="90"/>
      <c r="F230" s="90">
        <v>688</v>
      </c>
      <c r="G230" s="90"/>
      <c r="H230" s="90">
        <v>6</v>
      </c>
      <c r="I230" s="90">
        <v>200</v>
      </c>
      <c r="J230" s="56" cm="1">
        <f t="array" ref="J230">SUMPRODUCT($N$13:$P$13,G230:I230)</f>
        <v>1000</v>
      </c>
      <c r="K230" s="90">
        <v>3</v>
      </c>
      <c r="L230" s="92" t="str">
        <f>INT(F230/J230*10)&amp;"折"</f>
        <v>6折</v>
      </c>
      <c r="M230" s="56" cm="1">
        <f t="array" ref="M230">SUMPRODUCT($J$32:J230,$K$32:K230)</f>
        <v>207389400.55358</v>
      </c>
    </row>
    <row r="231" spans="4:13">
      <c r="D231" s="93" t="s">
        <v>1581</v>
      </c>
      <c r="E231" s="94">
        <v>30</v>
      </c>
      <c r="F231" s="94"/>
      <c r="G231" s="94">
        <v>300</v>
      </c>
      <c r="H231" s="94">
        <v>10</v>
      </c>
      <c r="I231" s="94"/>
      <c r="J231" s="95" cm="1">
        <f t="array" ref="J231">SUMPRODUCT($N$13:$P$13,G231:I231)</f>
        <v>1300</v>
      </c>
      <c r="K231" s="94">
        <v>5</v>
      </c>
      <c r="L231" s="57" t="str">
        <f>ROUNDUP(E231/J231*100,0)&amp;"折"</f>
        <v>3折</v>
      </c>
      <c r="M231" s="95" cm="1">
        <f t="array" ref="M231">SUMPRODUCT($J$32:J231,$K$32:K231)</f>
        <v>207395900.55358</v>
      </c>
    </row>
    <row r="232" spans="4:13">
      <c r="D232" s="89" t="s">
        <v>1517</v>
      </c>
      <c r="E232" s="90"/>
      <c r="F232" s="90">
        <v>1388</v>
      </c>
      <c r="G232" s="90"/>
      <c r="H232" s="90">
        <v>12</v>
      </c>
      <c r="I232" s="90">
        <v>300</v>
      </c>
      <c r="J232" s="56" cm="1">
        <f t="array" ref="J232">SUMPRODUCT($N$13:$P$13,G232:I232)</f>
        <v>1800</v>
      </c>
      <c r="K232" s="90">
        <v>3</v>
      </c>
      <c r="L232" s="92" t="str">
        <f>INT(F232/J232*10)&amp;"折"</f>
        <v>7折</v>
      </c>
      <c r="M232" s="56" cm="1">
        <f t="array" ref="M232">SUMPRODUCT($J$32:J232,$K$32:K232)</f>
        <v>207401300.55358</v>
      </c>
    </row>
    <row r="233" spans="4:13">
      <c r="D233" s="89" t="s">
        <v>1517</v>
      </c>
      <c r="E233" s="90"/>
      <c r="F233" s="90">
        <v>2688</v>
      </c>
      <c r="G233" s="90"/>
      <c r="H233" s="90">
        <v>22</v>
      </c>
      <c r="I233" s="90">
        <v>400</v>
      </c>
      <c r="J233" s="56" cm="1">
        <f t="array" ref="J233">SUMPRODUCT($N$13:$P$13,G233:I233)</f>
        <v>3000</v>
      </c>
      <c r="K233" s="90">
        <v>3</v>
      </c>
      <c r="L233" s="92" t="str">
        <f>INT(F233/J233*10)&amp;"折"</f>
        <v>8折</v>
      </c>
      <c r="M233" s="56" cm="1">
        <f t="array" ref="M233">SUMPRODUCT($J$32:J233,$K$32:K233)</f>
        <v>207410300.55358</v>
      </c>
    </row>
    <row r="234" spans="4:13">
      <c r="D234" s="93" t="s">
        <v>1581</v>
      </c>
      <c r="E234" s="94">
        <v>328</v>
      </c>
      <c r="F234" s="94"/>
      <c r="G234" s="94">
        <v>3280</v>
      </c>
      <c r="H234" s="94">
        <v>35</v>
      </c>
      <c r="I234" s="94"/>
      <c r="J234" s="95" cm="1">
        <f t="array" ref="J234">SUMPRODUCT($N$13:$P$13,G234:I234)</f>
        <v>6780</v>
      </c>
      <c r="K234" s="94">
        <v>5</v>
      </c>
      <c r="L234" s="57" t="str">
        <f>ROUNDUP(E234/J234*100,0)&amp;"折"</f>
        <v>5折</v>
      </c>
      <c r="M234" s="95" cm="1">
        <f t="array" ref="M234">SUMPRODUCT($J$32:J234,$K$32:K234)</f>
        <v>207444200.55358</v>
      </c>
    </row>
    <row r="235" spans="4:13">
      <c r="D235" s="89" t="s">
        <v>1517</v>
      </c>
      <c r="E235" s="90"/>
      <c r="F235" s="90">
        <v>5688</v>
      </c>
      <c r="G235" s="90"/>
      <c r="H235" s="90">
        <v>45</v>
      </c>
      <c r="I235" s="90">
        <v>500</v>
      </c>
      <c r="J235" s="56" cm="1">
        <f t="array" ref="J235">SUMPRODUCT($N$13:$P$13,G235:I235)</f>
        <v>5500</v>
      </c>
      <c r="K235" s="90">
        <v>10</v>
      </c>
      <c r="L235" s="92" t="str">
        <f>INT(F235/J235*10)&amp;"折"</f>
        <v>10折</v>
      </c>
      <c r="M235" s="56" cm="1">
        <f t="array" ref="M235">SUMPRODUCT($J$32:J235,$K$32:K235)</f>
        <v>207499200.55358</v>
      </c>
    </row>
  </sheetData>
  <mergeCells count="2">
    <mergeCell ref="B44:C44"/>
    <mergeCell ref="K84:L84"/>
  </mergeCells>
  <conditionalFormatting sqref="J15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7:I2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{9530b5e4-760d-41f3-9d18-75c8ccba5575}</x14:id>
        </ext>
      </extLst>
    </cfRule>
    <cfRule type="colorScale" priority="2">
      <colorScale>
        <cfvo type="min"/>
        <cfvo type="max"/>
        <color rgb="FFFCFCFF"/>
        <color rgb="FF63BE7B"/>
      </colorScale>
    </cfRule>
    <cfRule type="iconSet" priority="3">
      <iconSet iconSet="3Arrows">
        <cfvo type="percent" val="0"/>
        <cfvo type="percent" val="33"/>
        <cfvo type="percent" val="67"/>
      </iconSe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{6bf08287-c70d-46e7-a4d1-a455b28cca57}</x14:id>
        </ext>
      </extLst>
    </cfRule>
  </conditionalFormatting>
  <conditionalFormatting sqref="J97:J15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96 H97:H156 K97:K157 J158:K19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7:I156 H157:I15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30b5e4-760d-41f3-9d18-75c8ccba55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bf08287-c70d-46e7-a4d1-a455b28cca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I27:I29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8" tint="0.8"/>
  </sheetPr>
  <dimension ref="B3:U55"/>
  <sheetViews>
    <sheetView showGridLines="0" zoomScale="115" zoomScaleNormal="115" workbookViewId="0">
      <selection activeCell="B95" sqref="B95:L100"/>
    </sheetView>
  </sheetViews>
  <sheetFormatPr defaultColWidth="9" defaultRowHeight="13.5"/>
  <cols>
    <col min="2" max="3" width="2" customWidth="1"/>
    <col min="6" max="6" width="9.25"/>
  </cols>
  <sheetData>
    <row r="3" ht="16.5" spans="2:20">
      <c r="B3" s="18"/>
      <c r="C3" s="19" t="s">
        <v>2074</v>
      </c>
    </row>
    <row r="4" spans="2:20">
      <c r="B4" s="20"/>
      <c r="C4" s="20"/>
      <c r="D4" s="6" t="s">
        <v>1962</v>
      </c>
      <c r="E4" s="6" t="s">
        <v>922</v>
      </c>
      <c r="F4" s="20"/>
      <c r="G4" s="20"/>
      <c r="K4" s="20"/>
      <c r="L4" s="20"/>
      <c r="M4" s="20"/>
      <c r="N4" s="20"/>
      <c r="O4" s="20"/>
    </row>
    <row r="5" spans="2:20">
      <c r="B5" s="20"/>
      <c r="C5" s="20"/>
      <c r="D5" s="21" t="s">
        <v>319</v>
      </c>
      <c r="E5" s="22">
        <v>300</v>
      </c>
      <c r="F5" s="20"/>
      <c r="G5" s="20"/>
      <c r="K5" s="20"/>
      <c r="L5" s="20"/>
      <c r="M5" s="20"/>
      <c r="N5" s="20"/>
      <c r="O5" s="20"/>
    </row>
    <row r="6" spans="2:20">
      <c r="B6" s="20"/>
      <c r="C6" s="20"/>
      <c r="D6" s="21" t="s">
        <v>235</v>
      </c>
      <c r="E6" s="22">
        <v>1000</v>
      </c>
      <c r="F6" s="20"/>
      <c r="G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2:20">
      <c r="B7" s="20"/>
      <c r="C7" s="20"/>
      <c r="D7" s="20"/>
      <c r="E7" s="20"/>
      <c r="F7" s="20"/>
      <c r="G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2:20">
      <c r="B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2:20">
      <c r="B9" s="20"/>
      <c r="C9" s="20"/>
      <c r="D9" s="20" t="s">
        <v>2075</v>
      </c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2:20">
      <c r="B10" s="20"/>
      <c r="C10" s="20"/>
      <c r="D10" s="6" t="s">
        <v>1686</v>
      </c>
      <c r="E10" s="6" t="s">
        <v>2076</v>
      </c>
      <c r="F10" s="6" t="s">
        <v>1712</v>
      </c>
      <c r="G10" s="6" t="s">
        <v>2077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2:20">
      <c r="B11" s="20"/>
      <c r="C11" s="20"/>
      <c r="D11" s="21" t="s">
        <v>566</v>
      </c>
      <c r="E11" s="23" cm="1">
        <f t="array" ref="E11">SUMPRODUCT(--($I$27:$I$35=$I$27),$J$27:$J$35,--($O$27:$O$35&lt;=MATCH($D11,$D$11:$D$14,0)))</f>
        <v>0</v>
      </c>
      <c r="F11" s="23">
        <f>1500/$D$19</f>
        <v>30</v>
      </c>
      <c r="G11" s="22">
        <f>SUM(E11:F11)</f>
        <v>30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2:20">
      <c r="B12" s="20"/>
      <c r="C12" s="20"/>
      <c r="D12" s="21" t="s">
        <v>1704</v>
      </c>
      <c r="E12" s="23" cm="1">
        <f t="array" ref="E12">SUMPRODUCT(--($I$27:$I$35=$I$27),$J$27:$J$35,--($O$27:$O$35&lt;=MATCH($D12,$D$11:$D$14,0)))</f>
        <v>35</v>
      </c>
      <c r="F12" s="23">
        <f>1500/$D$19</f>
        <v>30</v>
      </c>
      <c r="G12" s="22">
        <f>SUM(E12:F12)</f>
        <v>65</v>
      </c>
      <c r="O12" s="20"/>
      <c r="P12" s="20"/>
      <c r="Q12" s="20"/>
      <c r="R12" s="20"/>
      <c r="S12" s="20"/>
      <c r="T12" s="20"/>
    </row>
    <row r="13" spans="2:20">
      <c r="B13" s="20"/>
      <c r="C13" s="20"/>
      <c r="D13" s="21" t="s">
        <v>577</v>
      </c>
      <c r="E13" s="23" cm="1">
        <f t="array" ref="E13">SUMPRODUCT(--($I$27:$I$35=$I$27),$J$27:$J$35,--($O$27:$O$35&lt;=MATCH($D13,$D$11:$D$14,0)))</f>
        <v>88</v>
      </c>
      <c r="F13" s="23">
        <f>1500/$D$19</f>
        <v>30</v>
      </c>
      <c r="G13" s="22">
        <f>SUM(E13:F13)</f>
        <v>118</v>
      </c>
      <c r="O13" s="20"/>
      <c r="P13" s="20"/>
      <c r="Q13" s="20"/>
      <c r="R13" s="20"/>
      <c r="S13" s="20"/>
      <c r="T13" s="20"/>
    </row>
    <row r="14" spans="2:20">
      <c r="B14" s="20"/>
      <c r="C14" s="20"/>
      <c r="D14" s="21" t="s">
        <v>586</v>
      </c>
      <c r="E14" s="23" cm="1">
        <f t="array" ref="E14">SUMPRODUCT(--($I$27:$I$35=$I$27),$J$27:$J$35,--($O$27:$O$35&lt;=MATCH($D14,$D$11:$D$14,0)))</f>
        <v>88</v>
      </c>
      <c r="F14" s="23">
        <f>1500/$D$19</f>
        <v>30</v>
      </c>
      <c r="G14" s="22">
        <f>SUM(E14:F14)</f>
        <v>118</v>
      </c>
      <c r="O14" s="20"/>
      <c r="P14" s="20"/>
      <c r="Q14" s="20"/>
      <c r="R14" s="20"/>
      <c r="S14" s="20"/>
      <c r="T14" s="20"/>
    </row>
    <row r="15" spans="2:20">
      <c r="B15" s="20"/>
      <c r="C15" s="20"/>
      <c r="D15" s="20"/>
      <c r="E15" s="20"/>
      <c r="F15" s="20"/>
      <c r="G15" s="20"/>
      <c r="O15" s="20"/>
      <c r="P15" s="20"/>
      <c r="Q15" s="20"/>
      <c r="R15" s="20"/>
      <c r="S15" s="20"/>
      <c r="T15" s="20"/>
    </row>
    <row r="16" spans="2:20">
      <c r="B16" s="20"/>
      <c r="C16" s="20"/>
      <c r="D16" s="20"/>
      <c r="E16" s="20"/>
      <c r="F16" s="20"/>
      <c r="G16" s="20"/>
      <c r="O16" s="20"/>
      <c r="P16" s="20"/>
      <c r="Q16" s="20"/>
      <c r="R16" s="20"/>
      <c r="S16" s="20"/>
      <c r="T16" s="20"/>
    </row>
    <row r="17" spans="2:21">
      <c r="B17" s="20"/>
      <c r="C17" s="20"/>
      <c r="D17" s="20" t="s">
        <v>2078</v>
      </c>
      <c r="E17" s="20"/>
      <c r="F17" s="20"/>
      <c r="G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2:21">
      <c r="B18" s="20"/>
      <c r="C18" s="20"/>
      <c r="D18" s="24" t="s">
        <v>2079</v>
      </c>
      <c r="E18" s="24" t="s">
        <v>2080</v>
      </c>
      <c r="F18" s="20"/>
      <c r="G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2:21">
      <c r="B19" s="20"/>
      <c r="C19" s="20"/>
      <c r="D19" s="22">
        <v>50</v>
      </c>
      <c r="E19" s="22">
        <v>30</v>
      </c>
      <c r="F19" s="20"/>
      <c r="G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2:21">
      <c r="B20" s="20"/>
      <c r="C20" s="20"/>
      <c r="D20" s="20"/>
      <c r="E20" s="20"/>
      <c r="F20" s="20"/>
      <c r="G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2:21">
      <c r="B21" s="20"/>
      <c r="C21" s="20"/>
      <c r="D21" s="20"/>
      <c r="E21" s="20"/>
      <c r="F21" s="20"/>
      <c r="G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2:21">
      <c r="B22" s="20"/>
      <c r="C22" s="20"/>
      <c r="D22" s="20"/>
      <c r="E22" s="20"/>
      <c r="F22" s="20"/>
      <c r="G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2:21">
      <c r="B23" s="20"/>
      <c r="C23" s="20"/>
      <c r="D23" s="20"/>
      <c r="E23" s="20"/>
      <c r="F23" s="20"/>
      <c r="G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6.5" spans="2:21">
      <c r="B24" s="18"/>
      <c r="C24" s="19" t="s">
        <v>1969</v>
      </c>
      <c r="D24" s="20"/>
      <c r="E24" s="20"/>
      <c r="F24" s="20"/>
      <c r="G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2:21">
      <c r="B25" s="20"/>
      <c r="C25" s="20"/>
      <c r="D25" s="20" t="s">
        <v>1073</v>
      </c>
      <c r="E25" s="20"/>
      <c r="F25" s="20"/>
      <c r="G25" s="20"/>
      <c r="H25" s="20"/>
      <c r="I25" s="20" t="s">
        <v>1075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2:21">
      <c r="B26" s="20"/>
      <c r="D26" s="6" t="s">
        <v>1442</v>
      </c>
      <c r="E26" s="6" t="s">
        <v>1099</v>
      </c>
      <c r="F26" s="6" t="s">
        <v>919</v>
      </c>
      <c r="G26" s="6" t="s">
        <v>922</v>
      </c>
      <c r="H26" s="20"/>
      <c r="I26" s="6" t="s">
        <v>1099</v>
      </c>
      <c r="J26" s="6" t="s">
        <v>919</v>
      </c>
      <c r="K26" s="6" t="s">
        <v>922</v>
      </c>
      <c r="L26" s="6" t="s">
        <v>1099</v>
      </c>
      <c r="M26" s="6" t="s">
        <v>919</v>
      </c>
      <c r="N26" s="6" t="s">
        <v>922</v>
      </c>
      <c r="O26" s="6" t="s">
        <v>917</v>
      </c>
      <c r="P26" s="6" t="s">
        <v>965</v>
      </c>
      <c r="Q26" s="6" t="s">
        <v>1860</v>
      </c>
      <c r="R26" s="6" t="s">
        <v>923</v>
      </c>
      <c r="S26" s="6" t="s">
        <v>2081</v>
      </c>
    </row>
    <row r="27" spans="2:21">
      <c r="B27" s="20"/>
      <c r="D27" s="21">
        <v>1</v>
      </c>
      <c r="E27" s="22" t="s">
        <v>213</v>
      </c>
      <c r="F27" s="22">
        <v>5</v>
      </c>
      <c r="G27" s="23">
        <f>_xlfn.XLOOKUP(E27,价值表!C:C,价值表!F:F)*F27</f>
        <v>150</v>
      </c>
      <c r="H27" s="25" t="str">
        <f>"[{"&amp;_xlfn.XLOOKUP(E27,价值表!$C:$C,价值表!$D:$D)&amp;","&amp;F27&amp;"}]"</f>
        <v>[{11,5}]</v>
      </c>
      <c r="I27" s="22" t="s">
        <v>319</v>
      </c>
      <c r="J27" s="22">
        <v>5</v>
      </c>
      <c r="K27" s="26">
        <f>_xlfn.XLOOKUP(I27,价值表!$C:$C,价值表!$F:$F)*J27</f>
        <v>1500</v>
      </c>
      <c r="L27" s="22" t="s">
        <v>2082</v>
      </c>
      <c r="M27" s="22">
        <v>200</v>
      </c>
      <c r="N27" s="26" t="e">
        <f>_xlfn.XLOOKUP(L27,价值表!$C:$C,价值表!$F:$F)*M27</f>
        <v>#N/A</v>
      </c>
      <c r="O27" s="27">
        <v>2</v>
      </c>
      <c r="P27" s="28" t="e">
        <f>K27+N27</f>
        <v>#N/A</v>
      </c>
      <c r="Q27" s="22">
        <v>488</v>
      </c>
      <c r="R27" s="29" t="e">
        <f>P27/Q27</f>
        <v>#N/A</v>
      </c>
      <c r="S27" s="28" t="e">
        <f>CEILING(Q27/P27*10,1)&amp;"折"</f>
        <v>#N/A</v>
      </c>
      <c r="T27" s="25" t="e">
        <f>"[{"&amp;_xlfn.XLOOKUP(I27,价值表!$C:$C,价值表!$D:$D)&amp;","&amp;J27&amp;"},{"&amp;_xlfn.XLOOKUP(L27,价值表!$C:$C,价值表!$D:$D)&amp;","&amp;M27&amp;"}]"</f>
        <v>#N/A</v>
      </c>
      <c r="U27" t="str">
        <f>"[{1,"&amp;Q27&amp;"}]"</f>
        <v>[{1,488}]</v>
      </c>
    </row>
    <row r="28" spans="2:21">
      <c r="B28" s="20"/>
      <c r="D28" s="21">
        <v>3</v>
      </c>
      <c r="E28" s="22" t="s">
        <v>213</v>
      </c>
      <c r="F28" s="22">
        <v>10</v>
      </c>
      <c r="G28" s="23">
        <f>_xlfn.XLOOKUP(E28,价值表!C:C,价值表!F:F)*F28</f>
        <v>300</v>
      </c>
      <c r="H28" s="25" t="str">
        <f>"[{"&amp;_xlfn.XLOOKUP(E28,价值表!$C:$C,价值表!$D:$D)&amp;","&amp;F28&amp;"}]"</f>
        <v>[{11,10}]</v>
      </c>
      <c r="I28" s="22" t="s">
        <v>319</v>
      </c>
      <c r="J28" s="22">
        <v>8</v>
      </c>
      <c r="K28" s="26">
        <f>_xlfn.XLOOKUP(I28,价值表!$C:$C,价值表!$F:$F)*J28</f>
        <v>2400</v>
      </c>
      <c r="L28" s="22" t="s">
        <v>2082</v>
      </c>
      <c r="M28" s="22">
        <v>300</v>
      </c>
      <c r="N28" s="26" t="e">
        <f>_xlfn.XLOOKUP(L28,价值表!$C:$C,价值表!$F:$F)*M28</f>
        <v>#N/A</v>
      </c>
      <c r="O28" s="27">
        <v>2</v>
      </c>
      <c r="P28" s="28" t="e">
        <f t="shared" ref="P28:P35" si="0">K28+N28</f>
        <v>#N/A</v>
      </c>
      <c r="Q28" s="22">
        <v>888</v>
      </c>
      <c r="R28" s="29" t="e">
        <f t="shared" ref="R28:R35" si="1">P28/Q28</f>
        <v>#N/A</v>
      </c>
      <c r="S28" s="28" t="e">
        <f t="shared" ref="S28:S35" si="2">CEILING(Q28/P28*10,1)&amp;"折"</f>
        <v>#N/A</v>
      </c>
      <c r="T28" s="25" t="e">
        <f>"[{"&amp;_xlfn.XLOOKUP(I28,价值表!$C:$C,价值表!$D:$D)&amp;","&amp;J28&amp;"},{"&amp;_xlfn.XLOOKUP(L28,价值表!$C:$C,价值表!$D:$D)&amp;","&amp;M28&amp;"}]"</f>
        <v>#N/A</v>
      </c>
      <c r="U28" t="str">
        <f t="shared" ref="U28:U35" si="3">"[{1,"&amp;Q28&amp;"}]"</f>
        <v>[{1,888}]</v>
      </c>
    </row>
    <row r="29" spans="2:21">
      <c r="B29" s="20"/>
      <c r="D29" s="21">
        <v>5</v>
      </c>
      <c r="E29" s="22" t="s">
        <v>213</v>
      </c>
      <c r="F29" s="22">
        <v>15</v>
      </c>
      <c r="G29" s="23">
        <f>_xlfn.XLOOKUP(E29,价值表!C:C,价值表!F:F)*F29</f>
        <v>450</v>
      </c>
      <c r="H29" s="25" t="str">
        <f>"[{"&amp;_xlfn.XLOOKUP(E29,价值表!$C:$C,价值表!$D:$D)&amp;","&amp;F29&amp;"}]"</f>
        <v>[{11,15}]</v>
      </c>
      <c r="I29" s="22" t="s">
        <v>319</v>
      </c>
      <c r="J29" s="22">
        <v>10</v>
      </c>
      <c r="K29" s="26">
        <f>_xlfn.XLOOKUP(I29,价值表!$C:$C,价值表!$F:$F)*J29</f>
        <v>3000</v>
      </c>
      <c r="L29" s="22" t="s">
        <v>235</v>
      </c>
      <c r="M29" s="22">
        <v>1</v>
      </c>
      <c r="N29" s="26">
        <f>_xlfn.XLOOKUP(L29,价值表!$C:$C,价值表!$F:$F)*M29</f>
        <v>1000</v>
      </c>
      <c r="O29" s="27">
        <v>2</v>
      </c>
      <c r="P29" s="28">
        <f t="shared" si="0"/>
        <v>4000</v>
      </c>
      <c r="Q29" s="22">
        <v>1188</v>
      </c>
      <c r="R29" s="29">
        <f t="shared" si="1"/>
        <v>3.36700336700337</v>
      </c>
      <c r="S29" s="28" t="str">
        <f t="shared" si="2"/>
        <v>3折</v>
      </c>
      <c r="T29" s="25" t="str">
        <f>"[{"&amp;_xlfn.XLOOKUP(I29,价值表!$C:$C,价值表!$D:$D)&amp;","&amp;J29&amp;"},{"&amp;_xlfn.XLOOKUP(L29,价值表!$C:$C,价值表!$D:$D)&amp;","&amp;M29&amp;"}]"</f>
        <v>[{5600078,10},{1610100,1}]</v>
      </c>
      <c r="U29" t="str">
        <f t="shared" si="3"/>
        <v>[{1,1188}]</v>
      </c>
    </row>
    <row r="30" spans="2:21">
      <c r="B30" s="20"/>
      <c r="D30" s="21">
        <v>7</v>
      </c>
      <c r="E30" s="22" t="s">
        <v>213</v>
      </c>
      <c r="F30" s="22">
        <v>20</v>
      </c>
      <c r="G30" s="23">
        <f>_xlfn.XLOOKUP(E30,价值表!C:C,价值表!F:F)*F30</f>
        <v>600</v>
      </c>
      <c r="H30" s="25" t="str">
        <f>"[{"&amp;_xlfn.XLOOKUP(E30,价值表!$C:$C,价值表!$D:$D)&amp;","&amp;F30&amp;"}]"</f>
        <v>[{11,20}]</v>
      </c>
      <c r="I30" s="22" t="s">
        <v>319</v>
      </c>
      <c r="J30" s="22">
        <v>12</v>
      </c>
      <c r="K30" s="26">
        <f>_xlfn.XLOOKUP(I30,价值表!$C:$C,价值表!$F:$F)*J30</f>
        <v>3600</v>
      </c>
      <c r="L30" s="22" t="s">
        <v>235</v>
      </c>
      <c r="M30" s="22">
        <v>1</v>
      </c>
      <c r="N30" s="26">
        <f>_xlfn.XLOOKUP(L30,价值表!$C:$C,价值表!$F:$F)*M30</f>
        <v>1000</v>
      </c>
      <c r="O30" s="27">
        <v>2</v>
      </c>
      <c r="P30" s="28">
        <f t="shared" si="0"/>
        <v>4600</v>
      </c>
      <c r="Q30" s="22">
        <v>1688</v>
      </c>
      <c r="R30" s="29">
        <f t="shared" si="1"/>
        <v>2.72511848341232</v>
      </c>
      <c r="S30" s="28" t="str">
        <f t="shared" si="2"/>
        <v>4折</v>
      </c>
      <c r="T30" s="25" t="str">
        <f>"[{"&amp;_xlfn.XLOOKUP(I30,价值表!$C:$C,价值表!$D:$D)&amp;","&amp;J30&amp;"},{"&amp;_xlfn.XLOOKUP(L30,价值表!$C:$C,价值表!$D:$D)&amp;","&amp;M30&amp;"}]"</f>
        <v>[{5600078,12},{1610100,1}]</v>
      </c>
      <c r="U30" t="str">
        <f t="shared" si="3"/>
        <v>[{1,1688}]</v>
      </c>
    </row>
    <row r="31" spans="2:21">
      <c r="B31" s="20"/>
      <c r="D31" s="23">
        <v>10</v>
      </c>
      <c r="E31" s="22" t="s">
        <v>261</v>
      </c>
      <c r="F31" s="22">
        <v>2</v>
      </c>
      <c r="G31" s="23">
        <f>_xlfn.XLOOKUP(E31,价值表!C:C,价值表!F:F)*F31</f>
        <v>560</v>
      </c>
      <c r="H31" s="25" t="str">
        <f>"[{"&amp;_xlfn.XLOOKUP(E31,价值表!$C:$C,价值表!$D:$D)&amp;","&amp;F31&amp;"}]"</f>
        <v>[{30,2}]</v>
      </c>
      <c r="I31" s="22" t="s">
        <v>319</v>
      </c>
      <c r="J31" s="22">
        <v>15</v>
      </c>
      <c r="K31" s="26">
        <f>_xlfn.XLOOKUP(I31,价值表!$C:$C,价值表!$F:$F)*J31</f>
        <v>4500</v>
      </c>
      <c r="L31" s="22" t="s">
        <v>235</v>
      </c>
      <c r="M31" s="22">
        <v>2</v>
      </c>
      <c r="N31" s="26">
        <f>_xlfn.XLOOKUP(L31,价值表!$C:$C,价值表!$F:$F)*M31</f>
        <v>2000</v>
      </c>
      <c r="O31" s="27">
        <v>3</v>
      </c>
      <c r="P31" s="28">
        <f t="shared" si="0"/>
        <v>6500</v>
      </c>
      <c r="Q31" s="22">
        <v>2088</v>
      </c>
      <c r="R31" s="29">
        <f t="shared" si="1"/>
        <v>3.11302681992337</v>
      </c>
      <c r="S31" s="28" t="str">
        <f t="shared" si="2"/>
        <v>4折</v>
      </c>
      <c r="T31" s="25" t="str">
        <f>"[{"&amp;_xlfn.XLOOKUP(I31,价值表!$C:$C,价值表!$D:$D)&amp;","&amp;J31&amp;"},{"&amp;_xlfn.XLOOKUP(L31,价值表!$C:$C,价值表!$D:$D)&amp;","&amp;M31&amp;"}]"</f>
        <v>[{5600078,15},{1610100,2}]</v>
      </c>
      <c r="U31" t="str">
        <f t="shared" si="3"/>
        <v>[{1,2088}]</v>
      </c>
    </row>
    <row r="32" spans="2:21">
      <c r="B32" s="20"/>
      <c r="D32" s="23">
        <v>12</v>
      </c>
      <c r="E32" s="22" t="s">
        <v>261</v>
      </c>
      <c r="F32" s="22">
        <v>2</v>
      </c>
      <c r="G32" s="23">
        <f>_xlfn.XLOOKUP(E32,价值表!C:C,价值表!F:F)*F32</f>
        <v>560</v>
      </c>
      <c r="H32" s="25" t="str">
        <f>"[{"&amp;_xlfn.XLOOKUP(E32,价值表!$C:$C,价值表!$D:$D)&amp;","&amp;F32&amp;"}]"</f>
        <v>[{30,2}]</v>
      </c>
      <c r="I32" s="22" t="s">
        <v>319</v>
      </c>
      <c r="J32" s="22">
        <v>18</v>
      </c>
      <c r="K32" s="26">
        <f>_xlfn.XLOOKUP(I32,价值表!$C:$C,价值表!$F:$F)*J32</f>
        <v>5400</v>
      </c>
      <c r="L32" s="22" t="s">
        <v>235</v>
      </c>
      <c r="M32" s="22">
        <v>2</v>
      </c>
      <c r="N32" s="26">
        <f>_xlfn.XLOOKUP(L32,价值表!$C:$C,价值表!$F:$F)*M32</f>
        <v>2000</v>
      </c>
      <c r="O32" s="28">
        <v>3</v>
      </c>
      <c r="P32" s="28">
        <f t="shared" si="0"/>
        <v>7400</v>
      </c>
      <c r="Q32" s="22">
        <v>2488</v>
      </c>
      <c r="R32" s="29">
        <f t="shared" si="1"/>
        <v>2.97427652733119</v>
      </c>
      <c r="S32" s="28" t="str">
        <f t="shared" si="2"/>
        <v>4折</v>
      </c>
      <c r="T32" s="25" t="str">
        <f>"[{"&amp;_xlfn.XLOOKUP(I32,价值表!$C:$C,价值表!$D:$D)&amp;","&amp;J32&amp;"},{"&amp;_xlfn.XLOOKUP(L32,价值表!$C:$C,价值表!$D:$D)&amp;","&amp;M32&amp;"}]"</f>
        <v>[{5600078,18},{1610100,2}]</v>
      </c>
      <c r="U32" t="str">
        <f t="shared" si="3"/>
        <v>[{1,2488}]</v>
      </c>
    </row>
    <row r="33" spans="2:21">
      <c r="B33" s="20"/>
      <c r="D33" s="23">
        <v>15</v>
      </c>
      <c r="E33" s="22" t="s">
        <v>261</v>
      </c>
      <c r="F33" s="22">
        <v>3</v>
      </c>
      <c r="G33" s="23">
        <f>_xlfn.XLOOKUP(E33,价值表!C:C,价值表!F:F)*F33</f>
        <v>840</v>
      </c>
      <c r="H33" s="25" t="str">
        <f>"[{"&amp;_xlfn.XLOOKUP(E33,价值表!$C:$C,价值表!$D:$D)&amp;","&amp;F33&amp;"}]"</f>
        <v>[{30,3}]</v>
      </c>
      <c r="I33" s="22" t="s">
        <v>319</v>
      </c>
      <c r="J33" s="22">
        <v>20</v>
      </c>
      <c r="K33" s="26">
        <f>_xlfn.XLOOKUP(I33,价值表!$C:$C,价值表!$F:$F)*J33</f>
        <v>6000</v>
      </c>
      <c r="L33" s="22" t="s">
        <v>235</v>
      </c>
      <c r="M33" s="22">
        <v>3</v>
      </c>
      <c r="N33" s="26">
        <f>_xlfn.XLOOKUP(L33,价值表!$C:$C,价值表!$F:$F)*M33</f>
        <v>3000</v>
      </c>
      <c r="O33" s="28">
        <v>3</v>
      </c>
      <c r="P33" s="28">
        <f t="shared" si="0"/>
        <v>9000</v>
      </c>
      <c r="Q33" s="22">
        <v>3688</v>
      </c>
      <c r="R33" s="29">
        <f t="shared" si="1"/>
        <v>2.44034707158351</v>
      </c>
      <c r="S33" s="28" t="str">
        <f t="shared" si="2"/>
        <v>5折</v>
      </c>
      <c r="T33" s="25" t="str">
        <f>"[{"&amp;_xlfn.XLOOKUP(I33,价值表!$C:$C,价值表!$D:$D)&amp;","&amp;J33&amp;"},{"&amp;_xlfn.XLOOKUP(L33,价值表!$C:$C,价值表!$D:$D)&amp;","&amp;M33&amp;"}]"</f>
        <v>[{5600078,20},{1610100,3}]</v>
      </c>
      <c r="U33" t="str">
        <f t="shared" si="3"/>
        <v>[{1,3688}]</v>
      </c>
    </row>
    <row r="34" spans="2:21">
      <c r="B34" s="20"/>
      <c r="D34" s="21">
        <v>17</v>
      </c>
      <c r="E34" s="22" t="s">
        <v>235</v>
      </c>
      <c r="F34" s="22">
        <v>2</v>
      </c>
      <c r="G34" s="23">
        <f>_xlfn.XLOOKUP(E34,价值表!C:C,价值表!F:F)*F34</f>
        <v>2000</v>
      </c>
      <c r="H34" s="25" t="str">
        <f>"[{"&amp;_xlfn.XLOOKUP(E34,价值表!$C:$C,价值表!$D:$D)&amp;","&amp;F34&amp;"}]"</f>
        <v>[{1610100,2}]</v>
      </c>
      <c r="I34" s="22" t="s">
        <v>261</v>
      </c>
      <c r="J34" s="22">
        <v>30</v>
      </c>
      <c r="K34" s="26">
        <f>_xlfn.XLOOKUP(I34,价值表!$C:$C,价值表!$F:$F)*J34</f>
        <v>8400</v>
      </c>
      <c r="L34" s="22" t="s">
        <v>265</v>
      </c>
      <c r="M34" s="22">
        <v>150</v>
      </c>
      <c r="N34" s="26">
        <f>_xlfn.XLOOKUP(L34,价值表!$C:$C,价值表!$F:$F)*M34</f>
        <v>9000</v>
      </c>
      <c r="O34" s="27">
        <v>4</v>
      </c>
      <c r="P34" s="28">
        <f t="shared" si="0"/>
        <v>17400</v>
      </c>
      <c r="Q34" s="22">
        <v>5888</v>
      </c>
      <c r="R34" s="29">
        <f t="shared" si="1"/>
        <v>2.95516304347826</v>
      </c>
      <c r="S34" s="28" t="str">
        <f t="shared" si="2"/>
        <v>4折</v>
      </c>
      <c r="T34" s="25" t="str">
        <f>"[{"&amp;_xlfn.XLOOKUP(I34,价值表!$C:$C,价值表!$D:$D)&amp;","&amp;J34&amp;"},{"&amp;_xlfn.XLOOKUP(L34,价值表!$C:$C,价值表!$D:$D)&amp;","&amp;M34&amp;"}]"</f>
        <v>[{30,30},{5305001,150}]</v>
      </c>
      <c r="U34" t="str">
        <f t="shared" si="3"/>
        <v>[{1,5888}]</v>
      </c>
    </row>
    <row r="35" spans="2:21">
      <c r="B35" s="20"/>
      <c r="D35" s="21">
        <v>20</v>
      </c>
      <c r="E35" s="22" t="s">
        <v>235</v>
      </c>
      <c r="F35" s="22">
        <v>3</v>
      </c>
      <c r="G35" s="23">
        <f>_xlfn.XLOOKUP(E35,价值表!C:C,价值表!F:F)*F35</f>
        <v>3000</v>
      </c>
      <c r="H35" s="25" t="str">
        <f>"[{"&amp;_xlfn.XLOOKUP(E35,价值表!$C:$C,价值表!$D:$D)&amp;","&amp;F35&amp;"}]"</f>
        <v>[{1610100,3}]</v>
      </c>
      <c r="I35" s="22" t="s">
        <v>261</v>
      </c>
      <c r="J35" s="22">
        <v>50</v>
      </c>
      <c r="K35" s="26">
        <f>_xlfn.XLOOKUP(I35,价值表!$C:$C,价值表!$F:$F)*J35</f>
        <v>14000</v>
      </c>
      <c r="L35" s="22" t="s">
        <v>265</v>
      </c>
      <c r="M35" s="22">
        <v>250</v>
      </c>
      <c r="N35" s="26">
        <f>_xlfn.XLOOKUP(L35,价值表!$C:$C,价值表!$F:$F)*M35</f>
        <v>15000</v>
      </c>
      <c r="O35" s="27">
        <v>4</v>
      </c>
      <c r="P35" s="30">
        <f t="shared" si="0"/>
        <v>29000</v>
      </c>
      <c r="Q35" s="22">
        <v>8888</v>
      </c>
      <c r="R35" s="29">
        <f t="shared" si="1"/>
        <v>3.26282628262826</v>
      </c>
      <c r="S35" s="28" t="str">
        <f t="shared" si="2"/>
        <v>4折</v>
      </c>
      <c r="T35" s="25" t="str">
        <f>"[{"&amp;_xlfn.XLOOKUP(I35,价值表!$C:$C,价值表!$D:$D)&amp;","&amp;J35&amp;"},{"&amp;_xlfn.XLOOKUP(L35,价值表!$C:$C,价值表!$D:$D)&amp;","&amp;M35&amp;"}]"</f>
        <v>[{30,50},{5305001,250}]</v>
      </c>
      <c r="U35" t="str">
        <f t="shared" si="3"/>
        <v>[{1,8888}]</v>
      </c>
    </row>
    <row r="36" ht="16.5" spans="2:21">
      <c r="H36" s="4"/>
    </row>
    <row r="37" ht="16.5" spans="2:21">
      <c r="D37" s="4"/>
      <c r="E37" s="4"/>
      <c r="F37" s="4"/>
      <c r="G37" s="4"/>
      <c r="H37" s="4"/>
      <c r="I37" s="4"/>
      <c r="J37" s="14"/>
      <c r="K37" s="4"/>
    </row>
    <row r="38" ht="16.5" spans="2:21">
      <c r="D38" s="4"/>
      <c r="E38" s="4"/>
      <c r="F38" s="4"/>
      <c r="G38" s="4"/>
      <c r="H38" s="4"/>
      <c r="I38" s="4"/>
      <c r="J38" s="14"/>
      <c r="K38" s="4"/>
    </row>
    <row r="39" spans="2:21">
      <c r="D39" s="6" t="s">
        <v>2083</v>
      </c>
      <c r="E39" s="6" t="s">
        <v>2084</v>
      </c>
      <c r="F39" s="6" t="s">
        <v>1158</v>
      </c>
      <c r="G39" s="6" t="s">
        <v>1158</v>
      </c>
      <c r="H39" s="6" t="s">
        <v>1086</v>
      </c>
    </row>
    <row r="40" spans="2:21">
      <c r="D40" s="21">
        <v>1</v>
      </c>
      <c r="E40" s="23" t="s">
        <v>2085</v>
      </c>
      <c r="F40" s="23">
        <v>9000</v>
      </c>
      <c r="G40" s="23" t="e">
        <f>H45</f>
        <v>#N/A</v>
      </c>
      <c r="H40" s="23" t="e" cm="1">
        <f t="array" ref="H40">SUMPRODUCT($G$40:$G$42,$F$40:$F$42)/SUM($F$40:$F$42)</f>
        <v>#N/A</v>
      </c>
    </row>
    <row r="41" spans="2:21">
      <c r="D41" s="21">
        <v>2</v>
      </c>
      <c r="E41" s="23" t="s">
        <v>2086</v>
      </c>
      <c r="F41" s="23">
        <v>1000</v>
      </c>
      <c r="G41" s="23">
        <f>H55</f>
        <v>1000</v>
      </c>
    </row>
    <row r="42" spans="2:21">
      <c r="D42" s="21">
        <v>3</v>
      </c>
      <c r="E42" s="23" t="s">
        <v>2087</v>
      </c>
      <c r="F42" s="23">
        <v>0</v>
      </c>
      <c r="G42" s="23"/>
    </row>
    <row r="44" spans="2:21">
      <c r="D44" s="6" t="s">
        <v>933</v>
      </c>
      <c r="E44" s="6" t="s">
        <v>919</v>
      </c>
      <c r="F44" s="6" t="s">
        <v>922</v>
      </c>
      <c r="G44" s="6" t="s">
        <v>1158</v>
      </c>
      <c r="H44" s="6" t="s">
        <v>2088</v>
      </c>
    </row>
    <row r="45" spans="2:21">
      <c r="D45" s="21" t="s">
        <v>257</v>
      </c>
      <c r="E45" s="23">
        <v>1</v>
      </c>
      <c r="F45" s="23">
        <f>_xlfn.XLOOKUP(D45,价值表!C:C,价值表!F:F)*E45</f>
        <v>4096</v>
      </c>
      <c r="G45" s="22">
        <v>100</v>
      </c>
      <c r="H45" s="22" t="e" cm="1">
        <f t="array" ref="H45">SUMPRODUCT($F$45:$F$52,$G$45:$G$52)/SUM($G$45:$G$52)</f>
        <v>#N/A</v>
      </c>
      <c r="I45" s="31"/>
      <c r="J45" t="str">
        <f>"[{"&amp;_xlfn.XLOOKUP(D45,价值表!C:C,价值表!D:D)&amp;","&amp;E45&amp;"}]"</f>
        <v>[{5600207,1}]</v>
      </c>
    </row>
    <row r="46" spans="2:21">
      <c r="D46" s="21" t="s">
        <v>1310</v>
      </c>
      <c r="E46" s="23">
        <v>1</v>
      </c>
      <c r="F46" s="23" t="e">
        <f>_xlfn.XLOOKUP(D46,价值表!C:C,价值表!F:F)*E46</f>
        <v>#N/A</v>
      </c>
      <c r="G46" s="22">
        <v>200</v>
      </c>
      <c r="J46" t="e">
        <f>"[{"&amp;_xlfn.XLOOKUP(D46,价值表!C:C,价值表!D:D)&amp;","&amp;E46&amp;"}]"</f>
        <v>#N/A</v>
      </c>
    </row>
    <row r="47" spans="2:21">
      <c r="D47" s="23" t="s">
        <v>261</v>
      </c>
      <c r="E47" s="23">
        <v>5</v>
      </c>
      <c r="F47" s="23">
        <f>_xlfn.XLOOKUP(D47,价值表!C:C,价值表!F:F)*E47</f>
        <v>1400</v>
      </c>
      <c r="G47" s="22">
        <v>500</v>
      </c>
      <c r="J47" t="str">
        <f>"[{"&amp;_xlfn.XLOOKUP(D47,价值表!C:C,价值表!D:D)&amp;","&amp;E47&amp;"}]"</f>
        <v>[{30,5}]</v>
      </c>
    </row>
    <row r="48" spans="2:21">
      <c r="D48" s="21" t="s">
        <v>235</v>
      </c>
      <c r="E48" s="23">
        <v>1</v>
      </c>
      <c r="F48" s="23">
        <f>_xlfn.XLOOKUP(D48,价值表!C:C,价值表!F:F)*E48</f>
        <v>1000</v>
      </c>
      <c r="G48" s="22">
        <v>200</v>
      </c>
      <c r="J48" t="str">
        <f>"[{"&amp;_xlfn.XLOOKUP(D48,价值表!C:C,价值表!D:D)&amp;","&amp;E48&amp;"}]"</f>
        <v>[{1610100,1}]</v>
      </c>
    </row>
    <row r="49" spans="4:10">
      <c r="D49" s="21" t="s">
        <v>2082</v>
      </c>
      <c r="E49" s="23">
        <v>50</v>
      </c>
      <c r="F49" s="23" t="e">
        <f>_xlfn.XLOOKUP(D49,价值表!C:C,价值表!F:F)*E49</f>
        <v>#N/A</v>
      </c>
      <c r="G49" s="22">
        <v>2250</v>
      </c>
      <c r="J49" t="e">
        <f>"[{"&amp;_xlfn.XLOOKUP(D49,价值表!C:C,价值表!D:D)&amp;","&amp;E49&amp;"}]"</f>
        <v>#N/A</v>
      </c>
    </row>
    <row r="50" spans="4:10">
      <c r="D50" s="21" t="s">
        <v>242</v>
      </c>
      <c r="E50" s="23">
        <v>20</v>
      </c>
      <c r="F50" s="23">
        <f>_xlfn.XLOOKUP(D50,价值表!C:C,价值表!F:F)*E50</f>
        <v>60</v>
      </c>
      <c r="G50" s="22">
        <v>2250</v>
      </c>
      <c r="J50" t="str">
        <f>"[{"&amp;_xlfn.XLOOKUP(D50,价值表!C:C,价值表!D:D)&amp;","&amp;E50&amp;"}]"</f>
        <v>[{50002,20}]</v>
      </c>
    </row>
    <row r="51" spans="4:10">
      <c r="D51" s="21" t="s">
        <v>299</v>
      </c>
      <c r="E51" s="23">
        <v>200</v>
      </c>
      <c r="F51" s="23">
        <f>_xlfn.XLOOKUP(D51,价值表!C:C,价值表!F:F)*E51</f>
        <v>66</v>
      </c>
      <c r="G51" s="22">
        <v>2250</v>
      </c>
      <c r="J51" t="str">
        <f>"[{"&amp;_xlfn.XLOOKUP(D51,价值表!C:C,价值表!D:D)&amp;","&amp;E51&amp;"}]"</f>
        <v>[{5525002,200}]</v>
      </c>
    </row>
    <row r="52" spans="4:10">
      <c r="D52" s="21" t="s">
        <v>258</v>
      </c>
      <c r="E52" s="23">
        <v>1</v>
      </c>
      <c r="F52" s="23">
        <f>_xlfn.XLOOKUP(D52,价值表!C:C,价值表!F:F)*E52</f>
        <v>50</v>
      </c>
      <c r="G52" s="22">
        <v>2250</v>
      </c>
      <c r="J52" t="str">
        <f>"[{"&amp;_xlfn.XLOOKUP(D52,价值表!C:C,价值表!D:D)&amp;","&amp;E52&amp;"}]"</f>
        <v>[{9,1}]</v>
      </c>
    </row>
    <row r="54" spans="4:10">
      <c r="D54" s="6" t="s">
        <v>933</v>
      </c>
      <c r="E54" s="6" t="s">
        <v>919</v>
      </c>
      <c r="F54" s="6" t="s">
        <v>922</v>
      </c>
      <c r="G54" s="6" t="s">
        <v>1158</v>
      </c>
      <c r="H54" s="6" t="s">
        <v>2088</v>
      </c>
    </row>
    <row r="55" spans="4:10">
      <c r="D55" s="21" t="s">
        <v>235</v>
      </c>
      <c r="E55" s="23">
        <v>1</v>
      </c>
      <c r="F55" s="23">
        <f>_xlfn.XLOOKUP(D55,价值表!C:C,价值表!F:F)*E55</f>
        <v>1000</v>
      </c>
      <c r="G55" s="22">
        <v>1000</v>
      </c>
      <c r="H55" s="22">
        <f>F55</f>
        <v>1000</v>
      </c>
    </row>
  </sheetData>
  <pageMargins left="0.75" right="0.75" top="1" bottom="1" header="0.5" footer="0.5"/>
  <headerFooter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8" tint="0.8"/>
  </sheetPr>
  <dimension ref="B3:D108"/>
  <sheetViews>
    <sheetView zoomScale="115" zoomScaleNormal="115" workbookViewId="0">
      <selection activeCell="D18" sqref="B9:D18"/>
    </sheetView>
  </sheetViews>
  <sheetFormatPr defaultColWidth="9" defaultRowHeight="13.5" outlineLevelCol="3"/>
  <cols>
    <col min="3" max="4" width="13.75"/>
  </cols>
  <sheetData>
    <row r="3" spans="2:4">
      <c r="B3" t="s">
        <v>2089</v>
      </c>
      <c r="C3" t="s">
        <v>1990</v>
      </c>
      <c r="D3" t="s">
        <v>1386</v>
      </c>
    </row>
    <row r="4" spans="2:4">
      <c r="B4">
        <v>10</v>
      </c>
      <c r="C4" s="17">
        <v>0.175</v>
      </c>
      <c r="D4" cm="1">
        <f t="array" ref="D4">1/SUMPRODUCT($C$9:$C$108,$B$9:$B$108)</f>
        <v>0.204933091812662</v>
      </c>
    </row>
    <row r="8" spans="2:4">
      <c r="B8" t="s">
        <v>1833</v>
      </c>
      <c r="C8" t="s">
        <v>1327</v>
      </c>
    </row>
    <row r="9" spans="2:4">
      <c r="B9">
        <v>1</v>
      </c>
      <c r="C9">
        <f>C4</f>
        <v>0.175</v>
      </c>
      <c r="D9">
        <f>1-C9</f>
        <v>0.825</v>
      </c>
    </row>
    <row r="10" spans="2:4">
      <c r="B10">
        <v>2</v>
      </c>
      <c r="C10">
        <f>D9*$C$4</f>
        <v>0.144375</v>
      </c>
      <c r="D10">
        <f>1-SUM($C$9:C10)</f>
        <v>0.680625</v>
      </c>
    </row>
    <row r="11" spans="2:4">
      <c r="B11">
        <v>3</v>
      </c>
      <c r="C11">
        <f>IF(B11=$B$4,1-SUM($C$9:$C10),D10*$C$4)</f>
        <v>0.119109375</v>
      </c>
      <c r="D11">
        <f>1-SUM($C$9:C11)</f>
        <v>0.561515625</v>
      </c>
    </row>
    <row r="12" spans="2:4">
      <c r="B12">
        <v>4</v>
      </c>
      <c r="C12">
        <f>IF(B12=$B$4,1-SUM($C$9:$C11),D11*$C$4)</f>
        <v>0.098265234375</v>
      </c>
      <c r="D12">
        <f>1-SUM($C$9:C12)</f>
        <v>0.463250390625</v>
      </c>
    </row>
    <row r="13" spans="2:4">
      <c r="B13">
        <v>5</v>
      </c>
      <c r="C13">
        <f>IF(B13=$B$4,1-SUM($C$9:$C12),D12*$C$4)</f>
        <v>0.081068818359375</v>
      </c>
      <c r="D13">
        <f>1-SUM($C$9:C13)</f>
        <v>0.382181572265625</v>
      </c>
    </row>
    <row r="14" spans="2:4">
      <c r="B14">
        <v>6</v>
      </c>
      <c r="C14">
        <f>IF(B14=$B$4,1-SUM($C$9:$C13),D13*$C$4)</f>
        <v>0.0668817751464844</v>
      </c>
      <c r="D14">
        <f>1-SUM($C$9:C14)</f>
        <v>0.315299797119141</v>
      </c>
    </row>
    <row r="15" spans="2:4">
      <c r="B15">
        <v>7</v>
      </c>
      <c r="C15">
        <f>IF(B15=$B$4,1-SUM($C$9:$C14),D14*$C$4)</f>
        <v>0.0551774644958496</v>
      </c>
      <c r="D15">
        <f>1-SUM($C$9:C15)</f>
        <v>0.260122332623291</v>
      </c>
    </row>
    <row r="16" spans="2:4">
      <c r="B16">
        <v>8</v>
      </c>
      <c r="C16">
        <f>IF(B16=$B$4,1-SUM($C$9:$C15),D15*$C$4)</f>
        <v>0.0455214082090759</v>
      </c>
      <c r="D16">
        <f>1-SUM($C$9:C16)</f>
        <v>0.214600924414215</v>
      </c>
    </row>
    <row r="17" spans="2:4">
      <c r="B17">
        <v>9</v>
      </c>
      <c r="C17">
        <f>IF(B17=$B$4,1-SUM($C$9:$C16),D16*$C$4)</f>
        <v>0.0375551617724877</v>
      </c>
      <c r="D17">
        <f>1-SUM($C$9:C17)</f>
        <v>0.177045762641728</v>
      </c>
    </row>
    <row r="18" spans="2:4">
      <c r="B18">
        <v>10</v>
      </c>
      <c r="C18">
        <f>IF(B18=$B$4,1-SUM($C$9:$C17),D17*$C$4)</f>
        <v>0.177045762641728</v>
      </c>
      <c r="D18">
        <f>1-SUM($C$9:C18)</f>
        <v>0</v>
      </c>
    </row>
    <row r="19" spans="2:4">
      <c r="B19">
        <v>11</v>
      </c>
      <c r="C19">
        <f>IF(B19=$B$4,1-SUM($C$9:$C18),D18*$C$4)</f>
        <v>0</v>
      </c>
      <c r="D19">
        <f>1-SUM($C$9:C19)</f>
        <v>0</v>
      </c>
    </row>
    <row r="20" spans="2:4">
      <c r="B20">
        <v>12</v>
      </c>
      <c r="C20">
        <f>IF(B20=$B$4,1-SUM($C$9:$C19),D19*$C$4)</f>
        <v>0</v>
      </c>
      <c r="D20">
        <f>1-SUM($C$9:C20)</f>
        <v>0</v>
      </c>
    </row>
    <row r="21" spans="2:4">
      <c r="B21">
        <v>13</v>
      </c>
      <c r="C21">
        <f>IF(B21=$B$4,1-SUM($C$9:$C20),D20*$C$4)</f>
        <v>0</v>
      </c>
      <c r="D21">
        <f>1-SUM($C$9:C21)</f>
        <v>0</v>
      </c>
    </row>
    <row r="22" spans="2:4">
      <c r="B22">
        <v>14</v>
      </c>
      <c r="C22">
        <f>IF(B22=$B$4,1-SUM($C$9:$C21),D21*$C$4)</f>
        <v>0</v>
      </c>
      <c r="D22">
        <f>1-SUM($C$9:C22)</f>
        <v>0</v>
      </c>
    </row>
    <row r="23" spans="2:4">
      <c r="B23">
        <v>15</v>
      </c>
      <c r="C23">
        <f>IF(B23=$B$4,1-SUM($C$9:$C22),D22*$C$4)</f>
        <v>0</v>
      </c>
      <c r="D23">
        <f>1-SUM($C$9:C23)</f>
        <v>0</v>
      </c>
    </row>
    <row r="24" spans="2:4">
      <c r="B24">
        <v>16</v>
      </c>
      <c r="C24">
        <f>IF(B24=$B$4,1-SUM($C$9:$C23),D23*$C$4)</f>
        <v>0</v>
      </c>
      <c r="D24">
        <f>1-SUM($C$9:C24)</f>
        <v>0</v>
      </c>
    </row>
    <row r="25" spans="2:4">
      <c r="B25">
        <v>17</v>
      </c>
      <c r="C25">
        <f>IF(B25=$B$4,1-SUM($C$9:$C24),D24*$C$4)</f>
        <v>0</v>
      </c>
      <c r="D25">
        <f>1-SUM($C$9:C25)</f>
        <v>0</v>
      </c>
    </row>
    <row r="26" spans="2:4">
      <c r="B26">
        <v>18</v>
      </c>
      <c r="C26">
        <f>IF(B26=$B$4,1-SUM($C$9:$C25),D25*$C$4)</f>
        <v>0</v>
      </c>
      <c r="D26">
        <f>1-SUM($C$9:C26)</f>
        <v>0</v>
      </c>
    </row>
    <row r="27" spans="2:4">
      <c r="B27">
        <v>19</v>
      </c>
      <c r="C27">
        <f>IF(B27=$B$4,1-SUM($C$9:$C26),D26*$C$4)</f>
        <v>0</v>
      </c>
      <c r="D27">
        <f>1-SUM($C$9:C27)</f>
        <v>0</v>
      </c>
    </row>
    <row r="28" spans="2:4">
      <c r="B28">
        <v>20</v>
      </c>
      <c r="C28">
        <f>IF(B28=$B$4,1-SUM($C$9:$C27),D27*$C$4)</f>
        <v>0</v>
      </c>
      <c r="D28">
        <f>1-SUM($C$9:C28)</f>
        <v>0</v>
      </c>
    </row>
    <row r="29" spans="2:4">
      <c r="B29">
        <v>21</v>
      </c>
      <c r="C29">
        <f>IF(B29=$B$4,1-SUM($C$9:$C28),D28*$C$4)</f>
        <v>0</v>
      </c>
      <c r="D29">
        <f>1-SUM($C$9:C29)</f>
        <v>0</v>
      </c>
    </row>
    <row r="30" spans="2:4">
      <c r="B30">
        <v>22</v>
      </c>
      <c r="C30">
        <f>IF(B30=$B$4,1-SUM($C$9:$C29),D29*$C$4)</f>
        <v>0</v>
      </c>
      <c r="D30">
        <f>1-SUM($C$9:C30)</f>
        <v>0</v>
      </c>
    </row>
    <row r="31" spans="2:4">
      <c r="B31">
        <v>23</v>
      </c>
      <c r="C31">
        <f>IF(B31=$B$4,1-SUM($C$9:$C30),D30*$C$4)</f>
        <v>0</v>
      </c>
      <c r="D31">
        <f>1-SUM($C$9:C31)</f>
        <v>0</v>
      </c>
    </row>
    <row r="32" spans="2:4">
      <c r="B32">
        <v>24</v>
      </c>
      <c r="C32">
        <f>IF(B32=$B$4,1-SUM($C$9:$C31),D31*$C$4)</f>
        <v>0</v>
      </c>
      <c r="D32">
        <f>1-SUM($C$9:C32)</f>
        <v>0</v>
      </c>
    </row>
    <row r="33" spans="2:4">
      <c r="B33">
        <v>25</v>
      </c>
      <c r="C33">
        <f>IF(B33=$B$4,1-SUM($C$9:$C32),D32*$C$4)</f>
        <v>0</v>
      </c>
      <c r="D33">
        <f>1-SUM($C$9:C33)</f>
        <v>0</v>
      </c>
    </row>
    <row r="34" spans="2:4">
      <c r="B34">
        <v>26</v>
      </c>
      <c r="C34">
        <f>IF(B34=$B$4,1-SUM($C$9:$C33),D33*$C$4)</f>
        <v>0</v>
      </c>
      <c r="D34">
        <f>1-SUM($C$9:C34)</f>
        <v>0</v>
      </c>
    </row>
    <row r="35" spans="2:4">
      <c r="B35">
        <v>27</v>
      </c>
      <c r="C35">
        <f>IF(B35=$B$4,1-SUM($C$9:$C34),D34*$C$4)</f>
        <v>0</v>
      </c>
      <c r="D35">
        <f>1-SUM($C$9:C35)</f>
        <v>0</v>
      </c>
    </row>
    <row r="36" spans="2:4">
      <c r="B36">
        <v>28</v>
      </c>
      <c r="C36">
        <f>IF(B36=$B$4,1-SUM($C$9:$C35),D35*$C$4)</f>
        <v>0</v>
      </c>
      <c r="D36">
        <f>1-SUM($C$9:C36)</f>
        <v>0</v>
      </c>
    </row>
    <row r="37" spans="2:4">
      <c r="B37">
        <v>29</v>
      </c>
      <c r="C37">
        <f>IF(B37=$B$4,1-SUM($C$9:$C36),D36*$C$4)</f>
        <v>0</v>
      </c>
      <c r="D37">
        <f>1-SUM($C$9:C37)</f>
        <v>0</v>
      </c>
    </row>
    <row r="38" spans="2:4">
      <c r="B38">
        <v>30</v>
      </c>
      <c r="C38">
        <f>IF(B38=$B$4,1-SUM($C$9:$C37),D37*$C$4)</f>
        <v>0</v>
      </c>
      <c r="D38">
        <f>1-SUM($C$9:C38)</f>
        <v>0</v>
      </c>
    </row>
    <row r="39" spans="2:4">
      <c r="B39">
        <v>31</v>
      </c>
      <c r="C39">
        <f>IF(B39=$B$4,1-SUM($C$9:$C38),D38*$C$4)</f>
        <v>0</v>
      </c>
      <c r="D39">
        <f>1-SUM($C$9:C39)</f>
        <v>0</v>
      </c>
    </row>
    <row r="40" spans="2:4">
      <c r="B40">
        <v>32</v>
      </c>
      <c r="C40">
        <f>IF(B40=$B$4,1-SUM($C$9:$C39),D39*$C$4)</f>
        <v>0</v>
      </c>
      <c r="D40">
        <f>1-SUM($C$9:C40)</f>
        <v>0</v>
      </c>
    </row>
    <row r="41" spans="2:4">
      <c r="B41">
        <v>33</v>
      </c>
      <c r="C41">
        <f>IF(B41=$B$4,1-SUM($C$9:$C40),D40*$C$4)</f>
        <v>0</v>
      </c>
      <c r="D41">
        <f>1-SUM($C$9:C41)</f>
        <v>0</v>
      </c>
    </row>
    <row r="42" spans="2:4">
      <c r="B42">
        <v>34</v>
      </c>
      <c r="C42">
        <f>IF(B42=$B$4,1-SUM($C$9:$C41),D41*$C$4)</f>
        <v>0</v>
      </c>
      <c r="D42">
        <f>1-SUM($C$9:C42)</f>
        <v>0</v>
      </c>
    </row>
    <row r="43" spans="2:4">
      <c r="B43">
        <v>35</v>
      </c>
      <c r="C43">
        <f>IF(B43=$B$4,1-SUM($C$9:$C42),D42*$C$4)</f>
        <v>0</v>
      </c>
      <c r="D43">
        <f>1-SUM($C$9:C43)</f>
        <v>0</v>
      </c>
    </row>
    <row r="44" spans="2:4">
      <c r="B44">
        <v>36</v>
      </c>
      <c r="C44">
        <f>IF(B44=$B$4,1-SUM($C$9:$C43),D43*$C$4)</f>
        <v>0</v>
      </c>
      <c r="D44">
        <f>1-SUM($C$9:C44)</f>
        <v>0</v>
      </c>
    </row>
    <row r="45" spans="2:4">
      <c r="B45">
        <v>37</v>
      </c>
      <c r="C45">
        <f>IF(B45=$B$4,1-SUM($C$9:$C44),D44*$C$4)</f>
        <v>0</v>
      </c>
      <c r="D45">
        <f>1-SUM($C$9:C45)</f>
        <v>0</v>
      </c>
    </row>
    <row r="46" spans="2:4">
      <c r="B46">
        <v>38</v>
      </c>
      <c r="C46">
        <f>IF(B46=$B$4,1-SUM($C$9:$C45),D45*$C$4)</f>
        <v>0</v>
      </c>
      <c r="D46">
        <f>1-SUM($C$9:C46)</f>
        <v>0</v>
      </c>
    </row>
    <row r="47" spans="2:4">
      <c r="B47">
        <v>39</v>
      </c>
      <c r="C47">
        <f>IF(B47=$B$4,1-SUM($C$9:$C46),D46*$C$4)</f>
        <v>0</v>
      </c>
      <c r="D47">
        <f>1-SUM($C$9:C47)</f>
        <v>0</v>
      </c>
    </row>
    <row r="48" spans="2:4">
      <c r="B48">
        <v>40</v>
      </c>
      <c r="C48">
        <f>IF(B48=$B$4,1-SUM($C$9:$C47),D47*$C$4)</f>
        <v>0</v>
      </c>
      <c r="D48">
        <f>1-SUM($C$9:C48)</f>
        <v>0</v>
      </c>
    </row>
    <row r="49" spans="2:4">
      <c r="B49">
        <v>41</v>
      </c>
      <c r="C49">
        <f>IF(B49=$B$4,1-SUM($C$9:$C48),D48*$C$4)</f>
        <v>0</v>
      </c>
      <c r="D49">
        <f>1-SUM($C$9:C49)</f>
        <v>0</v>
      </c>
    </row>
    <row r="50" spans="2:4">
      <c r="B50">
        <v>42</v>
      </c>
      <c r="C50">
        <f>IF(B50=$B$4,1-SUM($C$9:$C49),D49*$C$4)</f>
        <v>0</v>
      </c>
      <c r="D50">
        <f>1-SUM($C$9:C50)</f>
        <v>0</v>
      </c>
    </row>
    <row r="51" spans="2:4">
      <c r="B51">
        <v>43</v>
      </c>
      <c r="C51">
        <f>IF(B51=$B$4,1-SUM($C$9:$C50),D50*$C$4)</f>
        <v>0</v>
      </c>
      <c r="D51">
        <f>1-SUM($C$9:C51)</f>
        <v>0</v>
      </c>
    </row>
    <row r="52" spans="2:4">
      <c r="B52">
        <v>44</v>
      </c>
      <c r="C52">
        <f>IF(B52=$B$4,1-SUM($C$9:$C51),D51*$C$4)</f>
        <v>0</v>
      </c>
      <c r="D52">
        <f>1-SUM($C$9:C52)</f>
        <v>0</v>
      </c>
    </row>
    <row r="53" spans="2:4">
      <c r="B53">
        <v>45</v>
      </c>
      <c r="C53">
        <f>IF(B53=$B$4,1-SUM($C$9:$C52),D52*$C$4)</f>
        <v>0</v>
      </c>
      <c r="D53">
        <f>1-SUM($C$9:C53)</f>
        <v>0</v>
      </c>
    </row>
    <row r="54" spans="2:4">
      <c r="B54">
        <v>46</v>
      </c>
      <c r="C54">
        <f>IF(B54=$B$4,1-SUM($C$9:$C53),D53*$C$4)</f>
        <v>0</v>
      </c>
      <c r="D54">
        <f>1-SUM($C$9:C54)</f>
        <v>0</v>
      </c>
    </row>
    <row r="55" spans="2:4">
      <c r="B55">
        <v>47</v>
      </c>
      <c r="C55">
        <f>IF(B55=$B$4,1-SUM($C$9:$C54),D54*$C$4)</f>
        <v>0</v>
      </c>
      <c r="D55">
        <f>1-SUM($C$9:C55)</f>
        <v>0</v>
      </c>
    </row>
    <row r="56" spans="2:4">
      <c r="B56">
        <v>48</v>
      </c>
      <c r="C56">
        <f>IF(B56=$B$4,1-SUM($C$9:$C55),D55*$C$4)</f>
        <v>0</v>
      </c>
      <c r="D56">
        <f>1-SUM($C$9:C56)</f>
        <v>0</v>
      </c>
    </row>
    <row r="57" spans="2:4">
      <c r="B57">
        <v>49</v>
      </c>
      <c r="C57">
        <f>IF(B57=$B$4,1-SUM($C$9:$C56),D56*$C$4)</f>
        <v>0</v>
      </c>
      <c r="D57">
        <f>1-SUM($C$9:C57)</f>
        <v>0</v>
      </c>
    </row>
    <row r="58" spans="2:4">
      <c r="B58">
        <v>50</v>
      </c>
      <c r="C58">
        <f>IF(B58=$B$4,1-SUM($C$9:$C57),D57*$C$4)</f>
        <v>0</v>
      </c>
      <c r="D58">
        <f>1-SUM($C$9:C58)</f>
        <v>0</v>
      </c>
    </row>
    <row r="59" spans="2:4">
      <c r="B59">
        <v>51</v>
      </c>
      <c r="C59">
        <f>IF(B59=$B$4,1-SUM($C$9:$C58),D58*$C$4)</f>
        <v>0</v>
      </c>
      <c r="D59">
        <f>1-SUM($C$9:C59)</f>
        <v>0</v>
      </c>
    </row>
    <row r="60" spans="2:4">
      <c r="B60">
        <v>52</v>
      </c>
      <c r="C60">
        <f>IF(B60=$B$4,1-SUM($C$9:$C59),D59*$C$4)</f>
        <v>0</v>
      </c>
      <c r="D60">
        <f>1-SUM($C$9:C60)</f>
        <v>0</v>
      </c>
    </row>
    <row r="61" spans="2:4">
      <c r="B61">
        <v>53</v>
      </c>
      <c r="C61">
        <f>IF(B61=$B$4,1-SUM($C$9:$C60),D60*$C$4)</f>
        <v>0</v>
      </c>
      <c r="D61">
        <f>1-SUM($C$9:C61)</f>
        <v>0</v>
      </c>
    </row>
    <row r="62" spans="2:4">
      <c r="B62">
        <v>54</v>
      </c>
      <c r="C62">
        <f>IF(B62=$B$4,1-SUM($C$9:$C61),D61*$C$4)</f>
        <v>0</v>
      </c>
      <c r="D62">
        <f>1-SUM($C$9:C62)</f>
        <v>0</v>
      </c>
    </row>
    <row r="63" spans="2:4">
      <c r="B63">
        <v>55</v>
      </c>
      <c r="C63">
        <f>IF(B63=$B$4,1-SUM($C$9:$C62),D62*$C$4)</f>
        <v>0</v>
      </c>
      <c r="D63">
        <f>1-SUM($C$9:C63)</f>
        <v>0</v>
      </c>
    </row>
    <row r="64" spans="2:4">
      <c r="B64">
        <v>56</v>
      </c>
      <c r="C64">
        <f>IF(B64=$B$4,1-SUM($C$9:$C63),D63*$C$4)</f>
        <v>0</v>
      </c>
      <c r="D64">
        <f>1-SUM($C$9:C64)</f>
        <v>0</v>
      </c>
    </row>
    <row r="65" spans="2:4">
      <c r="B65">
        <v>57</v>
      </c>
      <c r="C65">
        <f>IF(B65=$B$4,1-SUM($C$9:$C64),D64*$C$4)</f>
        <v>0</v>
      </c>
      <c r="D65">
        <f>1-SUM($C$9:C65)</f>
        <v>0</v>
      </c>
    </row>
    <row r="66" spans="2:4">
      <c r="B66">
        <v>58</v>
      </c>
      <c r="C66">
        <f>IF(B66=$B$4,1-SUM($C$9:$C65),D65*$C$4)</f>
        <v>0</v>
      </c>
      <c r="D66">
        <f>1-SUM($C$9:C66)</f>
        <v>0</v>
      </c>
    </row>
    <row r="67" spans="2:4">
      <c r="B67">
        <v>59</v>
      </c>
      <c r="C67">
        <f>IF(B67=$B$4,1-SUM($C$9:$C66),D66*$C$4)</f>
        <v>0</v>
      </c>
      <c r="D67">
        <f>1-SUM($C$9:C67)</f>
        <v>0</v>
      </c>
    </row>
    <row r="68" spans="2:4">
      <c r="B68">
        <v>60</v>
      </c>
      <c r="C68">
        <f>IF(B68=$B$4,1-SUM($C$9:$C67),D67*$C$4)</f>
        <v>0</v>
      </c>
      <c r="D68">
        <f>1-SUM($C$9:C68)</f>
        <v>0</v>
      </c>
    </row>
    <row r="69" spans="2:4">
      <c r="B69">
        <v>61</v>
      </c>
      <c r="C69">
        <f>IF(B69=$B$4,1-SUM($C$9:$C68),D68*$C$4)</f>
        <v>0</v>
      </c>
      <c r="D69">
        <f>1-SUM($C$9:C69)</f>
        <v>0</v>
      </c>
    </row>
    <row r="70" spans="2:4">
      <c r="B70">
        <v>62</v>
      </c>
      <c r="C70">
        <f>IF(B70=$B$4,1-SUM($C$9:$C69),D69*$C$4)</f>
        <v>0</v>
      </c>
      <c r="D70">
        <f>1-SUM($C$9:C70)</f>
        <v>0</v>
      </c>
    </row>
    <row r="71" spans="2:4">
      <c r="B71">
        <v>63</v>
      </c>
      <c r="C71">
        <f>IF(B71=$B$4,1-SUM($C$9:$C70),D70*$C$4)</f>
        <v>0</v>
      </c>
      <c r="D71">
        <f>1-SUM($C$9:C71)</f>
        <v>0</v>
      </c>
    </row>
    <row r="72" spans="2:4">
      <c r="B72">
        <v>64</v>
      </c>
      <c r="C72">
        <f>IF(B72=$B$4,1-SUM($C$9:$C71),D71*$C$4)</f>
        <v>0</v>
      </c>
      <c r="D72">
        <f>1-SUM($C$9:C72)</f>
        <v>0</v>
      </c>
    </row>
    <row r="73" spans="2:4">
      <c r="B73">
        <v>65</v>
      </c>
      <c r="C73">
        <f>IF(B73=$B$4,1-SUM($C$9:$C72),D72*$C$4)</f>
        <v>0</v>
      </c>
      <c r="D73">
        <f>1-SUM($C$9:C73)</f>
        <v>0</v>
      </c>
    </row>
    <row r="74" spans="2:4">
      <c r="B74">
        <v>66</v>
      </c>
      <c r="C74">
        <f>IF(B74=$B$4,1-SUM($C$9:$C73),D73*$C$4)</f>
        <v>0</v>
      </c>
      <c r="D74">
        <f>1-SUM($C$9:C74)</f>
        <v>0</v>
      </c>
    </row>
    <row r="75" spans="2:4">
      <c r="B75">
        <v>67</v>
      </c>
      <c r="C75">
        <f>IF(B75=$B$4,1-SUM($C$9:$C74),D74*$C$4)</f>
        <v>0</v>
      </c>
      <c r="D75">
        <f>1-SUM($C$9:C75)</f>
        <v>0</v>
      </c>
    </row>
    <row r="76" spans="2:4">
      <c r="B76">
        <v>68</v>
      </c>
      <c r="C76">
        <f>IF(B76=$B$4,1-SUM($C$9:$C75),D75*$C$4)</f>
        <v>0</v>
      </c>
      <c r="D76">
        <f>1-SUM($C$9:C76)</f>
        <v>0</v>
      </c>
    </row>
    <row r="77" spans="2:4">
      <c r="B77">
        <v>69</v>
      </c>
      <c r="C77">
        <f>IF(B77=$B$4,1-SUM($C$9:$C76),D76*$C$4)</f>
        <v>0</v>
      </c>
      <c r="D77">
        <f>1-SUM($C$9:C77)</f>
        <v>0</v>
      </c>
    </row>
    <row r="78" spans="2:4">
      <c r="B78">
        <v>70</v>
      </c>
      <c r="C78">
        <f>IF(B78=$B$4,1-SUM($C$9:$C77),D77*$C$4)</f>
        <v>0</v>
      </c>
      <c r="D78">
        <f>1-SUM($C$9:C78)</f>
        <v>0</v>
      </c>
    </row>
    <row r="79" spans="2:4">
      <c r="B79">
        <v>71</v>
      </c>
      <c r="C79">
        <f>IF(B79=$B$4,1-SUM($C$9:$C78),D78*$C$4)</f>
        <v>0</v>
      </c>
      <c r="D79">
        <f>1-SUM($C$9:C79)</f>
        <v>0</v>
      </c>
    </row>
    <row r="80" spans="2:4">
      <c r="B80">
        <v>72</v>
      </c>
      <c r="C80">
        <f>IF(B80=$B$4,1-SUM($C$9:$C79),D79*$C$4)</f>
        <v>0</v>
      </c>
      <c r="D80">
        <f>1-SUM($C$9:C80)</f>
        <v>0</v>
      </c>
    </row>
    <row r="81" spans="2:4">
      <c r="B81">
        <v>73</v>
      </c>
      <c r="C81">
        <f>IF(B81=$B$4,1-SUM($C$9:$C80),D80*$C$4)</f>
        <v>0</v>
      </c>
      <c r="D81">
        <f>1-SUM($C$9:C81)</f>
        <v>0</v>
      </c>
    </row>
    <row r="82" spans="2:4">
      <c r="B82">
        <v>74</v>
      </c>
      <c r="C82">
        <f>IF(B82=$B$4,1-SUM($C$9:$C81),D81*$C$4)</f>
        <v>0</v>
      </c>
      <c r="D82">
        <f>1-SUM($C$9:C82)</f>
        <v>0</v>
      </c>
    </row>
    <row r="83" spans="2:4">
      <c r="B83">
        <v>75</v>
      </c>
      <c r="C83">
        <f>IF(B83=$B$4,1-SUM($C$9:$C82),D82*$C$4)</f>
        <v>0</v>
      </c>
      <c r="D83">
        <f>1-SUM($C$9:C83)</f>
        <v>0</v>
      </c>
    </row>
    <row r="84" spans="2:4">
      <c r="B84">
        <v>76</v>
      </c>
      <c r="C84">
        <f>IF(B84=$B$4,1-SUM($C$9:$C83),D83*$C$4)</f>
        <v>0</v>
      </c>
      <c r="D84">
        <f>1-SUM($C$9:C84)</f>
        <v>0</v>
      </c>
    </row>
    <row r="85" spans="2:4">
      <c r="B85">
        <v>77</v>
      </c>
      <c r="C85">
        <f>IF(B85=$B$4,1-SUM($C$9:$C84),D84*$C$4)</f>
        <v>0</v>
      </c>
      <c r="D85">
        <f>1-SUM($C$9:C85)</f>
        <v>0</v>
      </c>
    </row>
    <row r="86" spans="2:4">
      <c r="B86">
        <v>78</v>
      </c>
      <c r="C86">
        <f>IF(B86=$B$4,1-SUM($C$9:$C85),D85*$C$4)</f>
        <v>0</v>
      </c>
      <c r="D86">
        <f>1-SUM($C$9:C86)</f>
        <v>0</v>
      </c>
    </row>
    <row r="87" spans="2:4">
      <c r="B87">
        <v>79</v>
      </c>
      <c r="C87">
        <f>IF(B87=$B$4,1-SUM($C$9:$C86),D86*$C$4)</f>
        <v>0</v>
      </c>
      <c r="D87">
        <f>1-SUM($C$9:C87)</f>
        <v>0</v>
      </c>
    </row>
    <row r="88" spans="2:4">
      <c r="B88">
        <v>80</v>
      </c>
      <c r="C88">
        <f>IF(B88=$B$4,1-SUM($C$9:$C87),D87*$C$4)</f>
        <v>0</v>
      </c>
      <c r="D88">
        <f>1-SUM($C$9:C88)</f>
        <v>0</v>
      </c>
    </row>
    <row r="89" spans="2:4">
      <c r="B89">
        <v>81</v>
      </c>
      <c r="C89">
        <f>IF(B89=$B$4,1-SUM($C$9:$C88),D88*$C$4)</f>
        <v>0</v>
      </c>
      <c r="D89">
        <f>1-SUM($C$9:C89)</f>
        <v>0</v>
      </c>
    </row>
    <row r="90" spans="2:4">
      <c r="B90">
        <v>82</v>
      </c>
      <c r="C90">
        <f>IF(B90=$B$4,1-SUM($C$9:$C89),D89*$C$4)</f>
        <v>0</v>
      </c>
      <c r="D90">
        <f>1-SUM($C$9:C90)</f>
        <v>0</v>
      </c>
    </row>
    <row r="91" spans="2:4">
      <c r="B91">
        <v>83</v>
      </c>
      <c r="C91">
        <f>IF(B91=$B$4,1-SUM($C$9:$C90),D90*$C$4)</f>
        <v>0</v>
      </c>
      <c r="D91">
        <f>1-SUM($C$9:C91)</f>
        <v>0</v>
      </c>
    </row>
    <row r="92" spans="2:4">
      <c r="B92">
        <v>84</v>
      </c>
      <c r="C92">
        <f>IF(B92=$B$4,1-SUM($C$9:$C91),D91*$C$4)</f>
        <v>0</v>
      </c>
      <c r="D92">
        <f>1-SUM($C$9:C92)</f>
        <v>0</v>
      </c>
    </row>
    <row r="93" spans="2:4">
      <c r="B93">
        <v>85</v>
      </c>
      <c r="C93">
        <f>IF(B93=$B$4,1-SUM($C$9:$C92),D92*$C$4)</f>
        <v>0</v>
      </c>
      <c r="D93">
        <f>1-SUM($C$9:C93)</f>
        <v>0</v>
      </c>
    </row>
    <row r="94" spans="2:4">
      <c r="B94">
        <v>86</v>
      </c>
      <c r="C94">
        <f>IF(B94=$B$4,1-SUM($C$9:$C93),D93*$C$4)</f>
        <v>0</v>
      </c>
      <c r="D94">
        <f>1-SUM($C$9:C94)</f>
        <v>0</v>
      </c>
    </row>
    <row r="95" spans="2:4">
      <c r="B95">
        <v>87</v>
      </c>
      <c r="C95">
        <f>IF(B95=$B$4,1-SUM($C$9:$C94),D94*$C$4)</f>
        <v>0</v>
      </c>
      <c r="D95">
        <f>1-SUM($C$9:C95)</f>
        <v>0</v>
      </c>
    </row>
    <row r="96" spans="2:4">
      <c r="B96">
        <v>88</v>
      </c>
      <c r="C96">
        <f>IF(B96=$B$4,1-SUM($C$9:$C95),D95*$C$4)</f>
        <v>0</v>
      </c>
      <c r="D96">
        <f>1-SUM($C$9:C96)</f>
        <v>0</v>
      </c>
    </row>
    <row r="97" spans="2:4">
      <c r="B97">
        <v>89</v>
      </c>
      <c r="C97">
        <f>IF(B97=$B$4,1-SUM($C$9:$C96),D96*$C$4)</f>
        <v>0</v>
      </c>
      <c r="D97">
        <f>1-SUM($C$9:C97)</f>
        <v>0</v>
      </c>
    </row>
    <row r="98" spans="2:4">
      <c r="B98">
        <v>90</v>
      </c>
      <c r="C98">
        <f>IF(B98=$B$4,1-SUM($C$9:$C97),D97*$C$4)</f>
        <v>0</v>
      </c>
      <c r="D98">
        <f>1-SUM($C$9:C98)</f>
        <v>0</v>
      </c>
    </row>
    <row r="99" spans="2:4">
      <c r="B99">
        <v>91</v>
      </c>
      <c r="C99">
        <f>IF(B99=$B$4,1-SUM($C$9:$C98),D98*$C$4)</f>
        <v>0</v>
      </c>
      <c r="D99">
        <f>1-SUM($C$9:C99)</f>
        <v>0</v>
      </c>
    </row>
    <row r="100" spans="2:4">
      <c r="B100">
        <v>92</v>
      </c>
      <c r="C100">
        <f>IF(B100=$B$4,1-SUM($C$9:$C99),D99*$C$4)</f>
        <v>0</v>
      </c>
      <c r="D100">
        <f>1-SUM($C$9:C100)</f>
        <v>0</v>
      </c>
    </row>
    <row r="101" spans="2:4">
      <c r="B101">
        <v>93</v>
      </c>
      <c r="C101">
        <f>IF(B101=$B$4,1-SUM($C$9:$C100),D100*$C$4)</f>
        <v>0</v>
      </c>
      <c r="D101">
        <f>1-SUM($C$9:C101)</f>
        <v>0</v>
      </c>
    </row>
    <row r="102" spans="2:4">
      <c r="B102">
        <v>94</v>
      </c>
      <c r="C102">
        <f>IF(B102=$B$4,1-SUM($C$9:$C101),D101*$C$4)</f>
        <v>0</v>
      </c>
      <c r="D102">
        <f>1-SUM($C$9:C102)</f>
        <v>0</v>
      </c>
    </row>
    <row r="103" spans="2:4">
      <c r="B103">
        <v>95</v>
      </c>
      <c r="C103">
        <f>IF(B103=$B$4,1-SUM($C$9:$C102),D102*$C$4)</f>
        <v>0</v>
      </c>
      <c r="D103">
        <f>1-SUM($C$9:C103)</f>
        <v>0</v>
      </c>
    </row>
    <row r="104" spans="2:4">
      <c r="B104">
        <v>96</v>
      </c>
      <c r="C104">
        <f>IF(B104=$B$4,1-SUM($C$9:$C103),D103*$C$4)</f>
        <v>0</v>
      </c>
      <c r="D104">
        <f>1-SUM($C$9:C104)</f>
        <v>0</v>
      </c>
    </row>
    <row r="105" spans="2:4">
      <c r="B105">
        <v>97</v>
      </c>
      <c r="C105">
        <f>IF(B105=$B$4,1-SUM($C$9:$C104),D104*$C$4)</f>
        <v>0</v>
      </c>
      <c r="D105">
        <f>1-SUM($C$9:C105)</f>
        <v>0</v>
      </c>
    </row>
    <row r="106" spans="2:4">
      <c r="B106">
        <v>98</v>
      </c>
      <c r="C106">
        <f>IF(B106=$B$4,1-SUM($C$9:$C105),D105*$C$4)</f>
        <v>0</v>
      </c>
      <c r="D106">
        <f>1-SUM($C$9:C106)</f>
        <v>0</v>
      </c>
    </row>
    <row r="107" spans="2:4">
      <c r="B107">
        <v>99</v>
      </c>
      <c r="C107">
        <f>IF(B107=$B$4,1-SUM($C$9:$C106),D106*$C$4)</f>
        <v>0</v>
      </c>
      <c r="D107">
        <f>1-SUM($C$9:C107)</f>
        <v>0</v>
      </c>
    </row>
    <row r="108" spans="2:4">
      <c r="B108">
        <v>100</v>
      </c>
      <c r="C108">
        <f>IF(B108=$B$4,1-SUM($C$9:$C107),D107*$C$4)</f>
        <v>0</v>
      </c>
      <c r="D108">
        <f>1-SUM($C$9:C108)</f>
        <v>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tabColor theme="8" tint="0.8"/>
  </sheetPr>
  <dimension ref="B2:W102"/>
  <sheetViews>
    <sheetView showGridLines="0" workbookViewId="0">
      <selection activeCell="M43" sqref="M43"/>
    </sheetView>
  </sheetViews>
  <sheetFormatPr defaultColWidth="9" defaultRowHeight="13.5"/>
  <cols>
    <col min="7" max="7" width="14.875" customWidth="1"/>
    <col min="8" max="8" width="12.625"/>
    <col min="11" max="11" width="12.625"/>
  </cols>
  <sheetData>
    <row r="2" spans="2:13">
      <c r="B2" s="1" t="s">
        <v>2090</v>
      </c>
      <c r="C2" s="2"/>
      <c r="D2" s="2"/>
      <c r="E2" s="2"/>
      <c r="F2" s="2"/>
      <c r="G2" s="2"/>
      <c r="H2" s="2"/>
      <c r="I2" s="2"/>
      <c r="J2" s="2"/>
      <c r="K2" s="2"/>
    </row>
    <row r="3" spans="2:13">
      <c r="B3" s="2"/>
      <c r="C3" s="3"/>
      <c r="D3" s="2"/>
      <c r="E3" s="2"/>
      <c r="F3" s="2"/>
      <c r="G3" s="2"/>
      <c r="H3" s="2"/>
      <c r="I3" s="2"/>
      <c r="J3" s="2"/>
      <c r="K3" s="2"/>
    </row>
    <row r="4" ht="16.5" spans="2:13">
      <c r="B4" s="2"/>
      <c r="C4" s="4" t="s">
        <v>2091</v>
      </c>
      <c r="D4" s="4" t="s">
        <v>2092</v>
      </c>
      <c r="E4" s="4" t="s">
        <v>2093</v>
      </c>
      <c r="F4" s="2"/>
      <c r="G4" s="2"/>
      <c r="H4" s="2"/>
      <c r="I4" s="2"/>
      <c r="J4" s="2"/>
      <c r="K4" s="2"/>
    </row>
    <row r="5" ht="16.5" spans="2:13">
      <c r="B5" s="2"/>
      <c r="C5" s="4" t="s">
        <v>2094</v>
      </c>
      <c r="D5" s="4">
        <v>1</v>
      </c>
      <c r="E5" s="4">
        <v>2.5</v>
      </c>
      <c r="F5" s="2"/>
      <c r="G5" s="2"/>
      <c r="H5" s="2"/>
      <c r="I5" s="2"/>
      <c r="J5" s="2"/>
      <c r="K5" s="2"/>
    </row>
    <row r="6" ht="16.5" spans="2:13">
      <c r="B6" s="2"/>
      <c r="C6" s="4" t="s">
        <v>2095</v>
      </c>
      <c r="D6" s="4">
        <v>1</v>
      </c>
      <c r="E6" s="4">
        <v>0.1</v>
      </c>
      <c r="F6" s="2"/>
      <c r="G6" s="2"/>
      <c r="H6" s="2"/>
      <c r="I6" s="2"/>
      <c r="J6" s="2"/>
      <c r="K6" s="2"/>
    </row>
    <row r="7" spans="2:13">
      <c r="B7" s="2"/>
      <c r="C7" s="3"/>
      <c r="D7" s="2"/>
      <c r="E7" s="2"/>
      <c r="F7" s="2"/>
      <c r="G7" s="2"/>
      <c r="H7" s="2"/>
      <c r="I7" s="2"/>
      <c r="J7" s="2"/>
      <c r="K7" s="2"/>
    </row>
    <row r="8" spans="2:13">
      <c r="B8" s="2"/>
      <c r="C8" s="3"/>
      <c r="D8" s="2"/>
      <c r="E8" s="2"/>
      <c r="F8" s="2"/>
      <c r="G8" s="2"/>
      <c r="H8" s="2"/>
      <c r="I8" s="2"/>
      <c r="J8" s="2"/>
      <c r="K8" s="2"/>
    </row>
    <row r="9" spans="2:13">
      <c r="B9" s="2"/>
      <c r="C9" s="3"/>
      <c r="D9" s="2"/>
      <c r="E9" s="2"/>
      <c r="F9" s="2"/>
      <c r="G9" s="2"/>
      <c r="H9" s="2"/>
      <c r="I9" s="2"/>
      <c r="J9" s="2"/>
      <c r="K9" s="2"/>
    </row>
    <row r="10" spans="2:13">
      <c r="B10" s="5" t="s">
        <v>1536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3">
      <c r="C12" s="6" t="s">
        <v>1509</v>
      </c>
      <c r="D12" s="6" t="s">
        <v>1099</v>
      </c>
      <c r="E12" s="6" t="s">
        <v>919</v>
      </c>
      <c r="F12" s="6" t="s">
        <v>922</v>
      </c>
      <c r="G12" s="6" t="s">
        <v>1099</v>
      </c>
      <c r="H12" s="6" t="s">
        <v>919</v>
      </c>
      <c r="I12" s="6" t="s">
        <v>922</v>
      </c>
      <c r="J12" s="6" t="s">
        <v>1099</v>
      </c>
      <c r="K12" s="6" t="s">
        <v>919</v>
      </c>
      <c r="L12" s="6" t="s">
        <v>922</v>
      </c>
      <c r="M12" s="6" t="s">
        <v>965</v>
      </c>
    </row>
    <row r="13" spans="2:13">
      <c r="C13" s="7" t="s">
        <v>1202</v>
      </c>
      <c r="D13" s="7" t="s">
        <v>188</v>
      </c>
      <c r="E13" s="7">
        <v>100</v>
      </c>
      <c r="F13" s="7">
        <v>100</v>
      </c>
      <c r="G13" s="8" t="s">
        <v>265</v>
      </c>
      <c r="H13" s="7">
        <v>12</v>
      </c>
      <c r="I13" s="7">
        <v>720</v>
      </c>
      <c r="J13" s="7" t="s">
        <v>261</v>
      </c>
      <c r="K13" s="7">
        <v>10</v>
      </c>
      <c r="L13" s="7">
        <f>_xlfn.XLOOKUP(J13,价值表!C:C,价值表!F:F)*K13</f>
        <v>2800</v>
      </c>
      <c r="M13" s="7">
        <f>L13+I13+F13</f>
        <v>3620</v>
      </c>
    </row>
    <row r="14" spans="2:13">
      <c r="C14" s="7" t="s">
        <v>1203</v>
      </c>
      <c r="D14" s="7" t="s">
        <v>188</v>
      </c>
      <c r="E14" s="7">
        <v>150</v>
      </c>
      <c r="F14" s="7">
        <v>150</v>
      </c>
      <c r="G14" s="8" t="s">
        <v>265</v>
      </c>
      <c r="H14" s="7">
        <v>12</v>
      </c>
      <c r="I14" s="7">
        <v>720</v>
      </c>
      <c r="J14" s="8" t="s">
        <v>276</v>
      </c>
      <c r="K14" s="7">
        <v>1</v>
      </c>
      <c r="L14" s="7">
        <f>_xlfn.XLOOKUP(J14,价值表!C:C,价值表!F:F)*K14</f>
        <v>4096</v>
      </c>
      <c r="M14" s="7">
        <f>L14+I14+F14</f>
        <v>4966</v>
      </c>
    </row>
    <row r="15" spans="2:13">
      <c r="C15" s="7" t="s">
        <v>1204</v>
      </c>
      <c r="D15" s="7" t="s">
        <v>197</v>
      </c>
      <c r="E15" s="7">
        <v>50</v>
      </c>
      <c r="F15" s="7">
        <v>500</v>
      </c>
      <c r="G15" s="8" t="s">
        <v>265</v>
      </c>
      <c r="H15" s="7">
        <v>24</v>
      </c>
      <c r="I15" s="7">
        <v>1440</v>
      </c>
      <c r="J15" s="8" t="s">
        <v>276</v>
      </c>
      <c r="K15" s="7">
        <v>1</v>
      </c>
      <c r="L15" s="7">
        <f>_xlfn.XLOOKUP(J15,价值表!C:C,价值表!F:F)*K15</f>
        <v>4096</v>
      </c>
      <c r="M15" s="7">
        <f>L15+I15+F15</f>
        <v>6036</v>
      </c>
    </row>
    <row r="16" spans="2:13">
      <c r="C16" s="7" t="s">
        <v>1205</v>
      </c>
      <c r="D16" s="7" t="s">
        <v>197</v>
      </c>
      <c r="E16" s="7">
        <v>50</v>
      </c>
      <c r="F16" s="7">
        <v>500</v>
      </c>
      <c r="G16" s="8" t="s">
        <v>265</v>
      </c>
      <c r="H16" s="7">
        <v>36</v>
      </c>
      <c r="I16" s="7">
        <v>2160</v>
      </c>
      <c r="J16" s="8" t="s">
        <v>278</v>
      </c>
      <c r="K16" s="7">
        <v>1</v>
      </c>
      <c r="L16" s="7">
        <f>_xlfn.XLOOKUP(J16,价值表!C:C,价值表!F:F)*K16</f>
        <v>16384</v>
      </c>
      <c r="M16" s="7">
        <f>L16+I16+F16</f>
        <v>19044</v>
      </c>
    </row>
    <row r="17" spans="2:11">
      <c r="B17" s="2"/>
      <c r="C17" s="3"/>
      <c r="D17" s="2"/>
      <c r="E17" s="2"/>
      <c r="F17" s="2"/>
      <c r="G17" s="2"/>
      <c r="H17" s="2"/>
      <c r="I17" s="2"/>
      <c r="J17" s="2"/>
      <c r="K17" s="2"/>
    </row>
    <row r="18" spans="2:11">
      <c r="B18" s="2"/>
      <c r="C18" s="3"/>
      <c r="D18" s="2"/>
      <c r="E18" s="2"/>
      <c r="F18" s="2"/>
      <c r="G18" s="2"/>
      <c r="H18" s="2"/>
      <c r="I18" s="2"/>
      <c r="J18" s="2"/>
      <c r="K18" s="2"/>
    </row>
    <row r="19" spans="2:11">
      <c r="B19" s="2"/>
      <c r="C19" s="3"/>
      <c r="D19" s="2"/>
      <c r="E19" s="2"/>
      <c r="F19" s="2"/>
      <c r="G19" s="2"/>
      <c r="H19" s="2"/>
      <c r="I19" s="2"/>
      <c r="J19" s="2"/>
      <c r="K19" s="2"/>
    </row>
    <row r="20" spans="2:11">
      <c r="B20" s="2"/>
      <c r="C20" s="3"/>
      <c r="D20" s="2"/>
      <c r="E20" s="2"/>
      <c r="F20" s="2"/>
      <c r="G20" s="2"/>
      <c r="H20" s="2"/>
      <c r="I20" s="2"/>
      <c r="J20" s="2"/>
      <c r="K20" s="2"/>
    </row>
    <row r="21" spans="2:11">
      <c r="B21" s="2"/>
      <c r="C21" s="3"/>
      <c r="D21" s="2"/>
      <c r="E21" s="2"/>
      <c r="F21" s="2"/>
      <c r="G21" s="2"/>
      <c r="H21" s="2"/>
      <c r="I21" s="2"/>
      <c r="J21" s="2"/>
      <c r="K21" s="2"/>
    </row>
    <row r="22" spans="2:11">
      <c r="B22" s="2"/>
      <c r="C22" s="3"/>
      <c r="D22" s="2"/>
      <c r="E22" s="2"/>
      <c r="F22" s="2"/>
      <c r="G22" s="2"/>
      <c r="H22" s="2"/>
      <c r="I22" s="2"/>
      <c r="J22" s="2"/>
      <c r="K22" s="2"/>
    </row>
    <row r="23" spans="2:11">
      <c r="B23" s="2"/>
      <c r="C23" s="3"/>
      <c r="D23" s="2"/>
      <c r="E23" s="2"/>
      <c r="F23" s="2"/>
      <c r="G23" s="2"/>
      <c r="H23" s="2"/>
      <c r="I23" s="2"/>
      <c r="J23" s="2"/>
      <c r="K23" s="2"/>
    </row>
    <row r="24" spans="2:11">
      <c r="B24" s="2"/>
      <c r="C24" s="3"/>
      <c r="D24" s="2"/>
      <c r="E24" s="2"/>
      <c r="F24" s="2"/>
      <c r="G24" s="2"/>
      <c r="H24" s="2"/>
      <c r="I24" s="2"/>
      <c r="J24" s="2"/>
      <c r="K24" s="2"/>
    </row>
    <row r="25" spans="2:11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>
      <c r="B26" s="2" t="s">
        <v>1510</v>
      </c>
      <c r="C26" s="2"/>
      <c r="D26" s="2"/>
      <c r="E26" s="2"/>
      <c r="F26" s="2"/>
      <c r="G26" s="2"/>
      <c r="H26" s="2"/>
      <c r="I26" s="2"/>
      <c r="J26" s="2"/>
      <c r="K26" s="2"/>
    </row>
    <row r="27" spans="2:11">
      <c r="B27" s="2"/>
      <c r="C27" s="6" t="s">
        <v>1412</v>
      </c>
      <c r="D27" s="6" t="s">
        <v>1099</v>
      </c>
      <c r="E27" s="6" t="s">
        <v>919</v>
      </c>
      <c r="F27" s="6" t="s">
        <v>922</v>
      </c>
      <c r="G27" s="6" t="s">
        <v>1099</v>
      </c>
      <c r="H27" s="6" t="s">
        <v>919</v>
      </c>
      <c r="I27" s="6" t="s">
        <v>922</v>
      </c>
      <c r="J27" s="6" t="s">
        <v>965</v>
      </c>
      <c r="K27" s="6" t="s">
        <v>1095</v>
      </c>
    </row>
    <row r="28" spans="2:11">
      <c r="B28" s="2">
        <v>60</v>
      </c>
      <c r="C28" s="7">
        <v>60</v>
      </c>
      <c r="D28" s="7" t="s">
        <v>261</v>
      </c>
      <c r="E28" s="7">
        <v>1</v>
      </c>
      <c r="F28" s="7">
        <f>_xlfn.XLOOKUP(D28,价值表!$C:$C,价值表!$F:$F)*E28</f>
        <v>280</v>
      </c>
      <c r="G28" s="9" t="s">
        <v>265</v>
      </c>
      <c r="H28" s="9">
        <f>E28*2</f>
        <v>2</v>
      </c>
      <c r="I28" s="7">
        <f>_xlfn.XLOOKUP(G28,价值表!$C:$C,价值表!$F:$F)*H28</f>
        <v>120</v>
      </c>
      <c r="J28" s="10">
        <v>180</v>
      </c>
      <c r="K28" s="11">
        <v>0.1</v>
      </c>
    </row>
    <row r="29" spans="2:11">
      <c r="B29" s="2">
        <v>60</v>
      </c>
      <c r="C29" s="7">
        <v>120</v>
      </c>
      <c r="D29" s="7" t="s">
        <v>261</v>
      </c>
      <c r="E29" s="7">
        <v>1</v>
      </c>
      <c r="F29" s="7">
        <f>_xlfn.XLOOKUP(D29,价值表!$C:$C,价值表!$F:$F)*E29</f>
        <v>280</v>
      </c>
      <c r="G29" s="9" t="s">
        <v>265</v>
      </c>
      <c r="H29" s="9">
        <f>E29*2</f>
        <v>2</v>
      </c>
      <c r="I29" s="7">
        <f>_xlfn.XLOOKUP(G29,价值表!$C:$C,价值表!$F:$F)*H29</f>
        <v>120</v>
      </c>
      <c r="J29" s="10">
        <v>180</v>
      </c>
      <c r="K29" s="11">
        <v>0.1</v>
      </c>
    </row>
    <row r="30" spans="2:11">
      <c r="B30" s="2">
        <v>80</v>
      </c>
      <c r="C30" s="7">
        <v>200</v>
      </c>
      <c r="D30" s="7" t="s">
        <v>261</v>
      </c>
      <c r="E30" s="7">
        <v>1</v>
      </c>
      <c r="F30" s="7">
        <f>_xlfn.XLOOKUP(D30,价值表!$C:$C,价值表!$F:$F)*E30</f>
        <v>280</v>
      </c>
      <c r="G30" s="9" t="s">
        <v>265</v>
      </c>
      <c r="H30" s="9">
        <f>E30*2</f>
        <v>2</v>
      </c>
      <c r="I30" s="7">
        <f>_xlfn.XLOOKUP(G30,价值表!$C:$C,价值表!$F:$F)*H30</f>
        <v>120</v>
      </c>
      <c r="J30" s="10">
        <v>180</v>
      </c>
      <c r="K30" s="11">
        <v>0.08</v>
      </c>
    </row>
    <row r="31" spans="2:11">
      <c r="B31" s="2">
        <v>100</v>
      </c>
      <c r="C31" s="7">
        <v>300</v>
      </c>
      <c r="D31" s="7" t="s">
        <v>261</v>
      </c>
      <c r="E31" s="7">
        <v>2</v>
      </c>
      <c r="F31" s="7">
        <f>_xlfn.XLOOKUP(D31,价值表!$C:$C,价值表!$F:$F)*E31</f>
        <v>560</v>
      </c>
      <c r="G31" s="9" t="s">
        <v>265</v>
      </c>
      <c r="H31" s="9">
        <v>3</v>
      </c>
      <c r="I31" s="7">
        <f>_xlfn.XLOOKUP(G31,价值表!$C:$C,价值表!$F:$F)*H31</f>
        <v>180</v>
      </c>
      <c r="J31" s="10">
        <v>350</v>
      </c>
      <c r="K31" s="11">
        <v>0.12</v>
      </c>
    </row>
    <row r="32" spans="2:11">
      <c r="B32" s="2">
        <v>120</v>
      </c>
      <c r="C32" s="7">
        <v>420</v>
      </c>
      <c r="D32" s="7" t="s">
        <v>261</v>
      </c>
      <c r="E32" s="7">
        <v>2</v>
      </c>
      <c r="F32" s="7">
        <f>_xlfn.XLOOKUP(D32,价值表!$C:$C,价值表!$F:$F)*E32</f>
        <v>560</v>
      </c>
      <c r="G32" s="9" t="s">
        <v>265</v>
      </c>
      <c r="H32" s="9">
        <v>3</v>
      </c>
      <c r="I32" s="7">
        <f>_xlfn.XLOOKUP(G32,价值表!$C:$C,价值表!$F:$F)*H32</f>
        <v>180</v>
      </c>
      <c r="J32" s="10">
        <v>350</v>
      </c>
      <c r="K32" s="11">
        <v>0.1</v>
      </c>
    </row>
    <row r="33" spans="2:11">
      <c r="B33" s="2">
        <v>180</v>
      </c>
      <c r="C33" s="7">
        <v>600</v>
      </c>
      <c r="D33" s="7" t="s">
        <v>261</v>
      </c>
      <c r="E33" s="7">
        <v>2</v>
      </c>
      <c r="F33" s="7">
        <f>_xlfn.XLOOKUP(D33,价值表!$C:$C,价值表!$F:$F)*E33</f>
        <v>560</v>
      </c>
      <c r="G33" s="9" t="s">
        <v>265</v>
      </c>
      <c r="H33" s="9">
        <v>3</v>
      </c>
      <c r="I33" s="7">
        <f>_xlfn.XLOOKUP(G33,价值表!$C:$C,价值表!$F:$F)*H33</f>
        <v>180</v>
      </c>
      <c r="J33" s="10">
        <v>350</v>
      </c>
      <c r="K33" s="11">
        <v>0.06</v>
      </c>
    </row>
    <row r="34" spans="2:11">
      <c r="B34" s="2"/>
      <c r="C34" s="2"/>
      <c r="D34" s="2"/>
      <c r="E34" s="2"/>
      <c r="F34" s="2"/>
      <c r="G34" s="2"/>
      <c r="H34" s="2">
        <v>240</v>
      </c>
      <c r="I34" s="2"/>
      <c r="J34" s="10">
        <v>1590</v>
      </c>
      <c r="K34" s="11">
        <v>0.09</v>
      </c>
    </row>
    <row r="35" spans="2:11">
      <c r="B35" s="2" t="s">
        <v>1511</v>
      </c>
      <c r="C35" s="2"/>
      <c r="F35" s="2"/>
      <c r="G35" s="2"/>
      <c r="H35" s="2"/>
      <c r="I35" s="2"/>
      <c r="J35" s="2"/>
      <c r="K35" s="2"/>
    </row>
    <row r="36" spans="2:11">
      <c r="B36" s="2"/>
      <c r="C36" s="6" t="s">
        <v>1412</v>
      </c>
      <c r="D36" s="6" t="s">
        <v>1099</v>
      </c>
      <c r="E36" s="6" t="s">
        <v>919</v>
      </c>
      <c r="F36" s="6" t="s">
        <v>922</v>
      </c>
      <c r="G36" s="6" t="s">
        <v>1099</v>
      </c>
      <c r="H36" s="6" t="s">
        <v>919</v>
      </c>
      <c r="I36" s="6" t="s">
        <v>922</v>
      </c>
      <c r="J36" s="6" t="s">
        <v>965</v>
      </c>
      <c r="K36" s="6" t="s">
        <v>1095</v>
      </c>
    </row>
    <row r="37" spans="2:11">
      <c r="B37" s="2">
        <v>60</v>
      </c>
      <c r="C37" s="7">
        <v>60</v>
      </c>
      <c r="D37" s="7" t="s">
        <v>261</v>
      </c>
      <c r="E37" s="7">
        <v>1</v>
      </c>
      <c r="F37" s="7">
        <f>_xlfn.XLOOKUP(D37,价值表!C:C,价值表!F:F)*E37</f>
        <v>280</v>
      </c>
      <c r="G37" s="9" t="s">
        <v>265</v>
      </c>
      <c r="H37" s="9">
        <f t="shared" ref="H37:H39" si="0">E37*2</f>
        <v>2</v>
      </c>
      <c r="I37" s="7">
        <f>_xlfn.XLOOKUP(G37,价值表!$C:$C,价值表!$F:$F)*H37</f>
        <v>120</v>
      </c>
      <c r="J37" s="10">
        <v>200</v>
      </c>
      <c r="K37" s="11">
        <v>0.11</v>
      </c>
    </row>
    <row r="38" spans="2:11">
      <c r="B38" s="2">
        <v>60</v>
      </c>
      <c r="C38" s="7">
        <v>120</v>
      </c>
      <c r="D38" s="7" t="s">
        <v>261</v>
      </c>
      <c r="E38" s="7">
        <v>1</v>
      </c>
      <c r="F38" s="7">
        <f>_xlfn.XLOOKUP(D38,价值表!C:C,价值表!F:F)*E38</f>
        <v>280</v>
      </c>
      <c r="G38" s="9" t="s">
        <v>265</v>
      </c>
      <c r="H38" s="9">
        <f t="shared" si="0"/>
        <v>2</v>
      </c>
      <c r="I38" s="7">
        <f>_xlfn.XLOOKUP(G38,价值表!$C:$C,价值表!$F:$F)*H38</f>
        <v>120</v>
      </c>
      <c r="J38" s="10">
        <v>200</v>
      </c>
      <c r="K38" s="11">
        <v>0.11</v>
      </c>
    </row>
    <row r="39" spans="2:11">
      <c r="B39" s="2">
        <v>80</v>
      </c>
      <c r="C39" s="7">
        <v>200</v>
      </c>
      <c r="D39" s="7" t="s">
        <v>261</v>
      </c>
      <c r="E39" s="7">
        <v>1</v>
      </c>
      <c r="F39" s="7">
        <f>_xlfn.XLOOKUP(D39,价值表!C:C,价值表!F:F)*E39</f>
        <v>280</v>
      </c>
      <c r="G39" s="9" t="s">
        <v>265</v>
      </c>
      <c r="H39" s="9">
        <f t="shared" si="0"/>
        <v>2</v>
      </c>
      <c r="I39" s="7">
        <f>_xlfn.XLOOKUP(G39,价值表!$C:$C,价值表!$F:$F)*H39</f>
        <v>120</v>
      </c>
      <c r="J39" s="10">
        <v>200</v>
      </c>
      <c r="K39" s="11">
        <v>0.08</v>
      </c>
    </row>
    <row r="40" spans="2:11">
      <c r="B40" s="2">
        <v>100</v>
      </c>
      <c r="C40" s="7">
        <v>300</v>
      </c>
      <c r="D40" s="7" t="s">
        <v>261</v>
      </c>
      <c r="E40" s="7">
        <v>2</v>
      </c>
      <c r="F40" s="7">
        <f>_xlfn.XLOOKUP(D40,价值表!C:C,价值表!F:F)*E40</f>
        <v>560</v>
      </c>
      <c r="G40" s="9" t="s">
        <v>265</v>
      </c>
      <c r="H40" s="9">
        <v>3</v>
      </c>
      <c r="I40" s="7">
        <f>_xlfn.XLOOKUP(G40,价值表!$C:$C,价值表!$F:$F)*H40</f>
        <v>180</v>
      </c>
      <c r="J40" s="10">
        <v>380</v>
      </c>
      <c r="K40" s="11">
        <v>0.13</v>
      </c>
    </row>
    <row r="41" spans="2:11">
      <c r="B41" s="2">
        <v>120</v>
      </c>
      <c r="C41" s="7">
        <v>420</v>
      </c>
      <c r="D41" s="7" t="s">
        <v>261</v>
      </c>
      <c r="E41" s="7">
        <v>2</v>
      </c>
      <c r="F41" s="7">
        <f>_xlfn.XLOOKUP(D41,价值表!C:C,价值表!F:F)*E41</f>
        <v>560</v>
      </c>
      <c r="G41" s="9" t="s">
        <v>265</v>
      </c>
      <c r="H41" s="9">
        <v>3</v>
      </c>
      <c r="I41" s="7">
        <f>_xlfn.XLOOKUP(G41,价值表!$C:$C,价值表!$F:$F)*H41</f>
        <v>180</v>
      </c>
      <c r="J41" s="10">
        <v>380</v>
      </c>
      <c r="K41" s="11">
        <v>0.11</v>
      </c>
    </row>
    <row r="42" spans="2:11">
      <c r="B42" s="2">
        <v>180</v>
      </c>
      <c r="C42" s="7">
        <v>600</v>
      </c>
      <c r="D42" s="7" t="s">
        <v>261</v>
      </c>
      <c r="E42" s="7">
        <v>2</v>
      </c>
      <c r="F42" s="7">
        <f>_xlfn.XLOOKUP(D42,价值表!C:C,价值表!F:F)*E42</f>
        <v>560</v>
      </c>
      <c r="G42" s="9" t="s">
        <v>265</v>
      </c>
      <c r="H42" s="9">
        <v>3</v>
      </c>
      <c r="I42" s="7">
        <f>_xlfn.XLOOKUP(G42,价值表!$C:$C,价值表!$F:$F)*H42</f>
        <v>180</v>
      </c>
      <c r="J42" s="10">
        <v>380</v>
      </c>
      <c r="K42" s="11">
        <v>0.07</v>
      </c>
    </row>
    <row r="43" spans="2:11">
      <c r="B43" s="2"/>
      <c r="C43" s="2"/>
      <c r="D43" s="2"/>
      <c r="E43" s="2"/>
      <c r="F43" s="2"/>
      <c r="G43" s="2"/>
      <c r="H43" s="2">
        <v>390</v>
      </c>
      <c r="I43" s="2"/>
      <c r="J43" s="10">
        <v>1740</v>
      </c>
      <c r="K43" s="11">
        <v>0.1</v>
      </c>
    </row>
    <row r="44" spans="2:11">
      <c r="B44" s="2" t="s">
        <v>1512</v>
      </c>
      <c r="C44" s="2"/>
      <c r="F44" s="2"/>
      <c r="G44" s="2"/>
      <c r="H44" s="2"/>
      <c r="I44" s="2"/>
      <c r="J44" s="2"/>
      <c r="K44" s="2"/>
    </row>
    <row r="45" spans="2:11">
      <c r="B45" s="2"/>
      <c r="C45" s="6" t="s">
        <v>1412</v>
      </c>
      <c r="D45" s="6" t="s">
        <v>1099</v>
      </c>
      <c r="E45" s="6" t="s">
        <v>919</v>
      </c>
      <c r="F45" s="6" t="s">
        <v>922</v>
      </c>
      <c r="G45" s="6" t="s">
        <v>1099</v>
      </c>
      <c r="H45" s="6" t="s">
        <v>919</v>
      </c>
      <c r="I45" s="6" t="s">
        <v>922</v>
      </c>
      <c r="J45" s="6" t="s">
        <v>965</v>
      </c>
      <c r="K45" s="6" t="s">
        <v>1095</v>
      </c>
    </row>
    <row r="46" spans="2:11">
      <c r="B46" s="2">
        <v>80</v>
      </c>
      <c r="C46" s="7">
        <v>80</v>
      </c>
      <c r="D46" s="7" t="s">
        <v>261</v>
      </c>
      <c r="E46" s="7">
        <v>2</v>
      </c>
      <c r="F46" s="7">
        <f>_xlfn.XLOOKUP(D46,价值表!C:C,价值表!F:F)*E46</f>
        <v>560</v>
      </c>
      <c r="G46" s="9" t="s">
        <v>265</v>
      </c>
      <c r="H46" s="9">
        <v>2</v>
      </c>
      <c r="I46" s="7">
        <f>_xlfn.XLOOKUP(G46,价值表!$C:$C,价值表!$F:$F)*H46</f>
        <v>120</v>
      </c>
      <c r="J46" s="10">
        <v>230</v>
      </c>
      <c r="K46" s="11">
        <v>0.1</v>
      </c>
    </row>
    <row r="47" spans="2:11">
      <c r="B47" s="2">
        <v>80</v>
      </c>
      <c r="C47" s="7">
        <v>160</v>
      </c>
      <c r="D47" s="7" t="s">
        <v>261</v>
      </c>
      <c r="E47" s="7">
        <v>2</v>
      </c>
      <c r="F47" s="7">
        <f>_xlfn.XLOOKUP(D47,价值表!C:C,价值表!F:F)*E47</f>
        <v>560</v>
      </c>
      <c r="G47" s="9" t="s">
        <v>265</v>
      </c>
      <c r="H47" s="9">
        <v>2</v>
      </c>
      <c r="I47" s="7">
        <f>_xlfn.XLOOKUP(G47,价值表!$C:$C,价值表!$F:$F)*H47</f>
        <v>120</v>
      </c>
      <c r="J47" s="10">
        <v>230</v>
      </c>
      <c r="K47" s="11">
        <v>0.1</v>
      </c>
    </row>
    <row r="48" spans="2:11">
      <c r="B48" s="2">
        <v>100</v>
      </c>
      <c r="C48" s="7">
        <v>260</v>
      </c>
      <c r="D48" s="7" t="s">
        <v>261</v>
      </c>
      <c r="E48" s="7">
        <v>2</v>
      </c>
      <c r="F48" s="7">
        <f>_xlfn.XLOOKUP(D48,价值表!C:C,价值表!F:F)*E48</f>
        <v>560</v>
      </c>
      <c r="G48" s="9" t="s">
        <v>265</v>
      </c>
      <c r="H48" s="9">
        <v>2</v>
      </c>
      <c r="I48" s="7">
        <f>_xlfn.XLOOKUP(G48,价值表!$C:$C,价值表!$F:$F)*H48</f>
        <v>120</v>
      </c>
      <c r="J48" s="10">
        <v>230</v>
      </c>
      <c r="K48" s="11">
        <v>0.08</v>
      </c>
    </row>
    <row r="49" spans="2:11">
      <c r="B49" s="2">
        <v>140</v>
      </c>
      <c r="C49" s="7">
        <v>400</v>
      </c>
      <c r="D49" s="7" t="s">
        <v>261</v>
      </c>
      <c r="E49" s="7">
        <v>3</v>
      </c>
      <c r="F49" s="7">
        <f>_xlfn.XLOOKUP(D49,价值表!C:C,价值表!F:F)*E49</f>
        <v>840</v>
      </c>
      <c r="G49" s="9" t="s">
        <v>265</v>
      </c>
      <c r="H49" s="9">
        <v>3</v>
      </c>
      <c r="I49" s="7">
        <f>_xlfn.XLOOKUP(G49,价值表!$C:$C,价值表!$F:$F)*H49</f>
        <v>180</v>
      </c>
      <c r="J49" s="10">
        <v>400</v>
      </c>
      <c r="K49" s="11">
        <v>0.1</v>
      </c>
    </row>
    <row r="50" spans="2:11">
      <c r="B50" s="2">
        <v>180</v>
      </c>
      <c r="C50" s="7">
        <v>580</v>
      </c>
      <c r="D50" s="7" t="s">
        <v>261</v>
      </c>
      <c r="E50" s="7">
        <v>3</v>
      </c>
      <c r="F50" s="7">
        <f>_xlfn.XLOOKUP(D50,价值表!C:C,价值表!F:F)*E50</f>
        <v>840</v>
      </c>
      <c r="G50" s="9" t="s">
        <v>265</v>
      </c>
      <c r="H50" s="9">
        <v>3</v>
      </c>
      <c r="I50" s="7">
        <f>_xlfn.XLOOKUP(G50,价值表!$C:$C,价值表!$F:$F)*H50</f>
        <v>180</v>
      </c>
      <c r="J50" s="10">
        <v>400</v>
      </c>
      <c r="K50" s="11">
        <v>0.07</v>
      </c>
    </row>
    <row r="51" spans="2:11">
      <c r="B51" s="2">
        <v>220</v>
      </c>
      <c r="C51" s="7">
        <v>800</v>
      </c>
      <c r="D51" s="7" t="s">
        <v>261</v>
      </c>
      <c r="E51" s="7">
        <v>3</v>
      </c>
      <c r="F51" s="7">
        <f>_xlfn.XLOOKUP(D51,价值表!C:C,价值表!F:F)*E51</f>
        <v>840</v>
      </c>
      <c r="G51" s="9" t="s">
        <v>265</v>
      </c>
      <c r="H51" s="9">
        <v>3</v>
      </c>
      <c r="I51" s="7">
        <f>_xlfn.XLOOKUP(G51,价值表!$C:$C,价值表!$F:$F)*H51</f>
        <v>180</v>
      </c>
      <c r="J51" s="10">
        <v>400</v>
      </c>
      <c r="K51" s="11">
        <v>0.06</v>
      </c>
    </row>
    <row r="52" spans="2:11">
      <c r="B52" s="2"/>
      <c r="C52" s="2"/>
      <c r="D52" s="2"/>
      <c r="E52" s="2"/>
      <c r="F52" s="2"/>
      <c r="G52" s="2"/>
      <c r="H52" s="2">
        <v>540</v>
      </c>
      <c r="I52" s="2"/>
      <c r="J52" s="10">
        <v>1890</v>
      </c>
      <c r="K52" s="11">
        <v>0.08</v>
      </c>
    </row>
    <row r="53" spans="2:11">
      <c r="B53" s="2" t="s">
        <v>1513</v>
      </c>
      <c r="C53" s="2"/>
      <c r="F53" s="2"/>
      <c r="G53" s="2"/>
      <c r="H53" s="2"/>
      <c r="I53" s="2"/>
      <c r="J53" s="2"/>
      <c r="K53" s="2"/>
    </row>
    <row r="54" spans="2:11">
      <c r="B54" s="2"/>
      <c r="C54" s="6" t="s">
        <v>1412</v>
      </c>
      <c r="D54" s="6" t="s">
        <v>1099</v>
      </c>
      <c r="E54" s="6" t="s">
        <v>919</v>
      </c>
      <c r="F54" s="6" t="s">
        <v>922</v>
      </c>
      <c r="G54" s="6" t="s">
        <v>1099</v>
      </c>
      <c r="H54" s="6" t="s">
        <v>919</v>
      </c>
      <c r="I54" s="6" t="s">
        <v>922</v>
      </c>
      <c r="J54" s="6" t="s">
        <v>965</v>
      </c>
      <c r="K54" s="6" t="s">
        <v>1095</v>
      </c>
    </row>
    <row r="55" spans="2:11">
      <c r="B55" s="2">
        <v>100</v>
      </c>
      <c r="C55" s="7">
        <v>100</v>
      </c>
      <c r="D55" s="7" t="s">
        <v>261</v>
      </c>
      <c r="E55" s="7">
        <v>2</v>
      </c>
      <c r="F55" s="7">
        <f>_xlfn.XLOOKUP(D55,价值表!C:C,价值表!F:F)*E55</f>
        <v>560</v>
      </c>
      <c r="G55" s="9" t="s">
        <v>265</v>
      </c>
      <c r="H55" s="9">
        <v>2</v>
      </c>
      <c r="I55" s="7">
        <f>_xlfn.XLOOKUP(G55,价值表!$C:$C,价值表!$F:$F)*H55</f>
        <v>120</v>
      </c>
      <c r="J55" s="7">
        <v>250</v>
      </c>
      <c r="K55" s="12">
        <v>0.08</v>
      </c>
    </row>
    <row r="56" spans="2:11">
      <c r="B56" s="2">
        <v>100</v>
      </c>
      <c r="C56" s="7">
        <v>200</v>
      </c>
      <c r="D56" s="7" t="s">
        <v>261</v>
      </c>
      <c r="E56" s="7">
        <v>2</v>
      </c>
      <c r="F56" s="7">
        <f>_xlfn.XLOOKUP(D56,价值表!C:C,价值表!F:F)*E56</f>
        <v>560</v>
      </c>
      <c r="G56" s="9" t="s">
        <v>265</v>
      </c>
      <c r="H56" s="9">
        <v>2</v>
      </c>
      <c r="I56" s="7">
        <f>_xlfn.XLOOKUP(G56,价值表!$C:$C,价值表!$F:$F)*H56</f>
        <v>120</v>
      </c>
      <c r="J56" s="7">
        <v>250</v>
      </c>
      <c r="K56" s="12">
        <v>0.08</v>
      </c>
    </row>
    <row r="57" spans="2:11">
      <c r="B57" s="2">
        <v>120</v>
      </c>
      <c r="C57" s="7">
        <v>320</v>
      </c>
      <c r="D57" s="7" t="s">
        <v>261</v>
      </c>
      <c r="E57" s="7">
        <v>2</v>
      </c>
      <c r="F57" s="7">
        <f>_xlfn.XLOOKUP(D57,价值表!C:C,价值表!F:F)*E57</f>
        <v>560</v>
      </c>
      <c r="G57" s="9" t="s">
        <v>265</v>
      </c>
      <c r="H57" s="9">
        <v>2</v>
      </c>
      <c r="I57" s="7">
        <f>_xlfn.XLOOKUP(G57,价值表!$C:$C,价值表!$F:$F)*H57</f>
        <v>120</v>
      </c>
      <c r="J57" s="7">
        <v>250</v>
      </c>
      <c r="K57" s="12">
        <v>0.07</v>
      </c>
    </row>
    <row r="58" spans="2:11">
      <c r="B58" s="2">
        <v>180</v>
      </c>
      <c r="C58" s="7">
        <v>500</v>
      </c>
      <c r="D58" s="7" t="s">
        <v>261</v>
      </c>
      <c r="E58" s="7">
        <v>3</v>
      </c>
      <c r="F58" s="7">
        <f>_xlfn.XLOOKUP(D58,价值表!C:C,价值表!F:F)*E58</f>
        <v>840</v>
      </c>
      <c r="G58" s="9" t="s">
        <v>265</v>
      </c>
      <c r="H58" s="9">
        <v>3</v>
      </c>
      <c r="I58" s="7">
        <f>_xlfn.XLOOKUP(G58,价值表!$C:$C,价值表!$F:$F)*H58</f>
        <v>180</v>
      </c>
      <c r="J58" s="7">
        <v>420</v>
      </c>
      <c r="K58" s="12">
        <v>0.08</v>
      </c>
    </row>
    <row r="59" spans="2:11">
      <c r="B59" s="2">
        <v>220</v>
      </c>
      <c r="C59" s="7">
        <v>720</v>
      </c>
      <c r="D59" s="7" t="s">
        <v>261</v>
      </c>
      <c r="E59" s="7">
        <v>3</v>
      </c>
      <c r="F59" s="7">
        <f>_xlfn.XLOOKUP(D59,价值表!C:C,价值表!F:F)*E59</f>
        <v>840</v>
      </c>
      <c r="G59" s="9" t="s">
        <v>265</v>
      </c>
      <c r="H59" s="9">
        <v>3</v>
      </c>
      <c r="I59" s="7">
        <f>_xlfn.XLOOKUP(G59,价值表!$C:$C,价值表!$F:$F)*H59</f>
        <v>180</v>
      </c>
      <c r="J59" s="7">
        <v>420</v>
      </c>
      <c r="K59" s="12">
        <v>0.06</v>
      </c>
    </row>
    <row r="60" spans="2:11">
      <c r="B60" s="2">
        <v>280</v>
      </c>
      <c r="C60" s="7">
        <v>1000</v>
      </c>
      <c r="D60" s="7" t="s">
        <v>261</v>
      </c>
      <c r="E60" s="7">
        <v>3</v>
      </c>
      <c r="F60" s="7">
        <f>_xlfn.XLOOKUP(D60,价值表!C:C,价值表!F:F)*E60</f>
        <v>840</v>
      </c>
      <c r="G60" s="9" t="s">
        <v>265</v>
      </c>
      <c r="H60" s="9">
        <v>3</v>
      </c>
      <c r="I60" s="7">
        <f>_xlfn.XLOOKUP(G60,价值表!$C:$C,价值表!$F:$F)*H60</f>
        <v>180</v>
      </c>
      <c r="J60" s="7">
        <v>420</v>
      </c>
      <c r="K60" s="12">
        <v>0.05</v>
      </c>
    </row>
    <row r="61" spans="2:11">
      <c r="B61" s="2"/>
      <c r="C61" s="2"/>
      <c r="D61" s="2"/>
      <c r="E61" s="2">
        <v>45</v>
      </c>
      <c r="F61" s="2"/>
      <c r="G61" s="2"/>
      <c r="H61" s="2">
        <v>660</v>
      </c>
      <c r="I61" s="2"/>
      <c r="J61" s="10">
        <v>2010</v>
      </c>
      <c r="K61" s="11">
        <v>0.07</v>
      </c>
    </row>
    <row r="65" spans="2:16">
      <c r="C65" s="6" t="s">
        <v>1195</v>
      </c>
      <c r="D65" s="6" t="s">
        <v>935</v>
      </c>
      <c r="E65" s="6" t="s">
        <v>1197</v>
      </c>
      <c r="F65" s="6" t="s">
        <v>1099</v>
      </c>
      <c r="G65" s="6" t="s">
        <v>919</v>
      </c>
      <c r="H65" s="6" t="s">
        <v>922</v>
      </c>
      <c r="I65" s="6" t="s">
        <v>1099</v>
      </c>
      <c r="J65" s="6" t="s">
        <v>919</v>
      </c>
      <c r="K65" s="6" t="s">
        <v>922</v>
      </c>
      <c r="L65" s="6" t="s">
        <v>1099</v>
      </c>
      <c r="M65" s="6" t="s">
        <v>919</v>
      </c>
      <c r="N65" s="6" t="s">
        <v>922</v>
      </c>
      <c r="O65" s="6" t="s">
        <v>965</v>
      </c>
      <c r="P65" s="6" t="s">
        <v>1095</v>
      </c>
    </row>
    <row r="66" spans="2:16">
      <c r="C66" s="7" t="s">
        <v>1516</v>
      </c>
      <c r="D66" s="7">
        <v>0</v>
      </c>
      <c r="E66" s="7">
        <v>1</v>
      </c>
      <c r="F66" s="7" t="s">
        <v>265</v>
      </c>
      <c r="G66" s="7">
        <v>2</v>
      </c>
      <c r="H66" s="7">
        <f>_xlfn.XLOOKUP(F66,价值表!$C:$C,价值表!$F:$F)*G66</f>
        <v>120</v>
      </c>
      <c r="I66" s="10"/>
      <c r="J66" s="10"/>
      <c r="K66" s="10"/>
      <c r="L66" s="10"/>
      <c r="M66" s="10"/>
      <c r="N66" s="10"/>
      <c r="O66" s="10">
        <f>H66</f>
        <v>120</v>
      </c>
      <c r="P66" s="10"/>
    </row>
    <row r="67" spans="2:16">
      <c r="C67" s="7" t="s">
        <v>1517</v>
      </c>
      <c r="D67" s="7">
        <v>228</v>
      </c>
      <c r="E67" s="7">
        <v>3</v>
      </c>
      <c r="F67" s="7" t="s">
        <v>265</v>
      </c>
      <c r="G67" s="7">
        <v>6</v>
      </c>
      <c r="H67" s="7">
        <f>_xlfn.XLOOKUP(F67,价值表!$C:$C,价值表!$F:$F)*G67</f>
        <v>360</v>
      </c>
      <c r="I67" s="7" t="s">
        <v>258</v>
      </c>
      <c r="J67" s="7">
        <v>5</v>
      </c>
      <c r="K67" s="7">
        <f>_xlfn.XLOOKUP(I67,价值表!$C:$C,价值表!$F:$F)*J67</f>
        <v>250</v>
      </c>
      <c r="L67" s="10"/>
      <c r="M67" s="10"/>
      <c r="N67" s="10"/>
      <c r="O67" s="10">
        <f>H67+K67+N67</f>
        <v>610</v>
      </c>
      <c r="P67" s="11">
        <f>O67/D67</f>
        <v>2.67543859649123</v>
      </c>
    </row>
    <row r="68" spans="2:16">
      <c r="C68" s="7" t="s">
        <v>1118</v>
      </c>
      <c r="D68" s="7">
        <v>6</v>
      </c>
      <c r="E68" s="7">
        <v>3</v>
      </c>
      <c r="F68" s="7" t="s">
        <v>188</v>
      </c>
      <c r="G68" s="7">
        <v>60</v>
      </c>
      <c r="H68" s="7">
        <f>_xlfn.XLOOKUP(F68,价值表!$C:$C,价值表!$F:$F)*G68</f>
        <v>60</v>
      </c>
      <c r="I68" s="7" t="s">
        <v>265</v>
      </c>
      <c r="J68" s="7">
        <v>12</v>
      </c>
      <c r="K68" s="7">
        <f>_xlfn.XLOOKUP(I68,价值表!$C:$C,价值表!$F:$F)*J68</f>
        <v>720</v>
      </c>
      <c r="L68" s="7"/>
      <c r="M68" s="7"/>
      <c r="N68" s="7"/>
      <c r="O68" s="10">
        <f>H68+K68+N68</f>
        <v>780</v>
      </c>
      <c r="P68" s="11">
        <f t="shared" ref="P68:P73" si="1">O68/D68/10</f>
        <v>13</v>
      </c>
    </row>
    <row r="69" spans="2:16">
      <c r="C69" s="7" t="s">
        <v>1517</v>
      </c>
      <c r="D69" s="7">
        <v>888</v>
      </c>
      <c r="E69" s="7">
        <v>3</v>
      </c>
      <c r="F69" s="7" t="s">
        <v>265</v>
      </c>
      <c r="G69" s="7">
        <v>18</v>
      </c>
      <c r="H69" s="7">
        <f>_xlfn.XLOOKUP(F69,价值表!$C:$C,价值表!$F:$F)*G69</f>
        <v>1080</v>
      </c>
      <c r="I69" s="7" t="s">
        <v>261</v>
      </c>
      <c r="J69" s="7">
        <v>3</v>
      </c>
      <c r="K69" s="7">
        <f>_xlfn.XLOOKUP(I69,价值表!$C:$C,价值表!$F:$F)*J69</f>
        <v>840</v>
      </c>
      <c r="L69" s="7"/>
      <c r="M69" s="7"/>
      <c r="N69" s="7"/>
      <c r="O69" s="10">
        <f t="shared" ref="O68:O74" si="2">H69+K69+N69</f>
        <v>1920</v>
      </c>
      <c r="P69" s="11">
        <f t="shared" ref="P67:P72" si="3">O69/D69</f>
        <v>2.16216216216216</v>
      </c>
    </row>
    <row r="70" spans="2:16">
      <c r="C70" s="7" t="s">
        <v>1199</v>
      </c>
      <c r="D70" s="7">
        <v>30</v>
      </c>
      <c r="E70" s="7">
        <v>3</v>
      </c>
      <c r="F70" s="7" t="s">
        <v>188</v>
      </c>
      <c r="G70" s="7">
        <v>300</v>
      </c>
      <c r="H70" s="7">
        <f>_xlfn.XLOOKUP(F70,价值表!$C:$C,价值表!$F:$F)*G70</f>
        <v>300</v>
      </c>
      <c r="I70" s="7" t="s">
        <v>265</v>
      </c>
      <c r="J70" s="7">
        <v>24</v>
      </c>
      <c r="K70" s="7">
        <f>_xlfn.XLOOKUP(I70,价值表!$C:$C,价值表!$F:$F)*J70</f>
        <v>1440</v>
      </c>
      <c r="L70" s="7"/>
      <c r="M70" s="7"/>
      <c r="N70" s="7"/>
      <c r="O70" s="10">
        <f t="shared" si="2"/>
        <v>1740</v>
      </c>
      <c r="P70" s="11">
        <f t="shared" si="1"/>
        <v>5.8</v>
      </c>
    </row>
    <row r="71" spans="2:16">
      <c r="C71" s="7" t="s">
        <v>1517</v>
      </c>
      <c r="D71" s="7">
        <v>1588</v>
      </c>
      <c r="E71" s="7">
        <v>5</v>
      </c>
      <c r="F71" s="7" t="s">
        <v>265</v>
      </c>
      <c r="G71" s="7">
        <v>30</v>
      </c>
      <c r="H71" s="7">
        <f>_xlfn.XLOOKUP(F71,价值表!$C:$C,价值表!$F:$F)*G71</f>
        <v>1800</v>
      </c>
      <c r="I71" s="7" t="s">
        <v>261</v>
      </c>
      <c r="J71" s="7">
        <v>5</v>
      </c>
      <c r="K71" s="7">
        <f>_xlfn.XLOOKUP(I71,价值表!$C:$C,价值表!$F:$F)*J71</f>
        <v>1400</v>
      </c>
      <c r="L71" s="7"/>
      <c r="M71" s="7"/>
      <c r="N71" s="7"/>
      <c r="O71" s="10">
        <f t="shared" si="2"/>
        <v>3200</v>
      </c>
      <c r="P71" s="11">
        <f t="shared" si="3"/>
        <v>2.01511335012594</v>
      </c>
    </row>
    <row r="72" spans="2:16">
      <c r="C72" s="7" t="s">
        <v>1517</v>
      </c>
      <c r="D72" s="7">
        <v>2288</v>
      </c>
      <c r="E72" s="7">
        <v>5</v>
      </c>
      <c r="F72" s="7" t="s">
        <v>265</v>
      </c>
      <c r="G72" s="7">
        <v>42</v>
      </c>
      <c r="H72" s="7">
        <f>_xlfn.XLOOKUP(F72,价值表!$C:$C,价值表!$F:$F)*G72</f>
        <v>2520</v>
      </c>
      <c r="I72" s="7" t="s">
        <v>261</v>
      </c>
      <c r="J72" s="7">
        <v>8</v>
      </c>
      <c r="K72" s="7">
        <f>_xlfn.XLOOKUP(I72,价值表!$C:$C,价值表!$F:$F)*J72</f>
        <v>2240</v>
      </c>
      <c r="L72" s="7"/>
      <c r="M72" s="7"/>
      <c r="N72" s="7"/>
      <c r="O72" s="10">
        <f t="shared" si="2"/>
        <v>4760</v>
      </c>
      <c r="P72" s="11">
        <f t="shared" si="3"/>
        <v>2.08041958041958</v>
      </c>
    </row>
    <row r="73" spans="2:16">
      <c r="C73" s="7" t="s">
        <v>1200</v>
      </c>
      <c r="D73" s="7">
        <v>328</v>
      </c>
      <c r="E73" s="7">
        <v>5</v>
      </c>
      <c r="F73" s="7" t="s">
        <v>188</v>
      </c>
      <c r="G73" s="7">
        <v>3280</v>
      </c>
      <c r="H73" s="7">
        <f>_xlfn.XLOOKUP(F73,价值表!$C:$C,价值表!$F:$F)*G73</f>
        <v>3280</v>
      </c>
      <c r="I73" s="7" t="s">
        <v>265</v>
      </c>
      <c r="J73" s="7">
        <v>120</v>
      </c>
      <c r="K73" s="7">
        <f>_xlfn.XLOOKUP(I73,价值表!$C:$C,价值表!$F:$F)*J73</f>
        <v>7200</v>
      </c>
      <c r="L73" s="7" t="s">
        <v>1310</v>
      </c>
      <c r="M73" s="7">
        <v>1</v>
      </c>
      <c r="N73" s="7" t="e">
        <f>_xlfn.XLOOKUP(L73,价值表!$C:$C,价值表!$F:$F)*M73</f>
        <v>#N/A</v>
      </c>
      <c r="O73" s="10" t="e">
        <f t="shared" si="2"/>
        <v>#N/A</v>
      </c>
      <c r="P73" s="11" t="e">
        <f t="shared" si="1"/>
        <v>#N/A</v>
      </c>
    </row>
    <row r="74" spans="2:16">
      <c r="C74" s="7" t="s">
        <v>1517</v>
      </c>
      <c r="D74" s="7">
        <v>3888</v>
      </c>
      <c r="E74" s="7">
        <v>3</v>
      </c>
      <c r="F74" s="7" t="s">
        <v>265</v>
      </c>
      <c r="G74" s="7">
        <v>60</v>
      </c>
      <c r="H74" s="7">
        <f>_xlfn.XLOOKUP(F74,价值表!$C:$C,价值表!$F:$F)*G74</f>
        <v>3600</v>
      </c>
      <c r="I74" s="7" t="s">
        <v>261</v>
      </c>
      <c r="J74" s="7">
        <v>10</v>
      </c>
      <c r="K74" s="7">
        <f>_xlfn.XLOOKUP(I74,价值表!$C:$C,价值表!$F:$F)*J74</f>
        <v>2800</v>
      </c>
      <c r="L74" s="7"/>
      <c r="M74" s="7"/>
      <c r="N74" s="7"/>
      <c r="O74" s="10">
        <f t="shared" si="2"/>
        <v>6400</v>
      </c>
      <c r="P74" s="11">
        <f>O74/D74</f>
        <v>1.64609053497942</v>
      </c>
    </row>
    <row r="77" spans="2:16">
      <c r="B77" s="5" t="s">
        <v>1175</v>
      </c>
      <c r="L77" cm="1">
        <f t="array" ref="L77">SUMPRODUCT(J66:J74,E66:E74,--(I66:I74=$I$68))+SUMPRODUCT(E66:E74,G66:G74,--(F66:F74=$F$66))</f>
        <v>1322</v>
      </c>
    </row>
    <row r="79" ht="16.5" spans="2:16">
      <c r="C79" s="13" t="s">
        <v>1539</v>
      </c>
      <c r="D79" s="14"/>
      <c r="E79" s="14"/>
      <c r="F79" s="4"/>
      <c r="G79" s="4"/>
      <c r="H79" s="4"/>
    </row>
    <row r="80" ht="16.5" spans="2:16">
      <c r="C80" s="4" t="s">
        <v>1851</v>
      </c>
      <c r="D80" s="4"/>
      <c r="E80" s="4"/>
      <c r="F80" s="4"/>
      <c r="G80" s="4"/>
      <c r="H80" s="4"/>
    </row>
    <row r="81" ht="16.5" spans="3:23">
      <c r="C81" s="4" t="s">
        <v>1852</v>
      </c>
      <c r="D81" s="4" t="s">
        <v>1179</v>
      </c>
      <c r="E81" s="4" t="s">
        <v>1853</v>
      </c>
      <c r="F81" s="4" t="s">
        <v>265</v>
      </c>
    </row>
    <row r="82" ht="16.5" spans="3:23">
      <c r="C82" s="4" t="s">
        <v>1855</v>
      </c>
      <c r="D82" s="4" t="s">
        <v>948</v>
      </c>
      <c r="E82" s="4">
        <v>1</v>
      </c>
      <c r="F82" s="4">
        <v>2</v>
      </c>
    </row>
    <row r="83" ht="16.5" spans="3:23">
      <c r="C83" s="4" t="s">
        <v>2096</v>
      </c>
      <c r="D83" s="4" t="s">
        <v>949</v>
      </c>
      <c r="E83" s="4">
        <v>1</v>
      </c>
      <c r="F83" s="4">
        <v>2</v>
      </c>
    </row>
    <row r="84" ht="16.5" spans="3:23">
      <c r="C84" s="4" t="s">
        <v>2096</v>
      </c>
      <c r="D84" s="4" t="s">
        <v>949</v>
      </c>
      <c r="E84" s="4">
        <v>3</v>
      </c>
      <c r="F84" s="4">
        <v>2</v>
      </c>
    </row>
    <row r="85" ht="16.5" spans="3:23">
      <c r="C85" s="4" t="s">
        <v>2096</v>
      </c>
      <c r="D85" s="4" t="s">
        <v>949</v>
      </c>
      <c r="E85" s="4">
        <v>5</v>
      </c>
      <c r="F85" s="4">
        <v>3</v>
      </c>
      <c r="W85">
        <f>600/2.5</f>
        <v>240</v>
      </c>
    </row>
    <row r="86" ht="16.5" spans="3:23">
      <c r="C86" s="4" t="s">
        <v>2096</v>
      </c>
      <c r="D86" s="4" t="s">
        <v>949</v>
      </c>
      <c r="E86" s="4">
        <v>7</v>
      </c>
      <c r="F86" s="4">
        <v>3</v>
      </c>
    </row>
    <row r="87" ht="16.5" spans="3:23">
      <c r="C87" s="4" t="s">
        <v>2096</v>
      </c>
      <c r="D87" s="4" t="s">
        <v>949</v>
      </c>
      <c r="E87" s="4">
        <v>10</v>
      </c>
      <c r="F87" s="4">
        <v>3</v>
      </c>
    </row>
    <row r="88" ht="16.5" spans="3:23">
      <c r="C88" s="4" t="s">
        <v>2096</v>
      </c>
      <c r="D88" s="4" t="s">
        <v>949</v>
      </c>
      <c r="E88" s="4">
        <v>12</v>
      </c>
      <c r="F88" s="4">
        <v>3</v>
      </c>
    </row>
    <row r="89" ht="16.5" spans="3:23">
      <c r="C89" s="4" t="s">
        <v>2097</v>
      </c>
      <c r="D89" s="4" t="s">
        <v>949</v>
      </c>
      <c r="E89" s="15">
        <v>30</v>
      </c>
      <c r="F89" s="4">
        <v>2</v>
      </c>
    </row>
    <row r="90" ht="16.5" spans="3:23">
      <c r="C90" s="4" t="s">
        <v>2097</v>
      </c>
      <c r="D90" s="4" t="s">
        <v>949</v>
      </c>
      <c r="E90" s="15">
        <v>50</v>
      </c>
      <c r="F90" s="4">
        <v>2</v>
      </c>
    </row>
    <row r="91" ht="16.5" spans="3:23">
      <c r="C91" s="4" t="s">
        <v>2097</v>
      </c>
      <c r="D91" s="4" t="s">
        <v>949</v>
      </c>
      <c r="E91" s="15">
        <v>100</v>
      </c>
      <c r="F91" s="4">
        <v>3</v>
      </c>
    </row>
    <row r="92" ht="16.5" spans="3:23">
      <c r="C92" s="4" t="s">
        <v>2097</v>
      </c>
      <c r="D92" s="4" t="s">
        <v>949</v>
      </c>
      <c r="E92" s="15">
        <v>150</v>
      </c>
      <c r="F92" s="4">
        <v>3</v>
      </c>
    </row>
    <row r="93" ht="16.5" spans="3:23">
      <c r="C93" s="4" t="s">
        <v>2097</v>
      </c>
      <c r="D93" s="4" t="s">
        <v>949</v>
      </c>
      <c r="E93" s="15">
        <v>200</v>
      </c>
      <c r="F93" s="4">
        <v>3</v>
      </c>
    </row>
    <row r="94" ht="16.5" spans="3:23">
      <c r="C94" s="4" t="s">
        <v>1860</v>
      </c>
      <c r="D94" s="4" t="s">
        <v>949</v>
      </c>
      <c r="E94" s="4">
        <v>300</v>
      </c>
      <c r="F94" s="4">
        <v>2</v>
      </c>
    </row>
    <row r="95" ht="16.5" spans="3:23">
      <c r="C95" s="4" t="s">
        <v>1860</v>
      </c>
      <c r="D95" s="4" t="s">
        <v>949</v>
      </c>
      <c r="E95" s="4">
        <v>500</v>
      </c>
      <c r="F95" s="4">
        <v>2</v>
      </c>
    </row>
    <row r="96" ht="16.5" spans="3:23">
      <c r="C96" s="4" t="s">
        <v>1860</v>
      </c>
      <c r="D96" s="4" t="s">
        <v>949</v>
      </c>
      <c r="E96" s="4">
        <v>800</v>
      </c>
      <c r="F96" s="4">
        <v>3</v>
      </c>
    </row>
    <row r="97" ht="16.5" spans="3:6">
      <c r="C97" s="4" t="s">
        <v>1860</v>
      </c>
      <c r="D97" s="4" t="s">
        <v>949</v>
      </c>
      <c r="E97" s="4">
        <v>1000</v>
      </c>
      <c r="F97" s="4">
        <v>3</v>
      </c>
    </row>
    <row r="98" ht="16.5" spans="3:6">
      <c r="C98" s="4" t="s">
        <v>1860</v>
      </c>
      <c r="D98" s="4" t="s">
        <v>949</v>
      </c>
      <c r="E98" s="4">
        <v>1500</v>
      </c>
      <c r="F98" s="4">
        <v>3</v>
      </c>
    </row>
    <row r="99" ht="16.5" spans="3:6">
      <c r="C99" s="4"/>
      <c r="D99" s="4"/>
      <c r="E99" s="4"/>
      <c r="F99" s="4"/>
    </row>
    <row r="100" ht="16.5" spans="3:6">
      <c r="C100" s="4"/>
      <c r="D100" s="4"/>
      <c r="E100" s="4"/>
      <c r="F100" s="4"/>
    </row>
    <row r="102" spans="3:6">
      <c r="F102" s="16">
        <f>SUM(F82)*7+SUM(F83:F100)</f>
        <v>56</v>
      </c>
    </row>
  </sheetData>
  <pageMargins left="0.75" right="0.75" top="1" bottom="1" header="0.5" footer="0.5"/>
  <headerFooter/>
  <drawing r:id="rId1"/>
  <tableParts count="2"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24"/>
  <dimension ref="B5:F9"/>
  <sheetViews>
    <sheetView workbookViewId="0">
      <selection activeCell="B95" sqref="B95:L100"/>
    </sheetView>
  </sheetViews>
  <sheetFormatPr defaultColWidth="9" defaultRowHeight="13.5" outlineLevelCol="5"/>
  <cols>
    <col min="2" max="2" width="17.125" customWidth="1"/>
    <col min="4" max="4" width="12.625"/>
  </cols>
  <sheetData>
    <row r="5" spans="2:6">
      <c r="C5" t="s">
        <v>1434</v>
      </c>
      <c r="D5" t="s">
        <v>2098</v>
      </c>
      <c r="F5" t="s">
        <v>2099</v>
      </c>
    </row>
    <row r="6" spans="2:6">
      <c r="B6" t="s">
        <v>2100</v>
      </c>
      <c r="C6">
        <f>16384/4</f>
        <v>4096</v>
      </c>
      <c r="D6">
        <f>C6*0.4</f>
        <v>1638.4</v>
      </c>
    </row>
    <row r="7" spans="2:6">
      <c r="D7" t="s">
        <v>2101</v>
      </c>
    </row>
    <row r="8" spans="2:6">
      <c r="B8" t="s">
        <v>2102</v>
      </c>
      <c r="C8">
        <v>2000</v>
      </c>
      <c r="D8">
        <v>2000</v>
      </c>
      <c r="F8">
        <f>D8+D6</f>
        <v>3638.4</v>
      </c>
    </row>
    <row r="9" spans="2:6">
      <c r="B9" t="s">
        <v>2103</v>
      </c>
      <c r="C9">
        <v>5000</v>
      </c>
      <c r="D9">
        <v>5000</v>
      </c>
      <c r="F9">
        <f>D9+D6</f>
        <v>6638.4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>
  <dimension ref="A1:J7"/>
  <sheetViews>
    <sheetView workbookViewId="0">
      <pane ySplit="4" topLeftCell="A5" activePane="bottomLeft" state="frozen"/>
    </sheetView>
  </sheetViews>
  <sheetFormatPr defaultRowHeight="17"/>
  <cols>
    <col min="1" max="1" width="15" customWidth="1"/>
    <col min="2" max="2" width="23" customWidth="1"/>
    <col min="3" max="3" width="15" customWidth="1"/>
    <col min="4" max="4" width="25" customWidth="1"/>
    <col min="5" max="5" width="34" customWidth="1"/>
    <col min="6" max="6" width="24" customWidth="1"/>
    <col min="7" max="7" width="24" customWidth="1"/>
    <col min="8" max="8" width="26" customWidth="1"/>
    <col min="9" max="9" width="25" customWidth="1"/>
    <col min="10" max="10" width="78" customWidth="1"/>
  </cols>
  <sheetData>
    <row r="1" spans="1:10" ht="27" customHeight="1">
      <c r="A1" s="602" t="inlineStr">
        <is>
          <t>星旅寻梦｜现行活动索引</t>
        </is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0" ht="36" customHeight="1">
      <c r="A2" s="618" t="inlineStr">
        <is>
          <t>来源：E:\x1\c#\trunk\trunk\xml_gy\normal；2026-10-10 起开服批次，开服第 2 天至第 9 天边界；招募配置共 7 个活动日。此为本地配置快照，具体区服部署与截止时刻未验证。</t>
        </is>
      </c>
      <c r="B2" s="618"/>
      <c r="C2" s="618"/>
      <c r="D2" s="618"/>
      <c r="E2" s="618"/>
      <c r="F2" s="618"/>
      <c r="G2" s="618"/>
      <c r="H2" s="618"/>
      <c r="I2" s="618"/>
      <c r="J2" s="618"/>
    </row>
    <row r="3" spans="1:10"/>
    <row r="4" spans="1:10">
      <c r="A4" s="602" t="inlineStr">
        <is>
          <t>活动ID</t>
        </is>
      </c>
      <c r="B4" s="602" t="inlineStr">
        <is>
          <t>活动名称</t>
        </is>
      </c>
      <c r="C4" s="602" t="inlineStr">
        <is>
          <t>方案ID</t>
        </is>
      </c>
      <c r="D4" s="602" t="inlineStr">
        <is>
          <t>配置类型</t>
        </is>
      </c>
      <c r="E4" s="602" t="inlineStr">
        <is>
          <t>适用开服范围</t>
        </is>
      </c>
      <c r="F4" s="602" t="inlineStr">
        <is>
          <t>开始</t>
        </is>
      </c>
      <c r="G4" s="602" t="inlineStr">
        <is>
          <t>结束</t>
        </is>
      </c>
      <c r="H4" s="602" t="inlineStr">
        <is>
          <t>解锁条件</t>
        </is>
      </c>
      <c r="I4" s="602" t="inlineStr">
        <is>
          <t>子活动ID</t>
        </is>
      </c>
      <c r="J4" s="602" t="inlineStr">
        <is>
          <t>XML来源</t>
        </is>
      </c>
    </row>
    <row r="5" spans="1:10" ht="30" customHeight="1">
      <c r="A5" s="55">
        <v>100720</v>
      </c>
      <c r="B5" s="55" t="inlineStr">
        <is>
          <t>星旅寻梦</t>
        </is>
      </c>
      <c r="C5" s="55">
        <v>360003</v>
      </c>
      <c r="D5" s="55" t="inlineStr">
        <is>
          <t>activity_unit_draw_data</t>
        </is>
      </c>
      <c r="E5" s="618" t="inlineStr">
        <is>
          <t>{{2026,10,10},{2035,12,31}}</t>
        </is>
      </c>
      <c r="F5" s="618" t="inlineStr">
        <is>
          <t>{server_open_day,2}</t>
        </is>
      </c>
      <c r="G5" s="618" t="inlineStr">
        <is>
          <t>{server_open_day,9}</t>
        </is>
      </c>
      <c r="H5" s="618" t="inlineStr">
        <is>
          <t>[{chapter_pve,15}]</t>
        </is>
      </c>
      <c r="I5" s="618" t="inlineStr">
        <is>
          <t>[100721,100722]</t>
        </is>
      </c>
      <c r="J5" s="618" t="inlineStr">
        <is>
          <t>A_活动配置_activity_data.xml/活动配置!844</t>
        </is>
      </c>
    </row>
    <row r="6" spans="1:10" ht="30" customHeight="1">
      <c r="A6" s="55">
        <v>100721</v>
      </c>
      <c r="B6" s="55" t="inlineStr">
        <is>
          <t>寻梦任务</t>
        </is>
      </c>
      <c r="C6" s="55">
        <v>11053</v>
      </c>
      <c r="D6" s="55" t="inlineStr">
        <is>
          <t>activity_tasks_data</t>
        </is>
      </c>
      <c r="E6" s="618" t="inlineStr">
        <is>
          <t>{{2026,10,10},{2035,12,31}}</t>
        </is>
      </c>
      <c r="F6" s="618" t="inlineStr">
        <is>
          <t>{server_open_day,2}</t>
        </is>
      </c>
      <c r="G6" s="618" t="inlineStr">
        <is>
          <t>{server_open_day,9}</t>
        </is>
      </c>
      <c r="H6" s="618" t="inlineStr">
        <is>
          <t>[{chapter_pve,15}]</t>
        </is>
      </c>
      <c r="J6" s="618" t="inlineStr">
        <is>
          <t>A_活动配置_activity_data.xml/活动配置!845</t>
        </is>
      </c>
    </row>
    <row r="7" spans="1:10" ht="30" customHeight="1">
      <c r="A7" s="55">
        <v>100722</v>
      </c>
      <c r="B7" s="55" t="inlineStr">
        <is>
          <t>寻梦礼包</t>
        </is>
      </c>
      <c r="C7" s="55">
        <v>21040</v>
      </c>
      <c r="D7" s="55" t="inlineStr">
        <is>
          <t>activity_shop_data</t>
        </is>
      </c>
      <c r="E7" s="618" t="inlineStr">
        <is>
          <t>{{2026,10,10},{2035,12,31}}</t>
        </is>
      </c>
      <c r="F7" s="618" t="inlineStr">
        <is>
          <t>{server_open_day,2}</t>
        </is>
      </c>
      <c r="G7" s="618" t="inlineStr">
        <is>
          <t>{server_open_day,9}</t>
        </is>
      </c>
      <c r="H7" s="618" t="inlineStr">
        <is>
          <t>[{chapter_pve,15}]</t>
        </is>
      </c>
      <c r="J7" s="618" t="inlineStr">
        <is>
          <t>A_活动配置_activity_data.xml/活动配置!846</t>
        </is>
      </c>
    </row>
  </sheetData>
  <mergeCells count="2">
    <mergeCell ref="A1:J1"/>
    <mergeCell ref="A2:J2"/>
  </mergeCells>
  <autoFilter ref="A4:J7"/>
  <pageMargins left="0.7" right="0.7" top="0.75" bottom="0.75" header="0.3" footer="0.3"/>
</worksheet>
</file>

<file path=xl/worksheets/sheet36.xml><?xml version="1.0" encoding="utf-8"?>
<worksheet xmlns="http://schemas.openxmlformats.org/spreadsheetml/2006/main">
  <dimension ref="A1:Z13"/>
  <sheetViews>
    <sheetView workbookViewId="0">
      <pane ySplit="4" topLeftCell="A5" activePane="bottomLeft" state="frozen"/>
    </sheetView>
  </sheetViews>
  <sheetFormatPr defaultRowHeight="17"/>
  <cols>
    <col min="1" max="1" width="15" customWidth="1"/>
    <col min="2" max="2" width="16" customWidth="1"/>
    <col min="3" max="3" width="22" customWidth="1"/>
    <col min="4" max="4" width="42" customWidth="1"/>
    <col min="5" max="5" width="24" customWidth="1"/>
    <col min="6" max="6" width="16" customWidth="1"/>
    <col min="7" max="7" width="14" customWidth="1"/>
    <col min="8" max="8" width="12" customWidth="1"/>
    <col min="9" max="9" width="10" customWidth="1"/>
    <col min="10" max="10" width="20" customWidth="1"/>
    <col min="11" max="11" width="20" customWidth="1"/>
    <col min="12" max="12" width="15" customWidth="1"/>
    <col min="13" max="13" width="10" customWidth="1"/>
    <col min="14" max="14" width="14" customWidth="1"/>
    <col min="15" max="15" width="15" customWidth="1"/>
    <col min="16" max="16" width="10" customWidth="1"/>
    <col min="17" max="17" width="14" customWidth="1"/>
    <col min="18" max="18" width="15" customWidth="1"/>
    <col min="19" max="19" width="10" customWidth="1"/>
    <col min="20" max="20" width="14" customWidth="1"/>
    <col min="21" max="21" width="15" customWidth="1"/>
    <col min="22" max="22" width="15" customWidth="1"/>
    <col min="23" max="23" width="15" customWidth="1"/>
    <col min="24" max="24" width="13" customWidth="1"/>
    <col min="25" max="25" width="75" customWidth="1"/>
    <col min="26" max="26" width="35" customWidth="1"/>
  </cols>
  <sheetData>
    <row r="1" spans="1:26" ht="27" customHeight="1">
      <c r="A1" s="602" t="inlineStr">
        <is>
          <t>星旅寻梦｜现行礼包</t>
        </is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</row>
    <row r="2" spans="1:26" ht="36" customHeight="1">
      <c r="A2" s="618" t="inlineStr">
        <is>
          <t>来源：E:\x1\c#\trunk\trunk\xml_gy\normal；2026-10-10 起开服批次，开服第 2 天至第 9 天边界；招募配置共 7 个活动日。此为本地配置快照，具体区服部署与截止时刻未验证。 奖励价值按价值表 ID→F 列规划锚初算；待定项目不参与返比。</t>
        </is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/>
    </row>
    <row r="3" spans="1:26"/>
    <row r="4" spans="1:26">
      <c r="A4" s="602" t="inlineStr">
        <is>
          <t>方案ID</t>
        </is>
      </c>
      <c r="B4" s="602" t="inlineStr">
        <is>
          <t>商品ID</t>
        </is>
      </c>
      <c r="C4" s="602" t="inlineStr">
        <is>
          <t>商品名称</t>
        </is>
      </c>
      <c r="D4" s="602" t="inlineStr">
        <is>
          <t>奖励原串</t>
        </is>
      </c>
      <c r="E4" s="602" t="inlineStr">
        <is>
          <t>消耗原串</t>
        </is>
      </c>
      <c r="F4" s="602" t="inlineStr">
        <is>
          <t>支付ID</t>
        </is>
      </c>
      <c r="G4" s="602" t="inlineStr">
        <is>
          <t>现金价元</t>
        </is>
      </c>
      <c r="H4" s="602" t="inlineStr">
        <is>
          <t>每次限购</t>
        </is>
      </c>
      <c r="I4" s="602" t="inlineStr">
        <is>
          <t>重置</t>
        </is>
      </c>
      <c r="J4" s="602" t="inlineStr">
        <is>
          <t>解锁条件</t>
        </is>
      </c>
      <c r="K4" s="602" t="inlineStr">
        <is>
          <t>展示条件</t>
        </is>
      </c>
      <c r="L4" s="602" t="inlineStr">
        <is>
          <t>奖励1 ID</t>
        </is>
      </c>
      <c r="M4" s="602" t="inlineStr">
        <is>
          <t>数量1</t>
        </is>
      </c>
      <c r="N4" s="602" t="inlineStr">
        <is>
          <t>估值1钻</t>
        </is>
      </c>
      <c r="O4" s="602" t="inlineStr">
        <is>
          <t>奖励2 ID</t>
        </is>
      </c>
      <c r="P4" s="602" t="inlineStr">
        <is>
          <t>数量2</t>
        </is>
      </c>
      <c r="Q4" s="602" t="inlineStr">
        <is>
          <t>估值2钻</t>
        </is>
      </c>
      <c r="R4" s="602" t="inlineStr">
        <is>
          <t>奖励3 ID</t>
        </is>
      </c>
      <c r="S4" s="602" t="inlineStr">
        <is>
          <t>数量3</t>
        </is>
      </c>
      <c r="T4" s="602" t="inlineStr">
        <is>
          <t>估值3钻</t>
        </is>
      </c>
      <c r="U4" s="602" t="inlineStr">
        <is>
          <t>总估值钻</t>
        </is>
      </c>
      <c r="V4" s="602" t="inlineStr">
        <is>
          <t>现金返比</t>
        </is>
      </c>
      <c r="W4" s="602" t="inlineStr">
        <is>
          <t>钻购返比</t>
        </is>
      </c>
      <c r="X4" s="602" t="inlineStr">
        <is>
          <t>成本钻</t>
        </is>
      </c>
      <c r="Y4" s="602" t="inlineStr">
        <is>
          <t>XML来源</t>
        </is>
      </c>
      <c r="Z4" s="602" t="inlineStr">
        <is>
          <t>支付来源</t>
        </is>
      </c>
    </row>
    <row r="5" spans="1:26" ht="30" customHeight="1">
      <c r="A5" s="55">
        <v>21040</v>
      </c>
      <c r="B5" s="55">
        <v>2104001</v>
      </c>
      <c r="C5" s="55" t="inlineStr">
        <is>
          <t>免费礼包</t>
        </is>
      </c>
      <c r="D5" s="618" t="inlineStr">
        <is>
          <t>[{5600200,1}]</t>
        </is>
      </c>
      <c r="H5" s="55">
        <v>1</v>
      </c>
      <c r="I5" s="55">
        <v>1</v>
      </c>
      <c r="L5" s="55">
        <v>5600200</v>
      </c>
      <c r="M5" s="55">
        <v>1</v>
      </c>
      <c r="N5" s="55">
        <f>IF(L5="","",IF(ISNUMBER(IFNA(_xlfn.XLOOKUP(L5,价值表!$D:$D,价值表!$F:$F),"")),IFNA(_xlfn.XLOOKUP(L5,价值表!$D:$D,价值表!$F:$F),"")*M5,"待定"))</f>
        <v/>
      </c>
      <c r="U5" s="55">
        <f>IF(COUNTIF(N5,"待定")+COUNTIF(Q5,"待定")+COUNTIF(T5,"待定")&gt;0,"待定",SUM(N5,Q5,T5))</f>
        <v/>
      </c>
      <c r="V5" s="55">
        <f>IF(G5="","",IF(ISNUMBER(U5),U5/G5/10,"待定"))</f>
        <v/>
      </c>
      <c r="W5" s="55">
        <f>IF(X5="","",IF(ISNUMBER(U5),U5/X5,"待定"))</f>
        <v/>
      </c>
      <c r="Y5" s="618" t="inlineStr">
        <is>
          <t>A_活动商店_activity_shop_data.xml/活动商城!327</t>
        </is>
      </c>
    </row>
    <row r="6" spans="1:26" ht="30" customHeight="1">
      <c r="A6" s="55">
        <v>21040</v>
      </c>
      <c r="B6" s="55">
        <v>2104002</v>
      </c>
      <c r="C6" s="55" t="inlineStr">
        <is>
          <t>寻梦礼包Ⅰ</t>
        </is>
      </c>
      <c r="D6" s="618" t="inlineStr">
        <is>
          <t>[{5600200,3},{5104001,100}]</t>
        </is>
      </c>
      <c r="E6" s="618" t="inlineStr">
        <is>
          <t>[{1,228}]</t>
        </is>
      </c>
      <c r="H6" s="55">
        <v>3</v>
      </c>
      <c r="L6" s="55">
        <v>5600200</v>
      </c>
      <c r="M6" s="55">
        <v>3</v>
      </c>
      <c r="N6" s="55">
        <f>IF(L6="","",IF(ISNUMBER(IFNA(_xlfn.XLOOKUP(L6,价值表!$D:$D,价值表!$F:$F),"")),IFNA(_xlfn.XLOOKUP(L6,价值表!$D:$D,价值表!$F:$F),"")*M6,"待定"))</f>
        <v/>
      </c>
      <c r="O6" s="55">
        <v>5104001</v>
      </c>
      <c r="P6" s="55">
        <v>100</v>
      </c>
      <c r="Q6" s="55">
        <f>IF(O6="","",IF(ISNUMBER(IFNA(_xlfn.XLOOKUP(O6,价值表!$D:$D,价值表!$F:$F),"")),IFNA(_xlfn.XLOOKUP(O6,价值表!$D:$D,价值表!$F:$F),"")*P6,"待定"))</f>
        <v/>
      </c>
      <c r="U6" s="55">
        <f>IF(COUNTIF(N6,"待定")+COUNTIF(Q6,"待定")+COUNTIF(T6,"待定")&gt;0,"待定",SUM(N6,Q6,T6))</f>
        <v/>
      </c>
      <c r="V6" s="55">
        <f>IF(G6="","",IF(ISNUMBER(U6),U6/G6/10,"待定"))</f>
        <v/>
      </c>
      <c r="W6" s="55">
        <f>IF(X6="","",IF(ISNUMBER(U6),U6/X6,"待定"))</f>
        <v/>
      </c>
      <c r="X6" s="55">
        <v>228</v>
      </c>
      <c r="Y6" s="618" t="inlineStr">
        <is>
          <t>A_活动商店_activity_shop_data.xml/活动商城!328</t>
        </is>
      </c>
    </row>
    <row r="7" spans="1:26" ht="30" customHeight="1">
      <c r="A7" s="55">
        <v>21040</v>
      </c>
      <c r="B7" s="55">
        <v>2104003</v>
      </c>
      <c r="C7" s="55" t="inlineStr">
        <is>
          <t>寻梦礼包Ⅱ</t>
        </is>
      </c>
      <c r="D7" s="618" t="inlineStr">
        <is>
          <t>[{1,60},{5600200,5}]</t>
        </is>
      </c>
      <c r="F7" s="55">
        <v>1910021</v>
      </c>
      <c r="G7" s="55">
        <v>6</v>
      </c>
      <c r="H7" s="55">
        <v>5</v>
      </c>
      <c r="L7" s="55">
        <v>1</v>
      </c>
      <c r="M7" s="55">
        <v>60</v>
      </c>
      <c r="N7" s="55">
        <f>IF(L7="","",IF(ISNUMBER(IFNA(_xlfn.XLOOKUP(L7,价值表!$D:$D,价值表!$F:$F),"")),IFNA(_xlfn.XLOOKUP(L7,价值表!$D:$D,价值表!$F:$F),"")*M7,"待定"))</f>
        <v/>
      </c>
      <c r="O7" s="55">
        <v>5600200</v>
      </c>
      <c r="P7" s="55">
        <v>5</v>
      </c>
      <c r="Q7" s="55">
        <f>IF(O7="","",IF(ISNUMBER(IFNA(_xlfn.XLOOKUP(O7,价值表!$D:$D,价值表!$F:$F),"")),IFNA(_xlfn.XLOOKUP(O7,价值表!$D:$D,价值表!$F:$F),"")*P7,"待定"))</f>
        <v/>
      </c>
      <c r="U7" s="55">
        <f>IF(COUNTIF(N7,"待定")+COUNTIF(Q7,"待定")+COUNTIF(T7,"待定")&gt;0,"待定",SUM(N7,Q7,T7))</f>
        <v/>
      </c>
      <c r="V7" s="55">
        <f>IF(G7="","",IF(ISNUMBER(U7),U7/G7/10,"待定"))</f>
        <v/>
      </c>
      <c r="W7" s="55">
        <f>IF(X7="","",IF(ISNUMBER(U7),U7/X7,"待定"))</f>
        <v/>
      </c>
      <c r="Y7" s="618" t="inlineStr">
        <is>
          <t>A_活动商店_activity_shop_data.xml/活动商城!329</t>
        </is>
      </c>
      <c r="Z7" s="618" t="inlineStr">
        <is>
          <t>C_充值_pay_data.xml/支付表!654</t>
        </is>
      </c>
    </row>
    <row r="8" spans="1:26" ht="30" customHeight="1">
      <c r="A8" s="55">
        <v>21040</v>
      </c>
      <c r="B8" s="55">
        <v>2104004</v>
      </c>
      <c r="C8" s="55" t="inlineStr">
        <is>
          <t>寻梦礼包Ⅲ</t>
        </is>
      </c>
      <c r="D8" s="618" t="inlineStr">
        <is>
          <t>[{5600200,6},{5104001,200}]</t>
        </is>
      </c>
      <c r="E8" s="618" t="inlineStr">
        <is>
          <t>[{1,688}]</t>
        </is>
      </c>
      <c r="H8" s="55">
        <v>3</v>
      </c>
      <c r="L8" s="55">
        <v>5600200</v>
      </c>
      <c r="M8" s="55">
        <v>6</v>
      </c>
      <c r="N8" s="55">
        <f>IF(L8="","",IF(ISNUMBER(IFNA(_xlfn.XLOOKUP(L8,价值表!$D:$D,价值表!$F:$F),"")),IFNA(_xlfn.XLOOKUP(L8,价值表!$D:$D,价值表!$F:$F),"")*M8,"待定"))</f>
        <v/>
      </c>
      <c r="O8" s="55">
        <v>5104001</v>
      </c>
      <c r="P8" s="55">
        <v>200</v>
      </c>
      <c r="Q8" s="55">
        <f>IF(O8="","",IF(ISNUMBER(IFNA(_xlfn.XLOOKUP(O8,价值表!$D:$D,价值表!$F:$F),"")),IFNA(_xlfn.XLOOKUP(O8,价值表!$D:$D,价值表!$F:$F),"")*P8,"待定"))</f>
        <v/>
      </c>
      <c r="U8" s="55">
        <f>IF(COUNTIF(N8,"待定")+COUNTIF(Q8,"待定")+COUNTIF(T8,"待定")&gt;0,"待定",SUM(N8,Q8,T8))</f>
        <v/>
      </c>
      <c r="V8" s="55">
        <f>IF(G8="","",IF(ISNUMBER(U8),U8/G8/10,"待定"))</f>
        <v/>
      </c>
      <c r="W8" s="55">
        <f>IF(X8="","",IF(ISNUMBER(U8),U8/X8,"待定"))</f>
        <v/>
      </c>
      <c r="X8" s="55">
        <v>688</v>
      </c>
      <c r="Y8" s="618" t="inlineStr">
        <is>
          <t>A_活动商店_activity_shop_data.xml/活动商城!330</t>
        </is>
      </c>
    </row>
    <row r="9" spans="1:26" ht="30" customHeight="1">
      <c r="A9" s="55">
        <v>21040</v>
      </c>
      <c r="B9" s="55">
        <v>2104005</v>
      </c>
      <c r="C9" s="55" t="inlineStr">
        <is>
          <t>寻梦礼包Ⅳ</t>
        </is>
      </c>
      <c r="D9" s="618" t="inlineStr">
        <is>
          <t>[{1,300},{5600200,10}]</t>
        </is>
      </c>
      <c r="F9" s="55">
        <v>1910022</v>
      </c>
      <c r="G9" s="55">
        <v>30</v>
      </c>
      <c r="H9" s="55">
        <v>5</v>
      </c>
      <c r="L9" s="55">
        <v>1</v>
      </c>
      <c r="M9" s="55">
        <v>300</v>
      </c>
      <c r="N9" s="55">
        <f>IF(L9="","",IF(ISNUMBER(IFNA(_xlfn.XLOOKUP(L9,价值表!$D:$D,价值表!$F:$F),"")),IFNA(_xlfn.XLOOKUP(L9,价值表!$D:$D,价值表!$F:$F),"")*M9,"待定"))</f>
        <v/>
      </c>
      <c r="O9" s="55">
        <v>5600200</v>
      </c>
      <c r="P9" s="55">
        <v>10</v>
      </c>
      <c r="Q9" s="55">
        <f>IF(O9="","",IF(ISNUMBER(IFNA(_xlfn.XLOOKUP(O9,价值表!$D:$D,价值表!$F:$F),"")),IFNA(_xlfn.XLOOKUP(O9,价值表!$D:$D,价值表!$F:$F),"")*P9,"待定"))</f>
        <v/>
      </c>
      <c r="U9" s="55">
        <f>IF(COUNTIF(N9,"待定")+COUNTIF(Q9,"待定")+COUNTIF(T9,"待定")&gt;0,"待定",SUM(N9,Q9,T9))</f>
        <v/>
      </c>
      <c r="V9" s="55">
        <f>IF(G9="","",IF(ISNUMBER(U9),U9/G9/10,"待定"))</f>
        <v/>
      </c>
      <c r="W9" s="55">
        <f>IF(X9="","",IF(ISNUMBER(U9),U9/X9,"待定"))</f>
        <v/>
      </c>
      <c r="Y9" s="618" t="inlineStr">
        <is>
          <t>A_活动商店_activity_shop_data.xml/活动商城!331</t>
        </is>
      </c>
      <c r="Z9" s="618" t="inlineStr">
        <is>
          <t>C_充值_pay_data.xml/支付表!655</t>
        </is>
      </c>
    </row>
    <row r="10" spans="1:26" ht="30" customHeight="1">
      <c r="A10" s="55">
        <v>21040</v>
      </c>
      <c r="B10" s="55">
        <v>2104006</v>
      </c>
      <c r="C10" s="55" t="inlineStr">
        <is>
          <t>寻梦礼包Ⅴ</t>
        </is>
      </c>
      <c r="D10" s="618" t="inlineStr">
        <is>
          <t>[{5600200,12},{5104001,300}]</t>
        </is>
      </c>
      <c r="E10" s="618" t="inlineStr">
        <is>
          <t>[{1,1388}]</t>
        </is>
      </c>
      <c r="H10" s="55">
        <v>3</v>
      </c>
      <c r="L10" s="55">
        <v>5600200</v>
      </c>
      <c r="M10" s="55">
        <v>12</v>
      </c>
      <c r="N10" s="55">
        <f>IF(L10="","",IF(ISNUMBER(IFNA(_xlfn.XLOOKUP(L10,价值表!$D:$D,价值表!$F:$F),"")),IFNA(_xlfn.XLOOKUP(L10,价值表!$D:$D,价值表!$F:$F),"")*M10,"待定"))</f>
        <v/>
      </c>
      <c r="O10" s="55">
        <v>5104001</v>
      </c>
      <c r="P10" s="55">
        <v>300</v>
      </c>
      <c r="Q10" s="55">
        <f>IF(O10="","",IF(ISNUMBER(IFNA(_xlfn.XLOOKUP(O10,价值表!$D:$D,价值表!$F:$F),"")),IFNA(_xlfn.XLOOKUP(O10,价值表!$D:$D,价值表!$F:$F),"")*P10,"待定"))</f>
        <v/>
      </c>
      <c r="U10" s="55">
        <f>IF(COUNTIF(N10,"待定")+COUNTIF(Q10,"待定")+COUNTIF(T10,"待定")&gt;0,"待定",SUM(N10,Q10,T10))</f>
        <v/>
      </c>
      <c r="V10" s="55">
        <f>IF(G10="","",IF(ISNUMBER(U10),U10/G10/10,"待定"))</f>
        <v/>
      </c>
      <c r="W10" s="55">
        <f>IF(X10="","",IF(ISNUMBER(U10),U10/X10,"待定"))</f>
        <v/>
      </c>
      <c r="X10" s="55">
        <v>1388</v>
      </c>
      <c r="Y10" s="618" t="inlineStr">
        <is>
          <t>A_活动商店_activity_shop_data.xml/活动商城!332</t>
        </is>
      </c>
    </row>
    <row r="11" spans="1:26" ht="30" customHeight="1">
      <c r="A11" s="55">
        <v>21040</v>
      </c>
      <c r="B11" s="55">
        <v>2104007</v>
      </c>
      <c r="C11" s="55" t="inlineStr">
        <is>
          <t>寻梦礼包Ⅵ</t>
        </is>
      </c>
      <c r="D11" s="618" t="inlineStr">
        <is>
          <t>[{5600200,20},{5104001,400}]</t>
        </is>
      </c>
      <c r="E11" s="618" t="inlineStr">
        <is>
          <t>[{1,2688}]</t>
        </is>
      </c>
      <c r="H11" s="55">
        <v>3</v>
      </c>
      <c r="L11" s="55">
        <v>5600200</v>
      </c>
      <c r="M11" s="55">
        <v>20</v>
      </c>
      <c r="N11" s="55">
        <f>IF(L11="","",IF(ISNUMBER(IFNA(_xlfn.XLOOKUP(L11,价值表!$D:$D,价值表!$F:$F),"")),IFNA(_xlfn.XLOOKUP(L11,价值表!$D:$D,价值表!$F:$F),"")*M11,"待定"))</f>
        <v/>
      </c>
      <c r="O11" s="55">
        <v>5104001</v>
      </c>
      <c r="P11" s="55">
        <v>400</v>
      </c>
      <c r="Q11" s="55">
        <f>IF(O11="","",IF(ISNUMBER(IFNA(_xlfn.XLOOKUP(O11,价值表!$D:$D,价值表!$F:$F),"")),IFNA(_xlfn.XLOOKUP(O11,价值表!$D:$D,价值表!$F:$F),"")*P11,"待定"))</f>
        <v/>
      </c>
      <c r="U11" s="55">
        <f>IF(COUNTIF(N11,"待定")+COUNTIF(Q11,"待定")+COUNTIF(T11,"待定")&gt;0,"待定",SUM(N11,Q11,T11))</f>
        <v/>
      </c>
      <c r="V11" s="55">
        <f>IF(G11="","",IF(ISNUMBER(U11),U11/G11/10,"待定"))</f>
        <v/>
      </c>
      <c r="W11" s="55">
        <f>IF(X11="","",IF(ISNUMBER(U11),U11/X11,"待定"))</f>
        <v/>
      </c>
      <c r="X11" s="55">
        <v>2688</v>
      </c>
      <c r="Y11" s="618" t="inlineStr">
        <is>
          <t>A_活动商店_activity_shop_data.xml/活动商城!333</t>
        </is>
      </c>
    </row>
    <row r="12" spans="1:26" ht="30" customHeight="1">
      <c r="A12" s="55">
        <v>21040</v>
      </c>
      <c r="B12" s="55">
        <v>2104008</v>
      </c>
      <c r="C12" s="55" t="inlineStr">
        <is>
          <t>寻梦礼包Ⅶ</t>
        </is>
      </c>
      <c r="D12" s="618" t="inlineStr">
        <is>
          <t>[{1,3280},{5600200,35}]</t>
        </is>
      </c>
      <c r="F12" s="55">
        <v>1910024</v>
      </c>
      <c r="G12" s="55">
        <v>328</v>
      </c>
      <c r="H12" s="55">
        <v>5</v>
      </c>
      <c r="L12" s="55">
        <v>1</v>
      </c>
      <c r="M12" s="55">
        <v>3280</v>
      </c>
      <c r="N12" s="55">
        <f>IF(L12="","",IF(ISNUMBER(IFNA(_xlfn.XLOOKUP(L12,价值表!$D:$D,价值表!$F:$F),"")),IFNA(_xlfn.XLOOKUP(L12,价值表!$D:$D,价值表!$F:$F),"")*M12,"待定"))</f>
        <v/>
      </c>
      <c r="O12" s="55">
        <v>5600200</v>
      </c>
      <c r="P12" s="55">
        <v>35</v>
      </c>
      <c r="Q12" s="55">
        <f>IF(O12="","",IF(ISNUMBER(IFNA(_xlfn.XLOOKUP(O12,价值表!$D:$D,价值表!$F:$F),"")),IFNA(_xlfn.XLOOKUP(O12,价值表!$D:$D,价值表!$F:$F),"")*P12,"待定"))</f>
        <v/>
      </c>
      <c r="U12" s="55">
        <f>IF(COUNTIF(N12,"待定")+COUNTIF(Q12,"待定")+COUNTIF(T12,"待定")&gt;0,"待定",SUM(N12,Q12,T12))</f>
        <v/>
      </c>
      <c r="V12" s="55">
        <f>IF(G12="","",IF(ISNUMBER(U12),U12/G12/10,"待定"))</f>
        <v/>
      </c>
      <c r="W12" s="55">
        <f>IF(X12="","",IF(ISNUMBER(U12),U12/X12,"待定"))</f>
        <v/>
      </c>
      <c r="Y12" s="618" t="inlineStr">
        <is>
          <t>A_活动商店_activity_shop_data.xml/活动商城!334</t>
        </is>
      </c>
      <c r="Z12" s="618" t="inlineStr">
        <is>
          <t>C_充值_pay_data.xml/支付表!657</t>
        </is>
      </c>
    </row>
    <row r="13" spans="1:26" ht="30" customHeight="1">
      <c r="A13" s="55">
        <v>21040</v>
      </c>
      <c r="B13" s="55">
        <v>2104009</v>
      </c>
      <c r="C13" s="55" t="inlineStr">
        <is>
          <t>寻梦礼包Ⅷ</t>
        </is>
      </c>
      <c r="D13" s="618" t="inlineStr">
        <is>
          <t>[{5600200,40},{5104001,500}]</t>
        </is>
      </c>
      <c r="E13" s="618" t="inlineStr">
        <is>
          <t>[{1,5688}]</t>
        </is>
      </c>
      <c r="H13" s="55">
        <v>10</v>
      </c>
      <c r="L13" s="55">
        <v>5600200</v>
      </c>
      <c r="M13" s="55">
        <v>40</v>
      </c>
      <c r="N13" s="55">
        <f>IF(L13="","",IF(ISNUMBER(IFNA(_xlfn.XLOOKUP(L13,价值表!$D:$D,价值表!$F:$F),"")),IFNA(_xlfn.XLOOKUP(L13,价值表!$D:$D,价值表!$F:$F),"")*M13,"待定"))</f>
        <v/>
      </c>
      <c r="O13" s="55">
        <v>5104001</v>
      </c>
      <c r="P13" s="55">
        <v>500</v>
      </c>
      <c r="Q13" s="55">
        <f>IF(O13="","",IF(ISNUMBER(IFNA(_xlfn.XLOOKUP(O13,价值表!$D:$D,价值表!$F:$F),"")),IFNA(_xlfn.XLOOKUP(O13,价值表!$D:$D,价值表!$F:$F),"")*P13,"待定"))</f>
        <v/>
      </c>
      <c r="U13" s="55">
        <f>IF(COUNTIF(N13,"待定")+COUNTIF(Q13,"待定")+COUNTIF(T13,"待定")&gt;0,"待定",SUM(N13,Q13,T13))</f>
        <v/>
      </c>
      <c r="V13" s="55">
        <f>IF(G13="","",IF(ISNUMBER(U13),U13/G13/10,"待定"))</f>
        <v/>
      </c>
      <c r="W13" s="55">
        <f>IF(X13="","",IF(ISNUMBER(U13),U13/X13,"待定"))</f>
        <v/>
      </c>
      <c r="X13" s="55">
        <v>5688</v>
      </c>
      <c r="Y13" s="618" t="inlineStr">
        <is>
          <t>A_活动商店_activity_shop_data.xml/活动商城!335</t>
        </is>
      </c>
    </row>
  </sheetData>
  <mergeCells count="2">
    <mergeCell ref="A1:Z1"/>
    <mergeCell ref="A2:Z2"/>
  </mergeCells>
  <autoFilter ref="A4:Z13"/>
  <pageMargins left="0.7" right="0.7" top="0.75" bottom="0.75" header="0.3" footer="0.3"/>
</worksheet>
</file>

<file path=xl/worksheets/sheet37.xml><?xml version="1.0" encoding="utf-8"?>
<worksheet xmlns="http://schemas.openxmlformats.org/spreadsheetml/2006/main">
  <dimension ref="A1:N24"/>
  <sheetViews>
    <sheetView workbookViewId="0">
      <pane ySplit="4" topLeftCell="A5" activePane="bottomLeft" state="frozen"/>
    </sheetView>
  </sheetViews>
  <sheetFormatPr defaultRowHeight="17"/>
  <cols>
    <col min="1" max="1" width="15" customWidth="1"/>
    <col min="2" max="2" width="15" customWidth="1"/>
    <col min="3" max="3" width="34" customWidth="1"/>
    <col min="4" max="4" width="12" customWidth="1"/>
    <col min="5" max="5" width="35" customWidth="1"/>
    <col min="6" max="6" width="28" customWidth="1"/>
    <col min="7" max="7" width="17" customWidth="1"/>
    <col min="8" max="8" width="10" customWidth="1"/>
    <col min="9" max="9" width="14" customWidth="1"/>
    <col min="10" max="10" width="15" customWidth="1"/>
    <col min="11" max="11" width="12" customWidth="1"/>
    <col min="12" max="12" width="20" customWidth="1"/>
    <col min="13" max="13" width="12" customWidth="1"/>
    <col min="14" max="14" width="78" customWidth="1"/>
  </cols>
  <sheetData>
    <row r="1" spans="1:14" ht="27" customHeight="1">
      <c r="A1" s="602" t="inlineStr">
        <is>
          <t>星旅寻梦｜现行任务奖励</t>
        </is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</row>
    <row r="2" spans="1:14" ht="36" customHeight="1">
      <c r="A2" s="618" t="inlineStr">
        <is>
          <t>来源：E:\x1\c#\trunk\trunk\xml_gy\normal；2026-10-10 起开服批次，开服第 2 天至第 9 天边界；招募配置共 7 个活动日。此为本地配置快照，具体区服部署与截止时刻未验证。 20 项静态奖励合计 25 个寻梦探仪；任务目标与前置关系按源配置逐行列示。</t>
        </is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</row>
    <row r="3" spans="1:14"/>
    <row r="4" spans="1:14">
      <c r="A4" s="602" t="inlineStr">
        <is>
          <t>方案ID</t>
        </is>
      </c>
      <c r="B4" s="602" t="inlineStr">
        <is>
          <t>任务ID</t>
        </is>
      </c>
      <c r="C4" s="602" t="inlineStr">
        <is>
          <t>任务说明</t>
        </is>
      </c>
      <c r="D4" s="602" t="inlineStr">
        <is>
          <t>任务类型</t>
        </is>
      </c>
      <c r="E4" s="602" t="inlineStr">
        <is>
          <t>目标原串</t>
        </is>
      </c>
      <c r="F4" s="602" t="inlineStr">
        <is>
          <t>奖励原串</t>
        </is>
      </c>
      <c r="G4" s="602" t="inlineStr">
        <is>
          <t>奖励道具ID</t>
        </is>
      </c>
      <c r="H4" s="602" t="inlineStr">
        <is>
          <t>数量</t>
        </is>
      </c>
      <c r="I4" s="602" t="inlineStr">
        <is>
          <t>估值钻</t>
        </is>
      </c>
      <c r="J4" s="602" t="inlineStr">
        <is>
          <t>前置任务</t>
        </is>
      </c>
      <c r="K4" s="602" t="inlineStr">
        <is>
          <t>每日重置</t>
        </is>
      </c>
      <c r="L4" s="602" t="inlineStr">
        <is>
          <t>展示条件</t>
        </is>
      </c>
      <c r="M4" s="602" t="inlineStr">
        <is>
          <t>次数上限</t>
        </is>
      </c>
      <c r="N4" s="602" t="inlineStr">
        <is>
          <t>XML来源</t>
        </is>
      </c>
    </row>
    <row r="5" spans="1:14" ht="30" customHeight="1">
      <c r="A5" s="55">
        <v>11053</v>
      </c>
      <c r="B5" s="55">
        <v>1105301</v>
      </c>
      <c r="C5" s="618" t="inlineStr">
        <is>
          <t>活动期间消耗100体力</t>
        </is>
      </c>
      <c r="D5" s="55">
        <v>101</v>
      </c>
      <c r="E5" s="618" t="inlineStr">
        <is>
          <t>{consume_energy,100}</t>
        </is>
      </c>
      <c r="F5" s="618" t="inlineStr">
        <is>
          <t>[{5600200,1}]</t>
        </is>
      </c>
      <c r="G5" s="55">
        <v>5600200</v>
      </c>
      <c r="H5" s="55">
        <v>1</v>
      </c>
      <c r="I5" s="55">
        <f>IF(G5="","",IF(ISNUMBER(IFNA(_xlfn.XLOOKUP(G5,价值表!$D:$D,价值表!$F:$F),"")),IFNA(_xlfn.XLOOKUP(G5,价值表!$D:$D,价值表!$F:$F),"")*H5,"待定"))</f>
        <v/>
      </c>
      <c r="K5" s="55" t="inlineStr">
        <is>
          <t>否</t>
        </is>
      </c>
      <c r="N5" s="618" t="inlineStr">
        <is>
          <t>A_活动任务_activity_tasks_data.xml/活动任务!955</t>
        </is>
      </c>
    </row>
    <row r="6" spans="1:14" ht="30" customHeight="1">
      <c r="A6" s="55">
        <v>11053</v>
      </c>
      <c r="B6" s="55">
        <v>1105302</v>
      </c>
      <c r="C6" s="618" t="inlineStr">
        <is>
          <t>活动期间消耗300体力</t>
        </is>
      </c>
      <c r="D6" s="55">
        <v>101</v>
      </c>
      <c r="E6" s="618" t="inlineStr">
        <is>
          <t>{consume_energy,300}</t>
        </is>
      </c>
      <c r="F6" s="618" t="inlineStr">
        <is>
          <t>[{5600200,1}]</t>
        </is>
      </c>
      <c r="G6" s="55">
        <v>5600200</v>
      </c>
      <c r="H6" s="55">
        <v>1</v>
      </c>
      <c r="I6" s="55">
        <f>IF(G6="","",IF(ISNUMBER(IFNA(_xlfn.XLOOKUP(G6,价值表!$D:$D,价值表!$F:$F),"")),IFNA(_xlfn.XLOOKUP(G6,价值表!$D:$D,价值表!$F:$F),"")*H6,"待定"))</f>
        <v/>
      </c>
      <c r="K6" s="55" t="inlineStr">
        <is>
          <t>否</t>
        </is>
      </c>
      <c r="N6" s="618" t="inlineStr">
        <is>
          <t>A_活动任务_activity_tasks_data.xml/活动任务!956</t>
        </is>
      </c>
    </row>
    <row r="7" spans="1:14" ht="30" customHeight="1">
      <c r="A7" s="55">
        <v>11053</v>
      </c>
      <c r="B7" s="55">
        <v>1105303</v>
      </c>
      <c r="C7" s="618" t="inlineStr">
        <is>
          <t>活动期间消耗500体力</t>
        </is>
      </c>
      <c r="D7" s="55">
        <v>101</v>
      </c>
      <c r="E7" s="618" t="inlineStr">
        <is>
          <t>{consume_energy,500}</t>
        </is>
      </c>
      <c r="F7" s="618" t="inlineStr">
        <is>
          <t>[{5600200,1}]</t>
        </is>
      </c>
      <c r="G7" s="55">
        <v>5600200</v>
      </c>
      <c r="H7" s="55">
        <v>1</v>
      </c>
      <c r="I7" s="55">
        <f>IF(G7="","",IF(ISNUMBER(IFNA(_xlfn.XLOOKUP(G7,价值表!$D:$D,价值表!$F:$F),"")),IFNA(_xlfn.XLOOKUP(G7,价值表!$D:$D,价值表!$F:$F),"")*H7,"待定"))</f>
        <v/>
      </c>
      <c r="K7" s="55" t="inlineStr">
        <is>
          <t>否</t>
        </is>
      </c>
      <c r="L7" s="55" t="inlineStr">
        <is>
          <t>1105302</t>
        </is>
      </c>
      <c r="N7" s="618" t="inlineStr">
        <is>
          <t>A_活动任务_activity_tasks_data.xml/活动任务!957</t>
        </is>
      </c>
    </row>
    <row r="8" spans="1:14" ht="30" customHeight="1">
      <c r="A8" s="55">
        <v>11053</v>
      </c>
      <c r="B8" s="55">
        <v>1105304</v>
      </c>
      <c r="C8" s="618" t="inlineStr">
        <is>
          <t>活动期间消耗800体力</t>
        </is>
      </c>
      <c r="D8" s="55">
        <v>101</v>
      </c>
      <c r="E8" s="618" t="inlineStr">
        <is>
          <t>{consume_energy,800}</t>
        </is>
      </c>
      <c r="F8" s="618" t="inlineStr">
        <is>
          <t>[{5600200,1}]</t>
        </is>
      </c>
      <c r="G8" s="55">
        <v>5600200</v>
      </c>
      <c r="H8" s="55">
        <v>1</v>
      </c>
      <c r="I8" s="55">
        <f>IF(G8="","",IF(ISNUMBER(IFNA(_xlfn.XLOOKUP(G8,价值表!$D:$D,价值表!$F:$F),"")),IFNA(_xlfn.XLOOKUP(G8,价值表!$D:$D,价值表!$F:$F),"")*H8,"待定"))</f>
        <v/>
      </c>
      <c r="K8" s="55" t="inlineStr">
        <is>
          <t>否</t>
        </is>
      </c>
      <c r="L8" s="55" t="inlineStr">
        <is>
          <t>1105303</t>
        </is>
      </c>
      <c r="N8" s="618" t="inlineStr">
        <is>
          <t>A_活动任务_activity_tasks_data.xml/活动任务!958</t>
        </is>
      </c>
    </row>
    <row r="9" spans="1:14" ht="30" customHeight="1">
      <c r="A9" s="55">
        <v>11053</v>
      </c>
      <c r="B9" s="55">
        <v>1105305</v>
      </c>
      <c r="C9" s="618" t="inlineStr">
        <is>
          <t>消耗200梦境招募器</t>
        </is>
      </c>
      <c r="D9" s="55">
        <v>101</v>
      </c>
      <c r="E9" s="618" t="inlineStr">
        <is>
          <t>{activity_draw_card,[228],200}</t>
        </is>
      </c>
      <c r="F9" s="618" t="inlineStr">
        <is>
          <t>[{5600200,1}]</t>
        </is>
      </c>
      <c r="G9" s="55">
        <v>5600200</v>
      </c>
      <c r="H9" s="55">
        <v>1</v>
      </c>
      <c r="I9" s="55">
        <f>IF(G9="","",IF(ISNUMBER(IFNA(_xlfn.XLOOKUP(G9,价值表!$D:$D,价值表!$F:$F),"")),IFNA(_xlfn.XLOOKUP(G9,价值表!$D:$D,价值表!$F:$F),"")*H9,"待定"))</f>
        <v/>
      </c>
      <c r="K9" s="55" t="inlineStr">
        <is>
          <t>否</t>
        </is>
      </c>
      <c r="N9" s="618" t="inlineStr">
        <is>
          <t>A_活动任务_activity_tasks_data.xml/活动任务!959</t>
        </is>
      </c>
    </row>
    <row r="10" spans="1:14" ht="30" customHeight="1">
      <c r="A10" s="55">
        <v>11053</v>
      </c>
      <c r="B10" s="55">
        <v>1105306</v>
      </c>
      <c r="C10" s="618" t="inlineStr">
        <is>
          <t>消耗500梦境招募器</t>
        </is>
      </c>
      <c r="D10" s="55">
        <v>101</v>
      </c>
      <c r="E10" s="618" t="inlineStr">
        <is>
          <t>{activity_draw_card,[228],500}</t>
        </is>
      </c>
      <c r="F10" s="618" t="inlineStr">
        <is>
          <t>[{5600200,1}]</t>
        </is>
      </c>
      <c r="G10" s="55">
        <v>5600200</v>
      </c>
      <c r="H10" s="55">
        <v>1</v>
      </c>
      <c r="I10" s="55">
        <f>IF(G10="","",IF(ISNUMBER(IFNA(_xlfn.XLOOKUP(G10,价值表!$D:$D,价值表!$F:$F),"")),IFNA(_xlfn.XLOOKUP(G10,价值表!$D:$D,价值表!$F:$F),"")*H10,"待定"))</f>
        <v/>
      </c>
      <c r="K10" s="55" t="inlineStr">
        <is>
          <t>否</t>
        </is>
      </c>
      <c r="N10" s="618" t="inlineStr">
        <is>
          <t>A_活动任务_activity_tasks_data.xml/活动任务!960</t>
        </is>
      </c>
    </row>
    <row r="11" spans="1:14" ht="30" customHeight="1">
      <c r="A11" s="55">
        <v>11053</v>
      </c>
      <c r="B11" s="55">
        <v>1105307</v>
      </c>
      <c r="C11" s="618" t="inlineStr">
        <is>
          <t>消耗800梦境招募器</t>
        </is>
      </c>
      <c r="D11" s="55">
        <v>101</v>
      </c>
      <c r="E11" s="618" t="inlineStr">
        <is>
          <t>{activity_draw_card,[228],800}</t>
        </is>
      </c>
      <c r="F11" s="618" t="inlineStr">
        <is>
          <t>[{5600200,1}]</t>
        </is>
      </c>
      <c r="G11" s="55">
        <v>5600200</v>
      </c>
      <c r="H11" s="55">
        <v>1</v>
      </c>
      <c r="I11" s="55">
        <f>IF(G11="","",IF(ISNUMBER(IFNA(_xlfn.XLOOKUP(G11,价值表!$D:$D,价值表!$F:$F),"")),IFNA(_xlfn.XLOOKUP(G11,价值表!$D:$D,价值表!$F:$F),"")*H11,"待定"))</f>
        <v/>
      </c>
      <c r="K11" s="55" t="inlineStr">
        <is>
          <t>否</t>
        </is>
      </c>
      <c r="L11" s="55" t="inlineStr">
        <is>
          <t>1105306</t>
        </is>
      </c>
      <c r="N11" s="618" t="inlineStr">
        <is>
          <t>A_活动任务_activity_tasks_data.xml/活动任务!961</t>
        </is>
      </c>
    </row>
    <row r="12" spans="1:14" ht="30" customHeight="1">
      <c r="A12" s="55">
        <v>11053</v>
      </c>
      <c r="B12" s="55">
        <v>1105308</v>
      </c>
      <c r="C12" s="618" t="inlineStr">
        <is>
          <t>消耗1000梦境招募器</t>
        </is>
      </c>
      <c r="D12" s="55">
        <v>101</v>
      </c>
      <c r="E12" s="618" t="inlineStr">
        <is>
          <t>{activity_draw_card,[228],1000}</t>
        </is>
      </c>
      <c r="F12" s="618" t="inlineStr">
        <is>
          <t>[{5600200,2}]</t>
        </is>
      </c>
      <c r="G12" s="55">
        <v>5600200</v>
      </c>
      <c r="H12" s="55">
        <v>2</v>
      </c>
      <c r="I12" s="55">
        <f>IF(G12="","",IF(ISNUMBER(IFNA(_xlfn.XLOOKUP(G12,价值表!$D:$D,价值表!$F:$F),"")),IFNA(_xlfn.XLOOKUP(G12,价值表!$D:$D,价值表!$F:$F),"")*H12,"待定"))</f>
        <v/>
      </c>
      <c r="K12" s="55" t="inlineStr">
        <is>
          <t>否</t>
        </is>
      </c>
      <c r="L12" s="55" t="inlineStr">
        <is>
          <t>1105307</t>
        </is>
      </c>
      <c r="N12" s="618" t="inlineStr">
        <is>
          <t>A_活动任务_activity_tasks_data.xml/活动任务!962</t>
        </is>
      </c>
    </row>
    <row r="13" spans="1:14" ht="30" customHeight="1">
      <c r="A13" s="55">
        <v>11053</v>
      </c>
      <c r="B13" s="55">
        <v>1105309</v>
      </c>
      <c r="C13" s="618" t="inlineStr">
        <is>
          <t>消耗1500梦境招募器</t>
        </is>
      </c>
      <c r="D13" s="55">
        <v>101</v>
      </c>
      <c r="E13" s="618" t="inlineStr">
        <is>
          <t>{activity_draw_card,[228],1500}</t>
        </is>
      </c>
      <c r="F13" s="618" t="inlineStr">
        <is>
          <t>[{5600200,2}]</t>
        </is>
      </c>
      <c r="G13" s="55">
        <v>5600200</v>
      </c>
      <c r="H13" s="55">
        <v>2</v>
      </c>
      <c r="I13" s="55">
        <f>IF(G13="","",IF(ISNUMBER(IFNA(_xlfn.XLOOKUP(G13,价值表!$D:$D,价值表!$F:$F),"")),IFNA(_xlfn.XLOOKUP(G13,价值表!$D:$D,价值表!$F:$F),"")*H13,"待定"))</f>
        <v/>
      </c>
      <c r="K13" s="55" t="inlineStr">
        <is>
          <t>否</t>
        </is>
      </c>
      <c r="L13" s="55" t="inlineStr">
        <is>
          <t>1105308</t>
        </is>
      </c>
      <c r="N13" s="618" t="inlineStr">
        <is>
          <t>A_活动任务_activity_tasks_data.xml/活动任务!963</t>
        </is>
      </c>
    </row>
    <row r="14" spans="1:14" ht="30" customHeight="1">
      <c r="A14" s="55">
        <v>11053</v>
      </c>
      <c r="B14" s="55">
        <v>1105310</v>
      </c>
      <c r="C14" s="618" t="inlineStr">
        <is>
          <t>通过主线70关</t>
        </is>
      </c>
      <c r="D14" s="55">
        <v>101</v>
      </c>
      <c r="E14" s="618" t="inlineStr">
        <is>
          <t>{chapter_pve,1,70}</t>
        </is>
      </c>
      <c r="F14" s="618" t="inlineStr">
        <is>
          <t>[{5600200,1}]</t>
        </is>
      </c>
      <c r="G14" s="55">
        <v>5600200</v>
      </c>
      <c r="H14" s="55">
        <v>1</v>
      </c>
      <c r="I14" s="55">
        <f>IF(G14="","",IF(ISNUMBER(IFNA(_xlfn.XLOOKUP(G14,价值表!$D:$D,价值表!$F:$F),"")),IFNA(_xlfn.XLOOKUP(G14,价值表!$D:$D,价值表!$F:$F),"")*H14,"待定"))</f>
        <v/>
      </c>
      <c r="K14" s="55" t="inlineStr">
        <is>
          <t>否</t>
        </is>
      </c>
      <c r="N14" s="618" t="inlineStr">
        <is>
          <t>A_活动任务_activity_tasks_data.xml/活动任务!964</t>
        </is>
      </c>
    </row>
    <row r="15" spans="1:14" ht="30" customHeight="1">
      <c r="A15" s="55">
        <v>11053</v>
      </c>
      <c r="B15" s="55">
        <v>1105311</v>
      </c>
      <c r="C15" s="618" t="inlineStr">
        <is>
          <t>通过主线80关</t>
        </is>
      </c>
      <c r="D15" s="55">
        <v>101</v>
      </c>
      <c r="E15" s="618" t="inlineStr">
        <is>
          <t>{chapter_pve,1,80}</t>
        </is>
      </c>
      <c r="F15" s="618" t="inlineStr">
        <is>
          <t>[{5600200,1}]</t>
        </is>
      </c>
      <c r="G15" s="55">
        <v>5600200</v>
      </c>
      <c r="H15" s="55">
        <v>1</v>
      </c>
      <c r="I15" s="55">
        <f>IF(G15="","",IF(ISNUMBER(IFNA(_xlfn.XLOOKUP(G15,价值表!$D:$D,价值表!$F:$F),"")),IFNA(_xlfn.XLOOKUP(G15,价值表!$D:$D,价值表!$F:$F),"")*H15,"待定"))</f>
        <v/>
      </c>
      <c r="K15" s="55" t="inlineStr">
        <is>
          <t>否</t>
        </is>
      </c>
      <c r="N15" s="618" t="inlineStr">
        <is>
          <t>A_活动任务_activity_tasks_data.xml/活动任务!965</t>
        </is>
      </c>
    </row>
    <row r="16" spans="1:14" ht="30" customHeight="1">
      <c r="A16" s="55">
        <v>11053</v>
      </c>
      <c r="B16" s="55">
        <v>1105312</v>
      </c>
      <c r="C16" s="618" t="inlineStr">
        <is>
          <t>通过主线85关</t>
        </is>
      </c>
      <c r="D16" s="55">
        <v>101</v>
      </c>
      <c r="E16" s="618" t="inlineStr">
        <is>
          <t>{chapter_pve,1,85}</t>
        </is>
      </c>
      <c r="F16" s="618" t="inlineStr">
        <is>
          <t>[{5600200,1}]</t>
        </is>
      </c>
      <c r="G16" s="55">
        <v>5600200</v>
      </c>
      <c r="H16" s="55">
        <v>1</v>
      </c>
      <c r="I16" s="55">
        <f>IF(G16="","",IF(ISNUMBER(IFNA(_xlfn.XLOOKUP(G16,价值表!$D:$D,价值表!$F:$F),"")),IFNA(_xlfn.XLOOKUP(G16,价值表!$D:$D,价值表!$F:$F),"")*H16,"待定"))</f>
        <v/>
      </c>
      <c r="K16" s="55" t="inlineStr">
        <is>
          <t>否</t>
        </is>
      </c>
      <c r="L16" s="55" t="inlineStr">
        <is>
          <t>1105311</t>
        </is>
      </c>
      <c r="N16" s="618" t="inlineStr">
        <is>
          <t>A_活动任务_activity_tasks_data.xml/活动任务!966</t>
        </is>
      </c>
    </row>
    <row r="17" spans="1:14" ht="30" customHeight="1">
      <c r="A17" s="55">
        <v>11053</v>
      </c>
      <c r="B17" s="55">
        <v>1105313</v>
      </c>
      <c r="C17" s="618" t="inlineStr">
        <is>
          <t>通过主线90关</t>
        </is>
      </c>
      <c r="D17" s="55">
        <v>101</v>
      </c>
      <c r="E17" s="618" t="inlineStr">
        <is>
          <t>{chapter_pve,1,90}</t>
        </is>
      </c>
      <c r="F17" s="618" t="inlineStr">
        <is>
          <t>[{5600200,2}]</t>
        </is>
      </c>
      <c r="G17" s="55">
        <v>5600200</v>
      </c>
      <c r="H17" s="55">
        <v>2</v>
      </c>
      <c r="I17" s="55">
        <f>IF(G17="","",IF(ISNUMBER(IFNA(_xlfn.XLOOKUP(G17,价值表!$D:$D,价值表!$F:$F),"")),IFNA(_xlfn.XLOOKUP(G17,价值表!$D:$D,价值表!$F:$F),"")*H17,"待定"))</f>
        <v/>
      </c>
      <c r="K17" s="55" t="inlineStr">
        <is>
          <t>否</t>
        </is>
      </c>
      <c r="L17" s="55" t="inlineStr">
        <is>
          <t>1105312</t>
        </is>
      </c>
      <c r="N17" s="618" t="inlineStr">
        <is>
          <t>A_活动任务_activity_tasks_data.xml/活动任务!967</t>
        </is>
      </c>
    </row>
    <row r="18" spans="1:14" ht="30" customHeight="1">
      <c r="A18" s="55">
        <v>11053</v>
      </c>
      <c r="B18" s="55">
        <v>1105314</v>
      </c>
      <c r="C18" s="618" t="inlineStr">
        <is>
          <t>通过主线95关</t>
        </is>
      </c>
      <c r="D18" s="55">
        <v>101</v>
      </c>
      <c r="E18" s="618" t="inlineStr">
        <is>
          <t>{chapter_pve,1,95}</t>
        </is>
      </c>
      <c r="F18" s="618" t="inlineStr">
        <is>
          <t>[{5600200,1}]</t>
        </is>
      </c>
      <c r="G18" s="55">
        <v>5600200</v>
      </c>
      <c r="H18" s="55">
        <v>1</v>
      </c>
      <c r="I18" s="55">
        <f>IF(G18="","",IF(ISNUMBER(IFNA(_xlfn.XLOOKUP(G18,价值表!$D:$D,价值表!$F:$F),"")),IFNA(_xlfn.XLOOKUP(G18,价值表!$D:$D,价值表!$F:$F),"")*H18,"待定"))</f>
        <v/>
      </c>
      <c r="K18" s="55" t="inlineStr">
        <is>
          <t>否</t>
        </is>
      </c>
      <c r="L18" s="55" t="inlineStr">
        <is>
          <t>1105313</t>
        </is>
      </c>
      <c r="N18" s="618" t="inlineStr">
        <is>
          <t>A_活动任务_activity_tasks_data.xml/活动任务!968</t>
        </is>
      </c>
    </row>
    <row r="19" spans="1:14" ht="30" customHeight="1">
      <c r="A19" s="55">
        <v>11053</v>
      </c>
      <c r="B19" s="55">
        <v>1105315</v>
      </c>
      <c r="C19" s="618" t="inlineStr">
        <is>
          <t>通过主线100关</t>
        </is>
      </c>
      <c r="D19" s="55">
        <v>101</v>
      </c>
      <c r="E19" s="618" t="inlineStr">
        <is>
          <t>{chapter_pve,1,100}</t>
        </is>
      </c>
      <c r="F19" s="618" t="inlineStr">
        <is>
          <t>[{5600200,2}]</t>
        </is>
      </c>
      <c r="G19" s="55">
        <v>5600200</v>
      </c>
      <c r="H19" s="55">
        <v>2</v>
      </c>
      <c r="I19" s="55">
        <f>IF(G19="","",IF(ISNUMBER(IFNA(_xlfn.XLOOKUP(G19,价值表!$D:$D,价值表!$F:$F),"")),IFNA(_xlfn.XLOOKUP(G19,价值表!$D:$D,价值表!$F:$F),"")*H19,"待定"))</f>
        <v/>
      </c>
      <c r="K19" s="55" t="inlineStr">
        <is>
          <t>否</t>
        </is>
      </c>
      <c r="L19" s="55" t="inlineStr">
        <is>
          <t>1105314</t>
        </is>
      </c>
      <c r="N19" s="618" t="inlineStr">
        <is>
          <t>A_活动任务_activity_tasks_data.xml/活动任务!969</t>
        </is>
      </c>
    </row>
    <row r="20" spans="1:14" ht="30" customHeight="1">
      <c r="A20" s="55">
        <v>11053</v>
      </c>
      <c r="B20" s="55">
        <v>1105316</v>
      </c>
      <c r="C20" s="618" t="inlineStr">
        <is>
          <t>通过主线105关</t>
        </is>
      </c>
      <c r="D20" s="55">
        <v>101</v>
      </c>
      <c r="E20" s="618" t="inlineStr">
        <is>
          <t>{chapter_pve,1,105}</t>
        </is>
      </c>
      <c r="F20" s="618" t="inlineStr">
        <is>
          <t>[{5600200,1}]</t>
        </is>
      </c>
      <c r="G20" s="55">
        <v>5600200</v>
      </c>
      <c r="H20" s="55">
        <v>1</v>
      </c>
      <c r="I20" s="55">
        <f>IF(G20="","",IF(ISNUMBER(IFNA(_xlfn.XLOOKUP(G20,价值表!$D:$D,价值表!$F:$F),"")),IFNA(_xlfn.XLOOKUP(G20,价值表!$D:$D,价值表!$F:$F),"")*H20,"待定"))</f>
        <v/>
      </c>
      <c r="K20" s="55" t="inlineStr">
        <is>
          <t>否</t>
        </is>
      </c>
      <c r="L20" s="55" t="inlineStr">
        <is>
          <t>1105315</t>
        </is>
      </c>
      <c r="N20" s="618" t="inlineStr">
        <is>
          <t>A_活动任务_activity_tasks_data.xml/活动任务!970</t>
        </is>
      </c>
    </row>
    <row r="21" spans="1:14" ht="30" customHeight="1">
      <c r="A21" s="55">
        <v>11053</v>
      </c>
      <c r="B21" s="55">
        <v>1105317</v>
      </c>
      <c r="C21" s="618" t="inlineStr">
        <is>
          <t>通过主线110关</t>
        </is>
      </c>
      <c r="D21" s="55">
        <v>101</v>
      </c>
      <c r="E21" s="618" t="inlineStr">
        <is>
          <t>{chapter_pve,1,110}</t>
        </is>
      </c>
      <c r="F21" s="618" t="inlineStr">
        <is>
          <t>[{5600200,2}]</t>
        </is>
      </c>
      <c r="G21" s="55">
        <v>5600200</v>
      </c>
      <c r="H21" s="55">
        <v>2</v>
      </c>
      <c r="I21" s="55">
        <f>IF(G21="","",IF(ISNUMBER(IFNA(_xlfn.XLOOKUP(G21,价值表!$D:$D,价值表!$F:$F),"")),IFNA(_xlfn.XLOOKUP(G21,价值表!$D:$D,价值表!$F:$F),"")*H21,"待定"))</f>
        <v/>
      </c>
      <c r="K21" s="55" t="inlineStr">
        <is>
          <t>否</t>
        </is>
      </c>
      <c r="L21" s="55" t="inlineStr">
        <is>
          <t>1105316</t>
        </is>
      </c>
      <c r="N21" s="618" t="inlineStr">
        <is>
          <t>A_活动任务_activity_tasks_data.xml/活动任务!971</t>
        </is>
      </c>
    </row>
    <row r="22" spans="1:14" ht="30" customHeight="1">
      <c r="A22" s="55">
        <v>11053</v>
      </c>
      <c r="B22" s="55">
        <v>1105318</v>
      </c>
      <c r="C22" s="618" t="inlineStr">
        <is>
          <t>梦域巡航难度6通关</t>
        </is>
      </c>
      <c r="D22" s="55">
        <v>101</v>
      </c>
      <c r="E22" s="618" t="inlineStr">
        <is>
          <t>{elite_pve_pass,6,1}</t>
        </is>
      </c>
      <c r="F22" s="618" t="inlineStr">
        <is>
          <t>[{5600200,1}]</t>
        </is>
      </c>
      <c r="G22" s="55">
        <v>5600200</v>
      </c>
      <c r="H22" s="55">
        <v>1</v>
      </c>
      <c r="I22" s="55">
        <f>IF(G22="","",IF(ISNUMBER(IFNA(_xlfn.XLOOKUP(G22,价值表!$D:$D,价值表!$F:$F),"")),IFNA(_xlfn.XLOOKUP(G22,价值表!$D:$D,价值表!$F:$F),"")*H22,"待定"))</f>
        <v/>
      </c>
      <c r="K22" s="55" t="inlineStr">
        <is>
          <t>否</t>
        </is>
      </c>
      <c r="N22" s="618" t="inlineStr">
        <is>
          <t>A_活动任务_activity_tasks_data.xml/活动任务!972</t>
        </is>
      </c>
    </row>
    <row r="23" spans="1:14" ht="30" customHeight="1">
      <c r="A23" s="55">
        <v>11053</v>
      </c>
      <c r="B23" s="55">
        <v>1105319</v>
      </c>
      <c r="C23" s="618" t="inlineStr">
        <is>
          <t>梦域巡航难度8通关</t>
        </is>
      </c>
      <c r="D23" s="55">
        <v>101</v>
      </c>
      <c r="E23" s="618" t="inlineStr">
        <is>
          <t>{elite_pve_pass,8,1}</t>
        </is>
      </c>
      <c r="F23" s="618" t="inlineStr">
        <is>
          <t>[{5600200,1}]</t>
        </is>
      </c>
      <c r="G23" s="55">
        <v>5600200</v>
      </c>
      <c r="H23" s="55">
        <v>1</v>
      </c>
      <c r="I23" s="55">
        <f>IF(G23="","",IF(ISNUMBER(IFNA(_xlfn.XLOOKUP(G23,价值表!$D:$D,价值表!$F:$F),"")),IFNA(_xlfn.XLOOKUP(G23,价值表!$D:$D,价值表!$F:$F),"")*H23,"待定"))</f>
        <v/>
      </c>
      <c r="K23" s="55" t="inlineStr">
        <is>
          <t>否</t>
        </is>
      </c>
      <c r="L23" s="55" t="inlineStr">
        <is>
          <t>1105318</t>
        </is>
      </c>
      <c r="N23" s="618" t="inlineStr">
        <is>
          <t>A_活动任务_activity_tasks_data.xml/活动任务!973</t>
        </is>
      </c>
    </row>
    <row r="24" spans="1:14" ht="30" customHeight="1">
      <c r="A24" s="55">
        <v>11053</v>
      </c>
      <c r="B24" s="55">
        <v>1105320</v>
      </c>
      <c r="C24" s="618" t="inlineStr">
        <is>
          <t>梦域巡航难度10通关</t>
        </is>
      </c>
      <c r="D24" s="55">
        <v>101</v>
      </c>
      <c r="E24" s="618" t="inlineStr">
        <is>
          <t>{elite_pve_pass,10,1}</t>
        </is>
      </c>
      <c r="F24" s="618" t="inlineStr">
        <is>
          <t>[{5600200,1}]</t>
        </is>
      </c>
      <c r="G24" s="55">
        <v>5600200</v>
      </c>
      <c r="H24" s="55">
        <v>1</v>
      </c>
      <c r="I24" s="55">
        <f>IF(G24="","",IF(ISNUMBER(IFNA(_xlfn.XLOOKUP(G24,价值表!$D:$D,价值表!$F:$F),"")),IFNA(_xlfn.XLOOKUP(G24,价值表!$D:$D,价值表!$F:$F),"")*H24,"待定"))</f>
        <v/>
      </c>
      <c r="K24" s="55" t="inlineStr">
        <is>
          <t>否</t>
        </is>
      </c>
      <c r="L24" s="55" t="inlineStr">
        <is>
          <t>1105319</t>
        </is>
      </c>
      <c r="N24" s="618" t="inlineStr">
        <is>
          <t>A_活动任务_activity_tasks_data.xml/活动任务!974</t>
        </is>
      </c>
    </row>
  </sheetData>
  <mergeCells count="2">
    <mergeCell ref="A1:N1"/>
    <mergeCell ref="A2:N2"/>
  </mergeCells>
  <autoFilter ref="A4:N24"/>
  <pageMargins left="0.7" right="0.7" top="0.75" bottom="0.75" header="0.3" footer="0.3"/>
</worksheet>
</file>

<file path=xl/worksheets/sheet38.xml><?xml version="1.0" encoding="utf-8"?>
<worksheet xmlns="http://schemas.openxmlformats.org/spreadsheetml/2006/main">
  <dimension ref="A1:J11"/>
  <sheetViews>
    <sheetView workbookViewId="0">
      <pane ySplit="4" topLeftCell="A5" activePane="bottomLeft" state="frozen"/>
    </sheetView>
  </sheetViews>
  <sheetFormatPr defaultRowHeight="17"/>
  <cols>
    <col min="1" max="1" width="15" customWidth="1"/>
    <col min="2" max="2" width="16" customWidth="1"/>
    <col min="3" max="3" width="25" customWidth="1"/>
    <col min="4" max="4" width="14" customWidth="1"/>
    <col min="5" max="5" width="17" customWidth="1"/>
    <col min="6" max="6" width="22" customWidth="1"/>
    <col min="7" max="7" width="18" customWidth="1"/>
    <col min="8" max="8" width="18" customWidth="1"/>
    <col min="9" max="9" width="18" customWidth="1"/>
    <col min="10" max="10" width="80" customWidth="1"/>
  </cols>
  <sheetData>
    <row r="1" spans="1:10" ht="27" customHeight="1">
      <c r="A1" s="602" t="inlineStr">
        <is>
          <t>星旅寻梦｜7 日招募配置</t>
        </is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0" ht="36" customHeight="1">
      <c r="A2" s="618" t="inlineStr">
        <is>
          <t>来源：E:\x1\c#\trunk\trunk\xml_gy\normal；2026-10-10 起开服批次，开服第 2 天至第 9 天边界；招募配置共 7 个活动日。此为本地配置快照，具体区服部署与截止时刻未验证。 活动第 1–7 日均可使用 12001 单抽、12002 十抽；不把旧粉卡概率模型当本期配置。</t>
        </is>
      </c>
      <c r="B2" s="618"/>
      <c r="C2" s="618"/>
      <c r="D2" s="618"/>
      <c r="E2" s="618"/>
      <c r="F2" s="618"/>
      <c r="G2" s="618"/>
      <c r="H2" s="618"/>
      <c r="I2" s="618"/>
      <c r="J2" s="618"/>
    </row>
    <row r="3" spans="1:10"/>
    <row r="4" spans="1:10">
      <c r="A4" s="602" t="inlineStr">
        <is>
          <t>方案ID</t>
        </is>
      </c>
      <c r="B4" s="602" t="inlineStr">
        <is>
          <t>活动内第几日</t>
        </is>
      </c>
      <c r="C4" s="602" t="inlineStr">
        <is>
          <t>抽卡档位ID</t>
        </is>
      </c>
      <c r="D4" s="602" t="inlineStr">
        <is>
          <t>兑换上限</t>
        </is>
      </c>
      <c r="E4" s="602" t="inlineStr">
        <is>
          <t>主题梦灵ID</t>
        </is>
      </c>
      <c r="F4" s="602" t="inlineStr">
        <is>
          <t>UP 梦灵ID</t>
        </is>
      </c>
      <c r="G4" s="602" t="inlineStr">
        <is>
          <t>展示条件</t>
        </is>
      </c>
      <c r="H4" s="602" t="inlineStr">
        <is>
          <t>加成规则</t>
        </is>
      </c>
      <c r="I4" s="602" t="inlineStr">
        <is>
          <t>解锁抽卡等级</t>
        </is>
      </c>
      <c r="J4" s="602" t="inlineStr">
        <is>
          <t>XML来源</t>
        </is>
      </c>
    </row>
    <row r="5" spans="1:10" ht="30" customHeight="1">
      <c r="A5" s="55">
        <v>360003</v>
      </c>
      <c r="B5" s="55">
        <v>1</v>
      </c>
      <c r="C5" s="618" t="inlineStr">
        <is>
          <t>[12001,12002]</t>
        </is>
      </c>
      <c r="D5" s="55">
        <v>99999</v>
      </c>
      <c r="E5" s="55">
        <v>1420300</v>
      </c>
      <c r="F5" s="618" t="inlineStr">
        <is>
          <t>[1530200]</t>
        </is>
      </c>
      <c r="I5" s="55">
        <v>1</v>
      </c>
      <c r="J5" s="618" t="inlineStr">
        <is>
          <t>A_活动招募_activity_unit_draw_data.xml/活动配置!36</t>
        </is>
      </c>
    </row>
    <row r="6" spans="1:10" ht="30" customHeight="1">
      <c r="A6" s="55">
        <v>360003</v>
      </c>
      <c r="B6" s="55">
        <v>2</v>
      </c>
      <c r="C6" s="618" t="inlineStr">
        <is>
          <t>[12001,12002]</t>
        </is>
      </c>
      <c r="D6" s="55">
        <v>99999</v>
      </c>
      <c r="E6" s="55">
        <v>1420300</v>
      </c>
      <c r="F6" s="618" t="inlineStr">
        <is>
          <t>[1530200]</t>
        </is>
      </c>
      <c r="I6" s="55">
        <v>1</v>
      </c>
      <c r="J6" s="618" t="inlineStr">
        <is>
          <t>A_活动招募_activity_unit_draw_data.xml/活动配置!37</t>
        </is>
      </c>
    </row>
    <row r="7" spans="1:10" ht="30" customHeight="1">
      <c r="A7" s="55">
        <v>360003</v>
      </c>
      <c r="B7" s="55">
        <v>3</v>
      </c>
      <c r="C7" s="618" t="inlineStr">
        <is>
          <t>[12001,12002]</t>
        </is>
      </c>
      <c r="D7" s="55">
        <v>99999</v>
      </c>
      <c r="E7" s="55">
        <v>1420300</v>
      </c>
      <c r="F7" s="618" t="inlineStr">
        <is>
          <t>[1530200]</t>
        </is>
      </c>
      <c r="I7" s="55">
        <v>1</v>
      </c>
      <c r="J7" s="618" t="inlineStr">
        <is>
          <t>A_活动招募_activity_unit_draw_data.xml/活动配置!38</t>
        </is>
      </c>
    </row>
    <row r="8" spans="1:10" ht="30" customHeight="1">
      <c r="A8" s="55">
        <v>360003</v>
      </c>
      <c r="B8" s="55">
        <v>4</v>
      </c>
      <c r="C8" s="618" t="inlineStr">
        <is>
          <t>[12001,12002]</t>
        </is>
      </c>
      <c r="D8" s="55">
        <v>99999</v>
      </c>
      <c r="E8" s="55">
        <v>1420300</v>
      </c>
      <c r="F8" s="618" t="inlineStr">
        <is>
          <t>[1530200]</t>
        </is>
      </c>
      <c r="I8" s="55">
        <v>1</v>
      </c>
      <c r="J8" s="618" t="inlineStr">
        <is>
          <t>A_活动招募_activity_unit_draw_data.xml/活动配置!39</t>
        </is>
      </c>
    </row>
    <row r="9" spans="1:10" ht="30" customHeight="1">
      <c r="A9" s="55">
        <v>360003</v>
      </c>
      <c r="B9" s="55">
        <v>5</v>
      </c>
      <c r="C9" s="618" t="inlineStr">
        <is>
          <t>[12001,12002]</t>
        </is>
      </c>
      <c r="D9" s="55">
        <v>99999</v>
      </c>
      <c r="E9" s="55">
        <v>1420300</v>
      </c>
      <c r="F9" s="618" t="inlineStr">
        <is>
          <t>[1530200]</t>
        </is>
      </c>
      <c r="I9" s="55">
        <v>1</v>
      </c>
      <c r="J9" s="618" t="inlineStr">
        <is>
          <t>A_活动招募_activity_unit_draw_data.xml/活动配置!40</t>
        </is>
      </c>
    </row>
    <row r="10" spans="1:10" ht="30" customHeight="1">
      <c r="A10" s="55">
        <v>360003</v>
      </c>
      <c r="B10" s="55">
        <v>6</v>
      </c>
      <c r="C10" s="618" t="inlineStr">
        <is>
          <t>[12001,12002]</t>
        </is>
      </c>
      <c r="D10" s="55">
        <v>99999</v>
      </c>
      <c r="E10" s="55">
        <v>1420300</v>
      </c>
      <c r="F10" s="618" t="inlineStr">
        <is>
          <t>[1530200]</t>
        </is>
      </c>
      <c r="I10" s="55">
        <v>1</v>
      </c>
      <c r="J10" s="618" t="inlineStr">
        <is>
          <t>A_活动招募_activity_unit_draw_data.xml/活动配置!41</t>
        </is>
      </c>
    </row>
    <row r="11" spans="1:10" ht="30" customHeight="1">
      <c r="A11" s="55">
        <v>360003</v>
      </c>
      <c r="B11" s="55">
        <v>7</v>
      </c>
      <c r="C11" s="618" t="inlineStr">
        <is>
          <t>[12001,12002]</t>
        </is>
      </c>
      <c r="D11" s="55">
        <v>99999</v>
      </c>
      <c r="E11" s="55">
        <v>1420300</v>
      </c>
      <c r="F11" s="618" t="inlineStr">
        <is>
          <t>[1530200]</t>
        </is>
      </c>
      <c r="I11" s="55">
        <v>1</v>
      </c>
      <c r="J11" s="618" t="inlineStr">
        <is>
          <t>A_活动招募_activity_unit_draw_data.xml/活动配置!42</t>
        </is>
      </c>
    </row>
  </sheetData>
  <mergeCells count="2">
    <mergeCell ref="A1:J1"/>
    <mergeCell ref="A2:J2"/>
  </mergeCells>
  <autoFilter ref="A4:J11"/>
  <pageMargins left="0.7" right="0.7" top="0.75" bottom="0.75" header="0.3" footer="0.3"/>
</worksheet>
</file>

<file path=xl/worksheets/sheet39.xml><?xml version="1.0" encoding="utf-8"?>
<worksheet xmlns="http://schemas.openxmlformats.org/spreadsheetml/2006/main">
  <dimension ref="A1:L6"/>
  <sheetViews>
    <sheetView workbookViewId="0">
      <pane ySplit="4" topLeftCell="A5" activePane="bottomLeft" state="frozen"/>
    </sheetView>
  </sheetViews>
  <sheetFormatPr defaultRowHeight="17"/>
  <cols>
    <col min="1" max="1" width="15" customWidth="1"/>
    <col min="2" max="2" width="25" customWidth="1"/>
    <col min="3" max="3" width="12" customWidth="1"/>
    <col min="4" max="4" width="14" customWidth="1"/>
    <col min="5" max="5" width="15" customWidth="1"/>
    <col min="6" max="6" width="14" customWidth="1"/>
    <col min="7" max="7" width="28" customWidth="1"/>
    <col min="8" max="8" width="85" customWidth="1"/>
    <col min="9" max="9" width="14" customWidth="1"/>
    <col min="10" max="10" width="16" customWidth="1"/>
    <col min="11" max="11" width="14" customWidth="1"/>
    <col min="12" max="12" width="78" customWidth="1"/>
  </cols>
  <sheetData>
    <row r="1" spans="1:12" ht="27" customHeight="1">
      <c r="A1" s="602" t="inlineStr">
        <is>
          <t>星旅寻梦｜单抽与十抽</t>
        </is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</row>
    <row r="2" spans="1:12" ht="36" customHeight="1">
      <c r="A2" s="618" t="inlineStr">
        <is>
          <t>来源：E:\x1\c#\trunk\trunk\xml_gy\normal；2026-10-10 起开服批次，开服第 2 天至第 9 天边界；招募配置共 7 个活动日。此为本地配置快照，具体区服部署与截止时刻未验证。 消耗和固定奖励来自抽卡配置；奖池为 9 组，实际概率仍须考虑规则与运行服状态。</t>
        </is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</row>
    <row r="3" spans="1:12"/>
    <row r="4" spans="1:12">
      <c r="A4" s="602" t="inlineStr">
        <is>
          <t>抽卡ID</t>
        </is>
      </c>
      <c r="B4" s="602" t="inlineStr">
        <is>
          <t>名称</t>
        </is>
      </c>
      <c r="C4" s="602" t="inlineStr">
        <is>
          <t>抽卡次数</t>
        </is>
      </c>
      <c r="D4" s="602" t="inlineStr">
        <is>
          <t>钻石消耗</t>
        </is>
      </c>
      <c r="E4" s="602" t="inlineStr">
        <is>
          <t>探仪ID</t>
        </is>
      </c>
      <c r="F4" s="602" t="inlineStr">
        <is>
          <t>探仪消耗</t>
        </is>
      </c>
      <c r="G4" s="602" t="inlineStr">
        <is>
          <t>固定奖励原串</t>
        </is>
      </c>
      <c r="H4" s="602" t="inlineStr">
        <is>
          <t>奖池ID原串</t>
        </is>
      </c>
      <c r="I4" s="602" t="inlineStr">
        <is>
          <t>等级组</t>
        </is>
      </c>
      <c r="J4" s="602" t="inlineStr">
        <is>
          <t>抽卡等级组</t>
        </is>
      </c>
      <c r="K4" s="602" t="inlineStr">
        <is>
          <t>计数器ID</t>
        </is>
      </c>
      <c r="L4" s="602" t="inlineStr">
        <is>
          <t>XML来源</t>
        </is>
      </c>
    </row>
    <row r="5" spans="1:12" ht="30" customHeight="1">
      <c r="A5" s="55">
        <v>12001</v>
      </c>
      <c r="B5" s="55" t="inlineStr">
        <is>
          <t>红卡活动招募1次</t>
        </is>
      </c>
      <c r="C5" s="55">
        <v>1</v>
      </c>
      <c r="D5" s="55">
        <v>150</v>
      </c>
      <c r="E5" s="55">
        <v>5600200</v>
      </c>
      <c r="F5" s="55">
        <v>1</v>
      </c>
      <c r="G5" s="618" t="inlineStr">
        <is>
          <t>[{24,300}]</t>
        </is>
      </c>
      <c r="H5" s="618" t="inlineStr">
        <is>
          <t>[90000001,90000002,90000003,90000004,90000005,90000006,90000007,90000008,90000009]</t>
        </is>
      </c>
      <c r="I5" s="55">
        <v>100</v>
      </c>
      <c r="J5" s="55">
        <v>0</v>
      </c>
      <c r="K5" s="55">
        <v>1</v>
      </c>
      <c r="L5" s="618" t="inlineStr">
        <is>
          <t>C_抽卡_draw_card_data.xml/抽卡!31</t>
        </is>
      </c>
    </row>
    <row r="6" spans="1:12" ht="30" customHeight="1">
      <c r="A6" s="55">
        <v>12002</v>
      </c>
      <c r="B6" s="55" t="inlineStr">
        <is>
          <t>红卡活动招募10次</t>
        </is>
      </c>
      <c r="C6" s="55">
        <v>10</v>
      </c>
      <c r="D6" s="55">
        <v>1500</v>
      </c>
      <c r="E6" s="55">
        <v>5600200</v>
      </c>
      <c r="F6" s="55">
        <v>10</v>
      </c>
      <c r="G6" s="618" t="inlineStr">
        <is>
          <t>[{24,3000}]</t>
        </is>
      </c>
      <c r="H6" s="618" t="inlineStr">
        <is>
          <t>[90000001,90000002,90000003,90000004,90000005,90000006,90000007,90000008,90000009]</t>
        </is>
      </c>
      <c r="I6" s="55">
        <v>100</v>
      </c>
      <c r="J6" s="55">
        <v>0</v>
      </c>
      <c r="K6" s="55">
        <v>1</v>
      </c>
      <c r="L6" s="618" t="inlineStr">
        <is>
          <t>C_抽卡_draw_card_data.xml/抽卡!32</t>
        </is>
      </c>
    </row>
  </sheetData>
  <mergeCells count="2">
    <mergeCell ref="A1:L1"/>
    <mergeCell ref="A2:L2"/>
  </mergeCells>
  <autoFilter ref="A4:L6"/>
  <pageMargins left="0.7" right="0.7" top="0.75" bottom="0.75" header="0.3" footer="0.3"/>
</worksheet>
</file>

<file path=xl/worksheets/sheet40.xml><?xml version="1.0" encoding="utf-8"?>
<worksheet xmlns="http://schemas.openxmlformats.org/spreadsheetml/2006/main">
  <dimension ref="A1:J13"/>
  <sheetViews>
    <sheetView workbookViewId="0">
      <pane ySplit="4" topLeftCell="A5" activePane="bottomLeft" state="frozen"/>
    </sheetView>
  </sheetViews>
  <sheetFormatPr defaultRowHeight="17"/>
  <cols>
    <col min="1" max="1" width="18" customWidth="1"/>
    <col min="2" max="2" width="17" customWidth="1"/>
    <col min="3" max="3" width="23" customWidth="1"/>
    <col min="4" max="4" width="20" customWidth="1"/>
    <col min="5" max="5" width="14" customWidth="1"/>
    <col min="6" max="6" width="16" customWidth="1"/>
    <col min="7" max="7" width="16" customWidth="1"/>
    <col min="8" max="8" width="17" customWidth="1"/>
    <col min="9" max="9" width="22" customWidth="1"/>
    <col min="10" max="10" width="78" customWidth="1"/>
  </cols>
  <sheetData>
    <row r="1" spans="1:10" ht="27" customHeight="1">
      <c r="A1" s="602" t="inlineStr">
        <is>
          <t>星旅寻梦｜奖池基础权重</t>
        </is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0" ht="36" customHeight="1">
      <c r="A2" s="618" t="inlineStr">
        <is>
          <t>来源：E:\x1\c#\trunk\trunk\xml_gy\normal；2026-10-10 起开服批次，开服第 2 天至第 9 天边界；招募配置共 7 个活动日。此为本地配置快照，具体区服部署与截止时刻未验证。 仅展示配置基础权重占比；它不是实际抽取概率或保底计算结果。</t>
        </is>
      </c>
      <c r="B2" s="618"/>
      <c r="C2" s="618"/>
      <c r="D2" s="618"/>
      <c r="E2" s="618"/>
      <c r="F2" s="618"/>
      <c r="G2" s="618"/>
      <c r="H2" s="618"/>
      <c r="I2" s="618"/>
      <c r="J2" s="618"/>
    </row>
    <row r="3" spans="1:10"/>
    <row r="4" spans="1:10">
      <c r="A4" s="602" t="inlineStr">
        <is>
          <t>奖池ID</t>
        </is>
      </c>
      <c r="B4" s="602" t="inlineStr">
        <is>
          <t>备注</t>
        </is>
      </c>
      <c r="C4" s="602" t="inlineStr">
        <is>
          <t>名称</t>
        </is>
      </c>
      <c r="D4" s="602" t="inlineStr">
        <is>
          <t>奖励组ID</t>
        </is>
      </c>
      <c r="E4" s="602" t="inlineStr">
        <is>
          <t>基础权重</t>
        </is>
      </c>
      <c r="F4" s="602" t="inlineStr">
        <is>
          <t>基础占比%</t>
        </is>
      </c>
      <c r="G4" s="602" t="inlineStr">
        <is>
          <t>展示权重</t>
        </is>
      </c>
      <c r="H4" s="602" t="inlineStr">
        <is>
          <t>保底引用ID</t>
        </is>
      </c>
      <c r="I4" s="602" t="inlineStr">
        <is>
          <t>条件</t>
        </is>
      </c>
      <c r="J4" s="602" t="inlineStr">
        <is>
          <t>XML来源</t>
        </is>
      </c>
    </row>
    <row r="5" spans="1:10" ht="30" customHeight="1">
      <c r="A5" s="55">
        <v>90000001</v>
      </c>
      <c r="B5" s="618" t="inlineStr">
        <is>
          <t>金币</t>
        </is>
      </c>
      <c r="C5" s="618" t="inlineStr">
        <is>
          <t>金币×100</t>
        </is>
      </c>
      <c r="D5" s="55">
        <v>500100011</v>
      </c>
      <c r="E5" s="55">
        <v>2400</v>
      </c>
      <c r="F5" s="55">
        <f>ROUND(E5/SUM($E$5:$E$13)*100,2)</f>
        <v/>
      </c>
      <c r="G5" s="55">
        <v>2370</v>
      </c>
      <c r="H5" s="55">
        <v>90000001</v>
      </c>
      <c r="J5" s="618" t="inlineStr">
        <is>
          <t>C_抽卡_draw_card_data.xml/奖池!514</t>
        </is>
      </c>
    </row>
    <row r="6" spans="1:10" ht="30" customHeight="1">
      <c r="A6" s="55">
        <v>90000002</v>
      </c>
      <c r="B6" s="618" t="inlineStr">
        <is>
          <t>星之初愿</t>
        </is>
      </c>
      <c r="C6" s="618" t="inlineStr">
        <is>
          <t>星之初愿×1</t>
        </is>
      </c>
      <c r="D6" s="55">
        <v>500100021</v>
      </c>
      <c r="E6" s="55">
        <v>200</v>
      </c>
      <c r="F6" s="55">
        <f>ROUND(E6/SUM($E$5:$E$13)*100,2)</f>
        <v/>
      </c>
      <c r="G6" s="55">
        <v>200</v>
      </c>
      <c r="H6" s="55">
        <v>90000002</v>
      </c>
      <c r="J6" s="618" t="inlineStr">
        <is>
          <t>C_抽卡_draw_card_data.xml/奖池!515</t>
        </is>
      </c>
    </row>
    <row r="7" spans="1:10" ht="30" customHeight="1">
      <c r="A7" s="55">
        <v>90000003</v>
      </c>
      <c r="B7" s="618" t="inlineStr">
        <is>
          <t>能量特饮</t>
        </is>
      </c>
      <c r="C7" s="618" t="inlineStr">
        <is>
          <t>能量特饮×25</t>
        </is>
      </c>
      <c r="D7" s="55">
        <v>500100031</v>
      </c>
      <c r="E7" s="55">
        <v>1200</v>
      </c>
      <c r="F7" s="55">
        <f>ROUND(E7/SUM($E$5:$E$13)*100,2)</f>
        <v/>
      </c>
      <c r="G7" s="55">
        <v>1200</v>
      </c>
      <c r="H7" s="55">
        <v>90000003</v>
      </c>
      <c r="J7" s="618" t="inlineStr">
        <is>
          <t>C_抽卡_draw_card_data.xml/奖池!516</t>
        </is>
      </c>
    </row>
    <row r="8" spans="1:10" ht="30" customHeight="1">
      <c r="A8" s="55">
        <v>90000004</v>
      </c>
      <c r="B8" s="618" t="inlineStr">
        <is>
          <t>能量特饮</t>
        </is>
      </c>
      <c r="C8" s="618" t="inlineStr">
        <is>
          <t>能量特饮×50</t>
        </is>
      </c>
      <c r="D8" s="55">
        <v>500100041</v>
      </c>
      <c r="E8" s="55">
        <v>800</v>
      </c>
      <c r="F8" s="55">
        <f>ROUND(E8/SUM($E$5:$E$13)*100,2)</f>
        <v/>
      </c>
      <c r="G8" s="55">
        <v>800</v>
      </c>
      <c r="H8" s="55">
        <v>90000004</v>
      </c>
      <c r="J8" s="618" t="inlineStr">
        <is>
          <t>C_抽卡_draw_card_data.xml/奖池!517</t>
        </is>
      </c>
    </row>
    <row r="9" spans="1:10" ht="30" customHeight="1">
      <c r="A9" s="55">
        <v>90000005</v>
      </c>
      <c r="B9" s="618" t="inlineStr">
        <is>
          <t>能量特饮</t>
        </is>
      </c>
      <c r="C9" s="618" t="inlineStr">
        <is>
          <t>能量特饮×100</t>
        </is>
      </c>
      <c r="D9" s="55">
        <v>500100051</v>
      </c>
      <c r="E9" s="55">
        <v>400</v>
      </c>
      <c r="F9" s="55">
        <f>ROUND(E9/SUM($E$5:$E$13)*100,2)</f>
        <v/>
      </c>
      <c r="G9" s="55">
        <v>400</v>
      </c>
      <c r="H9" s="55">
        <v>90000005</v>
      </c>
      <c r="J9" s="618" t="inlineStr">
        <is>
          <t>C_抽卡_draw_card_data.xml/奖池!518</t>
        </is>
      </c>
    </row>
    <row r="10" spans="1:10" ht="30" customHeight="1">
      <c r="A10" s="55">
        <v>90000006</v>
      </c>
      <c r="B10" s="618" t="inlineStr">
        <is>
          <t>稀有梦灵</t>
        </is>
      </c>
      <c r="C10" s="618" t="inlineStr">
        <is>
          <t>稀有梦灵</t>
        </is>
      </c>
      <c r="D10" s="55">
        <v>500100061</v>
      </c>
      <c r="E10" s="55">
        <v>2200</v>
      </c>
      <c r="F10" s="55">
        <f>ROUND(E10/SUM($E$5:$E$13)*100,2)</f>
        <v/>
      </c>
      <c r="G10" s="55">
        <v>2200</v>
      </c>
      <c r="H10" s="55">
        <v>90000006</v>
      </c>
      <c r="J10" s="618" t="inlineStr">
        <is>
          <t>C_抽卡_draw_card_data.xml/奖池!519</t>
        </is>
      </c>
    </row>
    <row r="11" spans="1:10" ht="30" customHeight="1">
      <c r="A11" s="55">
        <v>90000007</v>
      </c>
      <c r="B11" s="618" t="inlineStr">
        <is>
          <t>史诗梦灵</t>
        </is>
      </c>
      <c r="C11" s="618" t="inlineStr">
        <is>
          <t>史诗梦灵</t>
        </is>
      </c>
      <c r="D11" s="55">
        <v>500100071</v>
      </c>
      <c r="E11" s="55">
        <v>1800</v>
      </c>
      <c r="F11" s="55">
        <f>ROUND(E11/SUM($E$5:$E$13)*100,2)</f>
        <v/>
      </c>
      <c r="G11" s="55">
        <v>1800</v>
      </c>
      <c r="H11" s="55">
        <v>90000007</v>
      </c>
      <c r="J11" s="618" t="inlineStr">
        <is>
          <t>C_抽卡_draw_card_data.xml/奖池!520</t>
        </is>
      </c>
    </row>
    <row r="12" spans="1:10" ht="30" customHeight="1">
      <c r="A12" s="55">
        <v>90000008</v>
      </c>
      <c r="B12" s="618" t="inlineStr">
        <is>
          <t>传说梦灵</t>
        </is>
      </c>
      <c r="C12" s="618" t="inlineStr">
        <is>
          <t>传说梦灵</t>
        </is>
      </c>
      <c r="D12" s="55">
        <v>500100081</v>
      </c>
      <c r="E12" s="55">
        <v>800</v>
      </c>
      <c r="F12" s="55">
        <f>ROUND(E12/SUM($E$5:$E$13)*100,2)</f>
        <v/>
      </c>
      <c r="G12" s="55">
        <v>800</v>
      </c>
      <c r="H12" s="55">
        <v>90000008</v>
      </c>
      <c r="J12" s="618" t="inlineStr">
        <is>
          <t>C_抽卡_draw_card_data.xml/奖池!521</t>
        </is>
      </c>
    </row>
    <row r="13" spans="1:10" ht="30" customHeight="1">
      <c r="A13" s="55">
        <v>90000009</v>
      </c>
      <c r="B13" s="618" t="inlineStr">
        <is>
          <t>神话梦灵</t>
        </is>
      </c>
      <c r="C13" s="618" t="inlineStr">
        <is>
          <t>神话梦灵</t>
        </is>
      </c>
      <c r="D13" s="55">
        <v>900000091</v>
      </c>
      <c r="E13" s="55">
        <v>200</v>
      </c>
      <c r="F13" s="55">
        <f>ROUND(E13/SUM($E$5:$E$13)*100,2)</f>
        <v/>
      </c>
      <c r="G13" s="55">
        <v>230</v>
      </c>
      <c r="H13" s="55">
        <v>90000009</v>
      </c>
      <c r="J13" s="618" t="inlineStr">
        <is>
          <t>C_抽卡_draw_card_data.xml/奖池!522</t>
        </is>
      </c>
    </row>
  </sheetData>
  <mergeCells count="2">
    <mergeCell ref="A1:J1"/>
    <mergeCell ref="A2:J2"/>
  </mergeCells>
  <autoFilter ref="A4:J13"/>
  <pageMargins left="0.7" right="0.7" top="0.75" bottom="0.75" header="0.3" footer="0.3"/>
</worksheet>
</file>

<file path=xl/worksheets/sheet41.xml><?xml version="1.0" encoding="utf-8"?>
<worksheet xmlns="http://schemas.openxmlformats.org/spreadsheetml/2006/main">
  <dimension ref="A1:J59"/>
  <sheetViews>
    <sheetView workbookViewId="0">
      <pane ySplit="4" topLeftCell="A5" activePane="bottomLeft" state="frozen"/>
    </sheetView>
  </sheetViews>
  <sheetFormatPr defaultRowHeight="17"/>
  <cols>
    <col min="1" max="1" width="18" customWidth="1"/>
    <col min="2" max="2" width="20" customWidth="1"/>
    <col min="3" max="3" width="15" customWidth="1"/>
    <col min="4" max="4" width="26" customWidth="1"/>
    <col min="5" max="5" width="17" customWidth="1"/>
    <col min="6" max="6" width="12" customWidth="1"/>
    <col min="7" max="7" width="14" customWidth="1"/>
    <col min="8" max="8" width="20" customWidth="1"/>
    <col min="9" max="9" width="14" customWidth="1"/>
    <col min="10" max="10" width="78" customWidth="1"/>
  </cols>
  <sheetData>
    <row r="1" spans="1:10" ht="27" customHeight="1">
      <c r="A1" s="602" t="inlineStr">
        <is>
          <t>星旅寻梦｜奖池奖励明细</t>
        </is>
      </c>
      <c r="B1" s="602"/>
      <c r="C1" s="602"/>
      <c r="D1" s="602"/>
      <c r="E1" s="602"/>
      <c r="F1" s="602"/>
      <c r="G1" s="602"/>
      <c r="H1" s="602"/>
      <c r="I1" s="602"/>
      <c r="J1" s="602"/>
    </row>
    <row r="2" spans="1:10" ht="36" customHeight="1">
      <c r="A2" s="618" t="inlineStr">
        <is>
          <t>来源：E:\x1\c#\trunk\trunk\xml_gy\normal；2026-10-10 起开服批次，开服第 2 天至第 9 天边界；招募配置共 7 个活动日。此为本地配置快照，具体区服部署与截止时刻未验证。 每行奖励按价值表规划锚初算；组内权重与保底规则需另行复核，不能直接把本表合计当期望价值。</t>
        </is>
      </c>
      <c r="B2" s="618"/>
      <c r="C2" s="618"/>
      <c r="D2" s="618"/>
      <c r="E2" s="618"/>
      <c r="F2" s="618"/>
      <c r="G2" s="618"/>
      <c r="H2" s="618"/>
      <c r="I2" s="618"/>
      <c r="J2" s="618"/>
    </row>
    <row r="3" spans="1:10"/>
    <row r="4" spans="1:10">
      <c r="A4" s="602" t="inlineStr">
        <is>
          <t>奖池ID</t>
        </is>
      </c>
      <c r="B4" s="602" t="inlineStr">
        <is>
          <t>奖励组ID</t>
        </is>
      </c>
      <c r="C4" s="602" t="inlineStr">
        <is>
          <t>奖励行ID</t>
        </is>
      </c>
      <c r="D4" s="602" t="inlineStr">
        <is>
          <t>备注</t>
        </is>
      </c>
      <c r="E4" s="602" t="inlineStr">
        <is>
          <t>道具ID</t>
        </is>
      </c>
      <c r="F4" s="602" t="inlineStr">
        <is>
          <t>数量</t>
        </is>
      </c>
      <c r="G4" s="602" t="inlineStr">
        <is>
          <t>组内权重</t>
        </is>
      </c>
      <c r="H4" s="602" t="inlineStr">
        <is>
          <t>条件</t>
        </is>
      </c>
      <c r="I4" s="602" t="inlineStr">
        <is>
          <t>估值钻</t>
        </is>
      </c>
      <c r="J4" s="602" t="inlineStr">
        <is>
          <t>XML来源</t>
        </is>
      </c>
    </row>
    <row r="5" spans="1:10" ht="30" customHeight="1">
      <c r="A5" s="55">
        <v>90000001</v>
      </c>
      <c r="B5" s="55">
        <v>500100011</v>
      </c>
      <c r="C5" s="55">
        <v>1</v>
      </c>
      <c r="D5" s="618" t="inlineStr">
        <is>
          <t>金币×100</t>
        </is>
      </c>
      <c r="E5" s="55">
        <v>2</v>
      </c>
      <c r="F5" s="55">
        <v>100</v>
      </c>
      <c r="G5" s="55">
        <v>10000</v>
      </c>
      <c r="I5" s="55">
        <f>IF(E5="","",IF(ISNUMBER(IFNA(_xlfn.XLOOKUP(E5,价值表!$D:$D,价值表!$F:$F),"")),IFNA(_xlfn.XLOOKUP(E5,价值表!$D:$D,价值表!$F:$F),"")*F5,"待定"))</f>
        <v/>
      </c>
      <c r="J5" s="618" t="inlineStr">
        <is>
          <t>C_抽卡_draw_card_data.xml/奖励内容!8</t>
        </is>
      </c>
    </row>
    <row r="6" spans="1:10" ht="30" customHeight="1">
      <c r="A6" s="55">
        <v>90000002</v>
      </c>
      <c r="B6" s="55">
        <v>500100021</v>
      </c>
      <c r="C6" s="55">
        <v>2</v>
      </c>
      <c r="D6" s="618" t="inlineStr">
        <is>
          <t>灵感获取令×1</t>
        </is>
      </c>
      <c r="E6" s="55">
        <v>9</v>
      </c>
      <c r="F6" s="55">
        <v>1</v>
      </c>
      <c r="G6" s="55">
        <v>10000</v>
      </c>
      <c r="I6" s="55">
        <f>IF(E6="","",IF(ISNUMBER(IFNA(_xlfn.XLOOKUP(E6,价值表!$D:$D,价值表!$F:$F),"")),IFNA(_xlfn.XLOOKUP(E6,价值表!$D:$D,价值表!$F:$F),"")*F6,"待定"))</f>
        <v/>
      </c>
      <c r="J6" s="618" t="inlineStr">
        <is>
          <t>C_抽卡_draw_card_data.xml/奖励内容!9</t>
        </is>
      </c>
    </row>
    <row r="7" spans="1:10" ht="30" customHeight="1">
      <c r="A7" s="55">
        <v>90000003</v>
      </c>
      <c r="B7" s="55">
        <v>500100031</v>
      </c>
      <c r="C7" s="55">
        <v>3</v>
      </c>
      <c r="D7" s="618" t="inlineStr">
        <is>
          <t>能量特饮×25</t>
        </is>
      </c>
      <c r="E7" s="55">
        <v>5103001</v>
      </c>
      <c r="F7" s="55">
        <v>25</v>
      </c>
      <c r="G7" s="55">
        <v>10000</v>
      </c>
      <c r="I7" s="55">
        <f>IF(E7="","",IF(ISNUMBER(IFNA(_xlfn.XLOOKUP(E7,价值表!$D:$D,价值表!$F:$F),"")),IFNA(_xlfn.XLOOKUP(E7,价值表!$D:$D,价值表!$F:$F),"")*F7,"待定"))</f>
        <v/>
      </c>
      <c r="J7" s="618" t="inlineStr">
        <is>
          <t>C_抽卡_draw_card_data.xml/奖励内容!10</t>
        </is>
      </c>
    </row>
    <row r="8" spans="1:10" ht="30" customHeight="1">
      <c r="A8" s="55">
        <v>90000004</v>
      </c>
      <c r="B8" s="55">
        <v>500100041</v>
      </c>
      <c r="C8" s="55">
        <v>4</v>
      </c>
      <c r="D8" s="618" t="inlineStr">
        <is>
          <t>能量特饮×50</t>
        </is>
      </c>
      <c r="E8" s="55">
        <v>5103001</v>
      </c>
      <c r="F8" s="55">
        <v>50</v>
      </c>
      <c r="G8" s="55">
        <v>10000</v>
      </c>
      <c r="I8" s="55">
        <f>IF(E8="","",IF(ISNUMBER(IFNA(_xlfn.XLOOKUP(E8,价值表!$D:$D,价值表!$F:$F),"")),IFNA(_xlfn.XLOOKUP(E8,价值表!$D:$D,价值表!$F:$F),"")*F8,"待定"))</f>
        <v/>
      </c>
      <c r="J8" s="618" t="inlineStr">
        <is>
          <t>C_抽卡_draw_card_data.xml/奖励内容!11</t>
        </is>
      </c>
    </row>
    <row r="9" spans="1:10" ht="30" customHeight="1">
      <c r="A9" s="55">
        <v>90000005</v>
      </c>
      <c r="B9" s="55">
        <v>500100051</v>
      </c>
      <c r="C9" s="55">
        <v>5</v>
      </c>
      <c r="D9" s="618" t="inlineStr">
        <is>
          <t>能量特饮×100</t>
        </is>
      </c>
      <c r="E9" s="55">
        <v>5103001</v>
      </c>
      <c r="F9" s="55">
        <v>100</v>
      </c>
      <c r="G9" s="55">
        <v>10000</v>
      </c>
      <c r="I9" s="55">
        <f>IF(E9="","",IF(ISNUMBER(IFNA(_xlfn.XLOOKUP(E9,价值表!$D:$D,价值表!$F:$F),"")),IFNA(_xlfn.XLOOKUP(E9,价值表!$D:$D,价值表!$F:$F),"")*F9,"待定"))</f>
        <v/>
      </c>
      <c r="J9" s="618" t="inlineStr">
        <is>
          <t>C_抽卡_draw_card_data.xml/奖励内容!12</t>
        </is>
      </c>
    </row>
    <row r="10" spans="1:10" ht="30" customHeight="1">
      <c r="A10" s="55">
        <v>90000006</v>
      </c>
      <c r="B10" s="55">
        <v>500100061</v>
      </c>
      <c r="C10" s="55">
        <v>6</v>
      </c>
      <c r="D10" s="618" t="inlineStr">
        <is>
          <t>寒冰射手</t>
        </is>
      </c>
      <c r="E10" s="55">
        <v>1310100</v>
      </c>
      <c r="F10" s="55">
        <v>1</v>
      </c>
      <c r="G10" s="55">
        <v>3334</v>
      </c>
      <c r="H10" s="618" t="inlineStr">
        <is>
          <t>[{unit,1310100,1}]</t>
        </is>
      </c>
      <c r="I10" s="55">
        <f>IF(E10="","",IF(ISNUMBER(IFNA(_xlfn.XLOOKUP(E10,价值表!$D:$D,价值表!$F:$F),"")),IFNA(_xlfn.XLOOKUP(E10,价值表!$D:$D,价值表!$F:$F),"")*F10,"待定"))</f>
        <v/>
      </c>
      <c r="J10" s="618" t="inlineStr">
        <is>
          <t>C_抽卡_draw_card_data.xml/奖励内容!13</t>
        </is>
      </c>
    </row>
    <row r="11" spans="1:10" ht="30" customHeight="1">
      <c r="A11" s="55">
        <v>90000006</v>
      </c>
      <c r="B11" s="55">
        <v>500100061</v>
      </c>
      <c r="C11" s="55">
        <v>7</v>
      </c>
      <c r="D11" s="618" t="inlineStr">
        <is>
          <t>炽焰巫师</t>
        </is>
      </c>
      <c r="E11" s="55">
        <v>1210400</v>
      </c>
      <c r="F11" s="55">
        <v>1</v>
      </c>
      <c r="G11" s="55">
        <v>3333</v>
      </c>
      <c r="H11" s="618" t="inlineStr">
        <is>
          <t>[{unit,1210400,1}]</t>
        </is>
      </c>
      <c r="I11" s="55">
        <f>IF(E11="","",IF(ISNUMBER(IFNA(_xlfn.XLOOKUP(E11,价值表!$D:$D,价值表!$F:$F),"")),IFNA(_xlfn.XLOOKUP(E11,价值表!$D:$D,价值表!$F:$F),"")*F11,"待定"))</f>
        <v/>
      </c>
      <c r="J11" s="618" t="inlineStr">
        <is>
          <t>C_抽卡_draw_card_data.xml/奖励内容!14</t>
        </is>
      </c>
    </row>
    <row r="12" spans="1:10" ht="30" customHeight="1">
      <c r="A12" s="55">
        <v>90000006</v>
      </c>
      <c r="B12" s="55">
        <v>500100061</v>
      </c>
      <c r="C12" s="55">
        <v>8</v>
      </c>
      <c r="D12" s="618" t="inlineStr">
        <is>
          <t>吟游诗人</t>
        </is>
      </c>
      <c r="E12" s="55">
        <v>1230100</v>
      </c>
      <c r="F12" s="55">
        <v>1</v>
      </c>
      <c r="G12" s="55">
        <v>3333</v>
      </c>
      <c r="H12" s="618" t="inlineStr">
        <is>
          <t>[{unit,1230100,1}]</t>
        </is>
      </c>
      <c r="I12" s="55">
        <f>IF(E12="","",IF(ISNUMBER(IFNA(_xlfn.XLOOKUP(E12,价值表!$D:$D,价值表!$F:$F),"")),IFNA(_xlfn.XLOOKUP(E12,价值表!$D:$D,价值表!$F:$F),"")*F12,"待定"))</f>
        <v/>
      </c>
      <c r="J12" s="618" t="inlineStr">
        <is>
          <t>C_抽卡_draw_card_data.xml/奖励内容!15</t>
        </is>
      </c>
    </row>
    <row r="13" spans="1:10" ht="30" customHeight="1">
      <c r="A13" s="55">
        <v>90000007</v>
      </c>
      <c r="B13" s="55">
        <v>500100071</v>
      </c>
      <c r="C13" s="55">
        <v>9</v>
      </c>
      <c r="D13" s="618" t="inlineStr">
        <is>
          <t>摇滚巨石</t>
        </is>
      </c>
      <c r="E13" s="55">
        <v>1420200</v>
      </c>
      <c r="F13" s="55">
        <v>1</v>
      </c>
      <c r="G13" s="55">
        <v>1670</v>
      </c>
      <c r="H13" s="618" t="inlineStr">
        <is>
          <t>[{unit,1420200,1}]</t>
        </is>
      </c>
      <c r="I13" s="55">
        <f>IF(E13="","",IF(ISNUMBER(IFNA(_xlfn.XLOOKUP(E13,价值表!$D:$D,价值表!$F:$F),"")),IFNA(_xlfn.XLOOKUP(E13,价值表!$D:$D,价值表!$F:$F),"")*F13,"待定"))</f>
        <v/>
      </c>
      <c r="J13" s="618" t="inlineStr">
        <is>
          <t>C_抽卡_draw_card_data.xml/奖励内容!16</t>
        </is>
      </c>
    </row>
    <row r="14" spans="1:10" ht="30" customHeight="1">
      <c r="A14" s="55">
        <v>90000007</v>
      </c>
      <c r="B14" s="55">
        <v>500100071</v>
      </c>
      <c r="C14" s="55">
        <v>10</v>
      </c>
      <c r="D14" s="618" t="inlineStr">
        <is>
          <t>泥巴少女</t>
        </is>
      </c>
      <c r="E14" s="55">
        <v>1320100</v>
      </c>
      <c r="F14" s="55">
        <v>1</v>
      </c>
      <c r="G14" s="55">
        <v>1666</v>
      </c>
      <c r="H14" s="618" t="inlineStr">
        <is>
          <t>[{unit,1320100,1}]</t>
        </is>
      </c>
      <c r="I14" s="55">
        <f>IF(E14="","",IF(ISNUMBER(IFNA(_xlfn.XLOOKUP(E14,价值表!$D:$D,价值表!$F:$F),"")),IFNA(_xlfn.XLOOKUP(E14,价值表!$D:$D,价值表!$F:$F),"")*F14,"待定"))</f>
        <v/>
      </c>
      <c r="J14" s="618" t="inlineStr">
        <is>
          <t>C_抽卡_draw_card_data.xml/奖励内容!17</t>
        </is>
      </c>
    </row>
    <row r="15" spans="1:10" ht="30" customHeight="1">
      <c r="A15" s="55">
        <v>90000007</v>
      </c>
      <c r="B15" s="55">
        <v>500100071</v>
      </c>
      <c r="C15" s="55">
        <v>11</v>
      </c>
      <c r="D15" s="618" t="inlineStr">
        <is>
          <t>雷震子</t>
        </is>
      </c>
      <c r="E15" s="55">
        <v>1310300</v>
      </c>
      <c r="F15" s="55">
        <v>1</v>
      </c>
      <c r="G15" s="55">
        <v>1600</v>
      </c>
      <c r="H15" s="618" t="inlineStr">
        <is>
          <t>[{unit,1310300,1},{star_road, [{1001,150},{2001,150},{3001,150},{4001,150},{5001,150},{6001,150},{7001,150},{8001,150},{9001,150},{10001,150},{10011,150},{10021,150},{10031,100}]}]</t>
        </is>
      </c>
      <c r="I15" s="55">
        <f>IF(E15="","",IF(ISNUMBER(IFNA(_xlfn.XLOOKUP(E15,价值表!$D:$D,价值表!$F:$F),"")),IFNA(_xlfn.XLOOKUP(E15,价值表!$D:$D,价值表!$F:$F),"")*F15,"待定"))</f>
        <v/>
      </c>
      <c r="J15" s="618" t="inlineStr">
        <is>
          <t>C_抽卡_draw_card_data.xml/奖励内容!18</t>
        </is>
      </c>
    </row>
    <row r="16" spans="1:10" ht="30" customHeight="1">
      <c r="A16" s="55">
        <v>90000007</v>
      </c>
      <c r="B16" s="55">
        <v>500100071</v>
      </c>
      <c r="C16" s="55">
        <v>12</v>
      </c>
      <c r="D16" s="618" t="inlineStr">
        <is>
          <t>甜心护士</t>
        </is>
      </c>
      <c r="E16" s="55">
        <v>1230400</v>
      </c>
      <c r="F16" s="55">
        <v>1</v>
      </c>
      <c r="G16" s="55">
        <v>1666</v>
      </c>
      <c r="H16" s="618" t="inlineStr">
        <is>
          <t>[{unit,1230400,1}]</t>
        </is>
      </c>
      <c r="I16" s="55">
        <f>IF(E16="","",IF(ISNUMBER(IFNA(_xlfn.XLOOKUP(E16,价值表!$D:$D,价值表!$F:$F),"")),IFNA(_xlfn.XLOOKUP(E16,价值表!$D:$D,价值表!$F:$F),"")*F16,"待定"))</f>
        <v/>
      </c>
      <c r="J16" s="618" t="inlineStr">
        <is>
          <t>C_抽卡_draw_card_data.xml/奖励内容!19</t>
        </is>
      </c>
    </row>
    <row r="17" spans="1:10" ht="30" customHeight="1">
      <c r="A17" s="55">
        <v>90000007</v>
      </c>
      <c r="B17" s="55">
        <v>500100071</v>
      </c>
      <c r="C17" s="55">
        <v>13</v>
      </c>
      <c r="D17" s="618" t="inlineStr">
        <is>
          <t>忍者鲨手1</t>
        </is>
      </c>
      <c r="E17" s="55">
        <v>1210600</v>
      </c>
      <c r="F17" s="55">
        <v>1</v>
      </c>
      <c r="G17" s="55">
        <v>1666</v>
      </c>
      <c r="H17" s="618" t="inlineStr">
        <is>
          <t>[{unit,1210600,1}]</t>
        </is>
      </c>
      <c r="I17" s="55">
        <f>IF(E17="","",IF(ISNUMBER(IFNA(_xlfn.XLOOKUP(E17,价值表!$D:$D,价值表!$F:$F),"")),IFNA(_xlfn.XLOOKUP(E17,价值表!$D:$D,价值表!$F:$F),"")*F17,"待定"))</f>
        <v/>
      </c>
      <c r="J17" s="618" t="inlineStr">
        <is>
          <t>C_抽卡_draw_card_data.xml/奖励内容!20</t>
        </is>
      </c>
    </row>
    <row r="18" spans="1:10" ht="30" customHeight="1">
      <c r="A18" s="55">
        <v>90000007</v>
      </c>
      <c r="B18" s="55">
        <v>500100071</v>
      </c>
      <c r="C18" s="55">
        <v>14</v>
      </c>
      <c r="D18" s="618" t="inlineStr">
        <is>
          <t>路人甲</t>
        </is>
      </c>
      <c r="E18" s="55">
        <v>1210700</v>
      </c>
      <c r="F18" s="55">
        <v>1</v>
      </c>
      <c r="G18" s="55">
        <v>1666</v>
      </c>
      <c r="H18" s="618" t="inlineStr">
        <is>
          <t>[{unit,1210700,1}]</t>
        </is>
      </c>
      <c r="I18" s="55">
        <f>IF(E18="","",IF(ISNUMBER(IFNA(_xlfn.XLOOKUP(E18,价值表!$D:$D,价值表!$F:$F),"")),IFNA(_xlfn.XLOOKUP(E18,价值表!$D:$D,价值表!$F:$F),"")*F18,"待定"))</f>
        <v/>
      </c>
      <c r="J18" s="618" t="inlineStr">
        <is>
          <t>C_抽卡_draw_card_data.xml/奖励内容!21</t>
        </is>
      </c>
    </row>
    <row r="19" spans="1:10" ht="30" customHeight="1">
      <c r="A19" s="55">
        <v>90000008</v>
      </c>
      <c r="B19" s="55">
        <v>500100081</v>
      </c>
      <c r="C19" s="55">
        <v>15</v>
      </c>
      <c r="D19" s="618" t="inlineStr">
        <is>
          <t>东方不败</t>
        </is>
      </c>
      <c r="E19" s="55">
        <v>1130100</v>
      </c>
      <c r="F19" s="55">
        <v>1</v>
      </c>
      <c r="G19" s="55">
        <v>1670</v>
      </c>
      <c r="H19" s="618" t="inlineStr">
        <is>
          <t>[{unit,1130100,1}]</t>
        </is>
      </c>
      <c r="I19" s="55">
        <f>IF(E19="","",IF(ISNUMBER(IFNA(_xlfn.XLOOKUP(E19,价值表!$D:$D,价值表!$F:$F),"")),IFNA(_xlfn.XLOOKUP(E19,价值表!$D:$D,价值表!$F:$F),"")*F19,"待定"))</f>
        <v/>
      </c>
      <c r="J19" s="618" t="inlineStr">
        <is>
          <t>C_抽卡_draw_card_data.xml/奖励内容!22</t>
        </is>
      </c>
    </row>
    <row r="20" spans="1:10" ht="30" customHeight="1">
      <c r="A20" s="55">
        <v>90000008</v>
      </c>
      <c r="B20" s="55">
        <v>500100081</v>
      </c>
      <c r="C20" s="55">
        <v>16</v>
      </c>
      <c r="D20" s="618" t="inlineStr">
        <is>
          <t>镭射眼</t>
        </is>
      </c>
      <c r="E20" s="55">
        <v>1530100</v>
      </c>
      <c r="F20" s="55">
        <v>1</v>
      </c>
      <c r="G20" s="55">
        <v>1666</v>
      </c>
      <c r="H20" s="618" t="inlineStr">
        <is>
          <t>[{unit,1530100,1}]</t>
        </is>
      </c>
      <c r="I20" s="55">
        <f>IF(E20="","",IF(ISNUMBER(IFNA(_xlfn.XLOOKUP(E20,价值表!$D:$D,价值表!$F:$F),"")),IFNA(_xlfn.XLOOKUP(E20,价值表!$D:$D,价值表!$F:$F),"")*F20,"待定"))</f>
        <v/>
      </c>
      <c r="J20" s="618" t="inlineStr">
        <is>
          <t>C_抽卡_draw_card_data.xml/奖励内容!23</t>
        </is>
      </c>
    </row>
    <row r="21" spans="1:10" ht="30" customHeight="1">
      <c r="A21" s="55">
        <v>90000008</v>
      </c>
      <c r="B21" s="55">
        <v>500100081</v>
      </c>
      <c r="C21" s="55">
        <v>17</v>
      </c>
      <c r="D21" s="618" t="inlineStr">
        <is>
          <t>亚瑟</t>
        </is>
      </c>
      <c r="E21" s="55">
        <v>1210300</v>
      </c>
      <c r="F21" s="55">
        <v>1</v>
      </c>
      <c r="G21" s="55">
        <v>1666</v>
      </c>
      <c r="H21" s="618" t="inlineStr">
        <is>
          <t>[{unit,1210300,1}]</t>
        </is>
      </c>
      <c r="I21" s="55">
        <f>IF(E21="","",IF(ISNUMBER(IFNA(_xlfn.XLOOKUP(E21,价值表!$D:$D,价值表!$F:$F),"")),IFNA(_xlfn.XLOOKUP(E21,价值表!$D:$D,价值表!$F:$F),"")*F21,"待定"))</f>
        <v/>
      </c>
      <c r="J21" s="618" t="inlineStr">
        <is>
          <t>C_抽卡_draw_card_data.xml/奖励内容!24</t>
        </is>
      </c>
    </row>
    <row r="22" spans="1:10" ht="30" customHeight="1">
      <c r="A22" s="55">
        <v>90000008</v>
      </c>
      <c r="B22" s="55">
        <v>500100081</v>
      </c>
      <c r="C22" s="55">
        <v>18</v>
      </c>
      <c r="D22" s="618" t="inlineStr">
        <is>
          <t>蜘蛛女王</t>
        </is>
      </c>
      <c r="E22" s="55">
        <v>1430700</v>
      </c>
      <c r="F22" s="55">
        <v>1</v>
      </c>
      <c r="G22" s="55">
        <v>1666</v>
      </c>
      <c r="H22" s="618" t="inlineStr">
        <is>
          <t>[{unit,1430700,1},{star_road, [{1003,300},{2002,1000},{3002,1000},{4002,1000},{5002,1000},{6002,1000},{7002,1000},{8002,1000},{9002,1000},{10002,600},{10012,600},{10022,700},{10032,500}]}]</t>
        </is>
      </c>
      <c r="I22" s="55">
        <f>IF(E22="","",IF(ISNUMBER(IFNA(_xlfn.XLOOKUP(E22,价值表!$D:$D,价值表!$F:$F),"")),IFNA(_xlfn.XLOOKUP(E22,价值表!$D:$D,价值表!$F:$F),"")*F22,"待定"))</f>
        <v/>
      </c>
      <c r="J22" s="618" t="inlineStr">
        <is>
          <t>C_抽卡_draw_card_data.xml/奖励内容!25</t>
        </is>
      </c>
    </row>
    <row r="23" spans="1:10" ht="30" customHeight="1">
      <c r="A23" s="55">
        <v>90000008</v>
      </c>
      <c r="B23" s="55">
        <v>500100081</v>
      </c>
      <c r="C23" s="55">
        <v>19</v>
      </c>
      <c r="D23" s="618" t="inlineStr">
        <is>
          <t>唐小僧</t>
        </is>
      </c>
      <c r="E23" s="55">
        <v>1140100</v>
      </c>
      <c r="F23" s="55">
        <v>1</v>
      </c>
      <c r="G23" s="55">
        <v>1666</v>
      </c>
      <c r="H23" s="618" t="inlineStr">
        <is>
          <t>[{unit,1140100,1}]</t>
        </is>
      </c>
      <c r="I23" s="55">
        <f>IF(E23="","",IF(ISNUMBER(IFNA(_xlfn.XLOOKUP(E23,价值表!$D:$D,价值表!$F:$F),"")),IFNA(_xlfn.XLOOKUP(E23,价值表!$D:$D,价值表!$F:$F),"")*F23,"待定"))</f>
        <v/>
      </c>
      <c r="J23" s="618" t="inlineStr">
        <is>
          <t>C_抽卡_draw_card_data.xml/奖励内容!26</t>
        </is>
      </c>
    </row>
    <row r="24" spans="1:10" ht="30" customHeight="1">
      <c r="A24" s="55">
        <v>90000008</v>
      </c>
      <c r="B24" s="55">
        <v>500100081</v>
      </c>
      <c r="C24" s="55">
        <v>20</v>
      </c>
      <c r="D24" s="618" t="inlineStr">
        <is>
          <t>神灯王子</t>
        </is>
      </c>
      <c r="E24" s="55">
        <v>1140200</v>
      </c>
      <c r="F24" s="55">
        <v>1</v>
      </c>
      <c r="G24" s="55">
        <v>1666</v>
      </c>
      <c r="H24" s="618" t="inlineStr">
        <is>
          <t>[{unit,1140200,1},{star_road, [{1002,1000},{2003,500},{3003,500},{4003,500},{5003,500},{6003,500},{7003,500},{8003,1000},{9003,1000},{10003,300},{10013,300},{10023,350},{10033,700}]}]</t>
        </is>
      </c>
      <c r="I24" s="55">
        <f>IF(E24="","",IF(ISNUMBER(IFNA(_xlfn.XLOOKUP(E24,价值表!$D:$D,价值表!$F:$F),"")),IFNA(_xlfn.XLOOKUP(E24,价值表!$D:$D,价值表!$F:$F),"")*F24,"待定"))</f>
        <v/>
      </c>
      <c r="J24" s="618" t="inlineStr">
        <is>
          <t>C_抽卡_draw_card_data.xml/奖励内容!27</t>
        </is>
      </c>
    </row>
    <row r="25" spans="1:10" ht="30" customHeight="1">
      <c r="A25" s="55">
        <v>90000008</v>
      </c>
      <c r="B25" s="55">
        <v>500100081</v>
      </c>
      <c r="C25" s="55">
        <v>10061</v>
      </c>
      <c r="D25" s="618" t="inlineStr">
        <is>
          <t>关羽</t>
        </is>
      </c>
      <c r="E25" s="55">
        <v>1110100</v>
      </c>
      <c r="F25" s="55">
        <v>1</v>
      </c>
      <c r="G25" s="55">
        <v>1666</v>
      </c>
      <c r="H25" s="618" t="inlineStr">
        <is>
          <t>[{unit,1110100,1},{star_road, [{1003,1200},{2003,1000},{3003,1000},{4003,1000},{5003,1000},{6003,1000},{7003,1000},{8003,600},{9003,600},{10003,600},{10013,600},{10023,600},{10033,300}]}]</t>
        </is>
      </c>
      <c r="I25" s="55">
        <f>IF(E25="","",IF(ISNUMBER(IFNA(_xlfn.XLOOKUP(E25,价值表!$D:$D,价值表!$F:$F),"")),IFNA(_xlfn.XLOOKUP(E25,价值表!$D:$D,价值表!$F:$F),"")*F25,"待定"))</f>
        <v/>
      </c>
      <c r="J25" s="618" t="inlineStr">
        <is>
          <t>C_抽卡_draw_card_data.xml/奖励内容!28</t>
        </is>
      </c>
    </row>
    <row r="26" spans="1:10" ht="30" customHeight="1">
      <c r="A26" s="55">
        <v>90000006</v>
      </c>
      <c r="B26" s="55">
        <v>500100061</v>
      </c>
      <c r="C26" s="55">
        <v>10041</v>
      </c>
      <c r="D26" s="618" t="inlineStr">
        <is>
          <t>寒冰射手</t>
        </is>
      </c>
      <c r="E26" s="55">
        <v>1310100</v>
      </c>
      <c r="F26" s="55">
        <v>1</v>
      </c>
      <c r="G26" s="55">
        <v>1</v>
      </c>
      <c r="H26" s="618" t="inlineStr">
        <is>
          <t>[{unit,1310100,1},{acc_unit_max,1310100,4}]</t>
        </is>
      </c>
      <c r="I26" s="55">
        <f>IF(E26="","",IF(ISNUMBER(IFNA(_xlfn.XLOOKUP(E26,价值表!$D:$D,价值表!$F:$F),"")),IFNA(_xlfn.XLOOKUP(E26,价值表!$D:$D,价值表!$F:$F),"")*F26,"待定"))</f>
        <v/>
      </c>
      <c r="J26" s="618" t="inlineStr">
        <is>
          <t>C_抽卡_draw_card_data.xml/奖励内容!95</t>
        </is>
      </c>
    </row>
    <row r="27" spans="1:10" ht="30" customHeight="1">
      <c r="A27" s="55">
        <v>90000006</v>
      </c>
      <c r="B27" s="55">
        <v>500100061</v>
      </c>
      <c r="C27" s="55">
        <v>10042</v>
      </c>
      <c r="D27" s="618" t="inlineStr">
        <is>
          <t>炽焰巫师</t>
        </is>
      </c>
      <c r="E27" s="55">
        <v>1210400</v>
      </c>
      <c r="F27" s="55">
        <v>1</v>
      </c>
      <c r="G27" s="55">
        <v>1</v>
      </c>
      <c r="H27" s="618" t="inlineStr">
        <is>
          <t>[{unit,1210400,1},{acc_unit_max,1210400,4}]</t>
        </is>
      </c>
      <c r="I27" s="55">
        <f>IF(E27="","",IF(ISNUMBER(IFNA(_xlfn.XLOOKUP(E27,价值表!$D:$D,价值表!$F:$F),"")),IFNA(_xlfn.XLOOKUP(E27,价值表!$D:$D,价值表!$F:$F),"")*F27,"待定"))</f>
        <v/>
      </c>
      <c r="J27" s="618" t="inlineStr">
        <is>
          <t>C_抽卡_draw_card_data.xml/奖励内容!96</t>
        </is>
      </c>
    </row>
    <row r="28" spans="1:10" ht="30" customHeight="1">
      <c r="A28" s="55">
        <v>90000006</v>
      </c>
      <c r="B28" s="55">
        <v>500100061</v>
      </c>
      <c r="C28" s="55">
        <v>10043</v>
      </c>
      <c r="D28" s="618" t="inlineStr">
        <is>
          <t>吟游诗人</t>
        </is>
      </c>
      <c r="E28" s="55">
        <v>1230100</v>
      </c>
      <c r="F28" s="55">
        <v>1</v>
      </c>
      <c r="G28" s="55">
        <v>1</v>
      </c>
      <c r="H28" s="618" t="inlineStr">
        <is>
          <t>[{unit,1230100,1},{acc_unit_max,1230100,4}]</t>
        </is>
      </c>
      <c r="I28" s="55">
        <f>IF(E28="","",IF(ISNUMBER(IFNA(_xlfn.XLOOKUP(E28,价值表!$D:$D,价值表!$F:$F),"")),IFNA(_xlfn.XLOOKUP(E28,价值表!$D:$D,价值表!$F:$F),"")*F28,"待定"))</f>
        <v/>
      </c>
      <c r="J28" s="618" t="inlineStr">
        <is>
          <t>C_抽卡_draw_card_data.xml/奖励内容!97</t>
        </is>
      </c>
    </row>
    <row r="29" spans="1:10" ht="30" customHeight="1">
      <c r="A29" s="55">
        <v>90000007</v>
      </c>
      <c r="B29" s="55">
        <v>500100071</v>
      </c>
      <c r="C29" s="55">
        <v>10044</v>
      </c>
      <c r="D29" s="618" t="inlineStr">
        <is>
          <t>摇滚巨石</t>
        </is>
      </c>
      <c r="E29" s="55">
        <v>1420200</v>
      </c>
      <c r="F29" s="55">
        <v>1</v>
      </c>
      <c r="G29" s="55">
        <v>0</v>
      </c>
      <c r="H29" s="618" t="inlineStr">
        <is>
          <t>[{unit,1420200,1},{acc_unit_max,1420200,4}]</t>
        </is>
      </c>
      <c r="I29" s="55">
        <f>IF(E29="","",IF(ISNUMBER(IFNA(_xlfn.XLOOKUP(E29,价值表!$D:$D,价值表!$F:$F),"")),IFNA(_xlfn.XLOOKUP(E29,价值表!$D:$D,价值表!$F:$F),"")*F29,"待定"))</f>
        <v/>
      </c>
      <c r="J29" s="618" t="inlineStr">
        <is>
          <t>C_抽卡_draw_card_data.xml/奖励内容!98</t>
        </is>
      </c>
    </row>
    <row r="30" spans="1:10" ht="30" customHeight="1">
      <c r="A30" s="55">
        <v>90000007</v>
      </c>
      <c r="B30" s="55">
        <v>500100071</v>
      </c>
      <c r="C30" s="55">
        <v>10045</v>
      </c>
      <c r="D30" s="618" t="inlineStr">
        <is>
          <t>泥巴少女</t>
        </is>
      </c>
      <c r="E30" s="55">
        <v>1320100</v>
      </c>
      <c r="F30" s="55">
        <v>1</v>
      </c>
      <c r="G30" s="55">
        <v>0</v>
      </c>
      <c r="H30" s="618" t="inlineStr">
        <is>
          <t>[{unit,1320100,1},{acc_unit_max,1320100,4}]</t>
        </is>
      </c>
      <c r="I30" s="55">
        <f>IF(E30="","",IF(ISNUMBER(IFNA(_xlfn.XLOOKUP(E30,价值表!$D:$D,价值表!$F:$F),"")),IFNA(_xlfn.XLOOKUP(E30,价值表!$D:$D,价值表!$F:$F),"")*F30,"待定"))</f>
        <v/>
      </c>
      <c r="J30" s="618" t="inlineStr">
        <is>
          <t>C_抽卡_draw_card_data.xml/奖励内容!99</t>
        </is>
      </c>
    </row>
    <row r="31" spans="1:10" ht="30" customHeight="1">
      <c r="A31" s="55">
        <v>90000007</v>
      </c>
      <c r="B31" s="55">
        <v>500100071</v>
      </c>
      <c r="C31" s="55">
        <v>10046</v>
      </c>
      <c r="D31" s="618" t="inlineStr">
        <is>
          <t>雷震子</t>
        </is>
      </c>
      <c r="E31" s="55">
        <v>1310300</v>
      </c>
      <c r="F31" s="55">
        <v>1</v>
      </c>
      <c r="G31" s="55">
        <v>1666</v>
      </c>
      <c r="I31" s="55">
        <f>IF(E31="","",IF(ISNUMBER(IFNA(_xlfn.XLOOKUP(E31,价值表!$D:$D,价值表!$F:$F),"")),IFNA(_xlfn.XLOOKUP(E31,价值表!$D:$D,价值表!$F:$F),"")*F31,"待定"))</f>
        <v/>
      </c>
      <c r="J31" s="618" t="inlineStr">
        <is>
          <t>C_抽卡_draw_card_data.xml/奖励内容!100</t>
        </is>
      </c>
    </row>
    <row r="32" spans="1:10" ht="30" customHeight="1">
      <c r="A32" s="55">
        <v>90000007</v>
      </c>
      <c r="B32" s="55">
        <v>500100071</v>
      </c>
      <c r="C32" s="55">
        <v>10047</v>
      </c>
      <c r="D32" s="618" t="inlineStr">
        <is>
          <t>甜心护士</t>
        </is>
      </c>
      <c r="E32" s="55">
        <v>1230400</v>
      </c>
      <c r="F32" s="55">
        <v>1</v>
      </c>
      <c r="G32" s="55">
        <v>3332</v>
      </c>
      <c r="H32" s="618" t="inlineStr">
        <is>
          <t>[{unit,1230400,1},{acc_unit_max,1230400,4}]</t>
        </is>
      </c>
      <c r="I32" s="55">
        <f>IF(E32="","",IF(ISNUMBER(IFNA(_xlfn.XLOOKUP(E32,价值表!$D:$D,价值表!$F:$F),"")),IFNA(_xlfn.XLOOKUP(E32,价值表!$D:$D,价值表!$F:$F),"")*F32,"待定"))</f>
        <v/>
      </c>
      <c r="J32" s="618" t="inlineStr">
        <is>
          <t>C_抽卡_draw_card_data.xml/奖励内容!101</t>
        </is>
      </c>
    </row>
    <row r="33" spans="1:10" ht="30" customHeight="1">
      <c r="A33" s="55">
        <v>90000007</v>
      </c>
      <c r="B33" s="55">
        <v>500100071</v>
      </c>
      <c r="C33" s="55">
        <v>10048</v>
      </c>
      <c r="D33" s="618" t="inlineStr">
        <is>
          <t>忍者鲨手1</t>
        </is>
      </c>
      <c r="E33" s="55">
        <v>1210600</v>
      </c>
      <c r="F33" s="55">
        <v>1</v>
      </c>
      <c r="G33" s="55">
        <v>4998</v>
      </c>
      <c r="H33" s="618" t="inlineStr">
        <is>
          <t>[{unit,1210600,1},{acc_unit_max,1210600,4}]</t>
        </is>
      </c>
      <c r="I33" s="55">
        <f>IF(E33="","",IF(ISNUMBER(IFNA(_xlfn.XLOOKUP(E33,价值表!$D:$D,价值表!$F:$F),"")),IFNA(_xlfn.XLOOKUP(E33,价值表!$D:$D,价值表!$F:$F),"")*F33,"待定"))</f>
        <v/>
      </c>
      <c r="J33" s="618" t="inlineStr">
        <is>
          <t>C_抽卡_draw_card_data.xml/奖励内容!102</t>
        </is>
      </c>
    </row>
    <row r="34" spans="1:10" ht="30" customHeight="1">
      <c r="A34" s="55">
        <v>90000007</v>
      </c>
      <c r="B34" s="55">
        <v>500100071</v>
      </c>
      <c r="C34" s="55">
        <v>10049</v>
      </c>
      <c r="D34" s="618" t="inlineStr">
        <is>
          <t>路人甲</t>
        </is>
      </c>
      <c r="E34" s="55">
        <v>1210700</v>
      </c>
      <c r="F34" s="55">
        <v>1</v>
      </c>
      <c r="G34" s="55">
        <v>6664</v>
      </c>
      <c r="H34" s="618" t="inlineStr">
        <is>
          <t>[{unit,1210700,1},{acc_unit_max,1210700,4}]</t>
        </is>
      </c>
      <c r="I34" s="55">
        <f>IF(E34="","",IF(ISNUMBER(IFNA(_xlfn.XLOOKUP(E34,价值表!$D:$D,价值表!$F:$F),"")),IFNA(_xlfn.XLOOKUP(E34,价值表!$D:$D,价值表!$F:$F),"")*F34,"待定"))</f>
        <v/>
      </c>
      <c r="J34" s="618" t="inlineStr">
        <is>
          <t>C_抽卡_draw_card_data.xml/奖励内容!103</t>
        </is>
      </c>
    </row>
    <row r="35" spans="1:10" ht="30" customHeight="1">
      <c r="A35" s="55">
        <v>90000008</v>
      </c>
      <c r="B35" s="55">
        <v>500100081</v>
      </c>
      <c r="C35" s="55">
        <v>10050</v>
      </c>
      <c r="D35" s="618" t="inlineStr">
        <is>
          <t>东方不败</t>
        </is>
      </c>
      <c r="E35" s="55">
        <v>1130100</v>
      </c>
      <c r="F35" s="55">
        <v>1</v>
      </c>
      <c r="G35" s="55">
        <v>0</v>
      </c>
      <c r="H35" s="618" t="inlineStr">
        <is>
          <t>[{unit,1130100,1},{acc_unit_max,1130100,4}]</t>
        </is>
      </c>
      <c r="I35" s="55">
        <f>IF(E35="","",IF(ISNUMBER(IFNA(_xlfn.XLOOKUP(E35,价值表!$D:$D,价值表!$F:$F),"")),IFNA(_xlfn.XLOOKUP(E35,价值表!$D:$D,价值表!$F:$F),"")*F35,"待定"))</f>
        <v/>
      </c>
      <c r="J35" s="618" t="inlineStr">
        <is>
          <t>C_抽卡_draw_card_data.xml/奖励内容!104</t>
        </is>
      </c>
    </row>
    <row r="36" spans="1:10" ht="30" customHeight="1">
      <c r="A36" s="55">
        <v>90000008</v>
      </c>
      <c r="B36" s="55">
        <v>500100081</v>
      </c>
      <c r="C36" s="55">
        <v>10051</v>
      </c>
      <c r="D36" s="618" t="inlineStr">
        <is>
          <t>镭射眼</t>
        </is>
      </c>
      <c r="E36" s="55">
        <v>1530100</v>
      </c>
      <c r="F36" s="55">
        <v>1</v>
      </c>
      <c r="G36" s="55">
        <v>0</v>
      </c>
      <c r="H36" s="618" t="inlineStr">
        <is>
          <t>[{unit,1530100,1},{acc_unit_max,1530100,4}]</t>
        </is>
      </c>
      <c r="I36" s="55">
        <f>IF(E36="","",IF(ISNUMBER(IFNA(_xlfn.XLOOKUP(E36,价值表!$D:$D,价值表!$F:$F),"")),IFNA(_xlfn.XLOOKUP(E36,价值表!$D:$D,价值表!$F:$F),"")*F36,"待定"))</f>
        <v/>
      </c>
      <c r="J36" s="618" t="inlineStr">
        <is>
          <t>C_抽卡_draw_card_data.xml/奖励内容!105</t>
        </is>
      </c>
    </row>
    <row r="37" spans="1:10" ht="30" customHeight="1">
      <c r="A37" s="55">
        <v>90000008</v>
      </c>
      <c r="B37" s="55">
        <v>500100081</v>
      </c>
      <c r="C37" s="55">
        <v>10052</v>
      </c>
      <c r="D37" s="618" t="inlineStr">
        <is>
          <t>亚瑟</t>
        </is>
      </c>
      <c r="E37" s="55">
        <v>1210300</v>
      </c>
      <c r="F37" s="55">
        <v>1</v>
      </c>
      <c r="G37" s="55">
        <v>1666</v>
      </c>
      <c r="H37" s="618" t="inlineStr">
        <is>
          <t>[{unit,1210300,1},{acc_unit_max,1210300,4}]</t>
        </is>
      </c>
      <c r="I37" s="55">
        <f>IF(E37="","",IF(ISNUMBER(IFNA(_xlfn.XLOOKUP(E37,价值表!$D:$D,价值表!$F:$F),"")),IFNA(_xlfn.XLOOKUP(E37,价值表!$D:$D,价值表!$F:$F),"")*F37,"待定"))</f>
        <v/>
      </c>
      <c r="J37" s="618" t="inlineStr">
        <is>
          <t>C_抽卡_draw_card_data.xml/奖励内容!106</t>
        </is>
      </c>
    </row>
    <row r="38" spans="1:10" ht="30" customHeight="1">
      <c r="A38" s="55">
        <v>90000008</v>
      </c>
      <c r="B38" s="55">
        <v>500100081</v>
      </c>
      <c r="C38" s="55">
        <v>10053</v>
      </c>
      <c r="D38" s="618" t="inlineStr">
        <is>
          <t>蜘蛛女王</t>
        </is>
      </c>
      <c r="E38" s="55">
        <v>1430700</v>
      </c>
      <c r="F38" s="55">
        <v>1</v>
      </c>
      <c r="G38" s="55">
        <v>3332</v>
      </c>
      <c r="I38" s="55">
        <f>IF(E38="","",IF(ISNUMBER(IFNA(_xlfn.XLOOKUP(E38,价值表!$D:$D,价值表!$F:$F),"")),IFNA(_xlfn.XLOOKUP(E38,价值表!$D:$D,价值表!$F:$F),"")*F38,"待定"))</f>
        <v/>
      </c>
      <c r="J38" s="618" t="inlineStr">
        <is>
          <t>C_抽卡_draw_card_data.xml/奖励内容!107</t>
        </is>
      </c>
    </row>
    <row r="39" spans="1:10" ht="30" customHeight="1">
      <c r="A39" s="55">
        <v>90000008</v>
      </c>
      <c r="B39" s="55">
        <v>500100081</v>
      </c>
      <c r="C39" s="55">
        <v>10054</v>
      </c>
      <c r="D39" s="618" t="inlineStr">
        <is>
          <t>唐小僧</t>
        </is>
      </c>
      <c r="E39" s="55">
        <v>1140100</v>
      </c>
      <c r="F39" s="55">
        <v>1</v>
      </c>
      <c r="G39" s="55">
        <v>4998</v>
      </c>
      <c r="H39" s="618" t="inlineStr">
        <is>
          <t>[{unit,1140100,1},{acc_unit_max,1140100,4}]</t>
        </is>
      </c>
      <c r="I39" s="55">
        <f>IF(E39="","",IF(ISNUMBER(IFNA(_xlfn.XLOOKUP(E39,价值表!$D:$D,价值表!$F:$F),"")),IFNA(_xlfn.XLOOKUP(E39,价值表!$D:$D,价值表!$F:$F),"")*F39,"待定"))</f>
        <v/>
      </c>
      <c r="J39" s="618" t="inlineStr">
        <is>
          <t>C_抽卡_draw_card_data.xml/奖励内容!108</t>
        </is>
      </c>
    </row>
    <row r="40" spans="1:10" ht="30" customHeight="1">
      <c r="A40" s="55">
        <v>90000008</v>
      </c>
      <c r="B40" s="55">
        <v>500100081</v>
      </c>
      <c r="C40" s="55">
        <v>10055</v>
      </c>
      <c r="D40" s="618" t="inlineStr">
        <is>
          <t>神灯王子</t>
        </is>
      </c>
      <c r="E40" s="55">
        <v>1140200</v>
      </c>
      <c r="F40" s="55">
        <v>1</v>
      </c>
      <c r="G40" s="55">
        <v>6664</v>
      </c>
      <c r="I40" s="55">
        <f>IF(E40="","",IF(ISNUMBER(IFNA(_xlfn.XLOOKUP(E40,价值表!$D:$D,价值表!$F:$F),"")),IFNA(_xlfn.XLOOKUP(E40,价值表!$D:$D,价值表!$F:$F),"")*F40,"待定"))</f>
        <v/>
      </c>
      <c r="J40" s="618" t="inlineStr">
        <is>
          <t>C_抽卡_draw_card_data.xml/奖励内容!109</t>
        </is>
      </c>
    </row>
    <row r="41" spans="1:10" ht="30" customHeight="1">
      <c r="A41" s="55">
        <v>90000008</v>
      </c>
      <c r="B41" s="55">
        <v>500100081</v>
      </c>
      <c r="C41" s="55">
        <v>10065</v>
      </c>
      <c r="D41" s="618" t="inlineStr">
        <is>
          <t>关羽</t>
        </is>
      </c>
      <c r="E41" s="55">
        <v>1110100</v>
      </c>
      <c r="F41" s="55">
        <v>1</v>
      </c>
      <c r="G41" s="55">
        <v>8330</v>
      </c>
      <c r="I41" s="55">
        <f>IF(E41="","",IF(ISNUMBER(IFNA(_xlfn.XLOOKUP(E41,价值表!$D:$D,价值表!$F:$F),"")),IFNA(_xlfn.XLOOKUP(E41,价值表!$D:$D,价值表!$F:$F),"")*F41,"待定"))</f>
        <v/>
      </c>
      <c r="J41" s="618" t="inlineStr">
        <is>
          <t>C_抽卡_draw_card_data.xml/奖励内容!110</t>
        </is>
      </c>
    </row>
    <row r="42" spans="1:10" ht="30" customHeight="1">
      <c r="A42" s="55">
        <v>90000006</v>
      </c>
      <c r="B42" s="55">
        <v>500100061</v>
      </c>
      <c r="C42" s="55">
        <v>10066</v>
      </c>
      <c r="D42" s="618" t="inlineStr">
        <is>
          <t>寒冰射手</t>
        </is>
      </c>
      <c r="E42" s="55">
        <v>1310100</v>
      </c>
      <c r="F42" s="55">
        <v>1</v>
      </c>
      <c r="G42" s="55">
        <v>1</v>
      </c>
      <c r="H42" s="618" t="inlineStr">
        <is>
          <t>[{unit,1310100,1},{acc_unit_max,1310100,10}]</t>
        </is>
      </c>
      <c r="I42" s="55">
        <f>IF(E42="","",IF(ISNUMBER(IFNA(_xlfn.XLOOKUP(E42,价值表!$D:$D,价值表!$F:$F),"")),IFNA(_xlfn.XLOOKUP(E42,价值表!$D:$D,价值表!$F:$F),"")*F42,"待定"))</f>
        <v/>
      </c>
      <c r="J42" s="618" t="inlineStr">
        <is>
          <t>C_抽卡_draw_card_data.xml/奖励内容!117</t>
        </is>
      </c>
    </row>
    <row r="43" spans="1:10" ht="30" customHeight="1">
      <c r="A43" s="55">
        <v>90000006</v>
      </c>
      <c r="B43" s="55">
        <v>500100061</v>
      </c>
      <c r="C43" s="55">
        <v>10067</v>
      </c>
      <c r="D43" s="618" t="inlineStr">
        <is>
          <t>炽焰巫师</t>
        </is>
      </c>
      <c r="E43" s="55">
        <v>1210400</v>
      </c>
      <c r="F43" s="55">
        <v>1</v>
      </c>
      <c r="G43" s="55">
        <v>1</v>
      </c>
      <c r="H43" s="618" t="inlineStr">
        <is>
          <t>[{unit,1210400,1},{acc_unit_max,1210400,10}]</t>
        </is>
      </c>
      <c r="I43" s="55">
        <f>IF(E43="","",IF(ISNUMBER(IFNA(_xlfn.XLOOKUP(E43,价值表!$D:$D,价值表!$F:$F),"")),IFNA(_xlfn.XLOOKUP(E43,价值表!$D:$D,价值表!$F:$F),"")*F43,"待定"))</f>
        <v/>
      </c>
      <c r="J43" s="618" t="inlineStr">
        <is>
          <t>C_抽卡_draw_card_data.xml/奖励内容!118</t>
        </is>
      </c>
    </row>
    <row r="44" spans="1:10" ht="30" customHeight="1">
      <c r="A44" s="55">
        <v>90000006</v>
      </c>
      <c r="B44" s="55">
        <v>500100061</v>
      </c>
      <c r="C44" s="55">
        <v>10068</v>
      </c>
      <c r="D44" s="618" t="inlineStr">
        <is>
          <t>吟游诗人</t>
        </is>
      </c>
      <c r="E44" s="55">
        <v>1230100</v>
      </c>
      <c r="F44" s="55">
        <v>1</v>
      </c>
      <c r="G44" s="55">
        <v>1</v>
      </c>
      <c r="H44" s="618" t="inlineStr">
        <is>
          <t>[{unit,1230100,1},{acc_unit_max,1230100,10}]</t>
        </is>
      </c>
      <c r="I44" s="55">
        <f>IF(E44="","",IF(ISNUMBER(IFNA(_xlfn.XLOOKUP(E44,价值表!$D:$D,价值表!$F:$F),"")),IFNA(_xlfn.XLOOKUP(E44,价值表!$D:$D,价值表!$F:$F),"")*F44,"待定"))</f>
        <v/>
      </c>
      <c r="J44" s="618" t="inlineStr">
        <is>
          <t>C_抽卡_draw_card_data.xml/奖励内容!119</t>
        </is>
      </c>
    </row>
    <row r="45" spans="1:10" ht="30" customHeight="1">
      <c r="A45" s="55">
        <v>90000007</v>
      </c>
      <c r="B45" s="55">
        <v>500100071</v>
      </c>
      <c r="C45" s="55">
        <v>10069</v>
      </c>
      <c r="D45" s="618" t="inlineStr">
        <is>
          <t>摇滚巨石</t>
        </is>
      </c>
      <c r="E45" s="55">
        <v>1420200</v>
      </c>
      <c r="F45" s="55">
        <v>1</v>
      </c>
      <c r="G45" s="55">
        <v>1</v>
      </c>
      <c r="H45" s="618" t="inlineStr">
        <is>
          <t>[{unit,1420200,1},{acc_unit_max,1420200,10}]</t>
        </is>
      </c>
      <c r="I45" s="55">
        <f>IF(E45="","",IF(ISNUMBER(IFNA(_xlfn.XLOOKUP(E45,价值表!$D:$D,价值表!$F:$F),"")),IFNA(_xlfn.XLOOKUP(E45,价值表!$D:$D,价值表!$F:$F),"")*F45,"待定"))</f>
        <v/>
      </c>
      <c r="J45" s="618" t="inlineStr">
        <is>
          <t>C_抽卡_draw_card_data.xml/奖励内容!120</t>
        </is>
      </c>
    </row>
    <row r="46" spans="1:10" ht="30" customHeight="1">
      <c r="A46" s="55">
        <v>90000007</v>
      </c>
      <c r="B46" s="55">
        <v>500100071</v>
      </c>
      <c r="C46" s="55">
        <v>10070</v>
      </c>
      <c r="D46" s="618" t="inlineStr">
        <is>
          <t>泥巴少女</t>
        </is>
      </c>
      <c r="E46" s="55">
        <v>1320100</v>
      </c>
      <c r="F46" s="55">
        <v>1</v>
      </c>
      <c r="G46" s="55">
        <v>1</v>
      </c>
      <c r="H46" s="618" t="inlineStr">
        <is>
          <t>[{unit,1320100,1},{acc_unit_max,1320100,10}]</t>
        </is>
      </c>
      <c r="I46" s="55">
        <f>IF(E46="","",IF(ISNUMBER(IFNA(_xlfn.XLOOKUP(E46,价值表!$D:$D,价值表!$F:$F),"")),IFNA(_xlfn.XLOOKUP(E46,价值表!$D:$D,价值表!$F:$F),"")*F46,"待定"))</f>
        <v/>
      </c>
      <c r="J46" s="618" t="inlineStr">
        <is>
          <t>C_抽卡_draw_card_data.xml/奖励内容!121</t>
        </is>
      </c>
    </row>
    <row r="47" spans="1:10" ht="30" customHeight="1">
      <c r="A47" s="55">
        <v>90000007</v>
      </c>
      <c r="B47" s="55">
        <v>500100071</v>
      </c>
      <c r="C47" s="55">
        <v>10071</v>
      </c>
      <c r="D47" s="618" t="inlineStr">
        <is>
          <t>雷震子</t>
        </is>
      </c>
      <c r="E47" s="55">
        <v>1310300</v>
      </c>
      <c r="F47" s="55">
        <v>1</v>
      </c>
      <c r="G47" s="55">
        <v>1</v>
      </c>
      <c r="H47" s="618" t="inlineStr">
        <is>
          <t>[{unit,1310300,1},{acc_unit_max,1310300,10},{star_road, [{1001,150},{2001,150},{3001,150},{4001,150},{5001,150},{6001,150},{7001,150},{8001,150},{9001,150}]}]</t>
        </is>
      </c>
      <c r="I47" s="55">
        <f>IF(E47="","",IF(ISNUMBER(IFNA(_xlfn.XLOOKUP(E47,价值表!$D:$D,价值表!$F:$F),"")),IFNA(_xlfn.XLOOKUP(E47,价值表!$D:$D,价值表!$F:$F),"")*F47,"待定"))</f>
        <v/>
      </c>
      <c r="J47" s="618" t="inlineStr">
        <is>
          <t>C_抽卡_draw_card_data.xml/奖励内容!122</t>
        </is>
      </c>
    </row>
    <row r="48" spans="1:10" ht="30" customHeight="1">
      <c r="A48" s="55">
        <v>90000007</v>
      </c>
      <c r="B48" s="55">
        <v>500100071</v>
      </c>
      <c r="C48" s="55">
        <v>10072</v>
      </c>
      <c r="D48" s="618" t="inlineStr">
        <is>
          <t>甜心护士</t>
        </is>
      </c>
      <c r="E48" s="55">
        <v>1230400</v>
      </c>
      <c r="F48" s="55">
        <v>1</v>
      </c>
      <c r="G48" s="55">
        <v>1</v>
      </c>
      <c r="H48" s="618" t="inlineStr">
        <is>
          <t>[{unit,1230400,1},{acc_unit_max,1230400,10}]</t>
        </is>
      </c>
      <c r="I48" s="55">
        <f>IF(E48="","",IF(ISNUMBER(IFNA(_xlfn.XLOOKUP(E48,价值表!$D:$D,价值表!$F:$F),"")),IFNA(_xlfn.XLOOKUP(E48,价值表!$D:$D,价值表!$F:$F),"")*F48,"待定"))</f>
        <v/>
      </c>
      <c r="J48" s="618" t="inlineStr">
        <is>
          <t>C_抽卡_draw_card_data.xml/奖励内容!123</t>
        </is>
      </c>
    </row>
    <row r="49" spans="1:10" ht="30" customHeight="1">
      <c r="A49" s="55">
        <v>90000007</v>
      </c>
      <c r="B49" s="55">
        <v>500100071</v>
      </c>
      <c r="C49" s="55">
        <v>10073</v>
      </c>
      <c r="D49" s="618" t="inlineStr">
        <is>
          <t>忍者鲨手1</t>
        </is>
      </c>
      <c r="E49" s="55">
        <v>1210600</v>
      </c>
      <c r="F49" s="55">
        <v>1</v>
      </c>
      <c r="G49" s="55">
        <v>1</v>
      </c>
      <c r="H49" s="618" t="inlineStr">
        <is>
          <t>[{unit,1210600,1}]</t>
        </is>
      </c>
      <c r="I49" s="55">
        <f>IF(E49="","",IF(ISNUMBER(IFNA(_xlfn.XLOOKUP(E49,价值表!$D:$D,价值表!$F:$F),"")),IFNA(_xlfn.XLOOKUP(E49,价值表!$D:$D,价值表!$F:$F),"")*F49,"待定"))</f>
        <v/>
      </c>
      <c r="J49" s="618" t="inlineStr">
        <is>
          <t>C_抽卡_draw_card_data.xml/奖励内容!124</t>
        </is>
      </c>
    </row>
    <row r="50" spans="1:10" ht="30" customHeight="1">
      <c r="A50" s="55">
        <v>90000007</v>
      </c>
      <c r="B50" s="55">
        <v>500100071</v>
      </c>
      <c r="C50" s="55">
        <v>10074</v>
      </c>
      <c r="D50" s="618" t="inlineStr">
        <is>
          <t>路人甲</t>
        </is>
      </c>
      <c r="E50" s="55">
        <v>1210700</v>
      </c>
      <c r="F50" s="55">
        <v>1</v>
      </c>
      <c r="G50" s="55">
        <v>1</v>
      </c>
      <c r="H50" s="618" t="inlineStr">
        <is>
          <t>[{unit,1210700,1},{acc_unit_max,1210700,10}]</t>
        </is>
      </c>
      <c r="I50" s="55">
        <f>IF(E50="","",IF(ISNUMBER(IFNA(_xlfn.XLOOKUP(E50,价值表!$D:$D,价值表!$F:$F),"")),IFNA(_xlfn.XLOOKUP(E50,价值表!$D:$D,价值表!$F:$F),"")*F50,"待定"))</f>
        <v/>
      </c>
      <c r="J50" s="618" t="inlineStr">
        <is>
          <t>C_抽卡_draw_card_data.xml/奖励内容!125</t>
        </is>
      </c>
    </row>
    <row r="51" spans="1:10" ht="30" customHeight="1">
      <c r="A51" s="55">
        <v>90000008</v>
      </c>
      <c r="B51" s="55">
        <v>500100081</v>
      </c>
      <c r="C51" s="55">
        <v>10075</v>
      </c>
      <c r="D51" s="618" t="inlineStr">
        <is>
          <t>东方不败</t>
        </is>
      </c>
      <c r="E51" s="55">
        <v>1130100</v>
      </c>
      <c r="F51" s="55">
        <v>1</v>
      </c>
      <c r="G51" s="55">
        <v>1</v>
      </c>
      <c r="H51" s="618" t="inlineStr">
        <is>
          <t>[{unit,1130100,1},{acc_unit_max,1130100,20}]</t>
        </is>
      </c>
      <c r="I51" s="55">
        <f>IF(E51="","",IF(ISNUMBER(IFNA(_xlfn.XLOOKUP(E51,价值表!$D:$D,价值表!$F:$F),"")),IFNA(_xlfn.XLOOKUP(E51,价值表!$D:$D,价值表!$F:$F),"")*F51,"待定"))</f>
        <v/>
      </c>
      <c r="J51" s="618" t="inlineStr">
        <is>
          <t>C_抽卡_draw_card_data.xml/奖励内容!126</t>
        </is>
      </c>
    </row>
    <row r="52" spans="1:10" ht="30" customHeight="1">
      <c r="A52" s="55">
        <v>90000008</v>
      </c>
      <c r="B52" s="55">
        <v>500100081</v>
      </c>
      <c r="C52" s="55">
        <v>10076</v>
      </c>
      <c r="D52" s="618" t="inlineStr">
        <is>
          <t>镭射眼</t>
        </is>
      </c>
      <c r="E52" s="55">
        <v>1530100</v>
      </c>
      <c r="F52" s="55">
        <v>1</v>
      </c>
      <c r="G52" s="55">
        <v>1</v>
      </c>
      <c r="H52" s="618" t="inlineStr">
        <is>
          <t>[{unit,1530100,1},{acc_unit_max,1530100,20}]</t>
        </is>
      </c>
      <c r="I52" s="55">
        <f>IF(E52="","",IF(ISNUMBER(IFNA(_xlfn.XLOOKUP(E52,价值表!$D:$D,价值表!$F:$F),"")),IFNA(_xlfn.XLOOKUP(E52,价值表!$D:$D,价值表!$F:$F),"")*F52,"待定"))</f>
        <v/>
      </c>
      <c r="J52" s="618" t="inlineStr">
        <is>
          <t>C_抽卡_draw_card_data.xml/奖励内容!127</t>
        </is>
      </c>
    </row>
    <row r="53" spans="1:10" ht="30" customHeight="1">
      <c r="A53" s="55">
        <v>90000008</v>
      </c>
      <c r="B53" s="55">
        <v>500100081</v>
      </c>
      <c r="C53" s="55">
        <v>10077</v>
      </c>
      <c r="D53" s="618" t="inlineStr">
        <is>
          <t>亚瑟</t>
        </is>
      </c>
      <c r="E53" s="55">
        <v>1210300</v>
      </c>
      <c r="F53" s="55">
        <v>1</v>
      </c>
      <c r="G53" s="55">
        <v>1</v>
      </c>
      <c r="H53" s="618" t="inlineStr">
        <is>
          <t>[{unit,1210300,1},{acc_unit_max,1210300,20}]</t>
        </is>
      </c>
      <c r="I53" s="55">
        <f>IF(E53="","",IF(ISNUMBER(IFNA(_xlfn.XLOOKUP(E53,价值表!$D:$D,价值表!$F:$F),"")),IFNA(_xlfn.XLOOKUP(E53,价值表!$D:$D,价值表!$F:$F),"")*F53,"待定"))</f>
        <v/>
      </c>
      <c r="J53" s="618" t="inlineStr">
        <is>
          <t>C_抽卡_draw_card_data.xml/奖励内容!128</t>
        </is>
      </c>
    </row>
    <row r="54" spans="1:10" ht="30" customHeight="1">
      <c r="A54" s="55">
        <v>90000008</v>
      </c>
      <c r="B54" s="55">
        <v>500100081</v>
      </c>
      <c r="C54" s="55">
        <v>10078</v>
      </c>
      <c r="D54" s="618" t="inlineStr">
        <is>
          <t>蜘蛛女王</t>
        </is>
      </c>
      <c r="E54" s="55">
        <v>1430700</v>
      </c>
      <c r="F54" s="55">
        <v>1</v>
      </c>
      <c r="G54" s="55">
        <v>1</v>
      </c>
      <c r="H54" s="618" t="inlineStr">
        <is>
          <t>[{unit,1430700,1},{acc_unit_max,1430700,20},{star_road, [{1003,300},{2002,1000},{3002,1000},{4002,1000}]}]</t>
        </is>
      </c>
      <c r="I54" s="55">
        <f>IF(E54="","",IF(ISNUMBER(IFNA(_xlfn.XLOOKUP(E54,价值表!$D:$D,价值表!$F:$F),"")),IFNA(_xlfn.XLOOKUP(E54,价值表!$D:$D,价值表!$F:$F),"")*F54,"待定"))</f>
        <v/>
      </c>
      <c r="J54" s="618" t="inlineStr">
        <is>
          <t>C_抽卡_draw_card_data.xml/奖励内容!129</t>
        </is>
      </c>
    </row>
    <row r="55" spans="1:10" ht="30" customHeight="1">
      <c r="A55" s="55">
        <v>90000008</v>
      </c>
      <c r="B55" s="55">
        <v>500100081</v>
      </c>
      <c r="C55" s="55">
        <v>10079</v>
      </c>
      <c r="D55" s="618" t="inlineStr">
        <is>
          <t>唐小僧</t>
        </is>
      </c>
      <c r="E55" s="55">
        <v>1140100</v>
      </c>
      <c r="F55" s="55">
        <v>1</v>
      </c>
      <c r="G55" s="55">
        <v>1</v>
      </c>
      <c r="H55" s="618" t="inlineStr">
        <is>
          <t>[{unit,1140100,1},{acc_unit_max,1140100,20}]</t>
        </is>
      </c>
      <c r="I55" s="55">
        <f>IF(E55="","",IF(ISNUMBER(IFNA(_xlfn.XLOOKUP(E55,价值表!$D:$D,价值表!$F:$F),"")),IFNA(_xlfn.XLOOKUP(E55,价值表!$D:$D,价值表!$F:$F),"")*F55,"待定"))</f>
        <v/>
      </c>
      <c r="J55" s="618" t="inlineStr">
        <is>
          <t>C_抽卡_draw_card_data.xml/奖励内容!130</t>
        </is>
      </c>
    </row>
    <row r="56" spans="1:10" ht="30" customHeight="1">
      <c r="A56" s="55">
        <v>90000008</v>
      </c>
      <c r="B56" s="55">
        <v>500100081</v>
      </c>
      <c r="C56" s="55">
        <v>10080</v>
      </c>
      <c r="D56" s="618" t="inlineStr">
        <is>
          <t>神灯王子</t>
        </is>
      </c>
      <c r="E56" s="55">
        <v>1140200</v>
      </c>
      <c r="F56" s="55">
        <v>1</v>
      </c>
      <c r="G56" s="55">
        <v>1</v>
      </c>
      <c r="H56" s="618" t="inlineStr">
        <is>
          <t>[{unit,1140200,1},{star_road, [{1002,1000},{2003,500},{3003,500},{4003,500}]},{acc_unit_max,1140200,20}]</t>
        </is>
      </c>
      <c r="I56" s="55">
        <f>IF(E56="","",IF(ISNUMBER(IFNA(_xlfn.XLOOKUP(E56,价值表!$D:$D,价值表!$F:$F),"")),IFNA(_xlfn.XLOOKUP(E56,价值表!$D:$D,价值表!$F:$F),"")*F56,"待定"))</f>
        <v/>
      </c>
      <c r="J56" s="618" t="inlineStr">
        <is>
          <t>C_抽卡_draw_card_data.xml/奖励内容!131</t>
        </is>
      </c>
    </row>
    <row r="57" spans="1:10" ht="30" customHeight="1">
      <c r="A57" s="55">
        <v>90000008</v>
      </c>
      <c r="B57" s="55">
        <v>500100081</v>
      </c>
      <c r="C57" s="55">
        <v>10081</v>
      </c>
      <c r="D57" s="618" t="inlineStr">
        <is>
          <t>关羽</t>
        </is>
      </c>
      <c r="E57" s="55">
        <v>1110100</v>
      </c>
      <c r="F57" s="55">
        <v>1</v>
      </c>
      <c r="G57" s="55">
        <v>1</v>
      </c>
      <c r="H57" s="618" t="inlineStr">
        <is>
          <t>[{unit,1110100,1},{star_road, [{1003,1200},{2003,1000},{3003,1000},{4003,1000}]},{acc_unit_max,1140200,20}]</t>
        </is>
      </c>
      <c r="I57" s="55">
        <f>IF(E57="","",IF(ISNUMBER(IFNA(_xlfn.XLOOKUP(E57,价值表!$D:$D,价值表!$F:$F),"")),IFNA(_xlfn.XLOOKUP(E57,价值表!$D:$D,价值表!$F:$F),"")*F57,"待定"))</f>
        <v/>
      </c>
      <c r="J57" s="618" t="inlineStr">
        <is>
          <t>C_抽卡_draw_card_data.xml/奖励内容!132</t>
        </is>
      </c>
    </row>
    <row r="58" spans="1:10" ht="30" customHeight="1">
      <c r="A58" s="55">
        <v>90000009</v>
      </c>
      <c r="B58" s="55">
        <v>900000091</v>
      </c>
      <c r="C58" s="55">
        <v>40001</v>
      </c>
      <c r="D58" s="618" t="inlineStr">
        <is>
          <t>神算诸葛</t>
        </is>
      </c>
      <c r="E58" s="55">
        <v>1420300</v>
      </c>
      <c r="F58" s="55">
        <v>1</v>
      </c>
      <c r="G58" s="55">
        <v>2000</v>
      </c>
      <c r="H58" s="618" t="inlineStr">
        <is>
          <t>[{unit,1420300,1}]</t>
        </is>
      </c>
      <c r="I58" s="55">
        <f>IF(E58="","",IF(ISNUMBER(IFNA(_xlfn.XLOOKUP(E58,价值表!$D:$D,价值表!$F:$F),"")),IFNA(_xlfn.XLOOKUP(E58,价值表!$D:$D,价值表!$F:$F),"")*F58,"待定"))</f>
        <v/>
      </c>
      <c r="J58" s="618" t="inlineStr">
        <is>
          <t>C_抽卡_draw_card_data.xml/奖励内容!330</t>
        </is>
      </c>
    </row>
    <row r="59" spans="1:10" ht="30" customHeight="1">
      <c r="A59" s="55">
        <v>90000009</v>
      </c>
      <c r="B59" s="55">
        <v>900000091</v>
      </c>
      <c r="C59" s="55">
        <v>40002</v>
      </c>
      <c r="D59" s="618" t="inlineStr">
        <is>
          <t>后羿</t>
        </is>
      </c>
      <c r="E59" s="55">
        <v>1530200</v>
      </c>
      <c r="F59" s="55">
        <v>1</v>
      </c>
      <c r="G59" s="55">
        <v>2000</v>
      </c>
      <c r="H59" s="618" t="inlineStr">
        <is>
          <t>[{unit,1530200,1}]</t>
        </is>
      </c>
      <c r="I59" s="55">
        <f>IF(E59="","",IF(ISNUMBER(IFNA(_xlfn.XLOOKUP(E59,价值表!$D:$D,价值表!$F:$F),"")),IFNA(_xlfn.XLOOKUP(E59,价值表!$D:$D,价值表!$F:$F),"")*F59,"待定"))</f>
        <v/>
      </c>
      <c r="J59" s="618" t="inlineStr">
        <is>
          <t>C_抽卡_draw_card_data.xml/奖励内容!331</t>
        </is>
      </c>
    </row>
  </sheetData>
  <mergeCells count="2">
    <mergeCell ref="A1:J1"/>
    <mergeCell ref="A2:J2"/>
  </mergeCells>
  <autoFilter ref="A4:J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路线图</vt:lpstr>
      <vt:lpstr>甘特图</vt:lpstr>
      <vt:lpstr>价值表</vt:lpstr>
      <vt:lpstr>活动评级标准</vt:lpstr>
      <vt:lpstr>商店</vt:lpstr>
      <vt:lpstr>新商店</vt:lpstr>
      <vt:lpstr>首充</vt:lpstr>
      <vt:lpstr>日月周礼包</vt:lpstr>
      <vt:lpstr>大小月卡</vt:lpstr>
      <vt:lpstr>每周周卡</vt:lpstr>
      <vt:lpstr>体力战令</vt:lpstr>
      <vt:lpstr>钻石基金</vt:lpstr>
      <vt:lpstr>每日特惠</vt:lpstr>
      <vt:lpstr>章节礼包</vt:lpstr>
      <vt:lpstr>红卡皮肤转盘</vt:lpstr>
      <vt:lpstr>1每日商店</vt:lpstr>
      <vt:lpstr>1.0首月活动</vt:lpstr>
      <vt:lpstr>1.1首发抽奖</vt:lpstr>
      <vt:lpstr>2.0次月活动</vt:lpstr>
      <vt:lpstr>2.1次月签到</vt:lpstr>
      <vt:lpstr>招募狂欢</vt:lpstr>
      <vt:lpstr>招募冲刺</vt:lpstr>
      <vt:lpstr>符文冲刺</vt:lpstr>
      <vt:lpstr>秘宝冲刺</vt:lpstr>
      <vt:lpstr>1.0联动活动</vt:lpstr>
      <vt:lpstr>等级宝箱</vt:lpstr>
      <vt:lpstr>2.0大富翁抽奖</vt:lpstr>
      <vt:lpstr>2.1大富翁签到</vt:lpstr>
      <vt:lpstr>粉卡抽奖</vt:lpstr>
      <vt:lpstr>红卡抽奖up (2)</vt:lpstr>
      <vt:lpstr>粉卡试炼</vt:lpstr>
      <vt:lpstr>粉卡保底计算</vt:lpstr>
      <vt:lpstr>符文焕新</vt:lpstr>
      <vt:lpstr>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2026-10-16T11:22:11Z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B8025AF1852B47A3B7DA6B7BF8BC1B8E_13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